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105" windowWidth="12780" windowHeight="7305" tabRatio="960"/>
  </bookViews>
  <sheets>
    <sheet name="Aktuelles Einkommen" sheetId="5" r:id="rId1"/>
    <sheet name="Berechnung" sheetId="6" r:id="rId2"/>
    <sheet name="Berechnung2" sheetId="7" r:id="rId3"/>
  </sheets>
  <definedNames>
    <definedName name="Eigenbeitrag">#REF!</definedName>
    <definedName name="Einkommen">#REF!</definedName>
    <definedName name="EinzahlungsEntnahmeart">#REF!</definedName>
    <definedName name="Jahre">#REF!</definedName>
    <definedName name="Kinder">#REF!</definedName>
    <definedName name="Zinseszins">#REF!</definedName>
    <definedName name="ZVE">#REF!</definedName>
  </definedNames>
  <calcPr calcId="144525"/>
</workbook>
</file>

<file path=xl/calcChain.xml><?xml version="1.0" encoding="utf-8"?>
<calcChain xmlns="http://schemas.openxmlformats.org/spreadsheetml/2006/main">
  <c r="H80" i="5" l="1"/>
  <c r="C50" i="5" l="1"/>
  <c r="F50" i="5"/>
  <c r="F55" i="5"/>
  <c r="C55" i="5"/>
  <c r="M90" i="5" l="1"/>
  <c r="M86" i="5"/>
  <c r="J25" i="5" l="1"/>
  <c r="J24" i="5"/>
  <c r="I26" i="5"/>
  <c r="J26" i="5" s="1"/>
  <c r="I27" i="5"/>
  <c r="J27" i="5" s="1"/>
  <c r="J90" i="5"/>
  <c r="J86" i="5"/>
  <c r="F70" i="5"/>
  <c r="F62" i="5"/>
  <c r="F59" i="5"/>
  <c r="F51" i="5"/>
  <c r="F38" i="5"/>
  <c r="B3" i="7"/>
  <c r="B4" i="7"/>
  <c r="B5" i="7"/>
  <c r="B6" i="7"/>
  <c r="B8" i="7"/>
  <c r="B30" i="7" s="1"/>
  <c r="B9" i="7"/>
  <c r="B10" i="7"/>
  <c r="B11" i="7"/>
  <c r="B12" i="7"/>
  <c r="B13" i="7"/>
  <c r="B40" i="7" s="1"/>
  <c r="B28" i="7"/>
  <c r="B38" i="7" s="1"/>
  <c r="B63" i="7"/>
  <c r="B3" i="6"/>
  <c r="B4" i="6"/>
  <c r="B5" i="6"/>
  <c r="B6" i="6"/>
  <c r="B8" i="6"/>
  <c r="B30" i="6" s="1"/>
  <c r="B9" i="6"/>
  <c r="B10" i="6"/>
  <c r="B11" i="6"/>
  <c r="B12" i="6"/>
  <c r="B13" i="6"/>
  <c r="B40" i="6" s="1"/>
  <c r="B28" i="6"/>
  <c r="B38" i="6" s="1"/>
  <c r="B63" i="6"/>
  <c r="F6" i="5"/>
  <c r="C7" i="5"/>
  <c r="F7" i="5"/>
  <c r="B7" i="7" s="1"/>
  <c r="F8" i="5"/>
  <c r="J8" i="5"/>
  <c r="F9" i="5"/>
  <c r="J9" i="5"/>
  <c r="F10" i="5"/>
  <c r="F11" i="5"/>
  <c r="F12" i="5"/>
  <c r="F13" i="5"/>
  <c r="F14" i="5"/>
  <c r="F15" i="5"/>
  <c r="F16" i="5"/>
  <c r="F18" i="5"/>
  <c r="F19" i="5"/>
  <c r="C24" i="5"/>
  <c r="J7" i="5" s="1"/>
  <c r="A25" i="5"/>
  <c r="A26" i="5"/>
  <c r="C26" i="5"/>
  <c r="C54" i="5" s="1"/>
  <c r="C27" i="5"/>
  <c r="J10" i="5" s="1"/>
  <c r="B31" i="7" l="1"/>
  <c r="F25" i="5"/>
  <c r="F53" i="5" s="1"/>
  <c r="F24" i="5"/>
  <c r="K7" i="5" s="1"/>
  <c r="B31" i="6"/>
  <c r="B33" i="6" s="1"/>
  <c r="F27" i="5"/>
  <c r="K10" i="5" s="1"/>
  <c r="F26" i="5"/>
  <c r="F54" i="5" s="1"/>
  <c r="K8" i="5"/>
  <c r="K9" i="5"/>
  <c r="K12" i="5" s="1"/>
  <c r="B33" i="7"/>
  <c r="B7" i="6"/>
  <c r="B20" i="6" s="1"/>
  <c r="B24" i="6" s="1"/>
  <c r="B79" i="6"/>
  <c r="B32" i="6"/>
  <c r="B79" i="7"/>
  <c r="B32" i="7"/>
  <c r="C35" i="5"/>
  <c r="C25" i="5"/>
  <c r="C53" i="5" s="1"/>
  <c r="F35" i="5"/>
  <c r="F46" i="5"/>
  <c r="F44" i="5" s="1"/>
  <c r="F45" i="5" s="1"/>
  <c r="F47" i="5" s="1"/>
  <c r="F40" i="5"/>
  <c r="J12" i="5"/>
  <c r="B20" i="7"/>
  <c r="B24" i="7" s="1"/>
  <c r="B21" i="7"/>
  <c r="B25" i="7" s="1"/>
  <c r="B36" i="7" s="1"/>
  <c r="B72" i="7" l="1"/>
  <c r="B72" i="6"/>
  <c r="F64" i="5"/>
  <c r="K14" i="5"/>
  <c r="B21" i="6"/>
  <c r="B25" i="6" s="1"/>
  <c r="B36" i="6" s="1"/>
  <c r="B37" i="6" s="1"/>
  <c r="F66" i="5"/>
  <c r="C46" i="5"/>
  <c r="C44" i="5" s="1"/>
  <c r="C45" i="5" s="1"/>
  <c r="C47" i="5" s="1"/>
  <c r="C64" i="5" s="1"/>
  <c r="C40" i="5"/>
  <c r="B41" i="6"/>
  <c r="B42" i="6" s="1"/>
  <c r="B37" i="7"/>
  <c r="B39" i="7"/>
  <c r="B41" i="7"/>
  <c r="B42" i="7" s="1"/>
  <c r="M85" i="5" l="1"/>
  <c r="B39" i="6"/>
  <c r="F69" i="5"/>
  <c r="F72" i="5" s="1"/>
  <c r="C66" i="5"/>
  <c r="C69" i="5" s="1"/>
  <c r="B43" i="7"/>
  <c r="B43" i="6"/>
  <c r="M87" i="5" l="1"/>
  <c r="M89" i="5" s="1"/>
  <c r="M91" i="5" s="1"/>
  <c r="N85" i="5"/>
  <c r="N87" i="5" s="1"/>
  <c r="N89" i="5" s="1"/>
  <c r="N91" i="5" s="1"/>
  <c r="F74" i="5"/>
  <c r="I77" i="5"/>
  <c r="F73" i="5"/>
  <c r="F83" i="5"/>
  <c r="F84" i="5" s="1"/>
  <c r="J85" i="5"/>
  <c r="H69" i="5"/>
  <c r="F78" i="5"/>
  <c r="C72" i="5"/>
  <c r="H77" i="5" s="1"/>
  <c r="B46" i="6"/>
  <c r="B47" i="6" s="1"/>
  <c r="B73" i="6"/>
  <c r="B74" i="6" s="1"/>
  <c r="B75" i="6" s="1"/>
  <c r="B46" i="7"/>
  <c r="B47" i="7" s="1"/>
  <c r="B73" i="7"/>
  <c r="B74" i="7" s="1"/>
  <c r="B75" i="7" s="1"/>
  <c r="N93" i="5" l="1"/>
  <c r="N92" i="5"/>
  <c r="N94" i="5" s="1"/>
  <c r="M93" i="5"/>
  <c r="M92" i="5"/>
  <c r="M94" i="5" s="1"/>
  <c r="C74" i="5"/>
  <c r="C73" i="5"/>
  <c r="C83" i="5"/>
  <c r="I80" i="5"/>
  <c r="J87" i="5"/>
  <c r="J89" i="5" s="1"/>
  <c r="J91" i="5" s="1"/>
  <c r="K85" i="5"/>
  <c r="K87" i="5" s="1"/>
  <c r="K89" i="5" s="1"/>
  <c r="K91" i="5" s="1"/>
  <c r="B50" i="7"/>
  <c r="B66" i="7" s="1"/>
  <c r="B54" i="7"/>
  <c r="B55" i="7" s="1"/>
  <c r="B56" i="7"/>
  <c r="B57" i="7" s="1"/>
  <c r="B59" i="7"/>
  <c r="B50" i="6"/>
  <c r="B66" i="6" s="1"/>
  <c r="B54" i="6"/>
  <c r="B55" i="6" s="1"/>
  <c r="B56" i="6"/>
  <c r="B57" i="6" s="1"/>
  <c r="B59" i="6"/>
  <c r="M96" i="5" l="1"/>
  <c r="M97" i="5" s="1"/>
  <c r="C78" i="5"/>
  <c r="K93" i="5"/>
  <c r="K92" i="5"/>
  <c r="J92" i="5"/>
  <c r="J93" i="5"/>
  <c r="B58" i="6"/>
  <c r="B60" i="6" s="1"/>
  <c r="B67" i="6"/>
  <c r="B71" i="6" s="1"/>
  <c r="C21" i="5" s="1"/>
  <c r="B76" i="6"/>
  <c r="B58" i="7"/>
  <c r="B60" i="7" s="1"/>
  <c r="B67" i="7"/>
  <c r="B71" i="7" s="1"/>
  <c r="F21" i="5" s="1"/>
  <c r="B76" i="7"/>
  <c r="J94" i="5" l="1"/>
  <c r="K94" i="5"/>
  <c r="J96" i="5" s="1"/>
  <c r="J97" i="5" s="1"/>
  <c r="C84" i="5" s="1"/>
  <c r="B80" i="7"/>
  <c r="B81" i="7"/>
  <c r="B88" i="7"/>
  <c r="B91" i="7" s="1"/>
  <c r="B92" i="7" s="1"/>
  <c r="F23" i="5" s="1"/>
  <c r="F58" i="5" s="1"/>
  <c r="F60" i="5" s="1"/>
  <c r="B61" i="7"/>
  <c r="B64" i="7" s="1"/>
  <c r="B65" i="7" s="1"/>
  <c r="B62" i="7"/>
  <c r="B80" i="6"/>
  <c r="B81" i="6"/>
  <c r="B88" i="6"/>
  <c r="B91" i="6" s="1"/>
  <c r="B92" i="6" s="1"/>
  <c r="C23" i="5" s="1"/>
  <c r="C58" i="5" s="1"/>
  <c r="C60" i="5" s="1"/>
  <c r="B61" i="6"/>
  <c r="B64" i="6" s="1"/>
  <c r="B65" i="6" s="1"/>
  <c r="B62" i="6"/>
  <c r="B82" i="6" l="1"/>
  <c r="B83" i="6" s="1"/>
  <c r="B86" i="6" s="1"/>
  <c r="B87" i="6" s="1"/>
  <c r="C22" i="5" s="1"/>
  <c r="C29" i="5" s="1"/>
  <c r="C30" i="5" s="1"/>
  <c r="B82" i="7"/>
  <c r="B83" i="7" s="1"/>
  <c r="B86" i="7" s="1"/>
  <c r="B87" i="7" s="1"/>
  <c r="F22" i="5" s="1"/>
  <c r="F29" i="5" s="1"/>
  <c r="F30" i="5" s="1"/>
  <c r="F77" i="5"/>
  <c r="F79" i="5" s="1"/>
  <c r="F81" i="5" s="1"/>
  <c r="K30" i="5" l="1"/>
  <c r="C77" i="5"/>
  <c r="C79" i="5" s="1"/>
  <c r="C81" i="5" s="1"/>
  <c r="F86" i="5" s="1"/>
  <c r="F87" i="5" l="1"/>
  <c r="F88" i="5" s="1"/>
  <c r="I30" i="5" s="1"/>
</calcChain>
</file>

<file path=xl/comments1.xml><?xml version="1.0" encoding="utf-8"?>
<comments xmlns="http://schemas.openxmlformats.org/spreadsheetml/2006/main">
  <authors>
    <author>Autor</author>
  </authors>
  <commentList>
    <comment ref="A13" authorId="0">
      <text>
        <r>
          <rPr>
            <b/>
            <sz val="8"/>
            <color indexed="81"/>
            <rFont val="Tahoma"/>
            <family val="2"/>
          </rPr>
          <t>Eigenanteil = gegfalls Arbeitgeberanteil abgezogen. Nur Anteil des AN für Grundsicherung  eintragen!</t>
        </r>
        <r>
          <rPr>
            <sz val="8"/>
            <color indexed="81"/>
            <rFont val="Tahoma"/>
            <family val="2"/>
          </rPr>
          <t xml:space="preserve">
</t>
        </r>
      </text>
    </comment>
  </commentList>
</comments>
</file>

<file path=xl/sharedStrings.xml><?xml version="1.0" encoding="utf-8"?>
<sst xmlns="http://schemas.openxmlformats.org/spreadsheetml/2006/main" count="300" uniqueCount="172">
  <si>
    <t>Berechnung der Einkommensteuer</t>
  </si>
  <si>
    <t>Einkünfte</t>
  </si>
  <si>
    <t>zu versteuerndes Einkommen</t>
  </si>
  <si>
    <t>mind. Pauschale</t>
  </si>
  <si>
    <t>Lohnsteuer</t>
  </si>
  <si>
    <t>€</t>
  </si>
  <si>
    <t>Nettoaufwand für die bAV</t>
  </si>
  <si>
    <t>Nettolohn</t>
  </si>
  <si>
    <t>Abzüge</t>
  </si>
  <si>
    <t>1,5% Arbeitslosenversicherung</t>
  </si>
  <si>
    <t>9,95% Rentenversicherung</t>
  </si>
  <si>
    <t>Kirchensteuer</t>
  </si>
  <si>
    <t>Solidaritätszuschlag</t>
  </si>
  <si>
    <t>Insolvenzumlage.</t>
  </si>
  <si>
    <t>(Jahres)lohnsteuerfreibetrag auf LStKarte</t>
  </si>
  <si>
    <t>U1, U2, zur Berufsgenossenschaft und die</t>
  </si>
  <si>
    <t>(Jahres)Hinzurechnungen</t>
  </si>
  <si>
    <t>Zusätzlich verringern sich die Beiträge</t>
  </si>
  <si>
    <t>Anm.:</t>
  </si>
  <si>
    <t>Sachsen nein=0 ja=1</t>
  </si>
  <si>
    <t>Ostdeutschland nein=0 ja=1</t>
  </si>
  <si>
    <t>Differenz</t>
  </si>
  <si>
    <t>kinderlos u. über 23jährig (PflegeV)  nein=0 ja=1</t>
  </si>
  <si>
    <t>%/€</t>
  </si>
  <si>
    <r>
      <t>Krankenversicherung 15,5% /</t>
    </r>
    <r>
      <rPr>
        <b/>
        <sz val="10"/>
        <rFont val="Arial"/>
        <family val="2"/>
      </rPr>
      <t>Eigenanteil</t>
    </r>
    <r>
      <rPr>
        <sz val="11"/>
        <color theme="1"/>
        <rFont val="Calibri"/>
        <family val="2"/>
        <scheme val="minor"/>
      </rPr>
      <t xml:space="preserve"> PKV in €</t>
    </r>
  </si>
  <si>
    <t>%</t>
  </si>
  <si>
    <t>Kirchensteuer (0=keine, 8=8%, 9=9%)</t>
  </si>
  <si>
    <r>
      <t xml:space="preserve">Kinderfreibetrag (0, </t>
    </r>
    <r>
      <rPr>
        <b/>
        <sz val="10"/>
        <rFont val="Arial"/>
        <family val="2"/>
      </rPr>
      <t>0.5</t>
    </r>
    <r>
      <rPr>
        <sz val="11"/>
        <color theme="1"/>
        <rFont val="Calibri"/>
        <family val="2"/>
        <scheme val="minor"/>
      </rPr>
      <t xml:space="preserve">, 1, </t>
    </r>
    <r>
      <rPr>
        <b/>
        <sz val="10"/>
        <rFont val="Arial"/>
        <family val="2"/>
      </rPr>
      <t xml:space="preserve">1.5, </t>
    </r>
    <r>
      <rPr>
        <sz val="10"/>
        <rFont val="Arial"/>
        <family val="2"/>
      </rPr>
      <t>2.0</t>
    </r>
    <r>
      <rPr>
        <b/>
        <sz val="10"/>
        <rFont val="Arial"/>
        <family val="2"/>
      </rPr>
      <t>, 2.5</t>
    </r>
    <r>
      <rPr>
        <sz val="11"/>
        <color theme="1"/>
        <rFont val="Calibri"/>
        <family val="2"/>
        <scheme val="minor"/>
      </rPr>
      <t xml:space="preserve"> usw)</t>
    </r>
  </si>
  <si>
    <t>ALV-Beitrag</t>
  </si>
  <si>
    <t>allgemeine(=0) oder besondere (=1) Lsttabelle</t>
  </si>
  <si>
    <t>PV-Beitrag</t>
  </si>
  <si>
    <t>Steuerklasse 1 - 6</t>
  </si>
  <si>
    <t>KV-Beitrag</t>
  </si>
  <si>
    <t>im Jahr=1, Monat=2</t>
  </si>
  <si>
    <t>RV-Beitrag</t>
  </si>
  <si>
    <t>Steuerpflichtiger Arbeitslohn</t>
  </si>
  <si>
    <t>mit bAV</t>
  </si>
  <si>
    <t>ohne bAV</t>
  </si>
  <si>
    <t>Bruttoarbeitsentgelt</t>
  </si>
  <si>
    <t>bAV-Beitrag</t>
  </si>
  <si>
    <t>Effekte beim Arbeitgeber</t>
  </si>
  <si>
    <t>Vergleich Brutto - Netto Betriebliche Altersversorgung 2012</t>
  </si>
  <si>
    <t>BK</t>
  </si>
  <si>
    <t>ANTEIL1</t>
  </si>
  <si>
    <t>JW</t>
  </si>
  <si>
    <t>SOLZLZZ</t>
  </si>
  <si>
    <t>SOLZ</t>
  </si>
  <si>
    <t>SOLZJ</t>
  </si>
  <si>
    <t>SOLZMIN</t>
  </si>
  <si>
    <t>SOLZFREI</t>
  </si>
  <si>
    <t>MSOLZ</t>
  </si>
  <si>
    <t>JBMG</t>
  </si>
  <si>
    <t>ST</t>
  </si>
  <si>
    <t>ZVE, X</t>
  </si>
  <si>
    <t>ZVE</t>
  </si>
  <si>
    <t>ZTABFB</t>
  </si>
  <si>
    <t>LSTLZZ</t>
  </si>
  <si>
    <t>MLSTJAHR</t>
  </si>
  <si>
    <t>LSTJAHR</t>
  </si>
  <si>
    <t>MIT REICHST</t>
  </si>
  <si>
    <t>VERGL</t>
  </si>
  <si>
    <t>MIST</t>
  </si>
  <si>
    <t>DIFF</t>
  </si>
  <si>
    <t>ST2</t>
  </si>
  <si>
    <t>X</t>
  </si>
  <si>
    <t>ST1</t>
  </si>
  <si>
    <t>MST5-6</t>
  </si>
  <si>
    <t>UPTAB10</t>
  </si>
  <si>
    <t>ZZX</t>
  </si>
  <si>
    <t>UMVSP</t>
  </si>
  <si>
    <t>VSPN</t>
  </si>
  <si>
    <t>KV&gt;VHB?</t>
  </si>
  <si>
    <t>KV</t>
  </si>
  <si>
    <t>7,9%+PV</t>
  </si>
  <si>
    <t>VSP2</t>
  </si>
  <si>
    <t>VHB</t>
  </si>
  <si>
    <t>VSP1</t>
  </si>
  <si>
    <t>ZRE4VP</t>
  </si>
  <si>
    <t>UPEVP</t>
  </si>
  <si>
    <t>KFB</t>
  </si>
  <si>
    <t>SAP</t>
  </si>
  <si>
    <t>EFA</t>
  </si>
  <si>
    <t>ANP</t>
  </si>
  <si>
    <t>KZTAB</t>
  </si>
  <si>
    <t>MZTABFB</t>
  </si>
  <si>
    <t>ZRE4</t>
  </si>
  <si>
    <t>MRE4</t>
  </si>
  <si>
    <t>ALTE</t>
  </si>
  <si>
    <t>MRE4ALTE</t>
  </si>
  <si>
    <t>PV%</t>
  </si>
  <si>
    <t>PKV</t>
  </si>
  <si>
    <t>RV-BEMES</t>
  </si>
  <si>
    <t>JLHINZU</t>
  </si>
  <si>
    <t xml:space="preserve"> </t>
  </si>
  <si>
    <t>JLFREIB</t>
  </si>
  <si>
    <t>STKL</t>
  </si>
  <si>
    <t>ZRE4J</t>
  </si>
  <si>
    <t>KRV</t>
  </si>
  <si>
    <t>LZZ</t>
  </si>
  <si>
    <t>ZKF</t>
  </si>
  <si>
    <t>ALTER1</t>
  </si>
  <si>
    <t>LST 2012</t>
  </si>
  <si>
    <t>UPTAB07</t>
  </si>
  <si>
    <t>Förderung für die bAV</t>
  </si>
  <si>
    <t>Förderquote</t>
  </si>
  <si>
    <t>Werbungskosten (WK)</t>
  </si>
  <si>
    <t>Sonderausgaben (SA)</t>
  </si>
  <si>
    <t>Altersvorsorgeaufwendungen</t>
  </si>
  <si>
    <t>Summe der Altersvorsorgeaufw.</t>
  </si>
  <si>
    <t>davon 74 %</t>
  </si>
  <si>
    <t>abzgl. AG-Anteil zur RV</t>
  </si>
  <si>
    <t>verbleiben</t>
  </si>
  <si>
    <t>Sonstige Vorsorgeaufwendungen</t>
  </si>
  <si>
    <t>Sonstige Vorsorgeaufwendungen gesamt</t>
  </si>
  <si>
    <t>davon maximal</t>
  </si>
  <si>
    <t>mindestens aber Basisversicherung:</t>
  </si>
  <si>
    <t>KV abzgl. 4%</t>
  </si>
  <si>
    <t>PV</t>
  </si>
  <si>
    <t>verbleiben abzugsfähig</t>
  </si>
  <si>
    <t>Allgemeine SA</t>
  </si>
  <si>
    <t>KiSt</t>
  </si>
  <si>
    <t>Spenden</t>
  </si>
  <si>
    <t>Beiträge zur Riesterrente (inkl. Zulage)</t>
  </si>
  <si>
    <t>Summe der abzugsfähigen SA</t>
  </si>
  <si>
    <t>zu versteuern</t>
  </si>
  <si>
    <t>dazu Riesterzulage</t>
  </si>
  <si>
    <t>festzusetzende Einkommensteuer</t>
  </si>
  <si>
    <t>Berechnung des Soli</t>
  </si>
  <si>
    <t>Zusammenfassung</t>
  </si>
  <si>
    <t>bereits gezahlt</t>
  </si>
  <si>
    <t>festgesetzt</t>
  </si>
  <si>
    <t>Über die Riesterzulage hinausgehende Steuerermäßigung</t>
  </si>
  <si>
    <t>Berechnung Einkommenssteuer 2012</t>
  </si>
  <si>
    <t>Brutto-Arbeitslohn</t>
  </si>
  <si>
    <t>Zwischensumme Allg. SA (mind. Pauschbetrag)</t>
  </si>
  <si>
    <t>Berechnung der KiSt</t>
  </si>
  <si>
    <t>Riester-Förderquote</t>
  </si>
  <si>
    <t>bAV-Förderquote</t>
  </si>
  <si>
    <t>Nettoeinkommen nach Steuer</t>
  </si>
  <si>
    <t>zu zahlen (negativ = Erstattung)</t>
  </si>
  <si>
    <t>BBG</t>
  </si>
  <si>
    <t>im Jahr</t>
  </si>
  <si>
    <t>mtl.</t>
  </si>
  <si>
    <t>Bei Splittingtabelle bitte folgende Funktion verwenden:</t>
  </si>
  <si>
    <t>mit Riester</t>
  </si>
  <si>
    <t>ohne Riester</t>
  </si>
  <si>
    <t>zvE vor Riester</t>
  </si>
  <si>
    <t>Riesterbeitrag inkl. Zulage</t>
  </si>
  <si>
    <t>zvE</t>
  </si>
  <si>
    <t>Zulage</t>
  </si>
  <si>
    <t>ESt (n. Zulageverrechnung)</t>
  </si>
  <si>
    <t>Soli (n. Zulageverrrechnung)</t>
  </si>
  <si>
    <t>festzusetzende ESt inkl. Soli</t>
  </si>
  <si>
    <t>KiSt (n. Zulageverrrechnung)</t>
  </si>
  <si>
    <t>Steuervorteil inkl. Soli + KiSt</t>
  </si>
  <si>
    <t>entsprechende Angaben machen!</t>
  </si>
  <si>
    <t>&lt;== 4% Regel beachten!</t>
  </si>
  <si>
    <t>"oberflächliche" bAV-Förderquote</t>
  </si>
  <si>
    <t>https://de.wikipedia.org/wiki/Beitragsbemessungsgrenze</t>
  </si>
  <si>
    <t>Durchschnittssteuersatz (ohne Soli + ggf. KiSt)</t>
  </si>
  <si>
    <t>Differenz(grenz)steuersatz gem. Riesterbeiträge</t>
  </si>
  <si>
    <t>http://www.wertpapier-forum.de/topic/38742-arero-sparplan-ersetzen-durch-bav-sinnvoll/page__view__findpost__p__759684</t>
  </si>
  <si>
    <t>http://www.wertpapier-forum.de/topic/34994-formel-fur-steuerliche-foerderung-bei-riester/page__view__findpost__p__657119</t>
  </si>
  <si>
    <t>Riester-Rechner ohne bAV</t>
  </si>
  <si>
    <t>Riester-Rechner mit bAV</t>
  </si>
  <si>
    <t>http://de.wikipedia.org/wiki/Sonderausgabe_(Steuerrecht)</t>
  </si>
  <si>
    <t>http://de.wikipedia.org/wiki/Werbungskosten</t>
  </si>
  <si>
    <t>inkl. Fahrtkosten</t>
  </si>
  <si>
    <t>bAV-Förderquote nach ESt</t>
  </si>
  <si>
    <t>© boll</t>
  </si>
  <si>
    <t>www.wertpapier-forum.de</t>
  </si>
  <si>
    <t>http://www.wertpapier-forum.de/topic/39115-betriebliche-altersvorsorge-entscheidungshilfe/page__view__findpost__p__784958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</si>
</sst>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quot;_-;\-* #,##0.00\ &quot;€&quot;_-;_-* &quot;-&quot;??\ &quot;€&quot;_-;_-@_-"/>
    <numFmt numFmtId="164" formatCode="0.0%"/>
    <numFmt numFmtId="165" formatCode="#,##0.00_ ;\-#,##0.00\ "/>
    <numFmt numFmtId="166" formatCode="#,##0.00\ &quot;€&quot;"/>
    <numFmt numFmtId="167" formatCode="0.0"/>
    <numFmt numFmtId="168" formatCode="_-* #,##0.00\ [$€-1]_-;\-* #,##0.00\ [$€-1]_-;_-* &quot;-&quot;??\ [$€-1]_-"/>
    <numFmt numFmtId="169" formatCode="0.00000"/>
    <numFmt numFmtId="170" formatCode="0_ ;\-0\ "/>
    <numFmt numFmtId="171" formatCode="0.00000_ ;\-0.00000\ "/>
    <numFmt numFmtId="172" formatCode="0.00_ ;\-0.00\ "/>
    <numFmt numFmtId="173" formatCode="_-&quot;€&quot;\ * #,##0.00_-;\-&quot;€&quot;\ * #,##0.00_-;_-&quot;€&quot;\ * &quot;-&quot;??_-;_-@_-"/>
    <numFmt numFmtId="174" formatCode="#,##0_ ;\-#,##0\ "/>
  </numFmts>
  <fonts count="31">
    <font>
      <sz val="11"/>
      <color theme="1"/>
      <name val="Calibri"/>
      <family val="2"/>
      <scheme val="minor"/>
    </font>
    <font>
      <sz val="10"/>
      <name val="Arial"/>
      <family val="2"/>
    </font>
    <font>
      <b/>
      <sz val="10"/>
      <name val="Arial"/>
      <family val="2"/>
    </font>
    <font>
      <sz val="11"/>
      <color theme="1"/>
      <name val="Calibri"/>
      <family val="2"/>
      <scheme val="minor"/>
    </font>
    <font>
      <b/>
      <sz val="8"/>
      <color indexed="81"/>
      <name val="Tahoma"/>
      <family val="2"/>
    </font>
    <font>
      <sz val="8"/>
      <color indexed="81"/>
      <name val="Tahoma"/>
      <family val="2"/>
    </font>
    <font>
      <sz val="10"/>
      <name val="Arial"/>
      <family val="2"/>
    </font>
    <font>
      <u/>
      <sz val="10"/>
      <color indexed="12"/>
      <name val="Arial"/>
      <family val="2"/>
    </font>
    <font>
      <u/>
      <sz val="10"/>
      <color indexed="12"/>
      <name val="Arial"/>
      <family val="2"/>
    </font>
    <font>
      <sz val="8"/>
      <name val="Arial"/>
      <family val="2"/>
    </font>
    <font>
      <b/>
      <sz val="10"/>
      <color indexed="10"/>
      <name val="Arial"/>
      <family val="2"/>
    </font>
    <font>
      <sz val="10"/>
      <color indexed="10"/>
      <name val="Arial"/>
      <family val="2"/>
    </font>
    <font>
      <sz val="10"/>
      <color indexed="58"/>
      <name val="Arial"/>
      <family val="2"/>
    </font>
    <font>
      <sz val="10"/>
      <color indexed="12"/>
      <name val="Arial"/>
      <family val="2"/>
    </font>
    <font>
      <b/>
      <sz val="10"/>
      <color indexed="12"/>
      <name val="Arial"/>
      <family val="2"/>
    </font>
    <font>
      <u/>
      <sz val="10"/>
      <name val="Arial"/>
      <family val="2"/>
    </font>
    <font>
      <b/>
      <u/>
      <sz val="10"/>
      <name val="Arial"/>
      <family val="2"/>
    </font>
    <font>
      <sz val="10"/>
      <color theme="1"/>
      <name val="Arial"/>
      <family val="2"/>
    </font>
    <font>
      <sz val="10"/>
      <color indexed="23"/>
      <name val="Arial"/>
      <family val="2"/>
    </font>
    <font>
      <b/>
      <sz val="18"/>
      <color indexed="56"/>
      <name val="Cambria"/>
      <family val="2"/>
    </font>
    <font>
      <b/>
      <sz val="15"/>
      <color indexed="56"/>
      <name val="Calibri"/>
      <family val="2"/>
    </font>
    <font>
      <b/>
      <sz val="11"/>
      <color indexed="8"/>
      <name val="Calibri"/>
      <family val="2"/>
    </font>
    <font>
      <sz val="11"/>
      <color indexed="8"/>
      <name val="Helvetica Neue"/>
    </font>
    <font>
      <sz val="10"/>
      <color theme="0" tint="-0.499984740745262"/>
      <name val="Arial"/>
      <family val="2"/>
    </font>
    <font>
      <sz val="10"/>
      <color rgb="FFFF0000"/>
      <name val="Arial"/>
      <family val="2"/>
    </font>
    <font>
      <b/>
      <sz val="10"/>
      <color rgb="FFFF0000"/>
      <name val="Arial"/>
      <family val="2"/>
    </font>
    <font>
      <u/>
      <sz val="8"/>
      <color theme="10"/>
      <name val="Arial"/>
      <family val="2"/>
    </font>
    <font>
      <b/>
      <sz val="14"/>
      <color rgb="FFFF0000"/>
      <name val="Arial"/>
      <family val="2"/>
    </font>
    <font>
      <sz val="10"/>
      <color rgb="FFC00000"/>
      <name val="Arial"/>
      <family val="2"/>
    </font>
    <font>
      <b/>
      <sz val="10"/>
      <color rgb="FFC00000"/>
      <name val="Arial"/>
      <family val="2"/>
    </font>
    <font>
      <sz val="10"/>
      <color theme="9" tint="0.39997558519241921"/>
      <name val="Arial"/>
      <family val="2"/>
    </font>
  </fonts>
  <fills count="8">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theme="0" tint="-0.34998626667073579"/>
        <bgColor indexed="64"/>
      </patternFill>
    </fill>
  </fills>
  <borders count="33">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bottom style="double">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62"/>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double">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indexed="64"/>
      </bottom>
      <diagonal/>
    </border>
    <border>
      <left/>
      <right style="thin">
        <color rgb="FFFF0000"/>
      </right>
      <top/>
      <bottom style="thin">
        <color indexed="64"/>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1">
    <xf numFmtId="0" fontId="0" fillId="0" borderId="0"/>
    <xf numFmtId="9" fontId="3" fillId="0" borderId="0" applyFont="0" applyFill="0" applyBorder="0" applyAlignment="0" applyProtection="0"/>
    <xf numFmtId="0" fontId="1" fillId="0" borderId="0"/>
    <xf numFmtId="44" fontId="1" fillId="0" borderId="0" applyFont="0" applyFill="0" applyBorder="0" applyAlignment="0" applyProtection="0"/>
    <xf numFmtId="0" fontId="6" fillId="0" borderId="0"/>
    <xf numFmtId="0" fontId="7" fillId="0" borderId="0" applyNumberFormat="0" applyFill="0" applyBorder="0" applyAlignment="0" applyProtection="0">
      <alignment vertical="top"/>
      <protection locked="0"/>
    </xf>
    <xf numFmtId="44" fontId="6" fillId="0" borderId="0" applyFont="0" applyFill="0" applyBorder="0" applyAlignment="0" applyProtection="0"/>
    <xf numFmtId="0" fontId="21" fillId="0" borderId="15" applyNumberFormat="0" applyFill="0" applyAlignment="0" applyProtection="0"/>
    <xf numFmtId="0" fontId="21" fillId="0" borderId="14" applyNumberFormat="0" applyFill="0" applyAlignment="0" applyProtection="0"/>
    <xf numFmtId="44" fontId="1" fillId="0" borderId="0" applyFont="0" applyFill="0" applyBorder="0" applyAlignment="0" applyProtection="0"/>
    <xf numFmtId="0" fontId="8"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Protection="0">
      <alignment vertical="top"/>
    </xf>
    <xf numFmtId="0" fontId="19" fillId="0" borderId="0" applyNumberFormat="0" applyFill="0" applyBorder="0" applyAlignment="0" applyProtection="0"/>
    <xf numFmtId="0" fontId="20" fillId="0" borderId="16" applyNumberFormat="0" applyFill="0" applyAlignment="0" applyProtection="0"/>
    <xf numFmtId="173" fontId="1" fillId="0" borderId="0" applyFont="0" applyFill="0" applyBorder="0" applyAlignment="0" applyProtection="0"/>
    <xf numFmtId="0" fontId="9" fillId="0" borderId="0"/>
    <xf numFmtId="9" fontId="1" fillId="0" borderId="0" applyFill="0" applyBorder="0" applyAlignment="0" applyProtection="0"/>
    <xf numFmtId="0" fontId="26" fillId="0" borderId="0" applyNumberFormat="0" applyFill="0" applyBorder="0" applyAlignment="0" applyProtection="0">
      <alignment vertical="top"/>
      <protection locked="0"/>
    </xf>
  </cellStyleXfs>
  <cellXfs count="211">
    <xf numFmtId="0" fontId="0" fillId="0" borderId="0" xfId="0"/>
    <xf numFmtId="0" fontId="6" fillId="0" borderId="0" xfId="4"/>
    <xf numFmtId="0" fontId="6" fillId="0" borderId="0" xfId="4" applyBorder="1"/>
    <xf numFmtId="0" fontId="6" fillId="0" borderId="0" xfId="4" applyFill="1" applyBorder="1"/>
    <xf numFmtId="0" fontId="1" fillId="0" borderId="0" xfId="4" applyFont="1"/>
    <xf numFmtId="0" fontId="10" fillId="0" borderId="9" xfId="4" applyFont="1" applyBorder="1" applyAlignment="1">
      <alignment horizontal="center"/>
    </xf>
    <xf numFmtId="0" fontId="10" fillId="0" borderId="0" xfId="4" applyFont="1" applyFill="1" applyBorder="1"/>
    <xf numFmtId="0" fontId="6" fillId="0" borderId="7" xfId="4" applyBorder="1" applyAlignment="1">
      <alignment horizontal="center"/>
    </xf>
    <xf numFmtId="0" fontId="6" fillId="0" borderId="0" xfId="4" applyBorder="1" applyAlignment="1">
      <alignment horizontal="center"/>
    </xf>
    <xf numFmtId="0" fontId="12" fillId="4" borderId="8" xfId="4" applyFont="1" applyFill="1" applyBorder="1" applyAlignment="1">
      <alignment horizontal="center"/>
    </xf>
    <xf numFmtId="0" fontId="12" fillId="0" borderId="0" xfId="4" applyFont="1" applyFill="1" applyBorder="1"/>
    <xf numFmtId="0" fontId="12" fillId="4" borderId="7" xfId="4" applyFont="1" applyFill="1" applyBorder="1" applyAlignment="1">
      <alignment horizontal="center"/>
    </xf>
    <xf numFmtId="165" fontId="1" fillId="0" borderId="7" xfId="6" applyNumberFormat="1" applyFont="1" applyBorder="1"/>
    <xf numFmtId="0" fontId="13" fillId="0" borderId="0" xfId="4" applyFont="1" applyFill="1" applyBorder="1"/>
    <xf numFmtId="0" fontId="6" fillId="0" borderId="1" xfId="4" applyBorder="1"/>
    <xf numFmtId="0" fontId="14" fillId="0" borderId="0" xfId="4" applyFont="1" applyFill="1" applyBorder="1"/>
    <xf numFmtId="0" fontId="1" fillId="0" borderId="0" xfId="4" applyFont="1" applyFill="1" applyBorder="1"/>
    <xf numFmtId="0" fontId="1" fillId="0" borderId="4" xfId="4" applyFont="1" applyBorder="1"/>
    <xf numFmtId="0" fontId="9" fillId="0" borderId="0" xfId="4" applyFont="1" applyFill="1" applyBorder="1" applyAlignment="1">
      <alignment wrapText="1"/>
    </xf>
    <xf numFmtId="166" fontId="6" fillId="0" borderId="13" xfId="4" applyNumberFormat="1" applyBorder="1"/>
    <xf numFmtId="0" fontId="6" fillId="0" borderId="13" xfId="4" applyBorder="1"/>
    <xf numFmtId="0" fontId="1" fillId="0" borderId="13" xfId="4" applyFont="1" applyBorder="1"/>
    <xf numFmtId="166" fontId="6" fillId="0" borderId="4" xfId="4" applyNumberFormat="1" applyBorder="1"/>
    <xf numFmtId="166" fontId="6" fillId="0" borderId="7" xfId="4" applyNumberFormat="1" applyBorder="1"/>
    <xf numFmtId="0" fontId="1" fillId="0" borderId="7" xfId="4" applyFont="1" applyBorder="1"/>
    <xf numFmtId="0" fontId="2" fillId="0" borderId="0" xfId="4" applyFont="1" applyFill="1" applyBorder="1"/>
    <xf numFmtId="0" fontId="1" fillId="0" borderId="0" xfId="4" applyFont="1" applyBorder="1" applyAlignment="1">
      <alignment horizontal="center"/>
    </xf>
    <xf numFmtId="0" fontId="6" fillId="0" borderId="0" xfId="4" applyFill="1" applyProtection="1">
      <protection hidden="1"/>
    </xf>
    <xf numFmtId="0" fontId="6" fillId="6" borderId="0" xfId="4" applyFill="1" applyProtection="1">
      <protection hidden="1"/>
    </xf>
    <xf numFmtId="0" fontId="2" fillId="6" borderId="0" xfId="4" applyFont="1" applyFill="1" applyProtection="1">
      <protection hidden="1"/>
    </xf>
    <xf numFmtId="2" fontId="6" fillId="0" borderId="0" xfId="4" applyNumberFormat="1" applyFill="1" applyProtection="1">
      <protection hidden="1"/>
    </xf>
    <xf numFmtId="1" fontId="6" fillId="0" borderId="0" xfId="4" applyNumberFormat="1" applyFill="1" applyProtection="1">
      <protection hidden="1"/>
    </xf>
    <xf numFmtId="0" fontId="2" fillId="0" borderId="0" xfId="4" applyFont="1" applyFill="1" applyProtection="1">
      <protection hidden="1"/>
    </xf>
    <xf numFmtId="0" fontId="1" fillId="0" borderId="0" xfId="4" applyFont="1" applyFill="1" applyProtection="1">
      <protection hidden="1"/>
    </xf>
    <xf numFmtId="169" fontId="6" fillId="0" borderId="0" xfId="4" applyNumberFormat="1" applyFill="1" applyProtection="1">
      <protection hidden="1"/>
    </xf>
    <xf numFmtId="2" fontId="6" fillId="6" borderId="0" xfId="4" applyNumberFormat="1" applyFill="1" applyProtection="1">
      <protection hidden="1"/>
    </xf>
    <xf numFmtId="0" fontId="10" fillId="0" borderId="0" xfId="4" applyFont="1" applyFill="1" applyProtection="1">
      <protection hidden="1"/>
    </xf>
    <xf numFmtId="170" fontId="6" fillId="0" borderId="0" xfId="4" applyNumberFormat="1" applyFill="1" applyAlignment="1" applyProtection="1">
      <alignment horizontal="right"/>
      <protection hidden="1"/>
    </xf>
    <xf numFmtId="170" fontId="6" fillId="0" borderId="0" xfId="4" applyNumberFormat="1" applyFill="1" applyProtection="1">
      <protection hidden="1"/>
    </xf>
    <xf numFmtId="171" fontId="6" fillId="0" borderId="0" xfId="4" applyNumberFormat="1" applyFill="1" applyAlignment="1" applyProtection="1">
      <alignment horizontal="right"/>
      <protection hidden="1"/>
    </xf>
    <xf numFmtId="172" fontId="6" fillId="0" borderId="0" xfId="4" applyNumberFormat="1" applyFill="1" applyAlignment="1" applyProtection="1">
      <alignment horizontal="right"/>
      <protection hidden="1"/>
    </xf>
    <xf numFmtId="0" fontId="6" fillId="0" borderId="0" xfId="4" applyFill="1" applyProtection="1">
      <protection locked="0"/>
    </xf>
    <xf numFmtId="170" fontId="6" fillId="0" borderId="0" xfId="4" applyNumberFormat="1" applyFill="1" applyProtection="1">
      <protection locked="0"/>
    </xf>
    <xf numFmtId="0" fontId="2" fillId="4" borderId="0" xfId="4" applyFont="1" applyFill="1" applyProtection="1">
      <protection hidden="1"/>
    </xf>
    <xf numFmtId="0" fontId="1" fillId="0" borderId="0" xfId="4" applyFont="1" applyBorder="1"/>
    <xf numFmtId="0" fontId="1" fillId="0" borderId="7" xfId="4" applyFont="1" applyBorder="1" applyAlignment="1">
      <alignment horizontal="right"/>
    </xf>
    <xf numFmtId="0" fontId="1" fillId="0" borderId="7" xfId="4" applyFont="1" applyBorder="1" applyAlignment="1">
      <alignment horizontal="center"/>
    </xf>
    <xf numFmtId="2" fontId="1" fillId="0" borderId="0" xfId="4" applyNumberFormat="1" applyFont="1" applyBorder="1"/>
    <xf numFmtId="168" fontId="1" fillId="0" borderId="0" xfId="4" applyNumberFormat="1" applyFont="1" applyBorder="1" applyAlignment="1">
      <alignment horizontal="center"/>
    </xf>
    <xf numFmtId="167" fontId="1" fillId="0" borderId="0" xfId="4" applyNumberFormat="1" applyFont="1" applyBorder="1"/>
    <xf numFmtId="0" fontId="1" fillId="0" borderId="1" xfId="4" applyFont="1" applyBorder="1"/>
    <xf numFmtId="165" fontId="17" fillId="0" borderId="0" xfId="6" applyNumberFormat="1" applyFont="1" applyBorder="1"/>
    <xf numFmtId="4" fontId="1" fillId="0" borderId="0" xfId="4" applyNumberFormat="1" applyFont="1" applyBorder="1"/>
    <xf numFmtId="4" fontId="1" fillId="0" borderId="0" xfId="4" applyNumberFormat="1" applyFont="1" applyBorder="1" applyAlignment="1">
      <alignment horizontal="center"/>
    </xf>
    <xf numFmtId="4" fontId="1" fillId="5" borderId="0" xfId="4" applyNumberFormat="1" applyFont="1" applyFill="1" applyBorder="1"/>
    <xf numFmtId="4" fontId="1" fillId="0" borderId="0" xfId="4" applyNumberFormat="1" applyFont="1" applyFill="1" applyBorder="1" applyAlignment="1">
      <alignment horizontal="center"/>
    </xf>
    <xf numFmtId="165" fontId="17" fillId="3" borderId="8" xfId="6" applyNumberFormat="1" applyFont="1" applyFill="1" applyBorder="1"/>
    <xf numFmtId="4" fontId="1" fillId="0" borderId="7" xfId="4" applyNumberFormat="1" applyFont="1" applyBorder="1"/>
    <xf numFmtId="4" fontId="1" fillId="0" borderId="7" xfId="4" applyNumberFormat="1" applyFont="1" applyBorder="1" applyAlignment="1">
      <alignment horizontal="center"/>
    </xf>
    <xf numFmtId="4" fontId="10" fillId="0" borderId="9" xfId="4" applyNumberFormat="1" applyFont="1" applyBorder="1"/>
    <xf numFmtId="4" fontId="11" fillId="0" borderId="9" xfId="4" applyNumberFormat="1" applyFont="1" applyBorder="1" applyAlignment="1">
      <alignment horizontal="center"/>
    </xf>
    <xf numFmtId="4" fontId="10" fillId="0" borderId="4" xfId="4" applyNumberFormat="1" applyFont="1" applyBorder="1"/>
    <xf numFmtId="0" fontId="16" fillId="0" borderId="11" xfId="2" applyFont="1" applyBorder="1" applyAlignment="1">
      <alignment horizontal="left" indent="1"/>
    </xf>
    <xf numFmtId="0" fontId="1" fillId="0" borderId="3" xfId="2" applyBorder="1"/>
    <xf numFmtId="3" fontId="1" fillId="0" borderId="0" xfId="3" applyNumberFormat="1" applyFont="1" applyFill="1" applyBorder="1"/>
    <xf numFmtId="0" fontId="1" fillId="0" borderId="11" xfId="2" applyBorder="1" applyAlignment="1">
      <alignment horizontal="left" indent="1"/>
    </xf>
    <xf numFmtId="3" fontId="2" fillId="0" borderId="6" xfId="3" applyNumberFormat="1" applyFont="1" applyBorder="1"/>
    <xf numFmtId="0" fontId="16" fillId="0" borderId="11" xfId="2" applyFont="1" applyBorder="1"/>
    <xf numFmtId="164" fontId="18" fillId="0" borderId="5" xfId="13" applyNumberFormat="1" applyFont="1" applyBorder="1"/>
    <xf numFmtId="164" fontId="18" fillId="0" borderId="4" xfId="13" applyNumberFormat="1" applyFont="1" applyBorder="1"/>
    <xf numFmtId="10" fontId="18" fillId="0" borderId="10" xfId="2" applyNumberFormat="1" applyFont="1" applyBorder="1"/>
    <xf numFmtId="10" fontId="2" fillId="0" borderId="11" xfId="2" applyNumberFormat="1" applyFont="1" applyBorder="1"/>
    <xf numFmtId="4" fontId="2" fillId="0" borderId="0" xfId="3" applyNumberFormat="1" applyFont="1" applyBorder="1"/>
    <xf numFmtId="10" fontId="1" fillId="0" borderId="11" xfId="2" applyNumberFormat="1" applyFont="1" applyBorder="1"/>
    <xf numFmtId="10" fontId="16" fillId="0" borderId="11" xfId="2" applyNumberFormat="1" applyFont="1" applyBorder="1"/>
    <xf numFmtId="3" fontId="2" fillId="0" borderId="0" xfId="3" applyNumberFormat="1" applyFont="1" applyBorder="1"/>
    <xf numFmtId="164" fontId="18" fillId="0" borderId="3" xfId="13" applyNumberFormat="1" applyFont="1" applyBorder="1"/>
    <xf numFmtId="0" fontId="2" fillId="0" borderId="19" xfId="2" applyFont="1" applyBorder="1"/>
    <xf numFmtId="3" fontId="1" fillId="0" borderId="0" xfId="2" applyNumberFormat="1" applyFill="1" applyBorder="1"/>
    <xf numFmtId="3" fontId="1" fillId="0" borderId="0" xfId="3" applyNumberFormat="1" applyFont="1" applyBorder="1"/>
    <xf numFmtId="0" fontId="1" fillId="0" borderId="11" xfId="2" applyBorder="1"/>
    <xf numFmtId="0" fontId="1" fillId="0" borderId="11" xfId="2" applyFont="1" applyBorder="1"/>
    <xf numFmtId="3" fontId="16" fillId="0" borderId="0" xfId="3" applyNumberFormat="1" applyFont="1" applyBorder="1"/>
    <xf numFmtId="0" fontId="1" fillId="0" borderId="11" xfId="2" applyFont="1" applyBorder="1" applyAlignment="1">
      <alignment horizontal="left" indent="1"/>
    </xf>
    <xf numFmtId="3" fontId="15" fillId="0" borderId="0" xfId="3" applyNumberFormat="1" applyFont="1" applyBorder="1"/>
    <xf numFmtId="0" fontId="1" fillId="0" borderId="11" xfId="2" applyFont="1" applyBorder="1" applyAlignment="1">
      <alignment horizontal="left" indent="2"/>
    </xf>
    <xf numFmtId="0" fontId="1" fillId="0" borderId="11" xfId="2" applyFont="1" applyBorder="1" applyAlignment="1">
      <alignment horizontal="left" indent="3"/>
    </xf>
    <xf numFmtId="0" fontId="1" fillId="0" borderId="11" xfId="2" applyBorder="1" applyAlignment="1">
      <alignment horizontal="left" indent="2"/>
    </xf>
    <xf numFmtId="3" fontId="1" fillId="0" borderId="0" xfId="2" applyNumberFormat="1" applyBorder="1"/>
    <xf numFmtId="0" fontId="2" fillId="0" borderId="18" xfId="2" applyFont="1" applyBorder="1"/>
    <xf numFmtId="4" fontId="1" fillId="0" borderId="0" xfId="2" applyNumberFormat="1" applyBorder="1"/>
    <xf numFmtId="0" fontId="2" fillId="4" borderId="12" xfId="2" applyFont="1" applyFill="1" applyBorder="1" applyAlignment="1"/>
    <xf numFmtId="0" fontId="2" fillId="4" borderId="1" xfId="2" applyFont="1" applyFill="1" applyBorder="1" applyAlignment="1"/>
    <xf numFmtId="0" fontId="2" fillId="4" borderId="2" xfId="2" applyFont="1" applyFill="1" applyBorder="1" applyAlignment="1"/>
    <xf numFmtId="10" fontId="16" fillId="0" borderId="0" xfId="1" applyNumberFormat="1" applyFont="1" applyFill="1" applyBorder="1"/>
    <xf numFmtId="3" fontId="2" fillId="0" borderId="7" xfId="2" applyNumberFormat="1" applyFont="1" applyFill="1" applyBorder="1"/>
    <xf numFmtId="4" fontId="2" fillId="0" borderId="0" xfId="4" applyNumberFormat="1" applyFont="1" applyBorder="1"/>
    <xf numFmtId="3" fontId="1" fillId="0" borderId="3" xfId="2" applyNumberFormat="1" applyBorder="1"/>
    <xf numFmtId="0" fontId="2" fillId="0" borderId="11" xfId="2" applyFont="1" applyBorder="1" applyAlignment="1">
      <alignment horizontal="left" indent="1"/>
    </xf>
    <xf numFmtId="0" fontId="2" fillId="0" borderId="11" xfId="2" applyFont="1" applyBorder="1" applyAlignment="1">
      <alignment horizontal="left" indent="2"/>
    </xf>
    <xf numFmtId="3" fontId="2" fillId="0" borderId="17" xfId="2" applyNumberFormat="1" applyFont="1" applyFill="1" applyBorder="1"/>
    <xf numFmtId="3" fontId="2" fillId="0" borderId="22" xfId="3" applyNumberFormat="1" applyFont="1" applyBorder="1"/>
    <xf numFmtId="3" fontId="1" fillId="0" borderId="3" xfId="3" applyNumberFormat="1" applyFont="1" applyBorder="1"/>
    <xf numFmtId="3" fontId="15" fillId="0" borderId="3" xfId="3" applyNumberFormat="1" applyFont="1" applyBorder="1"/>
    <xf numFmtId="0" fontId="1" fillId="0" borderId="11" xfId="14" applyFont="1" applyBorder="1" applyAlignment="1">
      <alignment horizontal="left" indent="2"/>
    </xf>
    <xf numFmtId="3" fontId="1" fillId="0" borderId="3" xfId="3" applyNumberFormat="1" applyFont="1" applyFill="1" applyBorder="1"/>
    <xf numFmtId="3" fontId="2" fillId="0" borderId="3" xfId="3" applyNumberFormat="1" applyFont="1" applyBorder="1"/>
    <xf numFmtId="3" fontId="1" fillId="0" borderId="3" xfId="2" applyNumberFormat="1" applyFill="1" applyBorder="1"/>
    <xf numFmtId="0" fontId="6" fillId="0" borderId="11" xfId="4" applyBorder="1"/>
    <xf numFmtId="10" fontId="16" fillId="0" borderId="3" xfId="1" applyNumberFormat="1" applyFont="1" applyFill="1" applyBorder="1"/>
    <xf numFmtId="0" fontId="2" fillId="0" borderId="11" xfId="4" applyFont="1" applyBorder="1"/>
    <xf numFmtId="3" fontId="1" fillId="2" borderId="0" xfId="3" applyNumberFormat="1" applyFont="1" applyFill="1" applyBorder="1"/>
    <xf numFmtId="3" fontId="16" fillId="0" borderId="3" xfId="3" applyNumberFormat="1" applyFont="1" applyBorder="1"/>
    <xf numFmtId="0" fontId="1" fillId="0" borderId="11" xfId="4" applyFont="1" applyFill="1" applyBorder="1"/>
    <xf numFmtId="174" fontId="2" fillId="0" borderId="0" xfId="3" applyNumberFormat="1" applyFont="1" applyBorder="1" applyAlignment="1">
      <alignment horizontal="right"/>
    </xf>
    <xf numFmtId="0" fontId="16" fillId="0" borderId="12" xfId="4" applyFont="1" applyBorder="1" applyAlignment="1">
      <alignment vertical="top"/>
    </xf>
    <xf numFmtId="0" fontId="6" fillId="0" borderId="1" xfId="4" applyFill="1" applyBorder="1"/>
    <xf numFmtId="0" fontId="1" fillId="0" borderId="1" xfId="4" applyFont="1" applyBorder="1" applyAlignment="1">
      <alignment vertical="top"/>
    </xf>
    <xf numFmtId="0" fontId="6" fillId="0" borderId="3" xfId="4" applyBorder="1"/>
    <xf numFmtId="0" fontId="6" fillId="0" borderId="11" xfId="4" applyFill="1" applyBorder="1"/>
    <xf numFmtId="0" fontId="2" fillId="0" borderId="11" xfId="4" applyFont="1" applyFill="1" applyBorder="1"/>
    <xf numFmtId="0" fontId="1" fillId="0" borderId="11" xfId="4" applyFont="1" applyBorder="1" applyAlignment="1">
      <alignment wrapText="1"/>
    </xf>
    <xf numFmtId="0" fontId="1" fillId="0" borderId="10" xfId="4" applyFont="1" applyBorder="1"/>
    <xf numFmtId="0" fontId="14" fillId="0" borderId="12" xfId="4" applyFont="1" applyFill="1" applyBorder="1"/>
    <xf numFmtId="0" fontId="13" fillId="0" borderId="11" xfId="4" applyFont="1" applyBorder="1"/>
    <xf numFmtId="0" fontId="13" fillId="0" borderId="18" xfId="4" applyFont="1" applyBorder="1"/>
    <xf numFmtId="0" fontId="24" fillId="0" borderId="0" xfId="4" applyFont="1"/>
    <xf numFmtId="174" fontId="1" fillId="0" borderId="0" xfId="3" quotePrefix="1" applyNumberFormat="1" applyFont="1" applyBorder="1" applyAlignment="1">
      <alignment horizontal="right"/>
    </xf>
    <xf numFmtId="0" fontId="6" fillId="0" borderId="0" xfId="4" applyAlignment="1">
      <alignment horizontal="right"/>
    </xf>
    <xf numFmtId="174" fontId="1" fillId="0" borderId="0" xfId="3" applyNumberFormat="1" applyFont="1" applyFill="1" applyBorder="1"/>
    <xf numFmtId="0" fontId="1" fillId="0" borderId="0" xfId="2"/>
    <xf numFmtId="0" fontId="1" fillId="0" borderId="0" xfId="2" applyBorder="1"/>
    <xf numFmtId="0" fontId="1" fillId="0" borderId="0" xfId="2" applyAlignment="1">
      <alignment horizontal="right"/>
    </xf>
    <xf numFmtId="0" fontId="2" fillId="0" borderId="0" xfId="2" applyFont="1" applyAlignment="1">
      <alignment horizontal="right"/>
    </xf>
    <xf numFmtId="3" fontId="1" fillId="0" borderId="0" xfId="3" applyNumberFormat="1" applyFont="1" applyBorder="1"/>
    <xf numFmtId="0" fontId="18" fillId="0" borderId="0" xfId="2" quotePrefix="1" applyFont="1" applyBorder="1"/>
    <xf numFmtId="0" fontId="1" fillId="0" borderId="7" xfId="2" applyBorder="1"/>
    <xf numFmtId="174" fontId="1" fillId="0" borderId="0" xfId="3" applyNumberFormat="1" applyFont="1" applyBorder="1"/>
    <xf numFmtId="174" fontId="2" fillId="0" borderId="0" xfId="3" applyNumberFormat="1" applyFont="1" applyBorder="1"/>
    <xf numFmtId="3" fontId="2" fillId="0" borderId="7" xfId="3" applyNumberFormat="1" applyFont="1" applyFill="1" applyBorder="1"/>
    <xf numFmtId="174" fontId="23" fillId="0" borderId="0" xfId="3" applyNumberFormat="1" applyFont="1" applyBorder="1"/>
    <xf numFmtId="0" fontId="12" fillId="4" borderId="18" xfId="4" applyFont="1" applyFill="1" applyBorder="1"/>
    <xf numFmtId="0" fontId="12" fillId="4" borderId="20" xfId="4" applyFont="1" applyFill="1" applyBorder="1"/>
    <xf numFmtId="0" fontId="6" fillId="0" borderId="18" xfId="4" applyBorder="1"/>
    <xf numFmtId="0" fontId="10" fillId="0" borderId="21" xfId="4" applyFont="1" applyBorder="1"/>
    <xf numFmtId="0" fontId="6" fillId="0" borderId="10" xfId="4" applyBorder="1"/>
    <xf numFmtId="0" fontId="6" fillId="0" borderId="4" xfId="4" applyFill="1" applyBorder="1"/>
    <xf numFmtId="0" fontId="6" fillId="0" borderId="4" xfId="4" applyBorder="1"/>
    <xf numFmtId="0" fontId="6" fillId="0" borderId="5" xfId="4" applyBorder="1"/>
    <xf numFmtId="0" fontId="7" fillId="0" borderId="0" xfId="5" applyBorder="1" applyAlignment="1" applyProtection="1">
      <alignment vertical="top"/>
    </xf>
    <xf numFmtId="0" fontId="7" fillId="0" borderId="3" xfId="5" applyBorder="1" applyAlignment="1" applyProtection="1">
      <alignment vertical="top"/>
    </xf>
    <xf numFmtId="0" fontId="15" fillId="0" borderId="0" xfId="4" applyFont="1" applyBorder="1"/>
    <xf numFmtId="0" fontId="1" fillId="0" borderId="0" xfId="4" applyFont="1" applyBorder="1" applyAlignment="1">
      <alignment horizontal="right"/>
    </xf>
    <xf numFmtId="166" fontId="6" fillId="0" borderId="0" xfId="4" applyNumberFormat="1" applyBorder="1"/>
    <xf numFmtId="0" fontId="1" fillId="0" borderId="0" xfId="2" applyBorder="1" applyAlignment="1">
      <alignment horizontal="right"/>
    </xf>
    <xf numFmtId="4" fontId="1" fillId="0" borderId="0" xfId="2" applyNumberFormat="1" applyBorder="1" applyAlignment="1">
      <alignment horizontal="right"/>
    </xf>
    <xf numFmtId="14" fontId="9" fillId="0" borderId="4" xfId="4" applyNumberFormat="1" applyFont="1" applyBorder="1"/>
    <xf numFmtId="0" fontId="24" fillId="0" borderId="11" xfId="4" applyFont="1" applyBorder="1" applyAlignment="1">
      <alignment vertical="top"/>
    </xf>
    <xf numFmtId="0" fontId="7" fillId="0" borderId="1" xfId="5" applyBorder="1" applyAlignment="1" applyProtection="1">
      <alignment vertical="top"/>
    </xf>
    <xf numFmtId="0" fontId="7" fillId="0" borderId="2" xfId="5" applyBorder="1" applyAlignment="1" applyProtection="1">
      <alignment vertical="top"/>
    </xf>
    <xf numFmtId="0" fontId="25" fillId="0" borderId="23" xfId="4" applyFont="1" applyBorder="1"/>
    <xf numFmtId="0" fontId="1" fillId="0" borderId="24" xfId="4" applyFont="1" applyBorder="1"/>
    <xf numFmtId="0" fontId="1" fillId="0" borderId="24" xfId="4" applyFont="1" applyBorder="1" applyAlignment="1">
      <alignment vertical="top"/>
    </xf>
    <xf numFmtId="0" fontId="6" fillId="0" borderId="25" xfId="4" applyBorder="1"/>
    <xf numFmtId="0" fontId="1" fillId="0" borderId="26" xfId="4" applyFont="1" applyBorder="1"/>
    <xf numFmtId="0" fontId="6" fillId="0" borderId="27" xfId="4" applyBorder="1"/>
    <xf numFmtId="0" fontId="1" fillId="0" borderId="28" xfId="4" applyFont="1" applyBorder="1" applyAlignment="1">
      <alignment horizontal="right"/>
    </xf>
    <xf numFmtId="0" fontId="6" fillId="0" borderId="29" xfId="4" applyBorder="1" applyAlignment="1">
      <alignment horizontal="center"/>
    </xf>
    <xf numFmtId="4" fontId="1" fillId="0" borderId="26" xfId="4" applyNumberFormat="1" applyFont="1" applyBorder="1"/>
    <xf numFmtId="0" fontId="1" fillId="0" borderId="27" xfId="4" applyFont="1" applyBorder="1" applyAlignment="1">
      <alignment horizontal="center"/>
    </xf>
    <xf numFmtId="4" fontId="1" fillId="5" borderId="26" xfId="4" applyNumberFormat="1" applyFont="1" applyFill="1" applyBorder="1"/>
    <xf numFmtId="4" fontId="2" fillId="0" borderId="26" xfId="4" applyNumberFormat="1" applyFont="1" applyFill="1" applyBorder="1" applyAlignment="1">
      <alignment wrapText="1"/>
    </xf>
    <xf numFmtId="0" fontId="6" fillId="0" borderId="27" xfId="4" applyFill="1" applyBorder="1" applyAlignment="1">
      <alignment horizontal="center"/>
    </xf>
    <xf numFmtId="0" fontId="1" fillId="0" borderId="26" xfId="4" applyNumberFormat="1" applyFont="1" applyBorder="1"/>
    <xf numFmtId="0" fontId="6" fillId="0" borderId="27" xfId="4" applyBorder="1" applyAlignment="1">
      <alignment horizontal="center"/>
    </xf>
    <xf numFmtId="168" fontId="6" fillId="0" borderId="27" xfId="4" applyNumberFormat="1" applyBorder="1" applyAlignment="1">
      <alignment horizontal="center"/>
    </xf>
    <xf numFmtId="167" fontId="1" fillId="0" borderId="26" xfId="4" applyNumberFormat="1" applyFont="1" applyBorder="1"/>
    <xf numFmtId="2" fontId="1" fillId="0" borderId="26" xfId="4" applyNumberFormat="1" applyFont="1" applyBorder="1"/>
    <xf numFmtId="2" fontId="1" fillId="0" borderId="30" xfId="4" applyNumberFormat="1" applyFont="1" applyBorder="1"/>
    <xf numFmtId="0" fontId="1" fillId="0" borderId="31" xfId="4" applyFont="1" applyBorder="1" applyAlignment="1">
      <alignment horizontal="center"/>
    </xf>
    <xf numFmtId="0" fontId="1" fillId="0" borderId="31" xfId="4" applyFont="1" applyBorder="1"/>
    <xf numFmtId="2" fontId="1" fillId="0" borderId="31" xfId="4" applyNumberFormat="1" applyFont="1" applyBorder="1"/>
    <xf numFmtId="0" fontId="6" fillId="0" borderId="32" xfId="4" applyBorder="1" applyAlignment="1">
      <alignment horizontal="center"/>
    </xf>
    <xf numFmtId="0" fontId="24" fillId="0" borderId="0" xfId="4" quotePrefix="1" applyFont="1" applyBorder="1"/>
    <xf numFmtId="3" fontId="1" fillId="0" borderId="0" xfId="4" applyNumberFormat="1" applyFont="1" applyBorder="1"/>
    <xf numFmtId="3" fontId="2" fillId="0" borderId="0" xfId="4" applyNumberFormat="1" applyFont="1" applyBorder="1"/>
    <xf numFmtId="164" fontId="2" fillId="0" borderId="0" xfId="12" applyNumberFormat="1" applyFont="1" applyBorder="1"/>
    <xf numFmtId="164" fontId="1" fillId="0" borderId="0" xfId="4" applyNumberFormat="1" applyFont="1" applyBorder="1"/>
    <xf numFmtId="164" fontId="16" fillId="0" borderId="3" xfId="1" applyNumberFormat="1" applyFont="1" applyFill="1" applyBorder="1"/>
    <xf numFmtId="3" fontId="24" fillId="0" borderId="0" xfId="2" applyNumberFormat="1" applyFont="1" applyFill="1" applyBorder="1"/>
    <xf numFmtId="10" fontId="27" fillId="0" borderId="19" xfId="2" applyNumberFormat="1" applyFont="1" applyBorder="1"/>
    <xf numFmtId="0" fontId="27" fillId="0" borderId="6" xfId="4" applyFont="1" applyFill="1" applyBorder="1"/>
    <xf numFmtId="3" fontId="27" fillId="0" borderId="6" xfId="3" applyNumberFormat="1" applyFont="1" applyBorder="1"/>
    <xf numFmtId="3" fontId="27" fillId="0" borderId="6" xfId="4" applyNumberFormat="1" applyFont="1" applyBorder="1"/>
    <xf numFmtId="3" fontId="27" fillId="0" borderId="22" xfId="3" applyNumberFormat="1" applyFont="1" applyBorder="1"/>
    <xf numFmtId="3" fontId="2" fillId="0" borderId="0" xfId="2" applyNumberFormat="1" applyFont="1" applyFill="1" applyBorder="1"/>
    <xf numFmtId="3" fontId="2" fillId="0" borderId="3" xfId="2" applyNumberFormat="1" applyFont="1" applyFill="1" applyBorder="1"/>
    <xf numFmtId="164" fontId="2" fillId="0" borderId="0" xfId="1" applyNumberFormat="1" applyFont="1" applyFill="1" applyBorder="1"/>
    <xf numFmtId="164" fontId="2" fillId="0" borderId="3" xfId="1" applyNumberFormat="1" applyFont="1" applyFill="1" applyBorder="1"/>
    <xf numFmtId="4" fontId="6" fillId="0" borderId="0" xfId="4" applyNumberFormat="1"/>
    <xf numFmtId="164" fontId="1" fillId="7" borderId="0" xfId="4" applyNumberFormat="1" applyFont="1" applyFill="1" applyBorder="1"/>
    <xf numFmtId="164" fontId="6" fillId="0" borderId="0" xfId="1" applyNumberFormat="1" applyFont="1"/>
    <xf numFmtId="0" fontId="28" fillId="0" borderId="0" xfId="5" applyFont="1" applyBorder="1" applyAlignment="1" applyProtection="1">
      <alignment vertical="top"/>
    </xf>
    <xf numFmtId="3" fontId="6" fillId="0" borderId="0" xfId="4" applyNumberFormat="1"/>
    <xf numFmtId="0" fontId="18" fillId="0" borderId="0" xfId="14" applyFont="1" applyBorder="1" applyAlignment="1"/>
    <xf numFmtId="0" fontId="18" fillId="0" borderId="0" xfId="14" applyFont="1" applyAlignment="1"/>
    <xf numFmtId="0" fontId="7" fillId="0" borderId="3" xfId="5" applyBorder="1" applyAlignment="1" applyProtection="1">
      <alignment vertical="top"/>
    </xf>
    <xf numFmtId="0" fontId="29" fillId="0" borderId="0" xfId="5" applyFont="1" applyBorder="1" applyAlignment="1" applyProtection="1">
      <alignment vertical="top"/>
    </xf>
    <xf numFmtId="0" fontId="30" fillId="0" borderId="1" xfId="5" applyFont="1" applyBorder="1" applyAlignment="1" applyProtection="1">
      <alignment vertical="top"/>
    </xf>
    <xf numFmtId="0" fontId="30" fillId="0" borderId="0" xfId="5" applyFont="1" applyBorder="1" applyAlignment="1" applyProtection="1">
      <alignment vertical="top"/>
    </xf>
    <xf numFmtId="0" fontId="2" fillId="0" borderId="0" xfId="4" applyFont="1"/>
  </cellXfs>
  <cellStyles count="21">
    <cellStyle name="Ergebnis 1" xfId="7"/>
    <cellStyle name="Ergebnis 1 1" xfId="8"/>
    <cellStyle name="Euro" xfId="9"/>
    <cellStyle name="Hyperlink 2" xfId="5"/>
    <cellStyle name="Hyperlink 3" xfId="10"/>
    <cellStyle name="Hyperlink 4" xfId="20"/>
    <cellStyle name="Prozent" xfId="1" builtinId="5"/>
    <cellStyle name="Prozent 2" xfId="12"/>
    <cellStyle name="Prozent 3" xfId="13"/>
    <cellStyle name="Prozent 4" xfId="11"/>
    <cellStyle name="Prozent 5" xfId="19"/>
    <cellStyle name="Standard" xfId="0" builtinId="0"/>
    <cellStyle name="Standard 2" xfId="4"/>
    <cellStyle name="Standard 2 2" xfId="14"/>
    <cellStyle name="Standard 3" xfId="2"/>
    <cellStyle name="Standard 4" xfId="18"/>
    <cellStyle name="Überschrift 1 1" xfId="15"/>
    <cellStyle name="Überschrift 1 1 1" xfId="16"/>
    <cellStyle name="Währung 2" xfId="3"/>
    <cellStyle name="Währung 3" xfId="6"/>
    <cellStyle name="Währung 3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6"/>
  <sheetViews>
    <sheetView tabSelected="1" zoomScale="85" zoomScaleNormal="85" workbookViewId="0"/>
  </sheetViews>
  <sheetFormatPr baseColWidth="10" defaultRowHeight="12.75"/>
  <cols>
    <col min="1" max="1" width="45" style="1" customWidth="1"/>
    <col min="2" max="2" width="2.7109375" style="3" customWidth="1"/>
    <col min="3" max="3" width="12.85546875" style="4" bestFit="1" customWidth="1"/>
    <col min="4" max="4" width="4.140625" style="4" customWidth="1"/>
    <col min="5" max="5" width="2.7109375" style="44" customWidth="1"/>
    <col min="6" max="6" width="11.42578125" style="4"/>
    <col min="7" max="7" width="4.28515625" style="1" customWidth="1"/>
    <col min="8" max="8" width="12.140625" style="1" customWidth="1"/>
    <col min="9" max="16384" width="11.42578125" style="1"/>
  </cols>
  <sheetData>
    <row r="1" spans="1:12" ht="12" customHeight="1">
      <c r="A1" s="115" t="s">
        <v>41</v>
      </c>
      <c r="B1" s="116"/>
      <c r="C1" s="50"/>
      <c r="D1" s="50"/>
      <c r="E1" s="117"/>
      <c r="F1" s="50"/>
      <c r="G1" s="14"/>
      <c r="H1" s="14"/>
      <c r="I1" s="208"/>
      <c r="J1" s="158"/>
      <c r="K1" s="158"/>
      <c r="L1" s="159"/>
    </row>
    <row r="2" spans="1:12" ht="12" customHeight="1">
      <c r="A2" s="157"/>
      <c r="C2" s="160" t="s">
        <v>155</v>
      </c>
      <c r="D2" s="161"/>
      <c r="E2" s="162"/>
      <c r="F2" s="161"/>
      <c r="G2" s="163"/>
      <c r="H2" s="2"/>
      <c r="I2" s="209"/>
      <c r="J2" s="149"/>
      <c r="K2" s="149"/>
      <c r="L2" s="150"/>
    </row>
    <row r="3" spans="1:12" ht="15" customHeight="1">
      <c r="A3" s="119"/>
      <c r="C3" s="164"/>
      <c r="D3" s="44"/>
      <c r="F3" s="44"/>
      <c r="G3" s="165"/>
      <c r="H3" s="2"/>
      <c r="I3" s="207"/>
      <c r="J3" s="202"/>
      <c r="K3" s="202"/>
      <c r="L3" s="206"/>
    </row>
    <row r="4" spans="1:12">
      <c r="A4" s="108"/>
      <c r="C4" s="166" t="s">
        <v>37</v>
      </c>
      <c r="D4" s="46"/>
      <c r="F4" s="45" t="s">
        <v>36</v>
      </c>
      <c r="G4" s="167"/>
      <c r="H4" s="2"/>
      <c r="I4" s="151" t="s">
        <v>40</v>
      </c>
      <c r="J4" s="2"/>
      <c r="K4" s="2"/>
      <c r="L4" s="118"/>
    </row>
    <row r="5" spans="1:12">
      <c r="A5" s="108" t="s">
        <v>39</v>
      </c>
      <c r="C5" s="168">
        <v>0</v>
      </c>
      <c r="D5" s="53" t="s">
        <v>5</v>
      </c>
      <c r="E5" s="52"/>
      <c r="F5" s="54">
        <v>2400</v>
      </c>
      <c r="G5" s="169" t="s">
        <v>5</v>
      </c>
      <c r="H5" s="183" t="s">
        <v>156</v>
      </c>
      <c r="I5" s="2"/>
      <c r="J5" s="2"/>
      <c r="K5" s="2"/>
      <c r="L5" s="118"/>
    </row>
    <row r="6" spans="1:12">
      <c r="A6" s="108" t="s">
        <v>38</v>
      </c>
      <c r="C6" s="170">
        <v>40000</v>
      </c>
      <c r="D6" s="53" t="s">
        <v>5</v>
      </c>
      <c r="E6" s="52"/>
      <c r="F6" s="52">
        <f>C6</f>
        <v>40000</v>
      </c>
      <c r="G6" s="169" t="s">
        <v>5</v>
      </c>
      <c r="H6" s="2"/>
      <c r="I6" s="2"/>
      <c r="J6" s="152" t="s">
        <v>37</v>
      </c>
      <c r="K6" s="152" t="s">
        <v>36</v>
      </c>
      <c r="L6" s="118"/>
    </row>
    <row r="7" spans="1:12">
      <c r="A7" s="120" t="s">
        <v>35</v>
      </c>
      <c r="B7" s="25"/>
      <c r="C7" s="171">
        <f>C6-C5</f>
        <v>40000</v>
      </c>
      <c r="D7" s="55" t="s">
        <v>5</v>
      </c>
      <c r="E7" s="52"/>
      <c r="F7" s="96">
        <f>F6-F5</f>
        <v>37600</v>
      </c>
      <c r="G7" s="172" t="s">
        <v>5</v>
      </c>
      <c r="H7" s="2"/>
      <c r="I7" s="44" t="s">
        <v>34</v>
      </c>
      <c r="J7" s="153">
        <f>C24</f>
        <v>3920</v>
      </c>
      <c r="K7" s="153">
        <f>F24</f>
        <v>3684.8</v>
      </c>
      <c r="L7" s="118"/>
    </row>
    <row r="8" spans="1:12">
      <c r="A8" s="108" t="s">
        <v>33</v>
      </c>
      <c r="C8" s="173">
        <v>1</v>
      </c>
      <c r="D8" s="26"/>
      <c r="F8" s="44">
        <f t="shared" ref="F8:F16" si="0">C8</f>
        <v>1</v>
      </c>
      <c r="G8" s="174"/>
      <c r="H8" s="2"/>
      <c r="I8" s="44" t="s">
        <v>32</v>
      </c>
      <c r="J8" s="153">
        <f>IF(C13&gt;20,0,C7*((C13-0.9)/100/2))</f>
        <v>2920</v>
      </c>
      <c r="K8" s="153">
        <f>IF(C13&gt;20,0,F7*((F13-0.9)/100/2))</f>
        <v>2744.7999999999997</v>
      </c>
      <c r="L8" s="118"/>
    </row>
    <row r="9" spans="1:12">
      <c r="A9" s="108" t="s">
        <v>31</v>
      </c>
      <c r="C9" s="173">
        <v>1</v>
      </c>
      <c r="D9" s="48"/>
      <c r="F9" s="44">
        <f t="shared" si="0"/>
        <v>1</v>
      </c>
      <c r="G9" s="175"/>
      <c r="H9" s="2"/>
      <c r="I9" s="44" t="s">
        <v>30</v>
      </c>
      <c r="J9" s="153">
        <f>C7*(1.95/100/2)</f>
        <v>390</v>
      </c>
      <c r="K9" s="153">
        <f>F7*(1.95/100/2)</f>
        <v>366.6</v>
      </c>
      <c r="L9" s="118"/>
    </row>
    <row r="10" spans="1:12">
      <c r="A10" s="108" t="s">
        <v>29</v>
      </c>
      <c r="C10" s="173">
        <v>0</v>
      </c>
      <c r="D10" s="26"/>
      <c r="F10" s="44">
        <f t="shared" si="0"/>
        <v>0</v>
      </c>
      <c r="G10" s="174"/>
      <c r="H10" s="2"/>
      <c r="I10" s="24" t="s">
        <v>28</v>
      </c>
      <c r="J10" s="23">
        <f>C27</f>
        <v>600</v>
      </c>
      <c r="K10" s="23">
        <f>F27</f>
        <v>564</v>
      </c>
      <c r="L10" s="118"/>
    </row>
    <row r="11" spans="1:12" ht="15">
      <c r="A11" s="108" t="s">
        <v>27</v>
      </c>
      <c r="C11" s="173">
        <v>0</v>
      </c>
      <c r="D11" s="26"/>
      <c r="F11" s="44">
        <f t="shared" si="0"/>
        <v>0</v>
      </c>
      <c r="G11" s="174"/>
      <c r="H11" s="2"/>
      <c r="I11" s="2"/>
      <c r="J11" s="2"/>
      <c r="K11" s="2"/>
      <c r="L11" s="118"/>
    </row>
    <row r="12" spans="1:12" ht="13.5" thickBot="1">
      <c r="A12" s="108" t="s">
        <v>26</v>
      </c>
      <c r="C12" s="173">
        <v>0</v>
      </c>
      <c r="D12" s="26" t="s">
        <v>25</v>
      </c>
      <c r="F12" s="44">
        <f t="shared" si="0"/>
        <v>0</v>
      </c>
      <c r="G12" s="174" t="s">
        <v>25</v>
      </c>
      <c r="H12" s="2"/>
      <c r="I12" s="17" t="s">
        <v>8</v>
      </c>
      <c r="J12" s="22">
        <f>SUM(J7:J10)</f>
        <v>7830</v>
      </c>
      <c r="K12" s="22">
        <f>SUM(K7:K10)</f>
        <v>7360.2000000000007</v>
      </c>
      <c r="L12" s="118"/>
    </row>
    <row r="13" spans="1:12" ht="15">
      <c r="A13" s="108" t="s">
        <v>24</v>
      </c>
      <c r="C13" s="176">
        <v>15.5</v>
      </c>
      <c r="D13" s="26" t="s">
        <v>23</v>
      </c>
      <c r="F13" s="49">
        <f t="shared" si="0"/>
        <v>15.5</v>
      </c>
      <c r="G13" s="174" t="s">
        <v>23</v>
      </c>
      <c r="H13" s="2"/>
      <c r="I13" s="2"/>
      <c r="J13" s="153"/>
      <c r="K13" s="153"/>
      <c r="L13" s="118"/>
    </row>
    <row r="14" spans="1:12" ht="13.5" thickBot="1">
      <c r="A14" s="108" t="s">
        <v>22</v>
      </c>
      <c r="C14" s="173">
        <v>1</v>
      </c>
      <c r="D14" s="26"/>
      <c r="F14" s="44">
        <f t="shared" si="0"/>
        <v>1</v>
      </c>
      <c r="G14" s="174"/>
      <c r="H14" s="2"/>
      <c r="I14" s="21" t="s">
        <v>21</v>
      </c>
      <c r="J14" s="20"/>
      <c r="K14" s="19">
        <f>J12-K12</f>
        <v>469.79999999999927</v>
      </c>
      <c r="L14" s="118"/>
    </row>
    <row r="15" spans="1:12" ht="13.5" thickTop="1">
      <c r="A15" s="108" t="s">
        <v>20</v>
      </c>
      <c r="C15" s="173">
        <v>0</v>
      </c>
      <c r="D15" s="26"/>
      <c r="F15" s="44">
        <f t="shared" si="0"/>
        <v>0</v>
      </c>
      <c r="G15" s="174"/>
      <c r="H15" s="2"/>
      <c r="I15" s="2"/>
      <c r="J15" s="2"/>
      <c r="K15" s="2"/>
      <c r="L15" s="118"/>
    </row>
    <row r="16" spans="1:12">
      <c r="A16" s="108" t="s">
        <v>19</v>
      </c>
      <c r="C16" s="173">
        <v>0</v>
      </c>
      <c r="D16" s="26"/>
      <c r="F16" s="44">
        <f t="shared" si="0"/>
        <v>0</v>
      </c>
      <c r="G16" s="174"/>
      <c r="H16" s="2"/>
      <c r="I16" s="44" t="s">
        <v>18</v>
      </c>
      <c r="J16" s="2"/>
      <c r="K16" s="2"/>
      <c r="L16" s="118"/>
    </row>
    <row r="17" spans="1:12">
      <c r="A17" s="121"/>
      <c r="B17" s="18"/>
      <c r="C17" s="173"/>
      <c r="D17" s="26"/>
      <c r="F17" s="44"/>
      <c r="G17" s="174"/>
      <c r="H17" s="2"/>
      <c r="I17" s="2" t="s">
        <v>17</v>
      </c>
      <c r="J17" s="2"/>
      <c r="K17" s="2"/>
      <c r="L17" s="118"/>
    </row>
    <row r="18" spans="1:12">
      <c r="A18" s="113" t="s">
        <v>16</v>
      </c>
      <c r="B18" s="16"/>
      <c r="C18" s="177">
        <v>0</v>
      </c>
      <c r="D18" s="26" t="s">
        <v>5</v>
      </c>
      <c r="F18" s="47">
        <f>C18</f>
        <v>0</v>
      </c>
      <c r="G18" s="174" t="s">
        <v>5</v>
      </c>
      <c r="H18" s="2"/>
      <c r="I18" s="44" t="s">
        <v>15</v>
      </c>
      <c r="J18" s="2"/>
      <c r="K18" s="2"/>
      <c r="L18" s="118"/>
    </row>
    <row r="19" spans="1:12" ht="13.5" thickBot="1">
      <c r="A19" s="122" t="s">
        <v>14</v>
      </c>
      <c r="B19" s="16"/>
      <c r="C19" s="178">
        <v>0</v>
      </c>
      <c r="D19" s="179" t="s">
        <v>5</v>
      </c>
      <c r="E19" s="180"/>
      <c r="F19" s="181">
        <f>C19</f>
        <v>0</v>
      </c>
      <c r="G19" s="182" t="s">
        <v>5</v>
      </c>
      <c r="H19" s="2"/>
      <c r="I19" s="44" t="s">
        <v>13</v>
      </c>
      <c r="J19" s="2"/>
      <c r="K19" s="2"/>
      <c r="L19" s="118"/>
    </row>
    <row r="20" spans="1:12">
      <c r="A20" s="123"/>
      <c r="B20" s="15"/>
      <c r="C20" s="44"/>
      <c r="D20" s="26"/>
      <c r="F20" s="44"/>
      <c r="G20" s="8"/>
      <c r="H20" s="2"/>
      <c r="I20" s="44"/>
      <c r="J20" s="2"/>
      <c r="K20" s="2"/>
      <c r="L20" s="118"/>
    </row>
    <row r="21" spans="1:12">
      <c r="A21" s="124" t="s">
        <v>4</v>
      </c>
      <c r="B21" s="13"/>
      <c r="C21" s="51">
        <f>Berechnung!B71/100</f>
        <v>6734</v>
      </c>
      <c r="D21" s="26" t="s">
        <v>5</v>
      </c>
      <c r="F21" s="51">
        <f>Berechnung2!B71/100</f>
        <v>6059</v>
      </c>
      <c r="G21" s="8" t="s">
        <v>5</v>
      </c>
      <c r="H21" s="2"/>
      <c r="I21" s="44"/>
      <c r="J21" s="2"/>
      <c r="K21" s="2"/>
      <c r="L21" s="118"/>
    </row>
    <row r="22" spans="1:12">
      <c r="A22" s="124" t="s">
        <v>12</v>
      </c>
      <c r="B22" s="13"/>
      <c r="C22" s="51">
        <f>Berechnung!B87/100</f>
        <v>370.37</v>
      </c>
      <c r="D22" s="26" t="s">
        <v>5</v>
      </c>
      <c r="F22" s="51">
        <f>Berechnung2!B87/100</f>
        <v>333.24</v>
      </c>
      <c r="G22" s="8" t="s">
        <v>5</v>
      </c>
      <c r="H22" s="2"/>
      <c r="I22" s="154" t="s">
        <v>140</v>
      </c>
      <c r="J22" s="131" t="s">
        <v>158</v>
      </c>
      <c r="K22" s="2"/>
      <c r="L22" s="118"/>
    </row>
    <row r="23" spans="1:12">
      <c r="A23" s="125" t="s">
        <v>11</v>
      </c>
      <c r="B23" s="13"/>
      <c r="C23" s="12">
        <f>ROUNDDOWN(Berechnung!B92*C12/10000,2)</f>
        <v>0</v>
      </c>
      <c r="D23" s="46" t="s">
        <v>5</v>
      </c>
      <c r="F23" s="12">
        <f>ROUNDDOWN(Berechnung2!B92*F12/10000,2)</f>
        <v>0</v>
      </c>
      <c r="G23" s="7" t="s">
        <v>5</v>
      </c>
      <c r="H23" s="2"/>
      <c r="I23" s="154" t="s">
        <v>141</v>
      </c>
      <c r="J23" s="155" t="s">
        <v>142</v>
      </c>
      <c r="K23" s="2"/>
      <c r="L23" s="118"/>
    </row>
    <row r="24" spans="1:12">
      <c r="A24" s="141" t="s">
        <v>10</v>
      </c>
      <c r="B24" s="10"/>
      <c r="C24" s="56">
        <f>IF(C10=0,ROUND(IF(C8=1,IF(C7&gt;IF(OR(C15=1,C16=1),57600,67200),IF(OR(C15=1,C16=1),57600,67200),C7), IF(C8=2,IF(C7&gt;IF(OR(C15=1,C16=1),4800,5600),IF(OR(C15=1,C16=1),4800,5600),C7),IF(C8=3,IF(C7&gt;IF(OR(C15=1,C16=1),1120,1306.66),IF(OR(C15=1,C16=1),1120,1306.66),C7),IF(C7&gt;IF(OR(C15=1,C16=1),160,186.66),IF(OR(C15=1,C16=1),160,186.66),C7))))*0.098,2),0)</f>
        <v>3920</v>
      </c>
      <c r="D24" s="11" t="s">
        <v>5</v>
      </c>
      <c r="E24" s="16"/>
      <c r="F24" s="56">
        <f>IF(F10=0,ROUND(IF(F8=1,IF(F7&gt;IF(OR(F15=1,F16=1),57600,67200),IF(OR(F15=1,F16=1),57600,67200),F7), IF(F8=2,IF(F7&gt;IF(OR(F15=1,F16=1),4800,5600),IF(OR(F15=1,F16=1),4800,5600),F7),IF(F8=3,IF(F7&gt;IF(OR(F15=1,F16=1),1120,1306.66),IF(OR(F15=1,F16=1),1120,1306.66),F7),IF(F7&gt;IF(OR(F15=1,F16=1),160,186.66),IF(OR(F15=1,F16=1),160,186.66),F7))))*0.098,2),0)</f>
        <v>3684.8</v>
      </c>
      <c r="G24" s="11" t="s">
        <v>5</v>
      </c>
      <c r="H24" s="2"/>
      <c r="I24" s="111">
        <v>67200</v>
      </c>
      <c r="J24" s="134">
        <f>I24/12</f>
        <v>5600</v>
      </c>
      <c r="K24" s="2"/>
      <c r="L24" s="118"/>
    </row>
    <row r="25" spans="1:12">
      <c r="A25" s="142" t="str">
        <f>IF(C13=0,"Privat Krankenversichert ohne Nachweis",IF(C13&gt;20,"Basisprämie KV, AG-Anteil abgezogen","8,2% Krankenversicherungsbeitrag"))</f>
        <v>8,2% Krankenversicherungsbeitrag</v>
      </c>
      <c r="B25" s="10"/>
      <c r="C25" s="56">
        <f>IF(C13&gt;20,C13,IF(C10=0,ROUND(IF(C8=1,IF(C7&gt;45900,45900,C7),IF(C8=2,IF(C7&gt;3825.5,3825,C7),IF(C8=3,IF(C7&gt;892.5,892.5,C7),IF(C7&gt;127.5,127.5,C7))))*IF(C13=0,0,((C13-0.9)/200+0.009)),2),0))</f>
        <v>3280</v>
      </c>
      <c r="D25" s="9" t="s">
        <v>5</v>
      </c>
      <c r="E25" s="16"/>
      <c r="F25" s="56">
        <f>IF(F13&gt;20,F13,IF(F10=0,ROUND(IF(F8=1,IF(F7&gt;45900,45900,F7),IF(F8=2,IF(F7&gt;3825.5,3825,F7),IF(F8=3,IF(F7&gt;892.5,892.5,F7),IF(F7&gt;127.5,127.5,F7))))*IF(F13=0,0,((F13-0.9)/200+0.009)),2),0))</f>
        <v>3083.2</v>
      </c>
      <c r="G25" s="9" t="s">
        <v>5</v>
      </c>
      <c r="H25" s="2"/>
      <c r="I25" s="111">
        <v>45900</v>
      </c>
      <c r="J25" s="134">
        <f>I25/12</f>
        <v>3825</v>
      </c>
      <c r="K25" s="2"/>
      <c r="L25" s="118"/>
    </row>
    <row r="26" spans="1:12">
      <c r="A26" s="142" t="str">
        <f>IF(C16=1,1.475,0.975) + IF(C14=1,0.25,0) &amp; "% Pflegeversicherung"</f>
        <v>1,225% Pflegeversicherung</v>
      </c>
      <c r="B26" s="10"/>
      <c r="C26" s="56">
        <f>IF(C13=0,0,IF(C10=0,IF(C8=1,IF(C7&gt;45900,45900,C7),IF(C8=2,IF(C7&gt;3825,3825,C7),IF(C8=3,IF(C7&gt;892.5,892.5,C7),IF(C7&gt;127.5,127.5,C7)))),0))*(IF(C16=0,0.00975,0.01475)+IF(AND(C14=1,C11=0),0.0025,0))</f>
        <v>490</v>
      </c>
      <c r="D26" s="9" t="s">
        <v>5</v>
      </c>
      <c r="E26" s="16"/>
      <c r="F26" s="56">
        <f>IF(F13=0,0,IF(F10=0,IF(F8=1,IF(F7&gt;45900,45900,F7),IF(F8=2,IF(F7&gt;3825,3825,F7),IF(F8=3,IF(F7&gt;892.5,892.5,F7),IF(F7&gt;127.5,127.5,F7)))),0))*(IF(F16=0,0.00975,0.01475)+IF(AND(F14=1,F11=0),0.0025,0))</f>
        <v>460.6</v>
      </c>
      <c r="G26" s="9" t="s">
        <v>5</v>
      </c>
      <c r="H26" s="2"/>
      <c r="I26" s="134">
        <f>I25</f>
        <v>45900</v>
      </c>
      <c r="J26" s="134">
        <f>I26/12</f>
        <v>3825</v>
      </c>
      <c r="K26" s="2"/>
      <c r="L26" s="118"/>
    </row>
    <row r="27" spans="1:12">
      <c r="A27" s="142" t="s">
        <v>9</v>
      </c>
      <c r="B27" s="10"/>
      <c r="C27" s="56">
        <f>IF(C10=0,ROUND(IF(C8=1,IF(C7&gt;IF(OR(C15=1,C16=1),57600,67200),IF(OR(C15=1,C16=1),57600,67200),C7), IF(C8=2,IF(C7&gt;IF(OR(C15=1,C16=1),4800,5600),IF(OR(C15=1,C16=1),4800,5600),C7),IF(C8=3,IF(C7&gt;IF(OR(C15=1,C16=1),1120,1306.66),IF(OR(C15=1,C16=1),1120,1306.66),C7),IF(C7&gt;IF(OR(C15=1,C16=1),160,186.66),IF(OR(C15=1,C16=1),160,186.66),C7))))*0.015,2),0)</f>
        <v>600</v>
      </c>
      <c r="D27" s="9" t="s">
        <v>5</v>
      </c>
      <c r="E27" s="16"/>
      <c r="F27" s="56">
        <f>IF(F10=0,ROUND(IF(F8=1,IF(F7&gt;IF(OR(F15=1,F16=1),57600,67200),IF(OR(F15=1,F16=1),57600,67200),F7), IF(F8=2,IF(F7&gt;IF(OR(F15=1,F16=1),4800,5600),IF(OR(F15=1,F16=1),4800,5600),F7),IF(F8=3,IF(F7&gt;IF(OR(F15=1,F16=1),1120,1306.66),IF(OR(F15=1,F16=1),1120,1306.66),F7),IF(F7&gt;IF(OR(F15=1,F16=1),160,186.66),IF(OR(F15=1,F16=1),160,186.66),F7))))*0.015,2),0)</f>
        <v>564</v>
      </c>
      <c r="G27" s="9" t="s">
        <v>5</v>
      </c>
      <c r="H27" s="2"/>
      <c r="I27" s="134">
        <f>I24</f>
        <v>67200</v>
      </c>
      <c r="J27" s="134">
        <f>I27/12</f>
        <v>5600</v>
      </c>
      <c r="K27" s="2"/>
      <c r="L27" s="118"/>
    </row>
    <row r="28" spans="1:12">
      <c r="A28" s="108"/>
      <c r="C28" s="44"/>
      <c r="D28" s="26"/>
      <c r="E28" s="16"/>
      <c r="F28" s="47"/>
      <c r="G28" s="8"/>
      <c r="H28" s="2"/>
      <c r="I28" s="2"/>
      <c r="J28" s="2"/>
      <c r="K28" s="2"/>
      <c r="L28" s="118"/>
    </row>
    <row r="29" spans="1:12">
      <c r="A29" s="143" t="s">
        <v>8</v>
      </c>
      <c r="C29" s="57">
        <f>SUM(C21:C28)</f>
        <v>15394.369999999999</v>
      </c>
      <c r="D29" s="58" t="s">
        <v>5</v>
      </c>
      <c r="E29" s="52"/>
      <c r="F29" s="57">
        <f>SUM(F21:F27)</f>
        <v>14184.840000000002</v>
      </c>
      <c r="G29" s="7" t="s">
        <v>5</v>
      </c>
      <c r="H29" s="2"/>
      <c r="I29" s="26" t="s">
        <v>168</v>
      </c>
      <c r="J29" s="2"/>
      <c r="K29" s="44" t="s">
        <v>157</v>
      </c>
      <c r="L29" s="118"/>
    </row>
    <row r="30" spans="1:12" ht="13.5" thickBot="1">
      <c r="A30" s="144" t="s">
        <v>7</v>
      </c>
      <c r="B30" s="6"/>
      <c r="C30" s="59">
        <f>C7-C29</f>
        <v>24605.63</v>
      </c>
      <c r="D30" s="60" t="s">
        <v>5</v>
      </c>
      <c r="E30" s="52"/>
      <c r="F30" s="61">
        <f>F7-F29</f>
        <v>23415.159999999996</v>
      </c>
      <c r="G30" s="5" t="s">
        <v>5</v>
      </c>
      <c r="H30" s="2"/>
      <c r="I30" s="200">
        <f>IFERROR(F88,"0")</f>
        <v>0.49517708333333149</v>
      </c>
      <c r="J30" s="2"/>
      <c r="K30" s="200">
        <f>IFERROR(1-(C30-F30)/F5,"0")</f>
        <v>0.50397083333333126</v>
      </c>
      <c r="L30" s="118"/>
    </row>
    <row r="31" spans="1:12" ht="13.5" thickBot="1">
      <c r="A31" s="145"/>
      <c r="B31" s="146"/>
      <c r="C31" s="17"/>
      <c r="D31" s="17"/>
      <c r="E31" s="17"/>
      <c r="F31" s="17"/>
      <c r="G31" s="147"/>
      <c r="H31" s="147"/>
      <c r="I31" s="17"/>
      <c r="J31" s="147"/>
      <c r="K31" s="156"/>
      <c r="L31" s="148"/>
    </row>
    <row r="32" spans="1:12" ht="13.5" thickBot="1"/>
    <row r="33" spans="1:11">
      <c r="A33" s="91" t="s">
        <v>132</v>
      </c>
      <c r="B33" s="92"/>
      <c r="C33" s="92" t="s">
        <v>37</v>
      </c>
      <c r="D33" s="92"/>
      <c r="E33" s="92"/>
      <c r="F33" s="93" t="s">
        <v>36</v>
      </c>
    </row>
    <row r="34" spans="1:11">
      <c r="A34" s="80"/>
      <c r="C34" s="90"/>
      <c r="D34" s="44"/>
      <c r="F34" s="63"/>
      <c r="I34" s="203"/>
      <c r="K34" s="199"/>
    </row>
    <row r="35" spans="1:11">
      <c r="A35" s="89" t="s">
        <v>133</v>
      </c>
      <c r="C35" s="95">
        <f>IF(C8=1,C7,C7*12)</f>
        <v>40000</v>
      </c>
      <c r="D35" s="44"/>
      <c r="F35" s="100">
        <f>IF(F8=1,F7,F7*12)</f>
        <v>37600</v>
      </c>
      <c r="I35" s="199"/>
    </row>
    <row r="36" spans="1:11">
      <c r="A36" s="80"/>
      <c r="C36" s="88"/>
      <c r="D36" s="44"/>
      <c r="F36" s="63"/>
    </row>
    <row r="37" spans="1:11">
      <c r="A37" s="67" t="s">
        <v>105</v>
      </c>
      <c r="C37" s="79"/>
      <c r="D37" s="44"/>
      <c r="F37" s="63"/>
      <c r="H37" s="205" t="s">
        <v>166</v>
      </c>
    </row>
    <row r="38" spans="1:11">
      <c r="A38" s="65" t="s">
        <v>3</v>
      </c>
      <c r="C38" s="111">
        <v>1000</v>
      </c>
      <c r="D38" s="44"/>
      <c r="F38" s="97">
        <f>C38</f>
        <v>1000</v>
      </c>
      <c r="H38" s="4" t="s">
        <v>167</v>
      </c>
    </row>
    <row r="39" spans="1:11">
      <c r="A39" s="80"/>
      <c r="C39" s="79"/>
      <c r="D39" s="44"/>
      <c r="F39" s="63"/>
    </row>
    <row r="40" spans="1:11" ht="13.5" thickBot="1">
      <c r="A40" s="77" t="s">
        <v>1</v>
      </c>
      <c r="C40" s="66">
        <f>C35-C38</f>
        <v>39000</v>
      </c>
      <c r="D40" s="44"/>
      <c r="F40" s="101">
        <f>F35-F38</f>
        <v>36600</v>
      </c>
    </row>
    <row r="41" spans="1:11" ht="13.5" thickTop="1">
      <c r="A41" s="80"/>
      <c r="C41" s="79"/>
      <c r="D41" s="44"/>
      <c r="F41" s="63"/>
    </row>
    <row r="42" spans="1:11">
      <c r="A42" s="67" t="s">
        <v>106</v>
      </c>
      <c r="C42" s="79"/>
      <c r="D42" s="44"/>
      <c r="F42" s="63"/>
      <c r="H42" s="204" t="s">
        <v>165</v>
      </c>
    </row>
    <row r="43" spans="1:11">
      <c r="A43" s="83" t="s">
        <v>107</v>
      </c>
      <c r="C43" s="79"/>
      <c r="D43" s="44"/>
      <c r="F43" s="63"/>
    </row>
    <row r="44" spans="1:11">
      <c r="A44" s="87" t="s">
        <v>108</v>
      </c>
      <c r="C44" s="79">
        <f>C46*2</f>
        <v>7840</v>
      </c>
      <c r="D44" s="44"/>
      <c r="F44" s="102">
        <f>F46*2</f>
        <v>7370</v>
      </c>
    </row>
    <row r="45" spans="1:11">
      <c r="A45" s="85" t="s">
        <v>109</v>
      </c>
      <c r="C45" s="79">
        <f>ROUNDUP(C44*0.74,0)</f>
        <v>5802</v>
      </c>
      <c r="D45" s="44"/>
      <c r="F45" s="102">
        <f>ROUNDUP(F44*0.74,0)</f>
        <v>5454</v>
      </c>
    </row>
    <row r="46" spans="1:11">
      <c r="A46" s="85" t="s">
        <v>110</v>
      </c>
      <c r="C46" s="79">
        <f>IF(C35&lt;67200,ROUNDUP((C35*0.196/2),0),ROUNDUP((67200*0.196/2),0))</f>
        <v>3920</v>
      </c>
      <c r="D46" s="44"/>
      <c r="F46" s="102">
        <f>IF(F35&lt;67200,ROUNDUP((F35*0.196/2),0),ROUNDUP((67200*0.196/2),0))</f>
        <v>3685</v>
      </c>
    </row>
    <row r="47" spans="1:11">
      <c r="A47" s="87" t="s">
        <v>111</v>
      </c>
      <c r="C47" s="84">
        <f>INT(C45-C46)</f>
        <v>1882</v>
      </c>
      <c r="D47" s="44"/>
      <c r="F47" s="103">
        <f>INT(F45-F46)</f>
        <v>1769</v>
      </c>
    </row>
    <row r="48" spans="1:11">
      <c r="A48" s="87"/>
      <c r="C48" s="84"/>
      <c r="D48" s="44"/>
      <c r="F48" s="63"/>
    </row>
    <row r="49" spans="1:6">
      <c r="A49" s="83" t="s">
        <v>112</v>
      </c>
      <c r="C49" s="84"/>
      <c r="D49" s="44"/>
      <c r="F49" s="63"/>
    </row>
    <row r="50" spans="1:6">
      <c r="A50" s="85" t="s">
        <v>113</v>
      </c>
      <c r="C50" s="111">
        <f>C25+0</f>
        <v>3280</v>
      </c>
      <c r="D50" s="44"/>
      <c r="F50" s="97">
        <f>F25+0</f>
        <v>3083.2</v>
      </c>
    </row>
    <row r="51" spans="1:6">
      <c r="A51" s="86" t="s">
        <v>114</v>
      </c>
      <c r="C51" s="79">
        <v>1900</v>
      </c>
      <c r="D51" s="44"/>
      <c r="F51" s="97">
        <f>C51</f>
        <v>1900</v>
      </c>
    </row>
    <row r="52" spans="1:6">
      <c r="A52" s="104" t="s">
        <v>115</v>
      </c>
      <c r="C52" s="79"/>
      <c r="D52" s="44"/>
      <c r="F52" s="63"/>
    </row>
    <row r="53" spans="1:6">
      <c r="A53" s="86" t="s">
        <v>116</v>
      </c>
      <c r="C53" s="79">
        <f>C25*0.96</f>
        <v>3148.7999999999997</v>
      </c>
      <c r="D53" s="44"/>
      <c r="F53" s="102">
        <f>F25*0.96</f>
        <v>2959.8719999999998</v>
      </c>
    </row>
    <row r="54" spans="1:6">
      <c r="A54" s="86" t="s">
        <v>117</v>
      </c>
      <c r="C54" s="79">
        <f>C26</f>
        <v>490</v>
      </c>
      <c r="D54" s="44"/>
      <c r="F54" s="102">
        <f>F26</f>
        <v>460.6</v>
      </c>
    </row>
    <row r="55" spans="1:6">
      <c r="A55" s="85" t="s">
        <v>118</v>
      </c>
      <c r="C55" s="84">
        <f>IF((C53+C54)&lt;C51,IF(C50&lt;C51,C50,C51),(C53+C54))</f>
        <v>3638.7999999999997</v>
      </c>
      <c r="D55" s="44"/>
      <c r="F55" s="103">
        <f>IF((F53+F54)&lt;F51,IF(F50&lt;F51,F50,F51),(F53+F54))</f>
        <v>3420.4719999999998</v>
      </c>
    </row>
    <row r="56" spans="1:6">
      <c r="A56" s="62"/>
      <c r="C56" s="82"/>
      <c r="D56" s="44"/>
      <c r="F56" s="63"/>
    </row>
    <row r="57" spans="1:6">
      <c r="A57" s="83" t="s">
        <v>119</v>
      </c>
      <c r="C57" s="82"/>
      <c r="D57" s="44"/>
      <c r="F57" s="63"/>
    </row>
    <row r="58" spans="1:6">
      <c r="A58" s="85" t="s">
        <v>120</v>
      </c>
      <c r="C58" s="64">
        <f>C23</f>
        <v>0</v>
      </c>
      <c r="D58" s="44"/>
      <c r="F58" s="105">
        <f>F23</f>
        <v>0</v>
      </c>
    </row>
    <row r="59" spans="1:6">
      <c r="A59" s="85" t="s">
        <v>121</v>
      </c>
      <c r="C59" s="111">
        <v>0</v>
      </c>
      <c r="D59" s="44"/>
      <c r="F59" s="97">
        <f>C59</f>
        <v>0</v>
      </c>
    </row>
    <row r="60" spans="1:6">
      <c r="A60" s="83" t="s">
        <v>134</v>
      </c>
      <c r="C60" s="84">
        <f>IF(SUM(C58:C59)&lt;36,36,SUM(C58:C59))</f>
        <v>36</v>
      </c>
      <c r="D60" s="44"/>
      <c r="F60" s="103">
        <f>IF(SUM(F58:F59)&lt;36,36,SUM(F58:F59))</f>
        <v>36</v>
      </c>
    </row>
    <row r="61" spans="1:6">
      <c r="A61" s="83"/>
      <c r="C61" s="82"/>
      <c r="D61" s="44"/>
      <c r="F61" s="63"/>
    </row>
    <row r="62" spans="1:6">
      <c r="A62" s="83" t="s">
        <v>122</v>
      </c>
      <c r="C62" s="111">
        <v>2100</v>
      </c>
      <c r="D62" s="44"/>
      <c r="F62" s="97">
        <f>C62</f>
        <v>2100</v>
      </c>
    </row>
    <row r="63" spans="1:6">
      <c r="A63" s="80"/>
      <c r="C63" s="82"/>
      <c r="D63" s="44"/>
      <c r="F63" s="63"/>
    </row>
    <row r="64" spans="1:6">
      <c r="A64" s="62" t="s">
        <v>123</v>
      </c>
      <c r="C64" s="82">
        <f>C62+C55+C47</f>
        <v>7620.7999999999993</v>
      </c>
      <c r="D64" s="44"/>
      <c r="F64" s="112">
        <f>F62+F55+F47</f>
        <v>7289.4719999999998</v>
      </c>
    </row>
    <row r="65" spans="1:14">
      <c r="A65" s="81"/>
      <c r="C65" s="79"/>
      <c r="D65" s="44"/>
      <c r="F65" s="63"/>
    </row>
    <row r="66" spans="1:14" ht="13.5" thickBot="1">
      <c r="A66" s="77" t="s">
        <v>2</v>
      </c>
      <c r="C66" s="66">
        <f>C40-C64</f>
        <v>31379.200000000001</v>
      </c>
      <c r="D66" s="44"/>
      <c r="F66" s="101">
        <f>F40-F64</f>
        <v>29310.527999999998</v>
      </c>
    </row>
    <row r="67" spans="1:14" ht="13.5" thickTop="1">
      <c r="A67" s="80"/>
      <c r="C67" s="79"/>
      <c r="D67" s="44"/>
      <c r="F67" s="63"/>
    </row>
    <row r="68" spans="1:14">
      <c r="A68" s="67" t="s">
        <v>0</v>
      </c>
      <c r="C68" s="79"/>
      <c r="D68" s="44"/>
      <c r="F68" s="63"/>
      <c r="H68" s="126" t="s">
        <v>143</v>
      </c>
    </row>
    <row r="69" spans="1:14">
      <c r="A69" s="65" t="s">
        <v>124</v>
      </c>
      <c r="C69" s="78">
        <f>IF(AND(C66&gt;8004,C66&lt;13470),INT((912.17*(C66-8004)/10000+1400)*(C66-8004)/10000),IF(AND(C66&gt;13469,C66&lt;52882),INT((228.74*(C66-13469)/10000+2397)*(C66-13469)/10000+1038),IF(AND(C66&gt;52881,C66&lt;250731),INT(C66*0.42-8172),IF(C66&gt;250730,INT(C66*0.45-15694),0))))</f>
        <v>6064</v>
      </c>
      <c r="D69" s="44"/>
      <c r="F69" s="107">
        <f>IF(AND(F66&gt;8004,F66&lt;13470),INT((912.17*(F66-8004)/10000+1400)*(F66-8004)/10000),IF(AND(F66&gt;13469,F66&lt;52882),INT((228.74*(F66-13469)/10000+2397)*(F66-13469)/10000+1038),IF(AND(F66&gt;52881,F66&lt;250731),INT(F66*0.42-8172),IF(F66&gt;250730,INT(F66*0.45-15694),0))))</f>
        <v>5409</v>
      </c>
      <c r="H69" s="189">
        <f>IF(AND(C66/2&gt;8004,C66/2&lt;13470),INT((912.17*(INT(C66/2)-8004)/10000+1400)*(INT(C66/2)-8004)/10000),IF(AND(C66/2&gt;13469,C66/2&lt;52882),INT((228.74*(INT(C66/2)-13469)/10000+2397)*(INT(C66/2)-13469)/10000+1038),IF(AND(C66/2&gt;52881,C66/2&lt;250731),INT(INT(C66/2)*0.42-8172),IF(C66/2&gt;250730,INT(INT(C66/2)*0.45-15694),0))))*2</f>
        <v>3162</v>
      </c>
    </row>
    <row r="70" spans="1:14">
      <c r="A70" s="65" t="s">
        <v>125</v>
      </c>
      <c r="C70" s="111">
        <v>154</v>
      </c>
      <c r="D70" s="44"/>
      <c r="F70" s="107">
        <f>C70</f>
        <v>154</v>
      </c>
    </row>
    <row r="71" spans="1:14">
      <c r="A71" s="65"/>
      <c r="C71" s="44"/>
      <c r="D71" s="44"/>
      <c r="F71" s="107"/>
    </row>
    <row r="72" spans="1:14">
      <c r="A72" s="98" t="s">
        <v>126</v>
      </c>
      <c r="C72" s="75">
        <f>C69+C70</f>
        <v>6218</v>
      </c>
      <c r="D72" s="44"/>
      <c r="F72" s="106">
        <f>F69+F70</f>
        <v>5563</v>
      </c>
    </row>
    <row r="73" spans="1:14">
      <c r="A73" s="99" t="s">
        <v>127</v>
      </c>
      <c r="C73" s="75">
        <f>C72*0.055</f>
        <v>341.99</v>
      </c>
      <c r="D73" s="184"/>
      <c r="E73" s="184"/>
      <c r="F73" s="106">
        <f>F72*0.055</f>
        <v>305.96499999999997</v>
      </c>
      <c r="G73" s="4"/>
    </row>
    <row r="74" spans="1:14">
      <c r="A74" s="99" t="s">
        <v>135</v>
      </c>
      <c r="C74" s="75">
        <f>C72*C12/100</f>
        <v>0</v>
      </c>
      <c r="D74" s="184"/>
      <c r="E74" s="184"/>
      <c r="F74" s="106">
        <f>F72*F12/100</f>
        <v>0</v>
      </c>
    </row>
    <row r="75" spans="1:14">
      <c r="A75" s="108"/>
      <c r="B75" s="2"/>
      <c r="C75" s="2"/>
      <c r="D75" s="44"/>
      <c r="F75" s="76"/>
      <c r="L75" s="130"/>
      <c r="M75" s="130"/>
      <c r="N75" s="130"/>
    </row>
    <row r="76" spans="1:14">
      <c r="A76" s="74" t="s">
        <v>128</v>
      </c>
      <c r="C76" s="72"/>
      <c r="D76" s="44"/>
      <c r="F76" s="63"/>
      <c r="H76" s="4" t="s">
        <v>159</v>
      </c>
      <c r="L76" s="137"/>
      <c r="M76" s="137"/>
      <c r="N76" s="137"/>
    </row>
    <row r="77" spans="1:14">
      <c r="A77" s="73" t="s">
        <v>129</v>
      </c>
      <c r="C77" s="134">
        <f>C21+C22+C23</f>
        <v>7104.37</v>
      </c>
      <c r="D77" s="184"/>
      <c r="E77" s="184"/>
      <c r="F77" s="102">
        <f>F21+F22+F23</f>
        <v>6392.24</v>
      </c>
      <c r="H77" s="201">
        <f>C72/$C$66</f>
        <v>0.19815674077095655</v>
      </c>
      <c r="I77" s="201">
        <f>F72/$F$66</f>
        <v>0.18979528447935159</v>
      </c>
      <c r="L77" s="137"/>
      <c r="M77" s="137"/>
      <c r="N77" s="137"/>
    </row>
    <row r="78" spans="1:14">
      <c r="A78" s="73" t="s">
        <v>130</v>
      </c>
      <c r="C78" s="134">
        <f>C72+C73+C74</f>
        <v>6559.99</v>
      </c>
      <c r="D78" s="184"/>
      <c r="E78" s="184"/>
      <c r="F78" s="102">
        <f>F72+F73+F74</f>
        <v>5868.9650000000001</v>
      </c>
      <c r="L78" s="137"/>
      <c r="M78" s="137"/>
      <c r="N78" s="137"/>
    </row>
    <row r="79" spans="1:14">
      <c r="A79" s="73" t="s">
        <v>139</v>
      </c>
      <c r="C79" s="75">
        <f>C78-C77</f>
        <v>-544.38000000000011</v>
      </c>
      <c r="D79" s="185"/>
      <c r="E79" s="185"/>
      <c r="F79" s="106">
        <f>F78-F77</f>
        <v>-523.27499999999964</v>
      </c>
      <c r="H79" s="4" t="s">
        <v>160</v>
      </c>
      <c r="L79" s="137"/>
      <c r="M79" s="137"/>
      <c r="N79" s="137"/>
    </row>
    <row r="80" spans="1:14">
      <c r="A80" s="73"/>
      <c r="C80" s="134"/>
      <c r="D80" s="184"/>
      <c r="E80" s="184"/>
      <c r="F80" s="97"/>
      <c r="H80" s="201">
        <f>(C83+C70)/C62</f>
        <v>0.32666666666666666</v>
      </c>
      <c r="I80" s="201">
        <f>(F83+F70)/F62</f>
        <v>0.31666666666666665</v>
      </c>
      <c r="L80" s="137"/>
      <c r="M80" s="137"/>
      <c r="N80" s="137"/>
    </row>
    <row r="81" spans="1:14" ht="18.75" thickBot="1">
      <c r="A81" s="190" t="s">
        <v>138</v>
      </c>
      <c r="B81" s="191"/>
      <c r="C81" s="192">
        <f>C30-C79</f>
        <v>25150.010000000002</v>
      </c>
      <c r="D81" s="193"/>
      <c r="E81" s="193"/>
      <c r="F81" s="194">
        <f>F30-F79</f>
        <v>23938.434999999998</v>
      </c>
      <c r="L81" s="137"/>
      <c r="M81" s="137"/>
      <c r="N81" s="137"/>
    </row>
    <row r="82" spans="1:14" ht="13.5" thickTop="1">
      <c r="A82" s="73"/>
      <c r="C82" s="72"/>
      <c r="D82" s="44"/>
      <c r="F82" s="63"/>
      <c r="L82" s="137"/>
      <c r="M82" s="137"/>
      <c r="N82" s="137"/>
    </row>
    <row r="83" spans="1:14">
      <c r="A83" s="71" t="s">
        <v>131</v>
      </c>
      <c r="C83" s="195">
        <f>IF(AND((C62+C66)&gt;8004,(C62+C66)&lt;13470),INT((912.17*((C62+C66)-8004)/10000+1400)*((C62+C66)-8004)/10000),IF(AND((C62+C66)&gt;13469,(C62+C66)&lt;52882),INT((228.74*((C62+C66)-13469)/10000+2397)*((C62+C66)-13469)/10000+1038),IF(AND((C62+C66)&gt;52881,(C62+C66)&lt;250731),INT((C62+C66)*0.42-8172),IF((C62+C66)&gt;250730,INT((C62+C66)*0.45-15694),0))))-C69-C70</f>
        <v>532</v>
      </c>
      <c r="D83" s="44"/>
      <c r="F83" s="196">
        <f>IF(AND((F62+F66)&gt;8004,(F62+F66)&lt;13470),INT((912.17*((F62+F66)-8004)/10000+1400)*((F62+F66)-8004)/10000),IF(AND((F62+F66)&gt;13469,(F62+F66)&lt;52882),INT((228.74*((F62+F66)-13469)/10000+2397)*((F62+F66)-13469)/10000+1038),IF(AND((F62+F66)&gt;52881,(F62+F66)&lt;250731),INT((F62+F66)*0.42-8172),IF((F62+F66)&gt;250730,INT((F62+F66)*0.45-15694),0))))-F69-F70</f>
        <v>511</v>
      </c>
      <c r="I83" s="139"/>
      <c r="J83" s="139" t="s">
        <v>163</v>
      </c>
      <c r="K83" s="136"/>
      <c r="L83" s="137"/>
      <c r="M83" s="139" t="s">
        <v>164</v>
      </c>
      <c r="N83" s="136"/>
    </row>
    <row r="84" spans="1:14">
      <c r="A84" s="71" t="s">
        <v>136</v>
      </c>
      <c r="C84" s="197">
        <f>J97</f>
        <v>0.34060000000000012</v>
      </c>
      <c r="D84" s="187"/>
      <c r="E84" s="187"/>
      <c r="F84" s="198">
        <f>(F83*(1.055+F12/100)+F70)/F62</f>
        <v>0.33005000000000001</v>
      </c>
      <c r="I84" s="135"/>
      <c r="J84" s="137" t="s">
        <v>144</v>
      </c>
      <c r="K84" s="137" t="s">
        <v>145</v>
      </c>
      <c r="L84" s="137"/>
      <c r="M84" s="137" t="s">
        <v>144</v>
      </c>
      <c r="N84" s="137" t="s">
        <v>145</v>
      </c>
    </row>
    <row r="85" spans="1:14">
      <c r="A85" s="71"/>
      <c r="C85" s="94"/>
      <c r="D85" s="44"/>
      <c r="F85" s="109"/>
      <c r="I85" s="132" t="s">
        <v>146</v>
      </c>
      <c r="J85" s="129">
        <f>C62+C66</f>
        <v>33479.199999999997</v>
      </c>
      <c r="K85" s="137">
        <f>J85</f>
        <v>33479.199999999997</v>
      </c>
      <c r="L85" s="137"/>
      <c r="M85" s="129">
        <f>F62+F66</f>
        <v>31410.527999999998</v>
      </c>
      <c r="N85" s="137">
        <f>M85</f>
        <v>31410.527999999998</v>
      </c>
    </row>
    <row r="86" spans="1:14">
      <c r="A86" s="110" t="s">
        <v>6</v>
      </c>
      <c r="C86" s="94"/>
      <c r="D86" s="44"/>
      <c r="F86" s="106">
        <f>C81-F81</f>
        <v>1211.5750000000044</v>
      </c>
      <c r="I86" s="132" t="s">
        <v>147</v>
      </c>
      <c r="J86" s="137">
        <f>C62</f>
        <v>2100</v>
      </c>
      <c r="K86" s="137"/>
      <c r="L86" s="137"/>
      <c r="M86" s="137">
        <f>F62</f>
        <v>2100</v>
      </c>
      <c r="N86" s="137"/>
    </row>
    <row r="87" spans="1:14">
      <c r="A87" s="110" t="s">
        <v>103</v>
      </c>
      <c r="C87" s="94"/>
      <c r="D87" s="44"/>
      <c r="F87" s="106">
        <f>IF(F8=1,F5,F7*12)-F86</f>
        <v>1188.4249999999956</v>
      </c>
      <c r="I87" s="133" t="s">
        <v>148</v>
      </c>
      <c r="J87" s="138">
        <f>J85-J86</f>
        <v>31379.199999999997</v>
      </c>
      <c r="K87" s="138">
        <f>K85-K86</f>
        <v>33479.199999999997</v>
      </c>
      <c r="L87" s="130"/>
      <c r="M87" s="138">
        <f>M85-M86</f>
        <v>29310.527999999998</v>
      </c>
      <c r="N87" s="138">
        <f>N85-N86</f>
        <v>31410.527999999998</v>
      </c>
    </row>
    <row r="88" spans="1:14">
      <c r="A88" s="71" t="s">
        <v>137</v>
      </c>
      <c r="C88" s="94"/>
      <c r="D88" s="44"/>
      <c r="F88" s="188">
        <f>F87/IF(F8=1,F5,F7*12)</f>
        <v>0.49517708333333149</v>
      </c>
      <c r="I88" s="132"/>
      <c r="J88" s="137"/>
      <c r="K88" s="137"/>
      <c r="L88" s="130"/>
      <c r="N88" s="137"/>
    </row>
    <row r="89" spans="1:14" ht="13.5" thickBot="1">
      <c r="A89" s="70"/>
      <c r="B89" s="69"/>
      <c r="C89" s="69"/>
      <c r="D89" s="69"/>
      <c r="E89" s="69"/>
      <c r="F89" s="68"/>
      <c r="I89" s="132" t="s">
        <v>124</v>
      </c>
      <c r="J89" s="137">
        <f>IF(AND(J87&gt;8004,J87&lt;13470),INT((912.17*(J87-8004)/10000+1400)*(J87-8004)/10000),IF(AND(J87&gt;13469,J87&lt;52882),INT((228.74*(J87-13469)/10000+2397)*(J87-13469)/10000+1038),IF(AND(J87&gt;52881,J87&lt;250731),INT(J87*0.42-8172),IF(J87&gt;250730,INT(J87*0.45-15694),0))))</f>
        <v>6064</v>
      </c>
      <c r="K89" s="137">
        <f>IF(AND(K87&gt;8004,K87&lt;13470),INT((912.17*(K87-8004)/10000+1400)*(K87-8004)/10000),IF(AND(K87&gt;13469,K87&lt;52882),INT((228.74*(K87-13469)/10000+2397)*(K87-13469)/10000+1038),IF(AND(K87&gt;52881,K87&lt;250731),INT(K87*0.42-8172),IF(K87&gt;250730,INT(K87*0.45-15694),0))))</f>
        <v>6750</v>
      </c>
      <c r="L89" s="137"/>
      <c r="M89" s="137">
        <f>IF(AND(M87&gt;8004,M87&lt;13470),INT((912.17*(M87-8004)/10000+1400)*(M87-8004)/10000),IF(AND(M87&gt;13469,M87&lt;52882),INT((228.74*(M87-13469)/10000+2397)*(M87-13469)/10000+1038),IF(AND(M87&gt;52881,M87&lt;250731),INT(M87*0.42-8172),IF(M87&gt;250730,INT(M87*0.45-15694),0))))</f>
        <v>5409</v>
      </c>
      <c r="N89" s="137">
        <f>IF(AND(N87&gt;8004,N87&lt;13470),INT((912.17*(N87-8004)/10000+1400)*(N87-8004)/10000),IF(AND(N87&gt;13469,N87&lt;52882),INT((228.74*(N87-13469)/10000+2397)*(N87-13469)/10000+1038),IF(AND(N87&gt;52881,N87&lt;250731),INT(N87*0.42-8172),IF(N87&gt;250730,INT(N87*0.45-15694),0))))</f>
        <v>6074</v>
      </c>
    </row>
    <row r="90" spans="1:14">
      <c r="I90" s="132" t="s">
        <v>149</v>
      </c>
      <c r="J90" s="129">
        <f>C70</f>
        <v>154</v>
      </c>
      <c r="K90" s="140"/>
      <c r="L90" s="137"/>
      <c r="M90" s="129">
        <f>F70</f>
        <v>154</v>
      </c>
      <c r="N90" s="140"/>
    </row>
    <row r="91" spans="1:14">
      <c r="C91" s="3"/>
      <c r="I91" s="132" t="s">
        <v>150</v>
      </c>
      <c r="J91" s="137">
        <f>J90+J89</f>
        <v>6218</v>
      </c>
      <c r="K91" s="137">
        <f>K90+K89</f>
        <v>6750</v>
      </c>
      <c r="M91" s="137">
        <f>M90+M89</f>
        <v>5563</v>
      </c>
      <c r="N91" s="137">
        <f>N90+N89</f>
        <v>6074</v>
      </c>
    </row>
    <row r="92" spans="1:14">
      <c r="I92" s="132" t="s">
        <v>151</v>
      </c>
      <c r="J92" s="137">
        <f>J91*0.055</f>
        <v>341.99</v>
      </c>
      <c r="K92" s="137">
        <f>K91*0.055</f>
        <v>371.25</v>
      </c>
      <c r="M92" s="137">
        <f>M91*0.055</f>
        <v>305.96499999999997</v>
      </c>
      <c r="N92" s="137">
        <f>N91*0.055</f>
        <v>334.07</v>
      </c>
    </row>
    <row r="93" spans="1:14">
      <c r="I93" s="132" t="s">
        <v>153</v>
      </c>
      <c r="J93" s="137">
        <f>J91*C12/100</f>
        <v>0</v>
      </c>
      <c r="K93" s="137">
        <f>K91*C12/100</f>
        <v>0</v>
      </c>
      <c r="M93" s="137">
        <f>M91*F12/100</f>
        <v>0</v>
      </c>
      <c r="N93" s="137">
        <f>N91*F12/100</f>
        <v>0</v>
      </c>
    </row>
    <row r="94" spans="1:14">
      <c r="I94" s="132" t="s">
        <v>152</v>
      </c>
      <c r="J94" s="137">
        <f>J91+J92+J93</f>
        <v>6559.99</v>
      </c>
      <c r="K94" s="137">
        <f>K91+K92+K93</f>
        <v>7121.25</v>
      </c>
      <c r="M94" s="137">
        <f>M91+M92+M93</f>
        <v>5868.9650000000001</v>
      </c>
      <c r="N94" s="137">
        <f>N91+N92+N93</f>
        <v>6408.07</v>
      </c>
    </row>
    <row r="95" spans="1:14">
      <c r="I95" s="128"/>
    </row>
    <row r="96" spans="1:14">
      <c r="I96" s="127" t="s">
        <v>154</v>
      </c>
      <c r="J96" s="137">
        <f>K94-J94</f>
        <v>561.26000000000022</v>
      </c>
      <c r="M96" s="137">
        <f>N94-M94</f>
        <v>539.10499999999956</v>
      </c>
    </row>
    <row r="97" spans="1:13">
      <c r="I97" s="114" t="s">
        <v>104</v>
      </c>
      <c r="J97" s="186">
        <f>(J96+J90)/J86</f>
        <v>0.34060000000000012</v>
      </c>
      <c r="M97" s="186">
        <f>(M96+M90)/M86</f>
        <v>0.33004999999999979</v>
      </c>
    </row>
    <row r="101" spans="1:13">
      <c r="A101" s="4" t="s">
        <v>169</v>
      </c>
    </row>
    <row r="102" spans="1:13">
      <c r="A102" s="4" t="s">
        <v>170</v>
      </c>
    </row>
    <row r="104" spans="1:13">
      <c r="A104" s="210" t="s">
        <v>171</v>
      </c>
    </row>
    <row r="105" spans="1:13">
      <c r="A105" s="1" t="s">
        <v>161</v>
      </c>
    </row>
    <row r="106" spans="1:13">
      <c r="A106" s="1" t="s">
        <v>162</v>
      </c>
    </row>
  </sheetData>
  <dataValidations disablePrompts="1" count="5">
    <dataValidation type="list" allowBlank="1" showInputMessage="1" showErrorMessage="1"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formula1>"0,0,5,1,1,5,2,2,5,3,3,5,4,4,5,5,5,5,6"</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5 IY65535 SU65535 ACQ65535 AMM65535 AWI65535 BGE65535 BQA65535 BZW65535 CJS65535 CTO65535 DDK65535 DNG65535 DXC65535 EGY65535 EQU65535 FAQ65535 FKM65535 FUI65535 GEE65535 GOA65535 GXW65535 HHS65535 HRO65535 IBK65535 ILG65535 IVC65535 JEY65535 JOU65535 JYQ65535 KIM65535 KSI65535 LCE65535 LMA65535 LVW65535 MFS65535 MPO65535 MZK65535 NJG65535 NTC65535 OCY65535 OMU65535 OWQ65535 PGM65535 PQI65535 QAE65535 QKA65535 QTW65535 RDS65535 RNO65535 RXK65535 SHG65535 SRC65535 TAY65535 TKU65535 TUQ65535 UEM65535 UOI65535 UYE65535 VIA65535 VRW65535 WBS65535 WLO65535 WVK65535 C131071 IY131071 SU131071 ACQ131071 AMM131071 AWI131071 BGE131071 BQA131071 BZW131071 CJS131071 CTO131071 DDK131071 DNG131071 DXC131071 EGY131071 EQU131071 FAQ131071 FKM131071 FUI131071 GEE131071 GOA131071 GXW131071 HHS131071 HRO131071 IBK131071 ILG131071 IVC131071 JEY131071 JOU131071 JYQ131071 KIM131071 KSI131071 LCE131071 LMA131071 LVW131071 MFS131071 MPO131071 MZK131071 NJG131071 NTC131071 OCY131071 OMU131071 OWQ131071 PGM131071 PQI131071 QAE131071 QKA131071 QTW131071 RDS131071 RNO131071 RXK131071 SHG131071 SRC131071 TAY131071 TKU131071 TUQ131071 UEM131071 UOI131071 UYE131071 VIA131071 VRW131071 WBS131071 WLO131071 WVK131071 C196607 IY196607 SU196607 ACQ196607 AMM196607 AWI196607 BGE196607 BQA196607 BZW196607 CJS196607 CTO196607 DDK196607 DNG196607 DXC196607 EGY196607 EQU196607 FAQ196607 FKM196607 FUI196607 GEE196607 GOA196607 GXW196607 HHS196607 HRO196607 IBK196607 ILG196607 IVC196607 JEY196607 JOU196607 JYQ196607 KIM196607 KSI196607 LCE196607 LMA196607 LVW196607 MFS196607 MPO196607 MZK196607 NJG196607 NTC196607 OCY196607 OMU196607 OWQ196607 PGM196607 PQI196607 QAE196607 QKA196607 QTW196607 RDS196607 RNO196607 RXK196607 SHG196607 SRC196607 TAY196607 TKU196607 TUQ196607 UEM196607 UOI196607 UYE196607 VIA196607 VRW196607 WBS196607 WLO196607 WVK196607 C262143 IY262143 SU262143 ACQ262143 AMM262143 AWI262143 BGE262143 BQA262143 BZW262143 CJS262143 CTO262143 DDK262143 DNG262143 DXC262143 EGY262143 EQU262143 FAQ262143 FKM262143 FUI262143 GEE262143 GOA262143 GXW262143 HHS262143 HRO262143 IBK262143 ILG262143 IVC262143 JEY262143 JOU262143 JYQ262143 KIM262143 KSI262143 LCE262143 LMA262143 LVW262143 MFS262143 MPO262143 MZK262143 NJG262143 NTC262143 OCY262143 OMU262143 OWQ262143 PGM262143 PQI262143 QAE262143 QKA262143 QTW262143 RDS262143 RNO262143 RXK262143 SHG262143 SRC262143 TAY262143 TKU262143 TUQ262143 UEM262143 UOI262143 UYE262143 VIA262143 VRW262143 WBS262143 WLO262143 WVK262143 C327679 IY327679 SU327679 ACQ327679 AMM327679 AWI327679 BGE327679 BQA327679 BZW327679 CJS327679 CTO327679 DDK327679 DNG327679 DXC327679 EGY327679 EQU327679 FAQ327679 FKM327679 FUI327679 GEE327679 GOA327679 GXW327679 HHS327679 HRO327679 IBK327679 ILG327679 IVC327679 JEY327679 JOU327679 JYQ327679 KIM327679 KSI327679 LCE327679 LMA327679 LVW327679 MFS327679 MPO327679 MZK327679 NJG327679 NTC327679 OCY327679 OMU327679 OWQ327679 PGM327679 PQI327679 QAE327679 QKA327679 QTW327679 RDS327679 RNO327679 RXK327679 SHG327679 SRC327679 TAY327679 TKU327679 TUQ327679 UEM327679 UOI327679 UYE327679 VIA327679 VRW327679 WBS327679 WLO327679 WVK327679 C393215 IY393215 SU393215 ACQ393215 AMM393215 AWI393215 BGE393215 BQA393215 BZW393215 CJS393215 CTO393215 DDK393215 DNG393215 DXC393215 EGY393215 EQU393215 FAQ393215 FKM393215 FUI393215 GEE393215 GOA393215 GXW393215 HHS393215 HRO393215 IBK393215 ILG393215 IVC393215 JEY393215 JOU393215 JYQ393215 KIM393215 KSI393215 LCE393215 LMA393215 LVW393215 MFS393215 MPO393215 MZK393215 NJG393215 NTC393215 OCY393215 OMU393215 OWQ393215 PGM393215 PQI393215 QAE393215 QKA393215 QTW393215 RDS393215 RNO393215 RXK393215 SHG393215 SRC393215 TAY393215 TKU393215 TUQ393215 UEM393215 UOI393215 UYE393215 VIA393215 VRW393215 WBS393215 WLO393215 WVK393215 C458751 IY458751 SU458751 ACQ458751 AMM458751 AWI458751 BGE458751 BQA458751 BZW458751 CJS458751 CTO458751 DDK458751 DNG458751 DXC458751 EGY458751 EQU458751 FAQ458751 FKM458751 FUI458751 GEE458751 GOA458751 GXW458751 HHS458751 HRO458751 IBK458751 ILG458751 IVC458751 JEY458751 JOU458751 JYQ458751 KIM458751 KSI458751 LCE458751 LMA458751 LVW458751 MFS458751 MPO458751 MZK458751 NJG458751 NTC458751 OCY458751 OMU458751 OWQ458751 PGM458751 PQI458751 QAE458751 QKA458751 QTW458751 RDS458751 RNO458751 RXK458751 SHG458751 SRC458751 TAY458751 TKU458751 TUQ458751 UEM458751 UOI458751 UYE458751 VIA458751 VRW458751 WBS458751 WLO458751 WVK458751 C524287 IY524287 SU524287 ACQ524287 AMM524287 AWI524287 BGE524287 BQA524287 BZW524287 CJS524287 CTO524287 DDK524287 DNG524287 DXC524287 EGY524287 EQU524287 FAQ524287 FKM524287 FUI524287 GEE524287 GOA524287 GXW524287 HHS524287 HRO524287 IBK524287 ILG524287 IVC524287 JEY524287 JOU524287 JYQ524287 KIM524287 KSI524287 LCE524287 LMA524287 LVW524287 MFS524287 MPO524287 MZK524287 NJG524287 NTC524287 OCY524287 OMU524287 OWQ524287 PGM524287 PQI524287 QAE524287 QKA524287 QTW524287 RDS524287 RNO524287 RXK524287 SHG524287 SRC524287 TAY524287 TKU524287 TUQ524287 UEM524287 UOI524287 UYE524287 VIA524287 VRW524287 WBS524287 WLO524287 WVK524287 C589823 IY589823 SU589823 ACQ589823 AMM589823 AWI589823 BGE589823 BQA589823 BZW589823 CJS589823 CTO589823 DDK589823 DNG589823 DXC589823 EGY589823 EQU589823 FAQ589823 FKM589823 FUI589823 GEE589823 GOA589823 GXW589823 HHS589823 HRO589823 IBK589823 ILG589823 IVC589823 JEY589823 JOU589823 JYQ589823 KIM589823 KSI589823 LCE589823 LMA589823 LVW589823 MFS589823 MPO589823 MZK589823 NJG589823 NTC589823 OCY589823 OMU589823 OWQ589823 PGM589823 PQI589823 QAE589823 QKA589823 QTW589823 RDS589823 RNO589823 RXK589823 SHG589823 SRC589823 TAY589823 TKU589823 TUQ589823 UEM589823 UOI589823 UYE589823 VIA589823 VRW589823 WBS589823 WLO589823 WVK589823 C655359 IY655359 SU655359 ACQ655359 AMM655359 AWI655359 BGE655359 BQA655359 BZW655359 CJS655359 CTO655359 DDK655359 DNG655359 DXC655359 EGY655359 EQU655359 FAQ655359 FKM655359 FUI655359 GEE655359 GOA655359 GXW655359 HHS655359 HRO655359 IBK655359 ILG655359 IVC655359 JEY655359 JOU655359 JYQ655359 KIM655359 KSI655359 LCE655359 LMA655359 LVW655359 MFS655359 MPO655359 MZK655359 NJG655359 NTC655359 OCY655359 OMU655359 OWQ655359 PGM655359 PQI655359 QAE655359 QKA655359 QTW655359 RDS655359 RNO655359 RXK655359 SHG655359 SRC655359 TAY655359 TKU655359 TUQ655359 UEM655359 UOI655359 UYE655359 VIA655359 VRW655359 WBS655359 WLO655359 WVK655359 C720895 IY720895 SU720895 ACQ720895 AMM720895 AWI720895 BGE720895 BQA720895 BZW720895 CJS720895 CTO720895 DDK720895 DNG720895 DXC720895 EGY720895 EQU720895 FAQ720895 FKM720895 FUI720895 GEE720895 GOA720895 GXW720895 HHS720895 HRO720895 IBK720895 ILG720895 IVC720895 JEY720895 JOU720895 JYQ720895 KIM720895 KSI720895 LCE720895 LMA720895 LVW720895 MFS720895 MPO720895 MZK720895 NJG720895 NTC720895 OCY720895 OMU720895 OWQ720895 PGM720895 PQI720895 QAE720895 QKA720895 QTW720895 RDS720895 RNO720895 RXK720895 SHG720895 SRC720895 TAY720895 TKU720895 TUQ720895 UEM720895 UOI720895 UYE720895 VIA720895 VRW720895 WBS720895 WLO720895 WVK720895 C786431 IY786431 SU786431 ACQ786431 AMM786431 AWI786431 BGE786431 BQA786431 BZW786431 CJS786431 CTO786431 DDK786431 DNG786431 DXC786431 EGY786431 EQU786431 FAQ786431 FKM786431 FUI786431 GEE786431 GOA786431 GXW786431 HHS786431 HRO786431 IBK786431 ILG786431 IVC786431 JEY786431 JOU786431 JYQ786431 KIM786431 KSI786431 LCE786431 LMA786431 LVW786431 MFS786431 MPO786431 MZK786431 NJG786431 NTC786431 OCY786431 OMU786431 OWQ786431 PGM786431 PQI786431 QAE786431 QKA786431 QTW786431 RDS786431 RNO786431 RXK786431 SHG786431 SRC786431 TAY786431 TKU786431 TUQ786431 UEM786431 UOI786431 UYE786431 VIA786431 VRW786431 WBS786431 WLO786431 WVK786431 C851967 IY851967 SU851967 ACQ851967 AMM851967 AWI851967 BGE851967 BQA851967 BZW851967 CJS851967 CTO851967 DDK851967 DNG851967 DXC851967 EGY851967 EQU851967 FAQ851967 FKM851967 FUI851967 GEE851967 GOA851967 GXW851967 HHS851967 HRO851967 IBK851967 ILG851967 IVC851967 JEY851967 JOU851967 JYQ851967 KIM851967 KSI851967 LCE851967 LMA851967 LVW851967 MFS851967 MPO851967 MZK851967 NJG851967 NTC851967 OCY851967 OMU851967 OWQ851967 PGM851967 PQI851967 QAE851967 QKA851967 QTW851967 RDS851967 RNO851967 RXK851967 SHG851967 SRC851967 TAY851967 TKU851967 TUQ851967 UEM851967 UOI851967 UYE851967 VIA851967 VRW851967 WBS851967 WLO851967 WVK851967 C917503 IY917503 SU917503 ACQ917503 AMM917503 AWI917503 BGE917503 BQA917503 BZW917503 CJS917503 CTO917503 DDK917503 DNG917503 DXC917503 EGY917503 EQU917503 FAQ917503 FKM917503 FUI917503 GEE917503 GOA917503 GXW917503 HHS917503 HRO917503 IBK917503 ILG917503 IVC917503 JEY917503 JOU917503 JYQ917503 KIM917503 KSI917503 LCE917503 LMA917503 LVW917503 MFS917503 MPO917503 MZK917503 NJG917503 NTC917503 OCY917503 OMU917503 OWQ917503 PGM917503 PQI917503 QAE917503 QKA917503 QTW917503 RDS917503 RNO917503 RXK917503 SHG917503 SRC917503 TAY917503 TKU917503 TUQ917503 UEM917503 UOI917503 UYE917503 VIA917503 VRW917503 WBS917503 WLO917503 WVK917503 C983039 IY983039 SU983039 ACQ983039 AMM983039 AWI983039 BGE983039 BQA983039 BZW983039 CJS983039 CTO983039 DDK983039 DNG983039 DXC983039 EGY983039 EQU983039 FAQ983039 FKM983039 FUI983039 GEE983039 GOA983039 GXW983039 HHS983039 HRO983039 IBK983039 ILG983039 IVC983039 JEY983039 JOU983039 JYQ983039 KIM983039 KSI983039 LCE983039 LMA983039 LVW983039 MFS983039 MPO983039 MZK983039 NJG983039 NTC983039 OCY983039 OMU983039 OWQ983039 PGM983039 PQI983039 QAE983039 QKA983039 QTW983039 RDS983039 RNO983039 RXK983039 SHG983039 SRC983039 TAY983039 TKU983039 TUQ983039 UEM983039 UOI983039 UYE983039 VIA983039 VRW983039 WBS983039 WLO983039 WVK983039">
      <formula1>"1,2"</formula1>
    </dataValidation>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0 IX65530 ST65530 ACP65530 AML65530 AWH65530 BGD65530 BPZ65530 BZV65530 CJR65530 CTN65530 DDJ65530 DNF65530 DXB65530 EGX65530 EQT65530 FAP65530 FKL65530 FUH65530 GED65530 GNZ65530 GXV65530 HHR65530 HRN65530 IBJ65530 ILF65530 IVB65530 JEX65530 JOT65530 JYP65530 KIL65530 KSH65530 LCD65530 LLZ65530 LVV65530 MFR65530 MPN65530 MZJ65530 NJF65530 NTB65530 OCX65530 OMT65530 OWP65530 PGL65530 PQH65530 QAD65530 QJZ65530 QTV65530 RDR65530 RNN65530 RXJ65530 SHF65530 SRB65530 TAX65530 TKT65530 TUP65530 UEL65530 UOH65530 UYD65530 VHZ65530 VRV65530 WBR65530 WLN65530 WVJ65530 B131066 IX131066 ST131066 ACP131066 AML131066 AWH131066 BGD131066 BPZ131066 BZV131066 CJR131066 CTN131066 DDJ131066 DNF131066 DXB131066 EGX131066 EQT131066 FAP131066 FKL131066 FUH131066 GED131066 GNZ131066 GXV131066 HHR131066 HRN131066 IBJ131066 ILF131066 IVB131066 JEX131066 JOT131066 JYP131066 KIL131066 KSH131066 LCD131066 LLZ131066 LVV131066 MFR131066 MPN131066 MZJ131066 NJF131066 NTB131066 OCX131066 OMT131066 OWP131066 PGL131066 PQH131066 QAD131066 QJZ131066 QTV131066 RDR131066 RNN131066 RXJ131066 SHF131066 SRB131066 TAX131066 TKT131066 TUP131066 UEL131066 UOH131066 UYD131066 VHZ131066 VRV131066 WBR131066 WLN131066 WVJ131066 B196602 IX196602 ST196602 ACP196602 AML196602 AWH196602 BGD196602 BPZ196602 BZV196602 CJR196602 CTN196602 DDJ196602 DNF196602 DXB196602 EGX196602 EQT196602 FAP196602 FKL196602 FUH196602 GED196602 GNZ196602 GXV196602 HHR196602 HRN196602 IBJ196602 ILF196602 IVB196602 JEX196602 JOT196602 JYP196602 KIL196602 KSH196602 LCD196602 LLZ196602 LVV196602 MFR196602 MPN196602 MZJ196602 NJF196602 NTB196602 OCX196602 OMT196602 OWP196602 PGL196602 PQH196602 QAD196602 QJZ196602 QTV196602 RDR196602 RNN196602 RXJ196602 SHF196602 SRB196602 TAX196602 TKT196602 TUP196602 UEL196602 UOH196602 UYD196602 VHZ196602 VRV196602 WBR196602 WLN196602 WVJ196602 B262138 IX262138 ST262138 ACP262138 AML262138 AWH262138 BGD262138 BPZ262138 BZV262138 CJR262138 CTN262138 DDJ262138 DNF262138 DXB262138 EGX262138 EQT262138 FAP262138 FKL262138 FUH262138 GED262138 GNZ262138 GXV262138 HHR262138 HRN262138 IBJ262138 ILF262138 IVB262138 JEX262138 JOT262138 JYP262138 KIL262138 KSH262138 LCD262138 LLZ262138 LVV262138 MFR262138 MPN262138 MZJ262138 NJF262138 NTB262138 OCX262138 OMT262138 OWP262138 PGL262138 PQH262138 QAD262138 QJZ262138 QTV262138 RDR262138 RNN262138 RXJ262138 SHF262138 SRB262138 TAX262138 TKT262138 TUP262138 UEL262138 UOH262138 UYD262138 VHZ262138 VRV262138 WBR262138 WLN262138 WVJ262138 B327674 IX327674 ST327674 ACP327674 AML327674 AWH327674 BGD327674 BPZ327674 BZV327674 CJR327674 CTN327674 DDJ327674 DNF327674 DXB327674 EGX327674 EQT327674 FAP327674 FKL327674 FUH327674 GED327674 GNZ327674 GXV327674 HHR327674 HRN327674 IBJ327674 ILF327674 IVB327674 JEX327674 JOT327674 JYP327674 KIL327674 KSH327674 LCD327674 LLZ327674 LVV327674 MFR327674 MPN327674 MZJ327674 NJF327674 NTB327674 OCX327674 OMT327674 OWP327674 PGL327674 PQH327674 QAD327674 QJZ327674 QTV327674 RDR327674 RNN327674 RXJ327674 SHF327674 SRB327674 TAX327674 TKT327674 TUP327674 UEL327674 UOH327674 UYD327674 VHZ327674 VRV327674 WBR327674 WLN327674 WVJ327674 B393210 IX393210 ST393210 ACP393210 AML393210 AWH393210 BGD393210 BPZ393210 BZV393210 CJR393210 CTN393210 DDJ393210 DNF393210 DXB393210 EGX393210 EQT393210 FAP393210 FKL393210 FUH393210 GED393210 GNZ393210 GXV393210 HHR393210 HRN393210 IBJ393210 ILF393210 IVB393210 JEX393210 JOT393210 JYP393210 KIL393210 KSH393210 LCD393210 LLZ393210 LVV393210 MFR393210 MPN393210 MZJ393210 NJF393210 NTB393210 OCX393210 OMT393210 OWP393210 PGL393210 PQH393210 QAD393210 QJZ393210 QTV393210 RDR393210 RNN393210 RXJ393210 SHF393210 SRB393210 TAX393210 TKT393210 TUP393210 UEL393210 UOH393210 UYD393210 VHZ393210 VRV393210 WBR393210 WLN393210 WVJ393210 B458746 IX458746 ST458746 ACP458746 AML458746 AWH458746 BGD458746 BPZ458746 BZV458746 CJR458746 CTN458746 DDJ458746 DNF458746 DXB458746 EGX458746 EQT458746 FAP458746 FKL458746 FUH458746 GED458746 GNZ458746 GXV458746 HHR458746 HRN458746 IBJ458746 ILF458746 IVB458746 JEX458746 JOT458746 JYP458746 KIL458746 KSH458746 LCD458746 LLZ458746 LVV458746 MFR458746 MPN458746 MZJ458746 NJF458746 NTB458746 OCX458746 OMT458746 OWP458746 PGL458746 PQH458746 QAD458746 QJZ458746 QTV458746 RDR458746 RNN458746 RXJ458746 SHF458746 SRB458746 TAX458746 TKT458746 TUP458746 UEL458746 UOH458746 UYD458746 VHZ458746 VRV458746 WBR458746 WLN458746 WVJ458746 B524282 IX524282 ST524282 ACP524282 AML524282 AWH524282 BGD524282 BPZ524282 BZV524282 CJR524282 CTN524282 DDJ524282 DNF524282 DXB524282 EGX524282 EQT524282 FAP524282 FKL524282 FUH524282 GED524282 GNZ524282 GXV524282 HHR524282 HRN524282 IBJ524282 ILF524282 IVB524282 JEX524282 JOT524282 JYP524282 KIL524282 KSH524282 LCD524282 LLZ524282 LVV524282 MFR524282 MPN524282 MZJ524282 NJF524282 NTB524282 OCX524282 OMT524282 OWP524282 PGL524282 PQH524282 QAD524282 QJZ524282 QTV524282 RDR524282 RNN524282 RXJ524282 SHF524282 SRB524282 TAX524282 TKT524282 TUP524282 UEL524282 UOH524282 UYD524282 VHZ524282 VRV524282 WBR524282 WLN524282 WVJ524282 B589818 IX589818 ST589818 ACP589818 AML589818 AWH589818 BGD589818 BPZ589818 BZV589818 CJR589818 CTN589818 DDJ589818 DNF589818 DXB589818 EGX589818 EQT589818 FAP589818 FKL589818 FUH589818 GED589818 GNZ589818 GXV589818 HHR589818 HRN589818 IBJ589818 ILF589818 IVB589818 JEX589818 JOT589818 JYP589818 KIL589818 KSH589818 LCD589818 LLZ589818 LVV589818 MFR589818 MPN589818 MZJ589818 NJF589818 NTB589818 OCX589818 OMT589818 OWP589818 PGL589818 PQH589818 QAD589818 QJZ589818 QTV589818 RDR589818 RNN589818 RXJ589818 SHF589818 SRB589818 TAX589818 TKT589818 TUP589818 UEL589818 UOH589818 UYD589818 VHZ589818 VRV589818 WBR589818 WLN589818 WVJ589818 B655354 IX655354 ST655354 ACP655354 AML655354 AWH655354 BGD655354 BPZ655354 BZV655354 CJR655354 CTN655354 DDJ655354 DNF655354 DXB655354 EGX655354 EQT655354 FAP655354 FKL655354 FUH655354 GED655354 GNZ655354 GXV655354 HHR655354 HRN655354 IBJ655354 ILF655354 IVB655354 JEX655354 JOT655354 JYP655354 KIL655354 KSH655354 LCD655354 LLZ655354 LVV655354 MFR655354 MPN655354 MZJ655354 NJF655354 NTB655354 OCX655354 OMT655354 OWP655354 PGL655354 PQH655354 QAD655354 QJZ655354 QTV655354 RDR655354 RNN655354 RXJ655354 SHF655354 SRB655354 TAX655354 TKT655354 TUP655354 UEL655354 UOH655354 UYD655354 VHZ655354 VRV655354 WBR655354 WLN655354 WVJ655354 B720890 IX720890 ST720890 ACP720890 AML720890 AWH720890 BGD720890 BPZ720890 BZV720890 CJR720890 CTN720890 DDJ720890 DNF720890 DXB720890 EGX720890 EQT720890 FAP720890 FKL720890 FUH720890 GED720890 GNZ720890 GXV720890 HHR720890 HRN720890 IBJ720890 ILF720890 IVB720890 JEX720890 JOT720890 JYP720890 KIL720890 KSH720890 LCD720890 LLZ720890 LVV720890 MFR720890 MPN720890 MZJ720890 NJF720890 NTB720890 OCX720890 OMT720890 OWP720890 PGL720890 PQH720890 QAD720890 QJZ720890 QTV720890 RDR720890 RNN720890 RXJ720890 SHF720890 SRB720890 TAX720890 TKT720890 TUP720890 UEL720890 UOH720890 UYD720890 VHZ720890 VRV720890 WBR720890 WLN720890 WVJ720890 B786426 IX786426 ST786426 ACP786426 AML786426 AWH786426 BGD786426 BPZ786426 BZV786426 CJR786426 CTN786426 DDJ786426 DNF786426 DXB786426 EGX786426 EQT786426 FAP786426 FKL786426 FUH786426 GED786426 GNZ786426 GXV786426 HHR786426 HRN786426 IBJ786426 ILF786426 IVB786426 JEX786426 JOT786426 JYP786426 KIL786426 KSH786426 LCD786426 LLZ786426 LVV786426 MFR786426 MPN786426 MZJ786426 NJF786426 NTB786426 OCX786426 OMT786426 OWP786426 PGL786426 PQH786426 QAD786426 QJZ786426 QTV786426 RDR786426 RNN786426 RXJ786426 SHF786426 SRB786426 TAX786426 TKT786426 TUP786426 UEL786426 UOH786426 UYD786426 VHZ786426 VRV786426 WBR786426 WLN786426 WVJ786426 B851962 IX851962 ST851962 ACP851962 AML851962 AWH851962 BGD851962 BPZ851962 BZV851962 CJR851962 CTN851962 DDJ851962 DNF851962 DXB851962 EGX851962 EQT851962 FAP851962 FKL851962 FUH851962 GED851962 GNZ851962 GXV851962 HHR851962 HRN851962 IBJ851962 ILF851962 IVB851962 JEX851962 JOT851962 JYP851962 KIL851962 KSH851962 LCD851962 LLZ851962 LVV851962 MFR851962 MPN851962 MZJ851962 NJF851962 NTB851962 OCX851962 OMT851962 OWP851962 PGL851962 PQH851962 QAD851962 QJZ851962 QTV851962 RDR851962 RNN851962 RXJ851962 SHF851962 SRB851962 TAX851962 TKT851962 TUP851962 UEL851962 UOH851962 UYD851962 VHZ851962 VRV851962 WBR851962 WLN851962 WVJ851962 B917498 IX917498 ST917498 ACP917498 AML917498 AWH917498 BGD917498 BPZ917498 BZV917498 CJR917498 CTN917498 DDJ917498 DNF917498 DXB917498 EGX917498 EQT917498 FAP917498 FKL917498 FUH917498 GED917498 GNZ917498 GXV917498 HHR917498 HRN917498 IBJ917498 ILF917498 IVB917498 JEX917498 JOT917498 JYP917498 KIL917498 KSH917498 LCD917498 LLZ917498 LVV917498 MFR917498 MPN917498 MZJ917498 NJF917498 NTB917498 OCX917498 OMT917498 OWP917498 PGL917498 PQH917498 QAD917498 QJZ917498 QTV917498 RDR917498 RNN917498 RXJ917498 SHF917498 SRB917498 TAX917498 TKT917498 TUP917498 UEL917498 UOH917498 UYD917498 VHZ917498 VRV917498 WBR917498 WLN917498 WVJ917498 B983034 IX983034 ST983034 ACP983034 AML983034 AWH983034 BGD983034 BPZ983034 BZV983034 CJR983034 CTN983034 DDJ983034 DNF983034 DXB983034 EGX983034 EQT983034 FAP983034 FKL983034 FUH983034 GED983034 GNZ983034 GXV983034 HHR983034 HRN983034 IBJ983034 ILF983034 IVB983034 JEX983034 JOT983034 JYP983034 KIL983034 KSH983034 LCD983034 LLZ983034 LVV983034 MFR983034 MPN983034 MZJ983034 NJF983034 NTB983034 OCX983034 OMT983034 OWP983034 PGL983034 PQH983034 QAD983034 QJZ983034 QTV983034 RDR983034 RNN983034 RXJ983034 SHF983034 SRB983034 TAX983034 TKT983034 TUP983034 UEL983034 UOH983034 UYD983034 VHZ983034 VRV983034 WBR983034 WLN983034 WVJ983034 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37 IY65537 SU65537 ACQ65537 AMM65537 AWI65537 BGE65537 BQA65537 BZW65537 CJS65537 CTO65537 DDK65537 DNG65537 DXC65537 EGY65537 EQU65537 FAQ65537 FKM65537 FUI65537 GEE65537 GOA65537 GXW65537 HHS65537 HRO65537 IBK65537 ILG65537 IVC65537 JEY65537 JOU65537 JYQ65537 KIM65537 KSI65537 LCE65537 LMA65537 LVW65537 MFS65537 MPO65537 MZK65537 NJG65537 NTC65537 OCY65537 OMU65537 OWQ65537 PGM65537 PQI65537 QAE65537 QKA65537 QTW65537 RDS65537 RNO65537 RXK65537 SHG65537 SRC65537 TAY65537 TKU65537 TUQ65537 UEM65537 UOI65537 UYE65537 VIA65537 VRW65537 WBS65537 WLO65537 WVK65537 C131073 IY131073 SU131073 ACQ131073 AMM131073 AWI131073 BGE131073 BQA131073 BZW131073 CJS131073 CTO131073 DDK131073 DNG131073 DXC131073 EGY131073 EQU131073 FAQ131073 FKM131073 FUI131073 GEE131073 GOA131073 GXW131073 HHS131073 HRO131073 IBK131073 ILG131073 IVC131073 JEY131073 JOU131073 JYQ131073 KIM131073 KSI131073 LCE131073 LMA131073 LVW131073 MFS131073 MPO131073 MZK131073 NJG131073 NTC131073 OCY131073 OMU131073 OWQ131073 PGM131073 PQI131073 QAE131073 QKA131073 QTW131073 RDS131073 RNO131073 RXK131073 SHG131073 SRC131073 TAY131073 TKU131073 TUQ131073 UEM131073 UOI131073 UYE131073 VIA131073 VRW131073 WBS131073 WLO131073 WVK131073 C196609 IY196609 SU196609 ACQ196609 AMM196609 AWI196609 BGE196609 BQA196609 BZW196609 CJS196609 CTO196609 DDK196609 DNG196609 DXC196609 EGY196609 EQU196609 FAQ196609 FKM196609 FUI196609 GEE196609 GOA196609 GXW196609 HHS196609 HRO196609 IBK196609 ILG196609 IVC196609 JEY196609 JOU196609 JYQ196609 KIM196609 KSI196609 LCE196609 LMA196609 LVW196609 MFS196609 MPO196609 MZK196609 NJG196609 NTC196609 OCY196609 OMU196609 OWQ196609 PGM196609 PQI196609 QAE196609 QKA196609 QTW196609 RDS196609 RNO196609 RXK196609 SHG196609 SRC196609 TAY196609 TKU196609 TUQ196609 UEM196609 UOI196609 UYE196609 VIA196609 VRW196609 WBS196609 WLO196609 WVK196609 C262145 IY262145 SU262145 ACQ262145 AMM262145 AWI262145 BGE262145 BQA262145 BZW262145 CJS262145 CTO262145 DDK262145 DNG262145 DXC262145 EGY262145 EQU262145 FAQ262145 FKM262145 FUI262145 GEE262145 GOA262145 GXW262145 HHS262145 HRO262145 IBK262145 ILG262145 IVC262145 JEY262145 JOU262145 JYQ262145 KIM262145 KSI262145 LCE262145 LMA262145 LVW262145 MFS262145 MPO262145 MZK262145 NJG262145 NTC262145 OCY262145 OMU262145 OWQ262145 PGM262145 PQI262145 QAE262145 QKA262145 QTW262145 RDS262145 RNO262145 RXK262145 SHG262145 SRC262145 TAY262145 TKU262145 TUQ262145 UEM262145 UOI262145 UYE262145 VIA262145 VRW262145 WBS262145 WLO262145 WVK262145 C327681 IY327681 SU327681 ACQ327681 AMM327681 AWI327681 BGE327681 BQA327681 BZW327681 CJS327681 CTO327681 DDK327681 DNG327681 DXC327681 EGY327681 EQU327681 FAQ327681 FKM327681 FUI327681 GEE327681 GOA327681 GXW327681 HHS327681 HRO327681 IBK327681 ILG327681 IVC327681 JEY327681 JOU327681 JYQ327681 KIM327681 KSI327681 LCE327681 LMA327681 LVW327681 MFS327681 MPO327681 MZK327681 NJG327681 NTC327681 OCY327681 OMU327681 OWQ327681 PGM327681 PQI327681 QAE327681 QKA327681 QTW327681 RDS327681 RNO327681 RXK327681 SHG327681 SRC327681 TAY327681 TKU327681 TUQ327681 UEM327681 UOI327681 UYE327681 VIA327681 VRW327681 WBS327681 WLO327681 WVK327681 C393217 IY393217 SU393217 ACQ393217 AMM393217 AWI393217 BGE393217 BQA393217 BZW393217 CJS393217 CTO393217 DDK393217 DNG393217 DXC393217 EGY393217 EQU393217 FAQ393217 FKM393217 FUI393217 GEE393217 GOA393217 GXW393217 HHS393217 HRO393217 IBK393217 ILG393217 IVC393217 JEY393217 JOU393217 JYQ393217 KIM393217 KSI393217 LCE393217 LMA393217 LVW393217 MFS393217 MPO393217 MZK393217 NJG393217 NTC393217 OCY393217 OMU393217 OWQ393217 PGM393217 PQI393217 QAE393217 QKA393217 QTW393217 RDS393217 RNO393217 RXK393217 SHG393217 SRC393217 TAY393217 TKU393217 TUQ393217 UEM393217 UOI393217 UYE393217 VIA393217 VRW393217 WBS393217 WLO393217 WVK393217 C458753 IY458753 SU458753 ACQ458753 AMM458753 AWI458753 BGE458753 BQA458753 BZW458753 CJS458753 CTO458753 DDK458753 DNG458753 DXC458753 EGY458753 EQU458753 FAQ458753 FKM458753 FUI458753 GEE458753 GOA458753 GXW458753 HHS458753 HRO458753 IBK458753 ILG458753 IVC458753 JEY458753 JOU458753 JYQ458753 KIM458753 KSI458753 LCE458753 LMA458753 LVW458753 MFS458753 MPO458753 MZK458753 NJG458753 NTC458753 OCY458753 OMU458753 OWQ458753 PGM458753 PQI458753 QAE458753 QKA458753 QTW458753 RDS458753 RNO458753 RXK458753 SHG458753 SRC458753 TAY458753 TKU458753 TUQ458753 UEM458753 UOI458753 UYE458753 VIA458753 VRW458753 WBS458753 WLO458753 WVK458753 C524289 IY524289 SU524289 ACQ524289 AMM524289 AWI524289 BGE524289 BQA524289 BZW524289 CJS524289 CTO524289 DDK524289 DNG524289 DXC524289 EGY524289 EQU524289 FAQ524289 FKM524289 FUI524289 GEE524289 GOA524289 GXW524289 HHS524289 HRO524289 IBK524289 ILG524289 IVC524289 JEY524289 JOU524289 JYQ524289 KIM524289 KSI524289 LCE524289 LMA524289 LVW524289 MFS524289 MPO524289 MZK524289 NJG524289 NTC524289 OCY524289 OMU524289 OWQ524289 PGM524289 PQI524289 QAE524289 QKA524289 QTW524289 RDS524289 RNO524289 RXK524289 SHG524289 SRC524289 TAY524289 TKU524289 TUQ524289 UEM524289 UOI524289 UYE524289 VIA524289 VRW524289 WBS524289 WLO524289 WVK524289 C589825 IY589825 SU589825 ACQ589825 AMM589825 AWI589825 BGE589825 BQA589825 BZW589825 CJS589825 CTO589825 DDK589825 DNG589825 DXC589825 EGY589825 EQU589825 FAQ589825 FKM589825 FUI589825 GEE589825 GOA589825 GXW589825 HHS589825 HRO589825 IBK589825 ILG589825 IVC589825 JEY589825 JOU589825 JYQ589825 KIM589825 KSI589825 LCE589825 LMA589825 LVW589825 MFS589825 MPO589825 MZK589825 NJG589825 NTC589825 OCY589825 OMU589825 OWQ589825 PGM589825 PQI589825 QAE589825 QKA589825 QTW589825 RDS589825 RNO589825 RXK589825 SHG589825 SRC589825 TAY589825 TKU589825 TUQ589825 UEM589825 UOI589825 UYE589825 VIA589825 VRW589825 WBS589825 WLO589825 WVK589825 C655361 IY655361 SU655361 ACQ655361 AMM655361 AWI655361 BGE655361 BQA655361 BZW655361 CJS655361 CTO655361 DDK655361 DNG655361 DXC655361 EGY655361 EQU655361 FAQ655361 FKM655361 FUI655361 GEE655361 GOA655361 GXW655361 HHS655361 HRO655361 IBK655361 ILG655361 IVC655361 JEY655361 JOU655361 JYQ655361 KIM655361 KSI655361 LCE655361 LMA655361 LVW655361 MFS655361 MPO655361 MZK655361 NJG655361 NTC655361 OCY655361 OMU655361 OWQ655361 PGM655361 PQI655361 QAE655361 QKA655361 QTW655361 RDS655361 RNO655361 RXK655361 SHG655361 SRC655361 TAY655361 TKU655361 TUQ655361 UEM655361 UOI655361 UYE655361 VIA655361 VRW655361 WBS655361 WLO655361 WVK655361 C720897 IY720897 SU720897 ACQ720897 AMM720897 AWI720897 BGE720897 BQA720897 BZW720897 CJS720897 CTO720897 DDK720897 DNG720897 DXC720897 EGY720897 EQU720897 FAQ720897 FKM720897 FUI720897 GEE720897 GOA720897 GXW720897 HHS720897 HRO720897 IBK720897 ILG720897 IVC720897 JEY720897 JOU720897 JYQ720897 KIM720897 KSI720897 LCE720897 LMA720897 LVW720897 MFS720897 MPO720897 MZK720897 NJG720897 NTC720897 OCY720897 OMU720897 OWQ720897 PGM720897 PQI720897 QAE720897 QKA720897 QTW720897 RDS720897 RNO720897 RXK720897 SHG720897 SRC720897 TAY720897 TKU720897 TUQ720897 UEM720897 UOI720897 UYE720897 VIA720897 VRW720897 WBS720897 WLO720897 WVK720897 C786433 IY786433 SU786433 ACQ786433 AMM786433 AWI786433 BGE786433 BQA786433 BZW786433 CJS786433 CTO786433 DDK786433 DNG786433 DXC786433 EGY786433 EQU786433 FAQ786433 FKM786433 FUI786433 GEE786433 GOA786433 GXW786433 HHS786433 HRO786433 IBK786433 ILG786433 IVC786433 JEY786433 JOU786433 JYQ786433 KIM786433 KSI786433 LCE786433 LMA786433 LVW786433 MFS786433 MPO786433 MZK786433 NJG786433 NTC786433 OCY786433 OMU786433 OWQ786433 PGM786433 PQI786433 QAE786433 QKA786433 QTW786433 RDS786433 RNO786433 RXK786433 SHG786433 SRC786433 TAY786433 TKU786433 TUQ786433 UEM786433 UOI786433 UYE786433 VIA786433 VRW786433 WBS786433 WLO786433 WVK786433 C851969 IY851969 SU851969 ACQ851969 AMM851969 AWI851969 BGE851969 BQA851969 BZW851969 CJS851969 CTO851969 DDK851969 DNG851969 DXC851969 EGY851969 EQU851969 FAQ851969 FKM851969 FUI851969 GEE851969 GOA851969 GXW851969 HHS851969 HRO851969 IBK851969 ILG851969 IVC851969 JEY851969 JOU851969 JYQ851969 KIM851969 KSI851969 LCE851969 LMA851969 LVW851969 MFS851969 MPO851969 MZK851969 NJG851969 NTC851969 OCY851969 OMU851969 OWQ851969 PGM851969 PQI851969 QAE851969 QKA851969 QTW851969 RDS851969 RNO851969 RXK851969 SHG851969 SRC851969 TAY851969 TKU851969 TUQ851969 UEM851969 UOI851969 UYE851969 VIA851969 VRW851969 WBS851969 WLO851969 WVK851969 C917505 IY917505 SU917505 ACQ917505 AMM917505 AWI917505 BGE917505 BQA917505 BZW917505 CJS917505 CTO917505 DDK917505 DNG917505 DXC917505 EGY917505 EQU917505 FAQ917505 FKM917505 FUI917505 GEE917505 GOA917505 GXW917505 HHS917505 HRO917505 IBK917505 ILG917505 IVC917505 JEY917505 JOU917505 JYQ917505 KIM917505 KSI917505 LCE917505 LMA917505 LVW917505 MFS917505 MPO917505 MZK917505 NJG917505 NTC917505 OCY917505 OMU917505 OWQ917505 PGM917505 PQI917505 QAE917505 QKA917505 QTW917505 RDS917505 RNO917505 RXK917505 SHG917505 SRC917505 TAY917505 TKU917505 TUQ917505 UEM917505 UOI917505 UYE917505 VIA917505 VRW917505 WBS917505 WLO917505 WVK917505 C983041 IY983041 SU983041 ACQ983041 AMM983041 AWI983041 BGE983041 BQA983041 BZW983041 CJS983041 CTO983041 DDK983041 DNG983041 DXC983041 EGY983041 EQU983041 FAQ983041 FKM983041 FUI983041 GEE983041 GOA983041 GXW983041 HHS983041 HRO983041 IBK983041 ILG983041 IVC983041 JEY983041 JOU983041 JYQ983041 KIM983041 KSI983041 LCE983041 LMA983041 LVW983041 MFS983041 MPO983041 MZK983041 NJG983041 NTC983041 OCY983041 OMU983041 OWQ983041 PGM983041 PQI983041 QAE983041 QKA983041 QTW983041 RDS983041 RNO983041 RXK983041 SHG983041 SRC983041 TAY983041 TKU983041 TUQ983041 UEM983041 UOI983041 UYE983041 VIA983041 VRW983041 WBS983041 WLO983041 WVK983041 C14:C16 IY14:IY16 SU14:SU16 ACQ14:ACQ16 AMM14:AMM16 AWI14:AWI16 BGE14:BGE16 BQA14:BQA16 BZW14:BZW16 CJS14:CJS16 CTO14:CTO16 DDK14:DDK16 DNG14:DNG16 DXC14:DXC16 EGY14:EGY16 EQU14:EQU16 FAQ14:FAQ16 FKM14:FKM16 FUI14:FUI16 GEE14:GEE16 GOA14:GOA16 GXW14:GXW16 HHS14:HHS16 HRO14:HRO16 IBK14:IBK16 ILG14:ILG16 IVC14:IVC16 JEY14:JEY16 JOU14:JOU16 JYQ14:JYQ16 KIM14:KIM16 KSI14:KSI16 LCE14:LCE16 LMA14:LMA16 LVW14:LVW16 MFS14:MFS16 MPO14:MPO16 MZK14:MZK16 NJG14:NJG16 NTC14:NTC16 OCY14:OCY16 OMU14:OMU16 OWQ14:OWQ16 PGM14:PGM16 PQI14:PQI16 QAE14:QAE16 QKA14:QKA16 QTW14:QTW16 RDS14:RDS16 RNO14:RNO16 RXK14:RXK16 SHG14:SHG16 SRC14:SRC16 TAY14:TAY16 TKU14:TKU16 TUQ14:TUQ16 UEM14:UEM16 UOI14:UOI16 UYE14:UYE16 VIA14:VIA16 VRW14:VRW16 WBS14:WBS16 WLO14:WLO16 WVK14:WVK16 C65541:C65543 IY65541:IY65543 SU65541:SU65543 ACQ65541:ACQ65543 AMM65541:AMM65543 AWI65541:AWI65543 BGE65541:BGE65543 BQA65541:BQA65543 BZW65541:BZW65543 CJS65541:CJS65543 CTO65541:CTO65543 DDK65541:DDK65543 DNG65541:DNG65543 DXC65541:DXC65543 EGY65541:EGY65543 EQU65541:EQU65543 FAQ65541:FAQ65543 FKM65541:FKM65543 FUI65541:FUI65543 GEE65541:GEE65543 GOA65541:GOA65543 GXW65541:GXW65543 HHS65541:HHS65543 HRO65541:HRO65543 IBK65541:IBK65543 ILG65541:ILG65543 IVC65541:IVC65543 JEY65541:JEY65543 JOU65541:JOU65543 JYQ65541:JYQ65543 KIM65541:KIM65543 KSI65541:KSI65543 LCE65541:LCE65543 LMA65541:LMA65543 LVW65541:LVW65543 MFS65541:MFS65543 MPO65541:MPO65543 MZK65541:MZK65543 NJG65541:NJG65543 NTC65541:NTC65543 OCY65541:OCY65543 OMU65541:OMU65543 OWQ65541:OWQ65543 PGM65541:PGM65543 PQI65541:PQI65543 QAE65541:QAE65543 QKA65541:QKA65543 QTW65541:QTW65543 RDS65541:RDS65543 RNO65541:RNO65543 RXK65541:RXK65543 SHG65541:SHG65543 SRC65541:SRC65543 TAY65541:TAY65543 TKU65541:TKU65543 TUQ65541:TUQ65543 UEM65541:UEM65543 UOI65541:UOI65543 UYE65541:UYE65543 VIA65541:VIA65543 VRW65541:VRW65543 WBS65541:WBS65543 WLO65541:WLO65543 WVK65541:WVK65543 C131077:C131079 IY131077:IY131079 SU131077:SU131079 ACQ131077:ACQ131079 AMM131077:AMM131079 AWI131077:AWI131079 BGE131077:BGE131079 BQA131077:BQA131079 BZW131077:BZW131079 CJS131077:CJS131079 CTO131077:CTO131079 DDK131077:DDK131079 DNG131077:DNG131079 DXC131077:DXC131079 EGY131077:EGY131079 EQU131077:EQU131079 FAQ131077:FAQ131079 FKM131077:FKM131079 FUI131077:FUI131079 GEE131077:GEE131079 GOA131077:GOA131079 GXW131077:GXW131079 HHS131077:HHS131079 HRO131077:HRO131079 IBK131077:IBK131079 ILG131077:ILG131079 IVC131077:IVC131079 JEY131077:JEY131079 JOU131077:JOU131079 JYQ131077:JYQ131079 KIM131077:KIM131079 KSI131077:KSI131079 LCE131077:LCE131079 LMA131077:LMA131079 LVW131077:LVW131079 MFS131077:MFS131079 MPO131077:MPO131079 MZK131077:MZK131079 NJG131077:NJG131079 NTC131077:NTC131079 OCY131077:OCY131079 OMU131077:OMU131079 OWQ131077:OWQ131079 PGM131077:PGM131079 PQI131077:PQI131079 QAE131077:QAE131079 QKA131077:QKA131079 QTW131077:QTW131079 RDS131077:RDS131079 RNO131077:RNO131079 RXK131077:RXK131079 SHG131077:SHG131079 SRC131077:SRC131079 TAY131077:TAY131079 TKU131077:TKU131079 TUQ131077:TUQ131079 UEM131077:UEM131079 UOI131077:UOI131079 UYE131077:UYE131079 VIA131077:VIA131079 VRW131077:VRW131079 WBS131077:WBS131079 WLO131077:WLO131079 WVK131077:WVK131079 C196613:C196615 IY196613:IY196615 SU196613:SU196615 ACQ196613:ACQ196615 AMM196613:AMM196615 AWI196613:AWI196615 BGE196613:BGE196615 BQA196613:BQA196615 BZW196613:BZW196615 CJS196613:CJS196615 CTO196613:CTO196615 DDK196613:DDK196615 DNG196613:DNG196615 DXC196613:DXC196615 EGY196613:EGY196615 EQU196613:EQU196615 FAQ196613:FAQ196615 FKM196613:FKM196615 FUI196613:FUI196615 GEE196613:GEE196615 GOA196613:GOA196615 GXW196613:GXW196615 HHS196613:HHS196615 HRO196613:HRO196615 IBK196613:IBK196615 ILG196613:ILG196615 IVC196613:IVC196615 JEY196613:JEY196615 JOU196613:JOU196615 JYQ196613:JYQ196615 KIM196613:KIM196615 KSI196613:KSI196615 LCE196613:LCE196615 LMA196613:LMA196615 LVW196613:LVW196615 MFS196613:MFS196615 MPO196613:MPO196615 MZK196613:MZK196615 NJG196613:NJG196615 NTC196613:NTC196615 OCY196613:OCY196615 OMU196613:OMU196615 OWQ196613:OWQ196615 PGM196613:PGM196615 PQI196613:PQI196615 QAE196613:QAE196615 QKA196613:QKA196615 QTW196613:QTW196615 RDS196613:RDS196615 RNO196613:RNO196615 RXK196613:RXK196615 SHG196613:SHG196615 SRC196613:SRC196615 TAY196613:TAY196615 TKU196613:TKU196615 TUQ196613:TUQ196615 UEM196613:UEM196615 UOI196613:UOI196615 UYE196613:UYE196615 VIA196613:VIA196615 VRW196613:VRW196615 WBS196613:WBS196615 WLO196613:WLO196615 WVK196613:WVK196615 C262149:C262151 IY262149:IY262151 SU262149:SU262151 ACQ262149:ACQ262151 AMM262149:AMM262151 AWI262149:AWI262151 BGE262149:BGE262151 BQA262149:BQA262151 BZW262149:BZW262151 CJS262149:CJS262151 CTO262149:CTO262151 DDK262149:DDK262151 DNG262149:DNG262151 DXC262149:DXC262151 EGY262149:EGY262151 EQU262149:EQU262151 FAQ262149:FAQ262151 FKM262149:FKM262151 FUI262149:FUI262151 GEE262149:GEE262151 GOA262149:GOA262151 GXW262149:GXW262151 HHS262149:HHS262151 HRO262149:HRO262151 IBK262149:IBK262151 ILG262149:ILG262151 IVC262149:IVC262151 JEY262149:JEY262151 JOU262149:JOU262151 JYQ262149:JYQ262151 KIM262149:KIM262151 KSI262149:KSI262151 LCE262149:LCE262151 LMA262149:LMA262151 LVW262149:LVW262151 MFS262149:MFS262151 MPO262149:MPO262151 MZK262149:MZK262151 NJG262149:NJG262151 NTC262149:NTC262151 OCY262149:OCY262151 OMU262149:OMU262151 OWQ262149:OWQ262151 PGM262149:PGM262151 PQI262149:PQI262151 QAE262149:QAE262151 QKA262149:QKA262151 QTW262149:QTW262151 RDS262149:RDS262151 RNO262149:RNO262151 RXK262149:RXK262151 SHG262149:SHG262151 SRC262149:SRC262151 TAY262149:TAY262151 TKU262149:TKU262151 TUQ262149:TUQ262151 UEM262149:UEM262151 UOI262149:UOI262151 UYE262149:UYE262151 VIA262149:VIA262151 VRW262149:VRW262151 WBS262149:WBS262151 WLO262149:WLO262151 WVK262149:WVK262151 C327685:C327687 IY327685:IY327687 SU327685:SU327687 ACQ327685:ACQ327687 AMM327685:AMM327687 AWI327685:AWI327687 BGE327685:BGE327687 BQA327685:BQA327687 BZW327685:BZW327687 CJS327685:CJS327687 CTO327685:CTO327687 DDK327685:DDK327687 DNG327685:DNG327687 DXC327685:DXC327687 EGY327685:EGY327687 EQU327685:EQU327687 FAQ327685:FAQ327687 FKM327685:FKM327687 FUI327685:FUI327687 GEE327685:GEE327687 GOA327685:GOA327687 GXW327685:GXW327687 HHS327685:HHS327687 HRO327685:HRO327687 IBK327685:IBK327687 ILG327685:ILG327687 IVC327685:IVC327687 JEY327685:JEY327687 JOU327685:JOU327687 JYQ327685:JYQ327687 KIM327685:KIM327687 KSI327685:KSI327687 LCE327685:LCE327687 LMA327685:LMA327687 LVW327685:LVW327687 MFS327685:MFS327687 MPO327685:MPO327687 MZK327685:MZK327687 NJG327685:NJG327687 NTC327685:NTC327687 OCY327685:OCY327687 OMU327685:OMU327687 OWQ327685:OWQ327687 PGM327685:PGM327687 PQI327685:PQI327687 QAE327685:QAE327687 QKA327685:QKA327687 QTW327685:QTW327687 RDS327685:RDS327687 RNO327685:RNO327687 RXK327685:RXK327687 SHG327685:SHG327687 SRC327685:SRC327687 TAY327685:TAY327687 TKU327685:TKU327687 TUQ327685:TUQ327687 UEM327685:UEM327687 UOI327685:UOI327687 UYE327685:UYE327687 VIA327685:VIA327687 VRW327685:VRW327687 WBS327685:WBS327687 WLO327685:WLO327687 WVK327685:WVK327687 C393221:C393223 IY393221:IY393223 SU393221:SU393223 ACQ393221:ACQ393223 AMM393221:AMM393223 AWI393221:AWI393223 BGE393221:BGE393223 BQA393221:BQA393223 BZW393221:BZW393223 CJS393221:CJS393223 CTO393221:CTO393223 DDK393221:DDK393223 DNG393221:DNG393223 DXC393221:DXC393223 EGY393221:EGY393223 EQU393221:EQU393223 FAQ393221:FAQ393223 FKM393221:FKM393223 FUI393221:FUI393223 GEE393221:GEE393223 GOA393221:GOA393223 GXW393221:GXW393223 HHS393221:HHS393223 HRO393221:HRO393223 IBK393221:IBK393223 ILG393221:ILG393223 IVC393221:IVC393223 JEY393221:JEY393223 JOU393221:JOU393223 JYQ393221:JYQ393223 KIM393221:KIM393223 KSI393221:KSI393223 LCE393221:LCE393223 LMA393221:LMA393223 LVW393221:LVW393223 MFS393221:MFS393223 MPO393221:MPO393223 MZK393221:MZK393223 NJG393221:NJG393223 NTC393221:NTC393223 OCY393221:OCY393223 OMU393221:OMU393223 OWQ393221:OWQ393223 PGM393221:PGM393223 PQI393221:PQI393223 QAE393221:QAE393223 QKA393221:QKA393223 QTW393221:QTW393223 RDS393221:RDS393223 RNO393221:RNO393223 RXK393221:RXK393223 SHG393221:SHG393223 SRC393221:SRC393223 TAY393221:TAY393223 TKU393221:TKU393223 TUQ393221:TUQ393223 UEM393221:UEM393223 UOI393221:UOI393223 UYE393221:UYE393223 VIA393221:VIA393223 VRW393221:VRW393223 WBS393221:WBS393223 WLO393221:WLO393223 WVK393221:WVK393223 C458757:C458759 IY458757:IY458759 SU458757:SU458759 ACQ458757:ACQ458759 AMM458757:AMM458759 AWI458757:AWI458759 BGE458757:BGE458759 BQA458757:BQA458759 BZW458757:BZW458759 CJS458757:CJS458759 CTO458757:CTO458759 DDK458757:DDK458759 DNG458757:DNG458759 DXC458757:DXC458759 EGY458757:EGY458759 EQU458757:EQU458759 FAQ458757:FAQ458759 FKM458757:FKM458759 FUI458757:FUI458759 GEE458757:GEE458759 GOA458757:GOA458759 GXW458757:GXW458759 HHS458757:HHS458759 HRO458757:HRO458759 IBK458757:IBK458759 ILG458757:ILG458759 IVC458757:IVC458759 JEY458757:JEY458759 JOU458757:JOU458759 JYQ458757:JYQ458759 KIM458757:KIM458759 KSI458757:KSI458759 LCE458757:LCE458759 LMA458757:LMA458759 LVW458757:LVW458759 MFS458757:MFS458759 MPO458757:MPO458759 MZK458757:MZK458759 NJG458757:NJG458759 NTC458757:NTC458759 OCY458757:OCY458759 OMU458757:OMU458759 OWQ458757:OWQ458759 PGM458757:PGM458759 PQI458757:PQI458759 QAE458757:QAE458759 QKA458757:QKA458759 QTW458757:QTW458759 RDS458757:RDS458759 RNO458757:RNO458759 RXK458757:RXK458759 SHG458757:SHG458759 SRC458757:SRC458759 TAY458757:TAY458759 TKU458757:TKU458759 TUQ458757:TUQ458759 UEM458757:UEM458759 UOI458757:UOI458759 UYE458757:UYE458759 VIA458757:VIA458759 VRW458757:VRW458759 WBS458757:WBS458759 WLO458757:WLO458759 WVK458757:WVK458759 C524293:C524295 IY524293:IY524295 SU524293:SU524295 ACQ524293:ACQ524295 AMM524293:AMM524295 AWI524293:AWI524295 BGE524293:BGE524295 BQA524293:BQA524295 BZW524293:BZW524295 CJS524293:CJS524295 CTO524293:CTO524295 DDK524293:DDK524295 DNG524293:DNG524295 DXC524293:DXC524295 EGY524293:EGY524295 EQU524293:EQU524295 FAQ524293:FAQ524295 FKM524293:FKM524295 FUI524293:FUI524295 GEE524293:GEE524295 GOA524293:GOA524295 GXW524293:GXW524295 HHS524293:HHS524295 HRO524293:HRO524295 IBK524293:IBK524295 ILG524293:ILG524295 IVC524293:IVC524295 JEY524293:JEY524295 JOU524293:JOU524295 JYQ524293:JYQ524295 KIM524293:KIM524295 KSI524293:KSI524295 LCE524293:LCE524295 LMA524293:LMA524295 LVW524293:LVW524295 MFS524293:MFS524295 MPO524293:MPO524295 MZK524293:MZK524295 NJG524293:NJG524295 NTC524293:NTC524295 OCY524293:OCY524295 OMU524293:OMU524295 OWQ524293:OWQ524295 PGM524293:PGM524295 PQI524293:PQI524295 QAE524293:QAE524295 QKA524293:QKA524295 QTW524293:QTW524295 RDS524293:RDS524295 RNO524293:RNO524295 RXK524293:RXK524295 SHG524293:SHG524295 SRC524293:SRC524295 TAY524293:TAY524295 TKU524293:TKU524295 TUQ524293:TUQ524295 UEM524293:UEM524295 UOI524293:UOI524295 UYE524293:UYE524295 VIA524293:VIA524295 VRW524293:VRW524295 WBS524293:WBS524295 WLO524293:WLO524295 WVK524293:WVK524295 C589829:C589831 IY589829:IY589831 SU589829:SU589831 ACQ589829:ACQ589831 AMM589829:AMM589831 AWI589829:AWI589831 BGE589829:BGE589831 BQA589829:BQA589831 BZW589829:BZW589831 CJS589829:CJS589831 CTO589829:CTO589831 DDK589829:DDK589831 DNG589829:DNG589831 DXC589829:DXC589831 EGY589829:EGY589831 EQU589829:EQU589831 FAQ589829:FAQ589831 FKM589829:FKM589831 FUI589829:FUI589831 GEE589829:GEE589831 GOA589829:GOA589831 GXW589829:GXW589831 HHS589829:HHS589831 HRO589829:HRO589831 IBK589829:IBK589831 ILG589829:ILG589831 IVC589829:IVC589831 JEY589829:JEY589831 JOU589829:JOU589831 JYQ589829:JYQ589831 KIM589829:KIM589831 KSI589829:KSI589831 LCE589829:LCE589831 LMA589829:LMA589831 LVW589829:LVW589831 MFS589829:MFS589831 MPO589829:MPO589831 MZK589829:MZK589831 NJG589829:NJG589831 NTC589829:NTC589831 OCY589829:OCY589831 OMU589829:OMU589831 OWQ589829:OWQ589831 PGM589829:PGM589831 PQI589829:PQI589831 QAE589829:QAE589831 QKA589829:QKA589831 QTW589829:QTW589831 RDS589829:RDS589831 RNO589829:RNO589831 RXK589829:RXK589831 SHG589829:SHG589831 SRC589829:SRC589831 TAY589829:TAY589831 TKU589829:TKU589831 TUQ589829:TUQ589831 UEM589829:UEM589831 UOI589829:UOI589831 UYE589829:UYE589831 VIA589829:VIA589831 VRW589829:VRW589831 WBS589829:WBS589831 WLO589829:WLO589831 WVK589829:WVK589831 C655365:C655367 IY655365:IY655367 SU655365:SU655367 ACQ655365:ACQ655367 AMM655365:AMM655367 AWI655365:AWI655367 BGE655365:BGE655367 BQA655365:BQA655367 BZW655365:BZW655367 CJS655365:CJS655367 CTO655365:CTO655367 DDK655365:DDK655367 DNG655365:DNG655367 DXC655365:DXC655367 EGY655365:EGY655367 EQU655365:EQU655367 FAQ655365:FAQ655367 FKM655365:FKM655367 FUI655365:FUI655367 GEE655365:GEE655367 GOA655365:GOA655367 GXW655365:GXW655367 HHS655365:HHS655367 HRO655365:HRO655367 IBK655365:IBK655367 ILG655365:ILG655367 IVC655365:IVC655367 JEY655365:JEY655367 JOU655365:JOU655367 JYQ655365:JYQ655367 KIM655365:KIM655367 KSI655365:KSI655367 LCE655365:LCE655367 LMA655365:LMA655367 LVW655365:LVW655367 MFS655365:MFS655367 MPO655365:MPO655367 MZK655365:MZK655367 NJG655365:NJG655367 NTC655365:NTC655367 OCY655365:OCY655367 OMU655365:OMU655367 OWQ655365:OWQ655367 PGM655365:PGM655367 PQI655365:PQI655367 QAE655365:QAE655367 QKA655365:QKA655367 QTW655365:QTW655367 RDS655365:RDS655367 RNO655365:RNO655367 RXK655365:RXK655367 SHG655365:SHG655367 SRC655365:SRC655367 TAY655365:TAY655367 TKU655365:TKU655367 TUQ655365:TUQ655367 UEM655365:UEM655367 UOI655365:UOI655367 UYE655365:UYE655367 VIA655365:VIA655367 VRW655365:VRW655367 WBS655365:WBS655367 WLO655365:WLO655367 WVK655365:WVK655367 C720901:C720903 IY720901:IY720903 SU720901:SU720903 ACQ720901:ACQ720903 AMM720901:AMM720903 AWI720901:AWI720903 BGE720901:BGE720903 BQA720901:BQA720903 BZW720901:BZW720903 CJS720901:CJS720903 CTO720901:CTO720903 DDK720901:DDK720903 DNG720901:DNG720903 DXC720901:DXC720903 EGY720901:EGY720903 EQU720901:EQU720903 FAQ720901:FAQ720903 FKM720901:FKM720903 FUI720901:FUI720903 GEE720901:GEE720903 GOA720901:GOA720903 GXW720901:GXW720903 HHS720901:HHS720903 HRO720901:HRO720903 IBK720901:IBK720903 ILG720901:ILG720903 IVC720901:IVC720903 JEY720901:JEY720903 JOU720901:JOU720903 JYQ720901:JYQ720903 KIM720901:KIM720903 KSI720901:KSI720903 LCE720901:LCE720903 LMA720901:LMA720903 LVW720901:LVW720903 MFS720901:MFS720903 MPO720901:MPO720903 MZK720901:MZK720903 NJG720901:NJG720903 NTC720901:NTC720903 OCY720901:OCY720903 OMU720901:OMU720903 OWQ720901:OWQ720903 PGM720901:PGM720903 PQI720901:PQI720903 QAE720901:QAE720903 QKA720901:QKA720903 QTW720901:QTW720903 RDS720901:RDS720903 RNO720901:RNO720903 RXK720901:RXK720903 SHG720901:SHG720903 SRC720901:SRC720903 TAY720901:TAY720903 TKU720901:TKU720903 TUQ720901:TUQ720903 UEM720901:UEM720903 UOI720901:UOI720903 UYE720901:UYE720903 VIA720901:VIA720903 VRW720901:VRW720903 WBS720901:WBS720903 WLO720901:WLO720903 WVK720901:WVK720903 C786437:C786439 IY786437:IY786439 SU786437:SU786439 ACQ786437:ACQ786439 AMM786437:AMM786439 AWI786437:AWI786439 BGE786437:BGE786439 BQA786437:BQA786439 BZW786437:BZW786439 CJS786437:CJS786439 CTO786437:CTO786439 DDK786437:DDK786439 DNG786437:DNG786439 DXC786437:DXC786439 EGY786437:EGY786439 EQU786437:EQU786439 FAQ786437:FAQ786439 FKM786437:FKM786439 FUI786437:FUI786439 GEE786437:GEE786439 GOA786437:GOA786439 GXW786437:GXW786439 HHS786437:HHS786439 HRO786437:HRO786439 IBK786437:IBK786439 ILG786437:ILG786439 IVC786437:IVC786439 JEY786437:JEY786439 JOU786437:JOU786439 JYQ786437:JYQ786439 KIM786437:KIM786439 KSI786437:KSI786439 LCE786437:LCE786439 LMA786437:LMA786439 LVW786437:LVW786439 MFS786437:MFS786439 MPO786437:MPO786439 MZK786437:MZK786439 NJG786437:NJG786439 NTC786437:NTC786439 OCY786437:OCY786439 OMU786437:OMU786439 OWQ786437:OWQ786439 PGM786437:PGM786439 PQI786437:PQI786439 QAE786437:QAE786439 QKA786437:QKA786439 QTW786437:QTW786439 RDS786437:RDS786439 RNO786437:RNO786439 RXK786437:RXK786439 SHG786437:SHG786439 SRC786437:SRC786439 TAY786437:TAY786439 TKU786437:TKU786439 TUQ786437:TUQ786439 UEM786437:UEM786439 UOI786437:UOI786439 UYE786437:UYE786439 VIA786437:VIA786439 VRW786437:VRW786439 WBS786437:WBS786439 WLO786437:WLO786439 WVK786437:WVK786439 C851973:C851975 IY851973:IY851975 SU851973:SU851975 ACQ851973:ACQ851975 AMM851973:AMM851975 AWI851973:AWI851975 BGE851973:BGE851975 BQA851973:BQA851975 BZW851973:BZW851975 CJS851973:CJS851975 CTO851973:CTO851975 DDK851973:DDK851975 DNG851973:DNG851975 DXC851973:DXC851975 EGY851973:EGY851975 EQU851973:EQU851975 FAQ851973:FAQ851975 FKM851973:FKM851975 FUI851973:FUI851975 GEE851973:GEE851975 GOA851973:GOA851975 GXW851973:GXW851975 HHS851973:HHS851975 HRO851973:HRO851975 IBK851973:IBK851975 ILG851973:ILG851975 IVC851973:IVC851975 JEY851973:JEY851975 JOU851973:JOU851975 JYQ851973:JYQ851975 KIM851973:KIM851975 KSI851973:KSI851975 LCE851973:LCE851975 LMA851973:LMA851975 LVW851973:LVW851975 MFS851973:MFS851975 MPO851973:MPO851975 MZK851973:MZK851975 NJG851973:NJG851975 NTC851973:NTC851975 OCY851973:OCY851975 OMU851973:OMU851975 OWQ851973:OWQ851975 PGM851973:PGM851975 PQI851973:PQI851975 QAE851973:QAE851975 QKA851973:QKA851975 QTW851973:QTW851975 RDS851973:RDS851975 RNO851973:RNO851975 RXK851973:RXK851975 SHG851973:SHG851975 SRC851973:SRC851975 TAY851973:TAY851975 TKU851973:TKU851975 TUQ851973:TUQ851975 UEM851973:UEM851975 UOI851973:UOI851975 UYE851973:UYE851975 VIA851973:VIA851975 VRW851973:VRW851975 WBS851973:WBS851975 WLO851973:WLO851975 WVK851973:WVK851975 C917509:C917511 IY917509:IY917511 SU917509:SU917511 ACQ917509:ACQ917511 AMM917509:AMM917511 AWI917509:AWI917511 BGE917509:BGE917511 BQA917509:BQA917511 BZW917509:BZW917511 CJS917509:CJS917511 CTO917509:CTO917511 DDK917509:DDK917511 DNG917509:DNG917511 DXC917509:DXC917511 EGY917509:EGY917511 EQU917509:EQU917511 FAQ917509:FAQ917511 FKM917509:FKM917511 FUI917509:FUI917511 GEE917509:GEE917511 GOA917509:GOA917511 GXW917509:GXW917511 HHS917509:HHS917511 HRO917509:HRO917511 IBK917509:IBK917511 ILG917509:ILG917511 IVC917509:IVC917511 JEY917509:JEY917511 JOU917509:JOU917511 JYQ917509:JYQ917511 KIM917509:KIM917511 KSI917509:KSI917511 LCE917509:LCE917511 LMA917509:LMA917511 LVW917509:LVW917511 MFS917509:MFS917511 MPO917509:MPO917511 MZK917509:MZK917511 NJG917509:NJG917511 NTC917509:NTC917511 OCY917509:OCY917511 OMU917509:OMU917511 OWQ917509:OWQ917511 PGM917509:PGM917511 PQI917509:PQI917511 QAE917509:QAE917511 QKA917509:QKA917511 QTW917509:QTW917511 RDS917509:RDS917511 RNO917509:RNO917511 RXK917509:RXK917511 SHG917509:SHG917511 SRC917509:SRC917511 TAY917509:TAY917511 TKU917509:TKU917511 TUQ917509:TUQ917511 UEM917509:UEM917511 UOI917509:UOI917511 UYE917509:UYE917511 VIA917509:VIA917511 VRW917509:VRW917511 WBS917509:WBS917511 WLO917509:WLO917511 WVK917509:WVK917511 C983045:C983047 IY983045:IY983047 SU983045:SU983047 ACQ983045:ACQ983047 AMM983045:AMM983047 AWI983045:AWI983047 BGE983045:BGE983047 BQA983045:BQA983047 BZW983045:BZW983047 CJS983045:CJS983047 CTO983045:CTO983047 DDK983045:DDK983047 DNG983045:DNG983047 DXC983045:DXC983047 EGY983045:EGY983047 EQU983045:EQU983047 FAQ983045:FAQ983047 FKM983045:FKM983047 FUI983045:FUI983047 GEE983045:GEE983047 GOA983045:GOA983047 GXW983045:GXW983047 HHS983045:HHS983047 HRO983045:HRO983047 IBK983045:IBK983047 ILG983045:ILG983047 IVC983045:IVC983047 JEY983045:JEY983047 JOU983045:JOU983047 JYQ983045:JYQ983047 KIM983045:KIM983047 KSI983045:KSI983047 LCE983045:LCE983047 LMA983045:LMA983047 LVW983045:LVW983047 MFS983045:MFS983047 MPO983045:MPO983047 MZK983045:MZK983047 NJG983045:NJG983047 NTC983045:NTC983047 OCY983045:OCY983047 OMU983045:OMU983047 OWQ983045:OWQ983047 PGM983045:PGM983047 PQI983045:PQI983047 QAE983045:QAE983047 QKA983045:QKA983047 QTW983045:QTW983047 RDS983045:RDS983047 RNO983045:RNO983047 RXK983045:RXK983047 SHG983045:SHG983047 SRC983045:SRC983047 TAY983045:TAY983047 TKU983045:TKU983047 TUQ983045:TUQ983047 UEM983045:UEM983047 UOI983045:UOI983047 UYE983045:UYE983047 VIA983045:VIA983047 VRW983045:VRW983047 WBS983045:WBS983047 WLO983045:WLO983047 WVK983045:WVK983047">
      <formula1>"0,1"</formula1>
    </dataValidation>
    <dataValidation type="list" operator="notBetween" allowBlank="1" showInputMessage="1" showErrorMessage="1"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formula1>"0,8,9"</formula1>
    </dataValidation>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36 IY65536 SU65536 ACQ65536 AMM65536 AWI65536 BGE65536 BQA65536 BZW65536 CJS65536 CTO65536 DDK65536 DNG65536 DXC65536 EGY65536 EQU65536 FAQ65536 FKM65536 FUI65536 GEE65536 GOA65536 GXW65536 HHS65536 HRO65536 IBK65536 ILG65536 IVC65536 JEY65536 JOU65536 JYQ65536 KIM65536 KSI65536 LCE65536 LMA65536 LVW65536 MFS65536 MPO65536 MZK65536 NJG65536 NTC65536 OCY65536 OMU65536 OWQ65536 PGM65536 PQI65536 QAE65536 QKA65536 QTW65536 RDS65536 RNO65536 RXK65536 SHG65536 SRC65536 TAY65536 TKU65536 TUQ65536 UEM65536 UOI65536 UYE65536 VIA65536 VRW65536 WBS65536 WLO65536 WVK65536 C131072 IY131072 SU131072 ACQ131072 AMM131072 AWI131072 BGE131072 BQA131072 BZW131072 CJS131072 CTO131072 DDK131072 DNG131072 DXC131072 EGY131072 EQU131072 FAQ131072 FKM131072 FUI131072 GEE131072 GOA131072 GXW131072 HHS131072 HRO131072 IBK131072 ILG131072 IVC131072 JEY131072 JOU131072 JYQ131072 KIM131072 KSI131072 LCE131072 LMA131072 LVW131072 MFS131072 MPO131072 MZK131072 NJG131072 NTC131072 OCY131072 OMU131072 OWQ131072 PGM131072 PQI131072 QAE131072 QKA131072 QTW131072 RDS131072 RNO131072 RXK131072 SHG131072 SRC131072 TAY131072 TKU131072 TUQ131072 UEM131072 UOI131072 UYE131072 VIA131072 VRW131072 WBS131072 WLO131072 WVK131072 C196608 IY196608 SU196608 ACQ196608 AMM196608 AWI196608 BGE196608 BQA196608 BZW196608 CJS196608 CTO196608 DDK196608 DNG196608 DXC196608 EGY196608 EQU196608 FAQ196608 FKM196608 FUI196608 GEE196608 GOA196608 GXW196608 HHS196608 HRO196608 IBK196608 ILG196608 IVC196608 JEY196608 JOU196608 JYQ196608 KIM196608 KSI196608 LCE196608 LMA196608 LVW196608 MFS196608 MPO196608 MZK196608 NJG196608 NTC196608 OCY196608 OMU196608 OWQ196608 PGM196608 PQI196608 QAE196608 QKA196608 QTW196608 RDS196608 RNO196608 RXK196608 SHG196608 SRC196608 TAY196608 TKU196608 TUQ196608 UEM196608 UOI196608 UYE196608 VIA196608 VRW196608 WBS196608 WLO196608 WVK196608 C262144 IY262144 SU262144 ACQ262144 AMM262144 AWI262144 BGE262144 BQA262144 BZW262144 CJS262144 CTO262144 DDK262144 DNG262144 DXC262144 EGY262144 EQU262144 FAQ262144 FKM262144 FUI262144 GEE262144 GOA262144 GXW262144 HHS262144 HRO262144 IBK262144 ILG262144 IVC262144 JEY262144 JOU262144 JYQ262144 KIM262144 KSI262144 LCE262144 LMA262144 LVW262144 MFS262144 MPO262144 MZK262144 NJG262144 NTC262144 OCY262144 OMU262144 OWQ262144 PGM262144 PQI262144 QAE262144 QKA262144 QTW262144 RDS262144 RNO262144 RXK262144 SHG262144 SRC262144 TAY262144 TKU262144 TUQ262144 UEM262144 UOI262144 UYE262144 VIA262144 VRW262144 WBS262144 WLO262144 WVK262144 C327680 IY327680 SU327680 ACQ327680 AMM327680 AWI327680 BGE327680 BQA327680 BZW327680 CJS327680 CTO327680 DDK327680 DNG327680 DXC327680 EGY327680 EQU327680 FAQ327680 FKM327680 FUI327680 GEE327680 GOA327680 GXW327680 HHS327680 HRO327680 IBK327680 ILG327680 IVC327680 JEY327680 JOU327680 JYQ327680 KIM327680 KSI327680 LCE327680 LMA327680 LVW327680 MFS327680 MPO327680 MZK327680 NJG327680 NTC327680 OCY327680 OMU327680 OWQ327680 PGM327680 PQI327680 QAE327680 QKA327680 QTW327680 RDS327680 RNO327680 RXK327680 SHG327680 SRC327680 TAY327680 TKU327680 TUQ327680 UEM327680 UOI327680 UYE327680 VIA327680 VRW327680 WBS327680 WLO327680 WVK327680 C393216 IY393216 SU393216 ACQ393216 AMM393216 AWI393216 BGE393216 BQA393216 BZW393216 CJS393216 CTO393216 DDK393216 DNG393216 DXC393216 EGY393216 EQU393216 FAQ393216 FKM393216 FUI393216 GEE393216 GOA393216 GXW393216 HHS393216 HRO393216 IBK393216 ILG393216 IVC393216 JEY393216 JOU393216 JYQ393216 KIM393216 KSI393216 LCE393216 LMA393216 LVW393216 MFS393216 MPO393216 MZK393216 NJG393216 NTC393216 OCY393216 OMU393216 OWQ393216 PGM393216 PQI393216 QAE393216 QKA393216 QTW393216 RDS393216 RNO393216 RXK393216 SHG393216 SRC393216 TAY393216 TKU393216 TUQ393216 UEM393216 UOI393216 UYE393216 VIA393216 VRW393216 WBS393216 WLO393216 WVK393216 C458752 IY458752 SU458752 ACQ458752 AMM458752 AWI458752 BGE458752 BQA458752 BZW458752 CJS458752 CTO458752 DDK458752 DNG458752 DXC458752 EGY458752 EQU458752 FAQ458752 FKM458752 FUI458752 GEE458752 GOA458752 GXW458752 HHS458752 HRO458752 IBK458752 ILG458752 IVC458752 JEY458752 JOU458752 JYQ458752 KIM458752 KSI458752 LCE458752 LMA458752 LVW458752 MFS458752 MPO458752 MZK458752 NJG458752 NTC458752 OCY458752 OMU458752 OWQ458752 PGM458752 PQI458752 QAE458752 QKA458752 QTW458752 RDS458752 RNO458752 RXK458752 SHG458752 SRC458752 TAY458752 TKU458752 TUQ458752 UEM458752 UOI458752 UYE458752 VIA458752 VRW458752 WBS458752 WLO458752 WVK458752 C524288 IY524288 SU524288 ACQ524288 AMM524288 AWI524288 BGE524288 BQA524288 BZW524288 CJS524288 CTO524288 DDK524288 DNG524288 DXC524288 EGY524288 EQU524288 FAQ524288 FKM524288 FUI524288 GEE524288 GOA524288 GXW524288 HHS524288 HRO524288 IBK524288 ILG524288 IVC524288 JEY524288 JOU524288 JYQ524288 KIM524288 KSI524288 LCE524288 LMA524288 LVW524288 MFS524288 MPO524288 MZK524288 NJG524288 NTC524288 OCY524288 OMU524288 OWQ524288 PGM524288 PQI524288 QAE524288 QKA524288 QTW524288 RDS524288 RNO524288 RXK524288 SHG524288 SRC524288 TAY524288 TKU524288 TUQ524288 UEM524288 UOI524288 UYE524288 VIA524288 VRW524288 WBS524288 WLO524288 WVK524288 C589824 IY589824 SU589824 ACQ589824 AMM589824 AWI589824 BGE589824 BQA589824 BZW589824 CJS589824 CTO589824 DDK589824 DNG589824 DXC589824 EGY589824 EQU589824 FAQ589824 FKM589824 FUI589824 GEE589824 GOA589824 GXW589824 HHS589824 HRO589824 IBK589824 ILG589824 IVC589824 JEY589824 JOU589824 JYQ589824 KIM589824 KSI589824 LCE589824 LMA589824 LVW589824 MFS589824 MPO589824 MZK589824 NJG589824 NTC589824 OCY589824 OMU589824 OWQ589824 PGM589824 PQI589824 QAE589824 QKA589824 QTW589824 RDS589824 RNO589824 RXK589824 SHG589824 SRC589824 TAY589824 TKU589824 TUQ589824 UEM589824 UOI589824 UYE589824 VIA589824 VRW589824 WBS589824 WLO589824 WVK589824 C655360 IY655360 SU655360 ACQ655360 AMM655360 AWI655360 BGE655360 BQA655360 BZW655360 CJS655360 CTO655360 DDK655360 DNG655360 DXC655360 EGY655360 EQU655360 FAQ655360 FKM655360 FUI655360 GEE655360 GOA655360 GXW655360 HHS655360 HRO655360 IBK655360 ILG655360 IVC655360 JEY655360 JOU655360 JYQ655360 KIM655360 KSI655360 LCE655360 LMA655360 LVW655360 MFS655360 MPO655360 MZK655360 NJG655360 NTC655360 OCY655360 OMU655360 OWQ655360 PGM655360 PQI655360 QAE655360 QKA655360 QTW655360 RDS655360 RNO655360 RXK655360 SHG655360 SRC655360 TAY655360 TKU655360 TUQ655360 UEM655360 UOI655360 UYE655360 VIA655360 VRW655360 WBS655360 WLO655360 WVK655360 C720896 IY720896 SU720896 ACQ720896 AMM720896 AWI720896 BGE720896 BQA720896 BZW720896 CJS720896 CTO720896 DDK720896 DNG720896 DXC720896 EGY720896 EQU720896 FAQ720896 FKM720896 FUI720896 GEE720896 GOA720896 GXW720896 HHS720896 HRO720896 IBK720896 ILG720896 IVC720896 JEY720896 JOU720896 JYQ720896 KIM720896 KSI720896 LCE720896 LMA720896 LVW720896 MFS720896 MPO720896 MZK720896 NJG720896 NTC720896 OCY720896 OMU720896 OWQ720896 PGM720896 PQI720896 QAE720896 QKA720896 QTW720896 RDS720896 RNO720896 RXK720896 SHG720896 SRC720896 TAY720896 TKU720896 TUQ720896 UEM720896 UOI720896 UYE720896 VIA720896 VRW720896 WBS720896 WLO720896 WVK720896 C786432 IY786432 SU786432 ACQ786432 AMM786432 AWI786432 BGE786432 BQA786432 BZW786432 CJS786432 CTO786432 DDK786432 DNG786432 DXC786432 EGY786432 EQU786432 FAQ786432 FKM786432 FUI786432 GEE786432 GOA786432 GXW786432 HHS786432 HRO786432 IBK786432 ILG786432 IVC786432 JEY786432 JOU786432 JYQ786432 KIM786432 KSI786432 LCE786432 LMA786432 LVW786432 MFS786432 MPO786432 MZK786432 NJG786432 NTC786432 OCY786432 OMU786432 OWQ786432 PGM786432 PQI786432 QAE786432 QKA786432 QTW786432 RDS786432 RNO786432 RXK786432 SHG786432 SRC786432 TAY786432 TKU786432 TUQ786432 UEM786432 UOI786432 UYE786432 VIA786432 VRW786432 WBS786432 WLO786432 WVK786432 C851968 IY851968 SU851968 ACQ851968 AMM851968 AWI851968 BGE851968 BQA851968 BZW851968 CJS851968 CTO851968 DDK851968 DNG851968 DXC851968 EGY851968 EQU851968 FAQ851968 FKM851968 FUI851968 GEE851968 GOA851968 GXW851968 HHS851968 HRO851968 IBK851968 ILG851968 IVC851968 JEY851968 JOU851968 JYQ851968 KIM851968 KSI851968 LCE851968 LMA851968 LVW851968 MFS851968 MPO851968 MZK851968 NJG851968 NTC851968 OCY851968 OMU851968 OWQ851968 PGM851968 PQI851968 QAE851968 QKA851968 QTW851968 RDS851968 RNO851968 RXK851968 SHG851968 SRC851968 TAY851968 TKU851968 TUQ851968 UEM851968 UOI851968 UYE851968 VIA851968 VRW851968 WBS851968 WLO851968 WVK851968 C917504 IY917504 SU917504 ACQ917504 AMM917504 AWI917504 BGE917504 BQA917504 BZW917504 CJS917504 CTO917504 DDK917504 DNG917504 DXC917504 EGY917504 EQU917504 FAQ917504 FKM917504 FUI917504 GEE917504 GOA917504 GXW917504 HHS917504 HRO917504 IBK917504 ILG917504 IVC917504 JEY917504 JOU917504 JYQ917504 KIM917504 KSI917504 LCE917504 LMA917504 LVW917504 MFS917504 MPO917504 MZK917504 NJG917504 NTC917504 OCY917504 OMU917504 OWQ917504 PGM917504 PQI917504 QAE917504 QKA917504 QTW917504 RDS917504 RNO917504 RXK917504 SHG917504 SRC917504 TAY917504 TKU917504 TUQ917504 UEM917504 UOI917504 UYE917504 VIA917504 VRW917504 WBS917504 WLO917504 WVK917504 C983040 IY983040 SU983040 ACQ983040 AMM983040 AWI983040 BGE983040 BQA983040 BZW983040 CJS983040 CTO983040 DDK983040 DNG983040 DXC983040 EGY983040 EQU983040 FAQ983040 FKM983040 FUI983040 GEE983040 GOA983040 GXW983040 HHS983040 HRO983040 IBK983040 ILG983040 IVC983040 JEY983040 JOU983040 JYQ983040 KIM983040 KSI983040 LCE983040 LMA983040 LVW983040 MFS983040 MPO983040 MZK983040 NJG983040 NTC983040 OCY983040 OMU983040 OWQ983040 PGM983040 PQI983040 QAE983040 QKA983040 QTW983040 RDS983040 RNO983040 RXK983040 SHG983040 SRC983040 TAY983040 TKU983040 TUQ983040 UEM983040 UOI983040 UYE983040 VIA983040 VRW983040 WBS983040 WLO983040 WVK983040">
      <formula1>"1,2,3,4,5,6"</formula1>
    </dataValidation>
  </dataValidations>
  <pageMargins left="0.78740157499999996" right="0.78740157499999996" top="0.984251969" bottom="0.984251969" header="0.4921259845" footer="0.4921259845"/>
  <pageSetup paperSize="9" orientation="landscape"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92"/>
  <sheetViews>
    <sheetView workbookViewId="0">
      <selection activeCell="F20" sqref="F20"/>
    </sheetView>
  </sheetViews>
  <sheetFormatPr baseColWidth="10" defaultRowHeight="12.75"/>
  <cols>
    <col min="1" max="1" width="12" style="27" customWidth="1"/>
    <col min="2" max="2" width="14" style="27" customWidth="1"/>
    <col min="3" max="16384" width="11.42578125" style="27"/>
  </cols>
  <sheetData>
    <row r="2" spans="1:3">
      <c r="A2" s="43" t="s">
        <v>101</v>
      </c>
      <c r="B2" s="43"/>
    </row>
    <row r="3" spans="1:3">
      <c r="A3" s="27" t="s">
        <v>100</v>
      </c>
      <c r="B3" s="27">
        <f>'Aktuelles Einkommen'!C17</f>
        <v>0</v>
      </c>
    </row>
    <row r="4" spans="1:3">
      <c r="A4" s="27" t="s">
        <v>99</v>
      </c>
      <c r="B4" s="27">
        <f>'Aktuelles Einkommen'!C11</f>
        <v>0</v>
      </c>
    </row>
    <row r="5" spans="1:3">
      <c r="A5" s="27" t="s">
        <v>98</v>
      </c>
      <c r="B5" s="27">
        <f>'Aktuelles Einkommen'!C8</f>
        <v>1</v>
      </c>
    </row>
    <row r="6" spans="1:3">
      <c r="A6" s="27" t="s">
        <v>97</v>
      </c>
      <c r="B6" s="27">
        <f>'Aktuelles Einkommen'!C10</f>
        <v>0</v>
      </c>
    </row>
    <row r="7" spans="1:3">
      <c r="A7" s="27" t="s">
        <v>96</v>
      </c>
      <c r="B7" s="42">
        <f>ROUNDDOWN(IF(B5=1,'Aktuelles Einkommen'!C7*100,IF(B5=2,('Aktuelles Einkommen'!C7*100)*12,IF(B5=3,(('Aktuelles Einkommen'!C7*100)*360)/7,('Aktuelles Einkommen'!C7*100)*360))),2)</f>
        <v>4000000</v>
      </c>
    </row>
    <row r="8" spans="1:3">
      <c r="A8" s="27" t="s">
        <v>95</v>
      </c>
      <c r="B8" s="41">
        <f>'Aktuelles Einkommen'!C9</f>
        <v>1</v>
      </c>
    </row>
    <row r="9" spans="1:3">
      <c r="A9" s="27" t="s">
        <v>94</v>
      </c>
      <c r="B9" s="31">
        <f>'Aktuelles Einkommen'!C19*100</f>
        <v>0</v>
      </c>
      <c r="C9" s="27" t="s">
        <v>93</v>
      </c>
    </row>
    <row r="10" spans="1:3">
      <c r="A10" s="27" t="s">
        <v>92</v>
      </c>
      <c r="B10" s="38">
        <f>IF(B8=6,0,'Aktuelles Einkommen'!C18*100)</f>
        <v>0</v>
      </c>
    </row>
    <row r="11" spans="1:3">
      <c r="A11" s="27" t="s">
        <v>91</v>
      </c>
      <c r="B11" s="37">
        <f>IF('Aktuelles Einkommen'!C15=0,67200,57600)</f>
        <v>67200</v>
      </c>
    </row>
    <row r="12" spans="1:3">
      <c r="A12" s="27" t="s">
        <v>90</v>
      </c>
      <c r="B12" s="40">
        <f>IF('Aktuelles Einkommen'!C13&gt;20,ROUNDDOWN(IF(B5=1,'Aktuelles Einkommen'!C13*100,IF(B5=2,('Aktuelles Einkommen'!C13*100)*12,IF(B5=3,(('Aktuelles Einkommen'!C13*100)*360)/7,('Aktuelles Einkommen'!C13*100)*360))),2)/100,0)</f>
        <v>0</v>
      </c>
    </row>
    <row r="13" spans="1:3">
      <c r="A13" s="27" t="s">
        <v>89</v>
      </c>
      <c r="B13" s="39">
        <f>IF('Aktuelles Einkommen'!C16=0,0.00975,0.01475)+IF(AND('Aktuelles Einkommen'!C14=1,'Aktuelles Einkommen'!C11=0),0.0025,0)</f>
        <v>1.225E-2</v>
      </c>
    </row>
    <row r="15" spans="1:3">
      <c r="A15" s="29" t="s">
        <v>88</v>
      </c>
      <c r="B15" s="28"/>
    </row>
    <row r="16" spans="1:3">
      <c r="A16" s="33"/>
    </row>
    <row r="18" spans="1:3">
      <c r="B18" s="38"/>
    </row>
    <row r="19" spans="1:3">
      <c r="A19" s="27" t="s">
        <v>87</v>
      </c>
      <c r="B19" s="27">
        <v>0</v>
      </c>
    </row>
    <row r="20" spans="1:3">
      <c r="A20" s="27" t="s">
        <v>85</v>
      </c>
      <c r="B20" s="37">
        <f>B7-B9+B10-B19</f>
        <v>4000000</v>
      </c>
    </row>
    <row r="21" spans="1:3">
      <c r="A21" s="27" t="s">
        <v>77</v>
      </c>
      <c r="B21" s="37">
        <f>B7</f>
        <v>4000000</v>
      </c>
    </row>
    <row r="23" spans="1:3">
      <c r="A23" s="29" t="s">
        <v>86</v>
      </c>
      <c r="B23" s="28"/>
    </row>
    <row r="24" spans="1:3">
      <c r="A24" s="27" t="s">
        <v>85</v>
      </c>
      <c r="B24" s="31">
        <f>B20/100</f>
        <v>40000</v>
      </c>
    </row>
    <row r="25" spans="1:3">
      <c r="A25" s="27" t="s">
        <v>77</v>
      </c>
      <c r="B25" s="31">
        <f>B21/100</f>
        <v>40000</v>
      </c>
    </row>
    <row r="26" spans="1:3">
      <c r="B26" s="30"/>
    </row>
    <row r="27" spans="1:3">
      <c r="A27" s="29" t="s">
        <v>84</v>
      </c>
      <c r="B27" s="28"/>
    </row>
    <row r="28" spans="1:3">
      <c r="A28" s="27" t="s">
        <v>83</v>
      </c>
      <c r="B28" s="27">
        <f>IF(B8=3,2,1)</f>
        <v>1</v>
      </c>
    </row>
    <row r="29" spans="1:3">
      <c r="A29" s="27" t="s">
        <v>82</v>
      </c>
      <c r="B29" s="27">
        <v>1000</v>
      </c>
    </row>
    <row r="30" spans="1:3">
      <c r="A30" s="27" t="s">
        <v>81</v>
      </c>
      <c r="B30" s="27">
        <f>IF(B8=2,1308,0)</f>
        <v>0</v>
      </c>
      <c r="C30" s="36"/>
    </row>
    <row r="31" spans="1:3">
      <c r="A31" s="27" t="s">
        <v>80</v>
      </c>
      <c r="B31" s="27">
        <f>IF(B8&gt;5,0,36)</f>
        <v>36</v>
      </c>
    </row>
    <row r="32" spans="1:3">
      <c r="A32" s="27" t="s">
        <v>79</v>
      </c>
      <c r="B32" s="27">
        <f>IF(B8&lt;4,B4*7008,IF(B8=4,B4*3504,0))</f>
        <v>0</v>
      </c>
    </row>
    <row r="33" spans="1:2">
      <c r="A33" s="27" t="s">
        <v>55</v>
      </c>
      <c r="B33" s="27">
        <f>IF(B8=6,0,B29+B30+B31)</f>
        <v>1036</v>
      </c>
    </row>
    <row r="35" spans="1:2">
      <c r="A35" s="29" t="s">
        <v>78</v>
      </c>
      <c r="B35" s="35"/>
    </row>
    <row r="36" spans="1:2">
      <c r="A36" s="27" t="s">
        <v>77</v>
      </c>
      <c r="B36" s="30">
        <f>MIN(B11,B25)</f>
        <v>40000</v>
      </c>
    </row>
    <row r="37" spans="1:2">
      <c r="A37" s="27" t="s">
        <v>76</v>
      </c>
      <c r="B37" s="30">
        <f>IF(B6=1,0,ROUNDDOWN(0.48*B36*0.098,2))</f>
        <v>1881.6</v>
      </c>
    </row>
    <row r="38" spans="1:2">
      <c r="A38" s="33" t="s">
        <v>75</v>
      </c>
      <c r="B38" s="30">
        <f>IF(B28=1,1900,3000)</f>
        <v>1900</v>
      </c>
    </row>
    <row r="39" spans="1:2">
      <c r="A39" s="33" t="s">
        <v>74</v>
      </c>
      <c r="B39" s="30">
        <f>MIN(B38,ROUNDDOWN(0.12*B36,2))</f>
        <v>1900</v>
      </c>
    </row>
    <row r="40" spans="1:2">
      <c r="A40" s="33" t="s">
        <v>73</v>
      </c>
      <c r="B40" s="34">
        <f>IF('Aktuelles Einkommen'!C13=0,0,0.079+B13)</f>
        <v>9.1249999999999998E-2</v>
      </c>
    </row>
    <row r="41" spans="1:2">
      <c r="A41" s="33" t="s">
        <v>72</v>
      </c>
      <c r="B41" s="30">
        <f>IF(B12&gt;0,B12,MIN(B24,45900)*B40)</f>
        <v>3650</v>
      </c>
    </row>
    <row r="42" spans="1:2">
      <c r="A42" s="33" t="s">
        <v>71</v>
      </c>
      <c r="B42" s="30">
        <f>IF(B41&gt;B38,B41,B39)</f>
        <v>3650</v>
      </c>
    </row>
    <row r="43" spans="1:2">
      <c r="A43" s="33" t="s">
        <v>70</v>
      </c>
      <c r="B43" s="30">
        <f>ROUNDUP(B37+B42,0)</f>
        <v>5532</v>
      </c>
    </row>
    <row r="44" spans="1:2">
      <c r="A44" s="33"/>
      <c r="B44" s="30"/>
    </row>
    <row r="45" spans="1:2">
      <c r="A45" s="29" t="s">
        <v>69</v>
      </c>
      <c r="B45" s="28"/>
    </row>
    <row r="46" spans="1:2">
      <c r="A46" s="27" t="s">
        <v>54</v>
      </c>
      <c r="B46" s="31">
        <f>ROUNDDOWN(B24-B33-B43,0)</f>
        <v>33432</v>
      </c>
    </row>
    <row r="47" spans="1:2">
      <c r="A47" s="27" t="s">
        <v>68</v>
      </c>
      <c r="B47" s="31">
        <f>MAX(0,ROUNDDOWN(B46/B28,0))</f>
        <v>33432</v>
      </c>
    </row>
    <row r="49" spans="1:2">
      <c r="A49" s="29" t="s">
        <v>67</v>
      </c>
      <c r="B49" s="28"/>
    </row>
    <row r="50" spans="1:2">
      <c r="A50" s="27" t="s">
        <v>52</v>
      </c>
      <c r="B50" s="27">
        <f>IF(AND(B47&gt;8004,B47&lt;13470),INT((912.17*(B47-8004)/10000+1400)*(B47-8004)/10000),IF(AND(B47&gt;13469,B47&lt;52882),INT((228.74*(B47-13469)/10000+2397)*(B47-13469)/10000+1038),IF(AND(B47&gt;52881,B47&lt;250731),INT(B47*0.42-8172),IF(B47&gt;250730,INT(B47*0.45-15694),0))))*B28</f>
        <v>6734</v>
      </c>
    </row>
    <row r="51" spans="1:2">
      <c r="A51" s="32"/>
    </row>
    <row r="52" spans="1:2">
      <c r="A52" s="29" t="s">
        <v>66</v>
      </c>
      <c r="B52" s="28"/>
    </row>
    <row r="53" spans="1:2">
      <c r="B53" s="31"/>
    </row>
    <row r="54" spans="1:2">
      <c r="A54" s="27" t="s">
        <v>64</v>
      </c>
      <c r="B54" s="31">
        <f>MIN(26441,B47)*1.25</f>
        <v>33051.25</v>
      </c>
    </row>
    <row r="55" spans="1:2">
      <c r="A55" s="27" t="s">
        <v>65</v>
      </c>
      <c r="B55" s="27">
        <f>IF(AND(B54&gt;8004,B54&lt;13470),INT((912.17*(B54-8004)/10000+1400)*(B54-8004)/10000),IF(AND(B54&gt;13469,B54&lt;52882),INT((228.74*(B54-13469)/10000+2397)*(B54-13469)/10000+1038),IF(AND(B54&gt;52881,B54&lt;250731),INT(B54*0.42-8172),IF(B54&gt;250730,INT(B54*0.45-15694),0))))</f>
        <v>6609</v>
      </c>
    </row>
    <row r="56" spans="1:2">
      <c r="A56" s="27" t="s">
        <v>64</v>
      </c>
      <c r="B56" s="31">
        <f>MIN(26441,B47)*0.75</f>
        <v>19830.75</v>
      </c>
    </row>
    <row r="57" spans="1:2">
      <c r="A57" s="27" t="s">
        <v>63</v>
      </c>
      <c r="B57" s="27">
        <f>IF(AND(B56&gt;8004,B56&lt;13470),INT((912.17*(B56-8004)/10000+1400)*(B56-8004)/10000),IF(AND(B56&gt;13469,B56&lt;52882),INT((228.74*(B56-13469)/10000+2397)*(B56-13469)/10000+1038),IF(AND(B56&gt;52881,B56&lt;250731),INT(B56*0.42-8172),IF(B56&gt;250730,INT(B56*0.45-15694),0))))</f>
        <v>2655</v>
      </c>
    </row>
    <row r="58" spans="1:2">
      <c r="A58" s="27" t="s">
        <v>62</v>
      </c>
      <c r="B58" s="31">
        <f>(B55-B57)*2</f>
        <v>7908</v>
      </c>
    </row>
    <row r="59" spans="1:2">
      <c r="A59" s="27" t="s">
        <v>61</v>
      </c>
      <c r="B59" s="27">
        <f>ROUNDDOWN(MIN(B47,26441)*0.14,0)</f>
        <v>3701</v>
      </c>
    </row>
    <row r="60" spans="1:2">
      <c r="A60" s="27" t="s">
        <v>52</v>
      </c>
      <c r="B60" s="31">
        <f>MAX(B58,B59)</f>
        <v>7908</v>
      </c>
    </row>
    <row r="61" spans="1:2">
      <c r="A61" s="27" t="s">
        <v>52</v>
      </c>
      <c r="B61" s="31">
        <f>IF(B47&gt;200584,(200584 - 26441)*0.42 + B60,ROUNDDOWN(MAX(B47-26441,0)*0.42+B60,0))</f>
        <v>10844</v>
      </c>
    </row>
    <row r="62" spans="1:2">
      <c r="A62" s="27" t="s">
        <v>60</v>
      </c>
      <c r="B62" s="27">
        <f>IF(AND(B47&gt;9429,B47&lt;=26441),B60,0)</f>
        <v>0</v>
      </c>
    </row>
    <row r="63" spans="1:2">
      <c r="A63" s="27" t="s">
        <v>52</v>
      </c>
      <c r="B63" s="31">
        <f>1320</f>
        <v>1320</v>
      </c>
    </row>
    <row r="64" spans="1:2">
      <c r="A64" s="27" t="s">
        <v>52</v>
      </c>
      <c r="B64" s="31">
        <f xml:space="preserve"> MIN(ROUNDDOWN(MAX(B47-9429,0)*0.42+B63,0),B61)</f>
        <v>10844</v>
      </c>
    </row>
    <row r="65" spans="1:4">
      <c r="A65" s="27" t="s">
        <v>59</v>
      </c>
      <c r="B65" s="31">
        <f>ROUNDDOWN(MAX(B47-200584,0)*0.45+B64,0)</f>
        <v>10844</v>
      </c>
    </row>
    <row r="66" spans="1:4">
      <c r="A66" s="27" t="s">
        <v>58</v>
      </c>
      <c r="B66" s="27">
        <f>IF(B8&lt;5,B50,B65)</f>
        <v>6734</v>
      </c>
    </row>
    <row r="67" spans="1:4">
      <c r="A67" s="27" t="s">
        <v>44</v>
      </c>
      <c r="B67" s="27">
        <f>B66*100</f>
        <v>673400</v>
      </c>
      <c r="D67" s="31"/>
    </row>
    <row r="69" spans="1:4">
      <c r="A69" s="29" t="s">
        <v>57</v>
      </c>
      <c r="B69" s="28"/>
    </row>
    <row r="71" spans="1:4">
      <c r="A71" s="27" t="s">
        <v>56</v>
      </c>
      <c r="B71" s="27">
        <f>IF(B5=1,B67,IF(B5=2,ROUNDDOWN(B67/12,0),IF(B5=3,ROUNDDOWN((B67*7)/360,0),ROUNDDOWN(B67/360,0))))</f>
        <v>673400</v>
      </c>
    </row>
    <row r="72" spans="1:4">
      <c r="A72" s="27" t="s">
        <v>55</v>
      </c>
      <c r="B72" s="27">
        <f>B32+B33</f>
        <v>1036</v>
      </c>
    </row>
    <row r="73" spans="1:4">
      <c r="A73" s="27" t="s">
        <v>54</v>
      </c>
      <c r="B73" s="31">
        <f>B24-B43-B72</f>
        <v>33432</v>
      </c>
    </row>
    <row r="74" spans="1:4">
      <c r="A74" s="27" t="s">
        <v>53</v>
      </c>
      <c r="B74" s="27">
        <f>IF(B73&lt;36,0,ROUNDDOWN(B73/B28,0))</f>
        <v>33432</v>
      </c>
    </row>
    <row r="75" spans="1:4">
      <c r="A75" s="27" t="s">
        <v>52</v>
      </c>
      <c r="B75" s="27">
        <f>IF(AND(B74&gt;8004,B74&lt;13470),INT((912.17*(B74-8004)/10000+1400)*(B74-8004)/10000),IF(AND(B74&gt;13469,B74&lt;52882),INT((228.74*(B74-13469)/10000+2397)*(B74-13469)/10000+1038),IF(AND(B74&gt;52881,B74&lt;250731),INT(B74*0.42-8172),IF(B74&gt;250730,INT(B74*0.45-15694),0))))*B28</f>
        <v>6734</v>
      </c>
    </row>
    <row r="76" spans="1:4">
      <c r="A76" s="27" t="s">
        <v>51</v>
      </c>
      <c r="B76" s="27">
        <f>IF(B4&gt;0,B75,B66)</f>
        <v>6734</v>
      </c>
    </row>
    <row r="78" spans="1:4">
      <c r="A78" s="29" t="s">
        <v>50</v>
      </c>
      <c r="B78" s="28"/>
    </row>
    <row r="79" spans="1:4">
      <c r="A79" s="27" t="s">
        <v>49</v>
      </c>
      <c r="B79" s="27">
        <f>972*B28</f>
        <v>972</v>
      </c>
    </row>
    <row r="80" spans="1:4">
      <c r="A80" s="27" t="s">
        <v>47</v>
      </c>
      <c r="B80" s="30">
        <f>ROUNDDOWN((B76*5.5)/100,2)</f>
        <v>370.37</v>
      </c>
    </row>
    <row r="81" spans="1:5">
      <c r="A81" s="27" t="s">
        <v>48</v>
      </c>
      <c r="B81" s="30">
        <f>((B76-B79)*20)/100</f>
        <v>1152.4000000000001</v>
      </c>
    </row>
    <row r="82" spans="1:5">
      <c r="A82" s="27" t="s">
        <v>47</v>
      </c>
      <c r="B82" s="30">
        <f>MIN(B81,B80)</f>
        <v>370.37</v>
      </c>
    </row>
    <row r="83" spans="1:5">
      <c r="A83" s="27" t="s">
        <v>44</v>
      </c>
      <c r="B83" s="27">
        <f>B82*100</f>
        <v>37037</v>
      </c>
    </row>
    <row r="85" spans="1:5">
      <c r="A85" s="29" t="s">
        <v>46</v>
      </c>
      <c r="B85" s="28"/>
    </row>
    <row r="86" spans="1:5">
      <c r="A86" s="27" t="s">
        <v>43</v>
      </c>
      <c r="B86" s="27">
        <f>ROUNDDOWN(IF(B5=1,B83,IF(B5=2,B83/12,IF(B5=3,(B83*7)/360,B83/360))),0)</f>
        <v>37037</v>
      </c>
    </row>
    <row r="87" spans="1:5">
      <c r="A87" s="27" t="s">
        <v>45</v>
      </c>
      <c r="B87" s="27">
        <f>IF(B76&gt;B79,B86,0)</f>
        <v>37037</v>
      </c>
      <c r="E87" s="30"/>
    </row>
    <row r="88" spans="1:5">
      <c r="A88" s="27" t="s">
        <v>44</v>
      </c>
      <c r="B88" s="27">
        <f>B76*100</f>
        <v>673400</v>
      </c>
    </row>
    <row r="90" spans="1:5">
      <c r="A90" s="29" t="s">
        <v>42</v>
      </c>
      <c r="B90" s="28"/>
    </row>
    <row r="91" spans="1:5">
      <c r="A91" s="27" t="s">
        <v>43</v>
      </c>
      <c r="B91" s="27">
        <f>ROUNDDOWN(IF(B5=1,B88,IF(B5=2,B88/12,IF(B5=3,(B88*7)/360,B88/360))),0)</f>
        <v>673400</v>
      </c>
    </row>
    <row r="92" spans="1:5">
      <c r="A92" s="27" t="s">
        <v>42</v>
      </c>
      <c r="B92" s="27">
        <f>B91</f>
        <v>673400</v>
      </c>
    </row>
  </sheetData>
  <pageMargins left="0.78740157499999996" right="0.78740157499999996" top="0.984251969" bottom="0.984251969" header="0.4921259845" footer="0.4921259845"/>
  <pageSetup paperSize="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92"/>
  <sheetViews>
    <sheetView workbookViewId="0">
      <selection activeCell="F20" sqref="F20"/>
    </sheetView>
  </sheetViews>
  <sheetFormatPr baseColWidth="10" defaultRowHeight="12.75"/>
  <cols>
    <col min="1" max="1" width="12" style="27" customWidth="1"/>
    <col min="2" max="2" width="14" style="27" customWidth="1"/>
    <col min="3" max="16384" width="11.42578125" style="27"/>
  </cols>
  <sheetData>
    <row r="2" spans="1:3">
      <c r="A2" s="43" t="s">
        <v>101</v>
      </c>
      <c r="B2" s="43"/>
    </row>
    <row r="3" spans="1:3">
      <c r="A3" s="27" t="s">
        <v>100</v>
      </c>
      <c r="B3" s="27">
        <f>'Aktuelles Einkommen'!C17</f>
        <v>0</v>
      </c>
    </row>
    <row r="4" spans="1:3">
      <c r="A4" s="27" t="s">
        <v>99</v>
      </c>
      <c r="B4" s="27">
        <f>'Aktuelles Einkommen'!C11</f>
        <v>0</v>
      </c>
    </row>
    <row r="5" spans="1:3">
      <c r="A5" s="27" t="s">
        <v>98</v>
      </c>
      <c r="B5" s="27">
        <f>'Aktuelles Einkommen'!C8</f>
        <v>1</v>
      </c>
    </row>
    <row r="6" spans="1:3">
      <c r="A6" s="27" t="s">
        <v>97</v>
      </c>
      <c r="B6" s="27">
        <f>'Aktuelles Einkommen'!C10</f>
        <v>0</v>
      </c>
    </row>
    <row r="7" spans="1:3">
      <c r="A7" s="27" t="s">
        <v>96</v>
      </c>
      <c r="B7" s="42">
        <f>ROUNDDOWN(IF(B5=1,'Aktuelles Einkommen'!F7*100,IF(B5=2,('Aktuelles Einkommen'!F7*100)*12,IF(B5=3,(('Aktuelles Einkommen'!F7*100)*360)/7,('Aktuelles Einkommen'!F7*100)*360))),2)</f>
        <v>3760000</v>
      </c>
    </row>
    <row r="8" spans="1:3">
      <c r="A8" s="27" t="s">
        <v>95</v>
      </c>
      <c r="B8" s="41">
        <f>'Aktuelles Einkommen'!C9</f>
        <v>1</v>
      </c>
    </row>
    <row r="9" spans="1:3">
      <c r="A9" s="27" t="s">
        <v>94</v>
      </c>
      <c r="B9" s="31">
        <f>'Aktuelles Einkommen'!C19*100</f>
        <v>0</v>
      </c>
      <c r="C9" s="27" t="s">
        <v>93</v>
      </c>
    </row>
    <row r="10" spans="1:3">
      <c r="A10" s="27" t="s">
        <v>92</v>
      </c>
      <c r="B10" s="38">
        <f>IF(B8=6,0,'Aktuelles Einkommen'!C18*100)</f>
        <v>0</v>
      </c>
    </row>
    <row r="11" spans="1:3">
      <c r="A11" s="27" t="s">
        <v>91</v>
      </c>
      <c r="B11" s="37">
        <f>IF('Aktuelles Einkommen'!C15=0,67200,57600)</f>
        <v>67200</v>
      </c>
    </row>
    <row r="12" spans="1:3">
      <c r="A12" s="27" t="s">
        <v>90</v>
      </c>
      <c r="B12" s="40">
        <f>IF('Aktuelles Einkommen'!C13&gt;20,ROUNDDOWN(IF(B5=1,'Aktuelles Einkommen'!C13*100,IF(B5=2,('Aktuelles Einkommen'!C13*100)*12,IF(B5=3,(('Aktuelles Einkommen'!C13*100)*360)/7,('Aktuelles Einkommen'!C13*100)*360))),2)/100,0)</f>
        <v>0</v>
      </c>
    </row>
    <row r="13" spans="1:3">
      <c r="A13" s="27" t="s">
        <v>89</v>
      </c>
      <c r="B13" s="39">
        <f>IF('Aktuelles Einkommen'!C16=0,0.00975,0.01475)+IF(AND('Aktuelles Einkommen'!C14=1,'Aktuelles Einkommen'!C11=0),0.0025,0)</f>
        <v>1.225E-2</v>
      </c>
    </row>
    <row r="15" spans="1:3">
      <c r="A15" s="29" t="s">
        <v>88</v>
      </c>
      <c r="B15" s="28"/>
    </row>
    <row r="16" spans="1:3">
      <c r="A16" s="33"/>
    </row>
    <row r="18" spans="1:3">
      <c r="B18" s="38"/>
    </row>
    <row r="19" spans="1:3">
      <c r="A19" s="27" t="s">
        <v>87</v>
      </c>
      <c r="B19" s="27">
        <v>0</v>
      </c>
    </row>
    <row r="20" spans="1:3">
      <c r="A20" s="27" t="s">
        <v>85</v>
      </c>
      <c r="B20" s="37">
        <f>B7-B9+B10-B19</f>
        <v>3760000</v>
      </c>
    </row>
    <row r="21" spans="1:3">
      <c r="A21" s="27" t="s">
        <v>77</v>
      </c>
      <c r="B21" s="37">
        <f>B7</f>
        <v>3760000</v>
      </c>
    </row>
    <row r="23" spans="1:3">
      <c r="A23" s="29" t="s">
        <v>86</v>
      </c>
      <c r="B23" s="28"/>
    </row>
    <row r="24" spans="1:3">
      <c r="A24" s="27" t="s">
        <v>85</v>
      </c>
      <c r="B24" s="31">
        <f>B20/100</f>
        <v>37600</v>
      </c>
    </row>
    <row r="25" spans="1:3">
      <c r="A25" s="27" t="s">
        <v>77</v>
      </c>
      <c r="B25" s="31">
        <f>B21/100</f>
        <v>37600</v>
      </c>
    </row>
    <row r="26" spans="1:3">
      <c r="B26" s="30"/>
    </row>
    <row r="27" spans="1:3">
      <c r="A27" s="29" t="s">
        <v>84</v>
      </c>
      <c r="B27" s="28"/>
    </row>
    <row r="28" spans="1:3">
      <c r="A28" s="27" t="s">
        <v>83</v>
      </c>
      <c r="B28" s="27">
        <f>IF(B8=3,2,1)</f>
        <v>1</v>
      </c>
    </row>
    <row r="29" spans="1:3">
      <c r="A29" s="27" t="s">
        <v>82</v>
      </c>
      <c r="B29" s="27">
        <v>1000</v>
      </c>
    </row>
    <row r="30" spans="1:3">
      <c r="A30" s="27" t="s">
        <v>81</v>
      </c>
      <c r="B30" s="27">
        <f>IF(B8=2,1308,0)</f>
        <v>0</v>
      </c>
      <c r="C30" s="36"/>
    </row>
    <row r="31" spans="1:3">
      <c r="A31" s="27" t="s">
        <v>80</v>
      </c>
      <c r="B31" s="27">
        <f>IF(B8&gt;5,0,36)</f>
        <v>36</v>
      </c>
    </row>
    <row r="32" spans="1:3">
      <c r="A32" s="27" t="s">
        <v>79</v>
      </c>
      <c r="B32" s="27">
        <f>IF(B8&lt;4,B4*7008,IF(B8=4,B4*3504,0))</f>
        <v>0</v>
      </c>
    </row>
    <row r="33" spans="1:2">
      <c r="A33" s="27" t="s">
        <v>55</v>
      </c>
      <c r="B33" s="27">
        <f>IF(B8=6,0,B29+B30+B31)</f>
        <v>1036</v>
      </c>
    </row>
    <row r="35" spans="1:2">
      <c r="A35" s="29" t="s">
        <v>78</v>
      </c>
      <c r="B35" s="35"/>
    </row>
    <row r="36" spans="1:2">
      <c r="A36" s="27" t="s">
        <v>77</v>
      </c>
      <c r="B36" s="30">
        <f>MIN(B11,B25)</f>
        <v>37600</v>
      </c>
    </row>
    <row r="37" spans="1:2">
      <c r="A37" s="27" t="s">
        <v>76</v>
      </c>
      <c r="B37" s="30">
        <f>IF(B6=1,0,ROUNDDOWN(0.48*B36*0.098,2))</f>
        <v>1768.7</v>
      </c>
    </row>
    <row r="38" spans="1:2">
      <c r="A38" s="33" t="s">
        <v>75</v>
      </c>
      <c r="B38" s="30">
        <f>IF(B28=1,1900,3000)</f>
        <v>1900</v>
      </c>
    </row>
    <row r="39" spans="1:2">
      <c r="A39" s="33" t="s">
        <v>74</v>
      </c>
      <c r="B39" s="30">
        <f>MIN(B38,ROUNDDOWN(0.12*B36,2))</f>
        <v>1900</v>
      </c>
    </row>
    <row r="40" spans="1:2">
      <c r="A40" s="33" t="s">
        <v>73</v>
      </c>
      <c r="B40" s="34">
        <f>IF('Aktuelles Einkommen'!C13=0,0,0.079+B13)</f>
        <v>9.1249999999999998E-2</v>
      </c>
    </row>
    <row r="41" spans="1:2">
      <c r="A41" s="33" t="s">
        <v>72</v>
      </c>
      <c r="B41" s="30">
        <f>IF(B12&gt;0,B12,MIN(B24,45900)*B40)</f>
        <v>3431</v>
      </c>
    </row>
    <row r="42" spans="1:2">
      <c r="A42" s="33" t="s">
        <v>71</v>
      </c>
      <c r="B42" s="30">
        <f>IF(B41&gt;B38,B41,B39)</f>
        <v>3431</v>
      </c>
    </row>
    <row r="43" spans="1:2">
      <c r="A43" s="33" t="s">
        <v>70</v>
      </c>
      <c r="B43" s="30">
        <f>ROUNDUP(B37+B42,0)</f>
        <v>5200</v>
      </c>
    </row>
    <row r="44" spans="1:2">
      <c r="A44" s="33"/>
      <c r="B44" s="30"/>
    </row>
    <row r="45" spans="1:2">
      <c r="A45" s="29" t="s">
        <v>69</v>
      </c>
      <c r="B45" s="28"/>
    </row>
    <row r="46" spans="1:2">
      <c r="A46" s="27" t="s">
        <v>54</v>
      </c>
      <c r="B46" s="31">
        <f>ROUNDDOWN(B24-B33-B43,0)</f>
        <v>31364</v>
      </c>
    </row>
    <row r="47" spans="1:2">
      <c r="A47" s="27" t="s">
        <v>68</v>
      </c>
      <c r="B47" s="31">
        <f>MAX(0,ROUNDDOWN(B46/B28,0))</f>
        <v>31364</v>
      </c>
    </row>
    <row r="49" spans="1:2">
      <c r="A49" s="29" t="s">
        <v>102</v>
      </c>
      <c r="B49" s="28"/>
    </row>
    <row r="50" spans="1:2">
      <c r="A50" s="27" t="s">
        <v>52</v>
      </c>
      <c r="B50" s="27">
        <f>IF(AND(B47&gt;8004,B47&lt;13470),INT((912.17*(B47-8004)/10000+1400)*(B47-8004)/10000),IF(AND(B47&gt;13469,B47&lt;52882),INT((228.74*(B47-13469)/10000+2397)*(B47-13469)/10000+1038),IF(AND(B47&gt;52881,B47&lt;250731),INT(B47*0.42-8172),IF(B47&gt;250730,INT(B47*0.45-15694),0))))*B28</f>
        <v>6059</v>
      </c>
    </row>
    <row r="51" spans="1:2">
      <c r="A51" s="32"/>
    </row>
    <row r="52" spans="1:2">
      <c r="A52" s="29" t="s">
        <v>66</v>
      </c>
      <c r="B52" s="28"/>
    </row>
    <row r="53" spans="1:2">
      <c r="B53" s="31"/>
    </row>
    <row r="54" spans="1:2">
      <c r="A54" s="27" t="s">
        <v>64</v>
      </c>
      <c r="B54" s="31">
        <f>MIN(26441,B47)*1.25</f>
        <v>33051.25</v>
      </c>
    </row>
    <row r="55" spans="1:2">
      <c r="A55" s="27" t="s">
        <v>65</v>
      </c>
      <c r="B55" s="27">
        <f>IF(AND(B54&gt;8004,B54&lt;13470),INT((912.17*(B54-8004)/10000+1400)*(B54-8004)/10000),IF(AND(B54&gt;13469,B54&lt;52882),INT((228.74*(B54-13469)/10000+2397)*(B54-13469)/10000+1038),IF(AND(B54&gt;52881,B54&lt;250731),INT(B54*0.42-8172),IF(B54&gt;250730,INT(B54*0.45-15694),0))))</f>
        <v>6609</v>
      </c>
    </row>
    <row r="56" spans="1:2">
      <c r="A56" s="27" t="s">
        <v>64</v>
      </c>
      <c r="B56" s="31">
        <f>MIN(26441,B47)*0.75</f>
        <v>19830.75</v>
      </c>
    </row>
    <row r="57" spans="1:2">
      <c r="A57" s="27" t="s">
        <v>63</v>
      </c>
      <c r="B57" s="27">
        <f>IF(AND(B56&gt;8004,B56&lt;13470),INT((912.17*(B56-8004)/10000+1400)*(B56-8004)/10000),IF(AND(B56&gt;13469,B56&lt;52882),INT((228.74*(B56-13469)/10000+2397)*(B56-13469)/10000+1038),IF(AND(B56&gt;52881,B56&lt;250731),INT(B56*0.42-8172),IF(B56&gt;250730,INT(B56*0.45-15694),0))))</f>
        <v>2655</v>
      </c>
    </row>
    <row r="58" spans="1:2">
      <c r="A58" s="27" t="s">
        <v>62</v>
      </c>
      <c r="B58" s="31">
        <f>(B55-B57)*2</f>
        <v>7908</v>
      </c>
    </row>
    <row r="59" spans="1:2">
      <c r="A59" s="27" t="s">
        <v>61</v>
      </c>
      <c r="B59" s="27">
        <f>ROUNDDOWN(MIN(B47,26441)*0.14,0)</f>
        <v>3701</v>
      </c>
    </row>
    <row r="60" spans="1:2">
      <c r="A60" s="27" t="s">
        <v>52</v>
      </c>
      <c r="B60" s="31">
        <f>MAX(B58,B59)</f>
        <v>7908</v>
      </c>
    </row>
    <row r="61" spans="1:2">
      <c r="A61" s="27" t="s">
        <v>52</v>
      </c>
      <c r="B61" s="31">
        <f>IF(B47&gt;200584,(200584 - 26441)*0.42 + B60,ROUNDDOWN(MAX(B47-26441,0)*0.42+B60,0))</f>
        <v>9975</v>
      </c>
    </row>
    <row r="62" spans="1:2">
      <c r="A62" s="27" t="s">
        <v>60</v>
      </c>
      <c r="B62" s="27">
        <f>IF(AND(B47&gt;9429,B47&lt;=26441),B60,0)</f>
        <v>0</v>
      </c>
    </row>
    <row r="63" spans="1:2">
      <c r="A63" s="27" t="s">
        <v>52</v>
      </c>
      <c r="B63" s="31">
        <f>1320</f>
        <v>1320</v>
      </c>
    </row>
    <row r="64" spans="1:2">
      <c r="A64" s="27" t="s">
        <v>52</v>
      </c>
      <c r="B64" s="31">
        <f xml:space="preserve"> MIN(ROUNDDOWN(MAX(B47-9429,0)*0.42+B63,0),B61)</f>
        <v>9975</v>
      </c>
    </row>
    <row r="65" spans="1:4">
      <c r="A65" s="27" t="s">
        <v>59</v>
      </c>
      <c r="B65" s="31">
        <f>ROUNDDOWN(MAX(B47-200584,0)*0.45+B64,0)</f>
        <v>9975</v>
      </c>
    </row>
    <row r="66" spans="1:4">
      <c r="A66" s="27" t="s">
        <v>58</v>
      </c>
      <c r="B66" s="27">
        <f>IF(B8&lt;5,B50,B65)</f>
        <v>6059</v>
      </c>
    </row>
    <row r="67" spans="1:4">
      <c r="A67" s="27" t="s">
        <v>44</v>
      </c>
      <c r="B67" s="27">
        <f>B66*100</f>
        <v>605900</v>
      </c>
      <c r="D67" s="31"/>
    </row>
    <row r="69" spans="1:4">
      <c r="A69" s="29" t="s">
        <v>57</v>
      </c>
      <c r="B69" s="28"/>
    </row>
    <row r="71" spans="1:4">
      <c r="A71" s="27" t="s">
        <v>56</v>
      </c>
      <c r="B71" s="27">
        <f>IF(B5=1,B67,IF(B5=2,ROUNDDOWN(B67/12,0),IF(B5=3,ROUNDDOWN((B67*7)/360,0),ROUNDDOWN(B67/360,0))))</f>
        <v>605900</v>
      </c>
    </row>
    <row r="72" spans="1:4">
      <c r="A72" s="27" t="s">
        <v>55</v>
      </c>
      <c r="B72" s="27">
        <f>B32+B33</f>
        <v>1036</v>
      </c>
    </row>
    <row r="73" spans="1:4">
      <c r="A73" s="27" t="s">
        <v>54</v>
      </c>
      <c r="B73" s="31">
        <f>B24-B43-B72</f>
        <v>31364</v>
      </c>
    </row>
    <row r="74" spans="1:4">
      <c r="A74" s="27" t="s">
        <v>53</v>
      </c>
      <c r="B74" s="27">
        <f>IF(B73&lt;36,0,ROUNDDOWN(B73/B28,0))</f>
        <v>31364</v>
      </c>
    </row>
    <row r="75" spans="1:4">
      <c r="A75" s="27" t="s">
        <v>52</v>
      </c>
      <c r="B75" s="27">
        <f>IF(AND(B74&gt;8004,B74&lt;13470),INT((912.17*(B74-8004)/10000+1400)*(B74-8004)/10000),IF(AND(B74&gt;13469,B74&lt;52882),INT((228.74*(B74-13469)/10000+2397)*(B74-13469)/10000+1038),IF(AND(B74&gt;52881,B74&lt;250731),INT(B74*0.42-8172),IF(B74&gt;250730,INT(B74*0.45-15694),0))))*B28</f>
        <v>6059</v>
      </c>
    </row>
    <row r="76" spans="1:4">
      <c r="A76" s="27" t="s">
        <v>51</v>
      </c>
      <c r="B76" s="27">
        <f>IF(B4&gt;0,B75,B66)</f>
        <v>6059</v>
      </c>
    </row>
    <row r="78" spans="1:4">
      <c r="A78" s="29" t="s">
        <v>50</v>
      </c>
      <c r="B78" s="28"/>
    </row>
    <row r="79" spans="1:4">
      <c r="A79" s="27" t="s">
        <v>49</v>
      </c>
      <c r="B79" s="27">
        <f>972*B28</f>
        <v>972</v>
      </c>
    </row>
    <row r="80" spans="1:4">
      <c r="A80" s="27" t="s">
        <v>47</v>
      </c>
      <c r="B80" s="30">
        <f>ROUNDDOWN((B76*5.5)/100,2)</f>
        <v>333.24</v>
      </c>
    </row>
    <row r="81" spans="1:5">
      <c r="A81" s="27" t="s">
        <v>48</v>
      </c>
      <c r="B81" s="30">
        <f>((B76-B79)*20)/100</f>
        <v>1017.4</v>
      </c>
    </row>
    <row r="82" spans="1:5">
      <c r="A82" s="27" t="s">
        <v>47</v>
      </c>
      <c r="B82" s="30">
        <f>MIN(B81,B80)</f>
        <v>333.24</v>
      </c>
    </row>
    <row r="83" spans="1:5">
      <c r="A83" s="27" t="s">
        <v>44</v>
      </c>
      <c r="B83" s="27">
        <f>B82*100</f>
        <v>33324</v>
      </c>
    </row>
    <row r="85" spans="1:5">
      <c r="A85" s="29" t="s">
        <v>46</v>
      </c>
      <c r="B85" s="28"/>
    </row>
    <row r="86" spans="1:5">
      <c r="A86" s="27" t="s">
        <v>43</v>
      </c>
      <c r="B86" s="27">
        <f>ROUNDDOWN(IF(B5=1,B83,IF(B5=2,B83/12,IF(B5=3,(B83*7)/360,B83/360))),0)</f>
        <v>33324</v>
      </c>
    </row>
    <row r="87" spans="1:5">
      <c r="A87" s="27" t="s">
        <v>45</v>
      </c>
      <c r="B87" s="27">
        <f>IF(B76&gt;B79,B86,0)</f>
        <v>33324</v>
      </c>
      <c r="E87" s="30"/>
    </row>
    <row r="88" spans="1:5">
      <c r="A88" s="27" t="s">
        <v>44</v>
      </c>
      <c r="B88" s="27">
        <f>B76*100</f>
        <v>605900</v>
      </c>
    </row>
    <row r="90" spans="1:5">
      <c r="A90" s="29" t="s">
        <v>42</v>
      </c>
      <c r="B90" s="28"/>
    </row>
    <row r="91" spans="1:5">
      <c r="A91" s="27" t="s">
        <v>43</v>
      </c>
      <c r="B91" s="27">
        <f>ROUNDDOWN(IF(B5=1,B88,IF(B5=2,B88/12,IF(B5=3,(B88*7)/360,B88/360))),0)</f>
        <v>605900</v>
      </c>
    </row>
    <row r="92" spans="1:5">
      <c r="A92" s="27" t="s">
        <v>42</v>
      </c>
      <c r="B92" s="27">
        <f>B91</f>
        <v>605900</v>
      </c>
    </row>
  </sheetData>
  <pageMargins left="0.7" right="0.7" top="0.78740157499999996" bottom="0.78740157499999996"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Aktuelles Einkommen</vt:lpstr>
      <vt:lpstr>Berechnung</vt:lpstr>
      <vt:lpstr>Berechnung2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2012-12-04T19:07:09Z</dcterms:created>
  <dcterms:modified xsi:type="dcterms:W3CDTF">2012-12-04T19:35:22Z</dcterms:modified>
</cp:coreProperties>
</file>