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10" windowWidth="15120" windowHeight="8010" activeTab="1"/>
  </bookViews>
  <sheets>
    <sheet name="ausschüttend" sheetId="1" r:id="rId1"/>
    <sheet name="thesaurierend" sheetId="2" r:id="rId2"/>
  </sheets>
  <calcPr calcId="125725"/>
</workbook>
</file>

<file path=xl/calcChain.xml><?xml version="1.0" encoding="utf-8"?>
<calcChain xmlns="http://schemas.openxmlformats.org/spreadsheetml/2006/main">
  <c r="H33" i="2"/>
  <c r="H32"/>
  <c r="H31"/>
  <c r="H30"/>
  <c r="H25"/>
  <c r="H28"/>
  <c r="H26"/>
  <c r="J15" i="1"/>
  <c r="J14"/>
  <c r="J12"/>
  <c r="H34" i="2"/>
  <c r="H24"/>
  <c r="I24" s="1"/>
  <c r="K30" s="1"/>
  <c r="N11"/>
  <c r="O11" s="1"/>
  <c r="J11"/>
  <c r="I11"/>
  <c r="G5"/>
  <c r="D5"/>
  <c r="F4"/>
  <c r="C4"/>
  <c r="G3"/>
  <c r="D3"/>
  <c r="L2"/>
  <c r="F2"/>
  <c r="C2"/>
  <c r="D10" i="1"/>
  <c r="C10"/>
  <c r="F10"/>
  <c r="H10" s="1"/>
  <c r="B11" s="1"/>
  <c r="C11" s="1"/>
  <c r="B10"/>
  <c r="H9"/>
  <c r="G10"/>
  <c r="G9"/>
  <c r="F9"/>
  <c r="D9"/>
  <c r="C9"/>
  <c r="P11"/>
  <c r="K27"/>
  <c r="H24"/>
  <c r="I24" s="1"/>
  <c r="I5" i="2" l="1"/>
  <c r="I3"/>
  <c r="H4"/>
  <c r="H2"/>
  <c r="M2" s="1"/>
  <c r="J3" s="1"/>
  <c r="L3" s="1"/>
  <c r="D11" i="1"/>
  <c r="G11" s="1"/>
  <c r="F11"/>
  <c r="K11"/>
  <c r="K19" s="1"/>
  <c r="O11"/>
  <c r="N11"/>
  <c r="J16"/>
  <c r="J11"/>
  <c r="I11"/>
  <c r="O2"/>
  <c r="I3"/>
  <c r="L2"/>
  <c r="G5"/>
  <c r="F4"/>
  <c r="G3"/>
  <c r="F2"/>
  <c r="D5"/>
  <c r="I5" s="1"/>
  <c r="C4"/>
  <c r="H4" s="1"/>
  <c r="D3"/>
  <c r="C2"/>
  <c r="H2" s="1"/>
  <c r="M2" s="1"/>
  <c r="J3" s="1"/>
  <c r="L3" s="1"/>
  <c r="M3" s="1"/>
  <c r="J4" s="1"/>
  <c r="L4" s="1"/>
  <c r="M4" s="1"/>
  <c r="M3" i="2" l="1"/>
  <c r="J4" s="1"/>
  <c r="L4" s="1"/>
  <c r="M4" s="1"/>
  <c r="J5" s="1"/>
  <c r="L5" s="1"/>
  <c r="M5" s="1"/>
  <c r="J16" s="1"/>
  <c r="K11" s="1"/>
  <c r="K19" s="1"/>
  <c r="H11" i="1"/>
  <c r="B12" s="1"/>
  <c r="J5"/>
  <c r="L5" s="1"/>
  <c r="M5" s="1"/>
  <c r="O1" s="1"/>
  <c r="O1" i="2" l="1"/>
  <c r="P11" s="1"/>
  <c r="J6"/>
  <c r="L6" s="1"/>
  <c r="O2"/>
  <c r="C12" i="1"/>
  <c r="F12" s="1"/>
  <c r="H12" s="1"/>
  <c r="B13" s="1"/>
  <c r="D12"/>
  <c r="G12" s="1"/>
  <c r="J6"/>
  <c r="L6" s="1"/>
  <c r="C13" l="1"/>
  <c r="F13" s="1"/>
  <c r="D13"/>
  <c r="G13" s="1"/>
</calcChain>
</file>

<file path=xl/sharedStrings.xml><?xml version="1.0" encoding="utf-8"?>
<sst xmlns="http://schemas.openxmlformats.org/spreadsheetml/2006/main" count="56" uniqueCount="30">
  <si>
    <t>Wert Beginn</t>
  </si>
  <si>
    <t>Gesamt</t>
  </si>
  <si>
    <t>Wert Ende</t>
  </si>
  <si>
    <t>Rendite EM</t>
  </si>
  <si>
    <t>Rendite World</t>
  </si>
  <si>
    <t>Datum</t>
  </si>
  <si>
    <t>Schlusskurs</t>
  </si>
  <si>
    <t>Sparrate</t>
  </si>
  <si>
    <t>Wert B. + Rate</t>
  </si>
  <si>
    <t>Rendite A</t>
  </si>
  <si>
    <t>Rendite B</t>
  </si>
  <si>
    <t>XINTZINSFUSS</t>
  </si>
  <si>
    <t>Dauer</t>
  </si>
  <si>
    <t>02.01.-30.04.</t>
  </si>
  <si>
    <t>Anteil Jahr</t>
  </si>
  <si>
    <t>XINTZINSFUSS selfmade</t>
  </si>
  <si>
    <t xml:space="preserve">Rendite Laufzeit </t>
  </si>
  <si>
    <t>Rebalance-Depot</t>
  </si>
  <si>
    <t>World/EM-Dep.</t>
  </si>
  <si>
    <t>Depotwert</t>
  </si>
  <si>
    <t>World</t>
  </si>
  <si>
    <t>EM</t>
  </si>
  <si>
    <t>Einzahlung Rate</t>
  </si>
  <si>
    <t>World neu</t>
  </si>
  <si>
    <t>EM neu</t>
  </si>
  <si>
    <t>Depotwert Ende</t>
  </si>
  <si>
    <t>iShares Core MSCI World UCITS ETF (Acc)</t>
  </si>
  <si>
    <t>WKN: A0RPWH / ISIN: IE00B4L5Y983</t>
  </si>
  <si>
    <t>AMUNDI ETF MSCI Emerging Markets - EUR</t>
  </si>
  <si>
    <t>WKN: A1C9B1 / ISIN: FR0010959676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</si>
</sst>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_-* #,##0.0000\ &quot;€&quot;_-;\-* #,##0.0000\ &quot;€&quot;_-;_-* &quot;-&quot;??\ &quot;€&quot;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10" fontId="0" fillId="0" borderId="0" xfId="2" applyNumberFormat="1" applyFont="1"/>
    <xf numFmtId="10" fontId="0" fillId="0" borderId="2" xfId="2" applyNumberFormat="1" applyFont="1" applyBorder="1"/>
    <xf numFmtId="10" fontId="0" fillId="0" borderId="3" xfId="2" applyNumberFormat="1" applyFont="1" applyBorder="1"/>
    <xf numFmtId="0" fontId="0" fillId="0" borderId="1" xfId="0" applyBorder="1"/>
    <xf numFmtId="0" fontId="0" fillId="0" borderId="3" xfId="0" applyBorder="1"/>
    <xf numFmtId="10" fontId="0" fillId="0" borderId="5" xfId="2" applyNumberFormat="1" applyFont="1" applyBorder="1"/>
    <xf numFmtId="14" fontId="0" fillId="0" borderId="6" xfId="0" applyNumberFormat="1" applyBorder="1"/>
    <xf numFmtId="14" fontId="0" fillId="0" borderId="7" xfId="0" applyNumberFormat="1" applyBorder="1"/>
    <xf numFmtId="44" fontId="0" fillId="0" borderId="1" xfId="1" applyFont="1" applyBorder="1"/>
    <xf numFmtId="44" fontId="0" fillId="0" borderId="0" xfId="1" applyFont="1" applyBorder="1"/>
    <xf numFmtId="44" fontId="0" fillId="0" borderId="2" xfId="1" applyFont="1" applyBorder="1"/>
    <xf numFmtId="44" fontId="0" fillId="0" borderId="3" xfId="1" applyFont="1" applyBorder="1"/>
    <xf numFmtId="44" fontId="0" fillId="0" borderId="5" xfId="1" applyFont="1" applyBorder="1"/>
    <xf numFmtId="44" fontId="0" fillId="0" borderId="4" xfId="1" applyFont="1" applyBorder="1"/>
    <xf numFmtId="0" fontId="2" fillId="2" borderId="0" xfId="0" applyFont="1" applyFill="1" applyBorder="1"/>
    <xf numFmtId="10" fontId="2" fillId="2" borderId="0" xfId="2" applyNumberFormat="1" applyFont="1" applyFill="1"/>
    <xf numFmtId="164" fontId="0" fillId="0" borderId="0" xfId="0" applyNumberFormat="1"/>
    <xf numFmtId="0" fontId="0" fillId="0" borderId="9" xfId="0" applyBorder="1"/>
    <xf numFmtId="0" fontId="0" fillId="0" borderId="11" xfId="0" applyFont="1" applyBorder="1"/>
    <xf numFmtId="0" fontId="0" fillId="0" borderId="8" xfId="0" applyBorder="1"/>
    <xf numFmtId="0" fontId="0" fillId="0" borderId="10" xfId="0" applyBorder="1"/>
    <xf numFmtId="10" fontId="3" fillId="0" borderId="0" xfId="2" applyNumberFormat="1" applyFont="1"/>
    <xf numFmtId="0" fontId="4" fillId="0" borderId="0" xfId="0" applyFont="1"/>
    <xf numFmtId="0" fontId="4" fillId="0" borderId="12" xfId="0" applyFont="1" applyBorder="1"/>
    <xf numFmtId="0" fontId="0" fillId="0" borderId="13" xfId="0" applyBorder="1"/>
    <xf numFmtId="0" fontId="4" fillId="0" borderId="14" xfId="0" applyFont="1" applyBorder="1"/>
    <xf numFmtId="14" fontId="0" fillId="0" borderId="1" xfId="0" applyNumberFormat="1" applyBorder="1"/>
    <xf numFmtId="44" fontId="0" fillId="0" borderId="0" xfId="0" applyNumberFormat="1" applyBorder="1"/>
    <xf numFmtId="0" fontId="0" fillId="0" borderId="2" xfId="0" applyBorder="1"/>
    <xf numFmtId="0" fontId="0" fillId="0" borderId="0" xfId="0" applyBorder="1"/>
    <xf numFmtId="10" fontId="0" fillId="0" borderId="0" xfId="0" applyNumberFormat="1" applyBorder="1"/>
    <xf numFmtId="0" fontId="0" fillId="0" borderId="5" xfId="0" applyBorder="1"/>
    <xf numFmtId="10" fontId="0" fillId="0" borderId="4" xfId="0" applyNumberFormat="1" applyBorder="1"/>
    <xf numFmtId="0" fontId="0" fillId="0" borderId="14" xfId="0" applyBorder="1"/>
    <xf numFmtId="10" fontId="0" fillId="0" borderId="0" xfId="2" applyNumberFormat="1" applyFont="1" applyBorder="1"/>
    <xf numFmtId="10" fontId="0" fillId="0" borderId="2" xfId="0" applyNumberFormat="1" applyBorder="1"/>
    <xf numFmtId="14" fontId="0" fillId="0" borderId="3" xfId="0" applyNumberFormat="1" applyBorder="1"/>
    <xf numFmtId="44" fontId="0" fillId="0" borderId="5" xfId="0" applyNumberFormat="1" applyBorder="1"/>
    <xf numFmtId="0" fontId="0" fillId="0" borderId="4" xfId="0" applyBorder="1"/>
    <xf numFmtId="0" fontId="4" fillId="0" borderId="13" xfId="0" applyFont="1" applyBorder="1"/>
    <xf numFmtId="44" fontId="0" fillId="0" borderId="0" xfId="0" applyNumberFormat="1"/>
    <xf numFmtId="0" fontId="0" fillId="3" borderId="11" xfId="0" applyFont="1" applyFill="1" applyBorder="1"/>
    <xf numFmtId="0" fontId="0" fillId="3" borderId="0" xfId="0" applyFill="1"/>
    <xf numFmtId="14" fontId="0" fillId="3" borderId="6" xfId="0" applyNumberFormat="1" applyFill="1" applyBorder="1"/>
    <xf numFmtId="44" fontId="0" fillId="3" borderId="0" xfId="1" applyFont="1" applyFill="1"/>
    <xf numFmtId="44" fontId="0" fillId="3" borderId="0" xfId="1" applyFont="1" applyFill="1" applyBorder="1"/>
    <xf numFmtId="44" fontId="0" fillId="3" borderId="0" xfId="0" applyNumberFormat="1" applyFill="1"/>
    <xf numFmtId="14" fontId="0" fillId="3" borderId="7" xfId="0" applyNumberFormat="1" applyFill="1" applyBorder="1"/>
    <xf numFmtId="44" fontId="0" fillId="3" borderId="5" xfId="1" applyFont="1" applyFill="1" applyBorder="1"/>
    <xf numFmtId="0" fontId="5" fillId="0" borderId="0" xfId="0" applyFont="1"/>
    <xf numFmtId="0" fontId="0" fillId="0" borderId="12" xfId="0" applyBorder="1"/>
    <xf numFmtId="10" fontId="3" fillId="0" borderId="4" xfId="2" applyNumberFormat="1" applyFont="1" applyBorder="1"/>
    <xf numFmtId="0" fontId="4" fillId="0" borderId="2" xfId="0" applyFont="1" applyBorder="1"/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10" fontId="0" fillId="0" borderId="1" xfId="2" applyNumberFormat="1" applyFont="1" applyBorder="1" applyAlignment="1">
      <alignment horizontal="center"/>
    </xf>
    <xf numFmtId="10" fontId="0" fillId="0" borderId="2" xfId="2" applyNumberFormat="1" applyFont="1" applyBorder="1" applyAlignment="1">
      <alignment horizontal="center"/>
    </xf>
    <xf numFmtId="10" fontId="0" fillId="0" borderId="4" xfId="2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44" fontId="0" fillId="0" borderId="9" xfId="1" applyFont="1" applyBorder="1" applyAlignment="1">
      <alignment horizontal="center"/>
    </xf>
    <xf numFmtId="44" fontId="0" fillId="0" borderId="10" xfId="1" applyFont="1" applyBorder="1" applyAlignment="1">
      <alignment horizontal="center"/>
    </xf>
    <xf numFmtId="10" fontId="0" fillId="0" borderId="0" xfId="2" applyNumberFormat="1" applyFont="1" applyBorder="1" applyAlignment="1">
      <alignment horizont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zoomScaleNormal="100" workbookViewId="0">
      <selection activeCell="N18" sqref="N18"/>
    </sheetView>
  </sheetViews>
  <sheetFormatPr baseColWidth="10" defaultRowHeight="14.5"/>
  <cols>
    <col min="5" max="5" width="14" bestFit="1" customWidth="1"/>
    <col min="7" max="7" width="15.1796875" bestFit="1" customWidth="1"/>
    <col min="8" max="8" width="14.81640625" bestFit="1" customWidth="1"/>
    <col min="9" max="9" width="14.08984375" bestFit="1" customWidth="1"/>
    <col min="10" max="10" width="14.54296875" bestFit="1" customWidth="1"/>
    <col min="11" max="11" width="12.26953125" bestFit="1" customWidth="1"/>
    <col min="12" max="12" width="12.7265625" bestFit="1" customWidth="1"/>
    <col min="16" max="16" width="20.453125" bestFit="1" customWidth="1"/>
  </cols>
  <sheetData>
    <row r="1" spans="1:16" ht="15" thickBot="1">
      <c r="A1" s="19" t="s">
        <v>5</v>
      </c>
      <c r="B1" s="20" t="s">
        <v>6</v>
      </c>
      <c r="C1" s="54" t="s">
        <v>4</v>
      </c>
      <c r="D1" s="55"/>
      <c r="E1" s="20" t="s">
        <v>6</v>
      </c>
      <c r="F1" s="61" t="s">
        <v>3</v>
      </c>
      <c r="G1" s="62"/>
      <c r="H1" s="59" t="s">
        <v>1</v>
      </c>
      <c r="I1" s="60"/>
      <c r="J1" s="20" t="s">
        <v>0</v>
      </c>
      <c r="K1" s="18" t="s">
        <v>7</v>
      </c>
      <c r="L1" s="18" t="s">
        <v>8</v>
      </c>
      <c r="M1" s="21" t="s">
        <v>2</v>
      </c>
      <c r="N1" s="15" t="s">
        <v>9</v>
      </c>
      <c r="O1" s="16">
        <f>(M5-SUM(K2:K5))/J2-1</f>
        <v>6.0282478491569869E-2</v>
      </c>
    </row>
    <row r="2" spans="1:16">
      <c r="A2" s="7">
        <v>42737</v>
      </c>
      <c r="B2" s="4">
        <v>35.9</v>
      </c>
      <c r="C2" s="63">
        <f>(B3/B2-1)*0.7</f>
        <v>-1.052924791086346E-2</v>
      </c>
      <c r="D2" s="2"/>
      <c r="E2" s="4">
        <v>31.72</v>
      </c>
      <c r="F2" s="63">
        <f>(E3/E2-1)*0.3</f>
        <v>1.2011349306431329E-2</v>
      </c>
      <c r="G2" s="2"/>
      <c r="H2" s="56">
        <f>C2+F2</f>
        <v>1.4821013955678697E-3</v>
      </c>
      <c r="I2" s="2"/>
      <c r="J2" s="9">
        <v>1329.59</v>
      </c>
      <c r="K2" s="10">
        <v>150</v>
      </c>
      <c r="L2" s="10">
        <f>J2+K2</f>
        <v>1479.59</v>
      </c>
      <c r="M2" s="11">
        <f>L2*H2+L2</f>
        <v>1481.7829024038681</v>
      </c>
      <c r="N2" s="15" t="s">
        <v>10</v>
      </c>
      <c r="O2" s="16">
        <f>M5/(J2+SUM(K2:K5))-1</f>
        <v>4.2642800066826414E-2</v>
      </c>
    </row>
    <row r="3" spans="1:16">
      <c r="A3" s="7">
        <v>42767</v>
      </c>
      <c r="B3" s="4">
        <v>35.36</v>
      </c>
      <c r="C3" s="63"/>
      <c r="D3" s="57">
        <f>(B4/B3-1)*0.7</f>
        <v>4.0780542986425347E-2</v>
      </c>
      <c r="E3" s="4">
        <v>32.99</v>
      </c>
      <c r="F3" s="63"/>
      <c r="G3" s="57">
        <f>(E4/E3-1)*0.3</f>
        <v>1.5277356774780215E-2</v>
      </c>
      <c r="H3" s="56"/>
      <c r="I3" s="57">
        <f>D3+G3</f>
        <v>5.6057899761205565E-2</v>
      </c>
      <c r="J3" s="9">
        <f>M2</f>
        <v>1481.7829024038681</v>
      </c>
      <c r="K3" s="10">
        <v>100</v>
      </c>
      <c r="L3" s="10">
        <f t="shared" ref="L3:L6" si="0">J3+K3</f>
        <v>1581.7829024038681</v>
      </c>
      <c r="M3" s="11">
        <f>L3*I3+L3</f>
        <v>1670.4543297908128</v>
      </c>
    </row>
    <row r="4" spans="1:16">
      <c r="A4" s="7">
        <v>42795</v>
      </c>
      <c r="B4" s="4">
        <v>37.42</v>
      </c>
      <c r="C4" s="63">
        <f>(B5/B4-1)*0.7</f>
        <v>-1.1223944414751507E-2</v>
      </c>
      <c r="D4" s="57"/>
      <c r="E4" s="4">
        <v>34.67</v>
      </c>
      <c r="F4" s="63">
        <f>(E5/E4-1)*0.3</f>
        <v>3.8073262186328004E-3</v>
      </c>
      <c r="G4" s="57"/>
      <c r="H4" s="56">
        <f>C4+F4</f>
        <v>-7.4166181961187062E-3</v>
      </c>
      <c r="I4" s="57"/>
      <c r="J4" s="9">
        <f t="shared" ref="J4:J6" si="1">M3</f>
        <v>1670.4543297908128</v>
      </c>
      <c r="K4" s="10">
        <v>150</v>
      </c>
      <c r="L4" s="10">
        <f>J4+K4</f>
        <v>1820.4543297908128</v>
      </c>
      <c r="M4" s="11">
        <f>L4*H4+L4</f>
        <v>1806.9527150832832</v>
      </c>
    </row>
    <row r="5" spans="1:16">
      <c r="A5" s="7">
        <v>42828</v>
      </c>
      <c r="B5" s="4">
        <v>36.82</v>
      </c>
      <c r="C5" s="63"/>
      <c r="D5" s="57">
        <f>(B6/B5-1)*0.7</f>
        <v>5.7034220532325985E-4</v>
      </c>
      <c r="E5" s="4">
        <v>35.11</v>
      </c>
      <c r="F5" s="63"/>
      <c r="G5" s="57">
        <f>(E6/E5-1)*0.3</f>
        <v>8.5445741953857899E-4</v>
      </c>
      <c r="H5" s="56"/>
      <c r="I5" s="57">
        <f>D5+G5</f>
        <v>1.424799624861839E-3</v>
      </c>
      <c r="J5" s="9">
        <f t="shared" si="1"/>
        <v>1806.9527150832832</v>
      </c>
      <c r="K5" s="10">
        <v>150</v>
      </c>
      <c r="L5" s="10">
        <f t="shared" si="0"/>
        <v>1956.9527150832832</v>
      </c>
      <c r="M5" s="11">
        <f>L5*I5+L5</f>
        <v>1959.7409805776063</v>
      </c>
    </row>
    <row r="6" spans="1:16" ht="15" thickBot="1">
      <c r="A6" s="8">
        <v>42857</v>
      </c>
      <c r="B6" s="5">
        <v>36.85</v>
      </c>
      <c r="C6" s="6"/>
      <c r="D6" s="58"/>
      <c r="E6" s="5">
        <v>35.21</v>
      </c>
      <c r="F6" s="6"/>
      <c r="G6" s="58"/>
      <c r="H6" s="3"/>
      <c r="I6" s="58"/>
      <c r="J6" s="12">
        <f t="shared" si="1"/>
        <v>1959.7409805776063</v>
      </c>
      <c r="K6" s="13">
        <v>150</v>
      </c>
      <c r="L6" s="13">
        <f t="shared" si="0"/>
        <v>2109.740980577606</v>
      </c>
      <c r="M6" s="14"/>
    </row>
    <row r="7" spans="1:16" ht="15" thickBot="1"/>
    <row r="8" spans="1:16" ht="15" thickBot="1">
      <c r="A8" s="42" t="s">
        <v>5</v>
      </c>
      <c r="B8" s="43" t="s">
        <v>19</v>
      </c>
      <c r="C8" s="43" t="s">
        <v>20</v>
      </c>
      <c r="D8" s="43" t="s">
        <v>21</v>
      </c>
      <c r="E8" s="43" t="s">
        <v>22</v>
      </c>
      <c r="F8" s="43" t="s">
        <v>23</v>
      </c>
      <c r="G8" s="43" t="s">
        <v>24</v>
      </c>
      <c r="H8" s="43" t="s">
        <v>25</v>
      </c>
      <c r="J8" s="1"/>
      <c r="N8" s="17"/>
    </row>
    <row r="9" spans="1:16" ht="15" thickBot="1">
      <c r="A9" s="44">
        <v>42737</v>
      </c>
      <c r="B9" s="45">
        <v>1329.59</v>
      </c>
      <c r="C9" s="45">
        <f>B9*0.7</f>
        <v>930.71299999999985</v>
      </c>
      <c r="D9" s="45">
        <f>B9*0.3</f>
        <v>398.87699999999995</v>
      </c>
      <c r="E9" s="46">
        <v>150</v>
      </c>
      <c r="F9" s="47">
        <f>C9+E9*0.7</f>
        <v>1035.7129999999997</v>
      </c>
      <c r="G9" s="47">
        <f>D9+E9*0.3</f>
        <v>443.87699999999995</v>
      </c>
      <c r="H9" s="45">
        <f>(F9+G9)*(1+H2)</f>
        <v>1481.7829024038681</v>
      </c>
      <c r="N9" s="51" t="s">
        <v>12</v>
      </c>
      <c r="O9" s="25"/>
      <c r="P9" s="34"/>
    </row>
    <row r="10" spans="1:16">
      <c r="A10" s="44">
        <v>42767</v>
      </c>
      <c r="B10" s="47">
        <f>H9</f>
        <v>1481.7829024038681</v>
      </c>
      <c r="C10" s="45">
        <f t="shared" ref="C10:C13" si="2">B10*0.7</f>
        <v>1037.2480316827075</v>
      </c>
      <c r="D10" s="45">
        <f t="shared" ref="D10:D13" si="3">B10*0.3</f>
        <v>444.53487072116042</v>
      </c>
      <c r="E10" s="46">
        <v>100</v>
      </c>
      <c r="F10" s="47">
        <f>C10+E10*0.7</f>
        <v>1107.2480316827075</v>
      </c>
      <c r="G10" s="47">
        <f t="shared" ref="G10:G13" si="4">D10+E10*0.3</f>
        <v>474.53487072116042</v>
      </c>
      <c r="H10" s="45">
        <f>(F10+G10)*(1+I3)</f>
        <v>1670.4543297908126</v>
      </c>
      <c r="I10" s="24" t="s">
        <v>18</v>
      </c>
      <c r="J10" s="25"/>
      <c r="K10" s="26" t="s">
        <v>11</v>
      </c>
      <c r="L10" s="1"/>
      <c r="M10" s="23"/>
      <c r="N10" s="4" t="s">
        <v>13</v>
      </c>
      <c r="O10" s="30" t="s">
        <v>14</v>
      </c>
      <c r="P10" s="53" t="s">
        <v>15</v>
      </c>
    </row>
    <row r="11" spans="1:16" ht="15" thickBot="1">
      <c r="A11" s="44">
        <v>42795</v>
      </c>
      <c r="B11" s="47">
        <f>H10</f>
        <v>1670.4543297908126</v>
      </c>
      <c r="C11" s="45">
        <f t="shared" si="2"/>
        <v>1169.3180308535686</v>
      </c>
      <c r="D11" s="45">
        <f t="shared" si="3"/>
        <v>501.13629893724374</v>
      </c>
      <c r="E11" s="46">
        <v>150</v>
      </c>
      <c r="F11" s="47">
        <f t="shared" ref="F11:F13" si="5">C11+E11*0.7</f>
        <v>1274.3180308535686</v>
      </c>
      <c r="G11" s="47">
        <f t="shared" si="4"/>
        <v>546.13629893724374</v>
      </c>
      <c r="H11" s="45">
        <f>(F11+G11)*(1+H4)</f>
        <v>1806.9527150832828</v>
      </c>
      <c r="I11" s="27">
        <f>A2</f>
        <v>42737</v>
      </c>
      <c r="J11" s="28">
        <f>-J2</f>
        <v>-1329.59</v>
      </c>
      <c r="K11" s="2">
        <f>XIRR(J11:J16,I11:I16)</f>
        <v>0.15675411820411686</v>
      </c>
      <c r="N11" s="5">
        <f>31+28+31+30</f>
        <v>120</v>
      </c>
      <c r="O11" s="6">
        <f>N11/365</f>
        <v>0.32876712328767121</v>
      </c>
      <c r="P11" s="52">
        <f>O1*100/O11/100</f>
        <v>0.18335920541185835</v>
      </c>
    </row>
    <row r="12" spans="1:16">
      <c r="A12" s="44">
        <v>42828</v>
      </c>
      <c r="B12" s="47">
        <f>H11</f>
        <v>1806.9527150832828</v>
      </c>
      <c r="C12" s="45">
        <f t="shared" si="2"/>
        <v>1264.8669005582979</v>
      </c>
      <c r="D12" s="45">
        <f t="shared" si="3"/>
        <v>542.08581452498481</v>
      </c>
      <c r="E12" s="46">
        <v>150</v>
      </c>
      <c r="F12" s="47">
        <f t="shared" si="5"/>
        <v>1369.8669005582979</v>
      </c>
      <c r="G12" s="47">
        <f t="shared" si="4"/>
        <v>587.08581452498481</v>
      </c>
      <c r="H12" s="45">
        <f>(F12+G12)*(1+I5)</f>
        <v>1959.7409805776056</v>
      </c>
      <c r="I12" s="27">
        <v>42737</v>
      </c>
      <c r="J12" s="28">
        <f>-150</f>
        <v>-150</v>
      </c>
      <c r="K12" s="2"/>
      <c r="O12" s="1"/>
      <c r="P12" s="22"/>
    </row>
    <row r="13" spans="1:16" ht="15" thickBot="1">
      <c r="A13" s="48">
        <v>42857</v>
      </c>
      <c r="B13" s="47">
        <f>H12</f>
        <v>1959.7409805776056</v>
      </c>
      <c r="C13" s="45">
        <f t="shared" si="2"/>
        <v>1371.8186864043239</v>
      </c>
      <c r="D13" s="45">
        <f t="shared" si="3"/>
        <v>587.92229417328167</v>
      </c>
      <c r="E13" s="49">
        <v>150</v>
      </c>
      <c r="F13" s="47">
        <f t="shared" si="5"/>
        <v>1476.8186864043239</v>
      </c>
      <c r="G13" s="47">
        <f t="shared" si="4"/>
        <v>632.92229417328167</v>
      </c>
      <c r="H13" s="43"/>
      <c r="I13" s="27">
        <v>42767</v>
      </c>
      <c r="J13" s="28">
        <v>-100</v>
      </c>
      <c r="K13" s="2"/>
      <c r="O13" s="1"/>
      <c r="P13" s="22"/>
    </row>
    <row r="14" spans="1:16">
      <c r="I14" s="27">
        <v>42795</v>
      </c>
      <c r="J14" s="28">
        <f>-150</f>
        <v>-150</v>
      </c>
      <c r="K14" s="2"/>
      <c r="O14" s="1"/>
      <c r="P14" s="22"/>
    </row>
    <row r="15" spans="1:16">
      <c r="I15" s="27">
        <v>42828</v>
      </c>
      <c r="J15" s="28">
        <f>-150</f>
        <v>-150</v>
      </c>
      <c r="K15" s="2"/>
      <c r="O15" s="1"/>
      <c r="P15" s="22"/>
    </row>
    <row r="16" spans="1:16">
      <c r="I16" s="27">
        <v>42855</v>
      </c>
      <c r="J16" s="28">
        <f>M5</f>
        <v>1959.7409805776063</v>
      </c>
      <c r="K16" s="29"/>
      <c r="M16" s="17"/>
    </row>
    <row r="17" spans="7:12">
      <c r="G17" s="41"/>
      <c r="I17" s="4"/>
      <c r="J17" s="30"/>
      <c r="K17" s="29"/>
    </row>
    <row r="18" spans="7:12">
      <c r="I18" s="4"/>
      <c r="J18" s="31"/>
      <c r="K18" s="29"/>
    </row>
    <row r="19" spans="7:12" ht="15" thickBot="1">
      <c r="I19" s="5"/>
      <c r="J19" s="32" t="s">
        <v>16</v>
      </c>
      <c r="K19" s="33">
        <f>K11*O11</f>
        <v>5.1535600505463075E-2</v>
      </c>
    </row>
    <row r="21" spans="7:12">
      <c r="H21" s="30"/>
      <c r="I21" s="30"/>
      <c r="J21" s="30"/>
      <c r="K21" s="30"/>
    </row>
    <row r="22" spans="7:12" ht="15" thickBot="1">
      <c r="H22" s="30"/>
      <c r="I22" s="30"/>
      <c r="J22" s="30"/>
      <c r="K22" s="30"/>
      <c r="L22" s="30"/>
    </row>
    <row r="23" spans="7:12">
      <c r="G23" s="24" t="s">
        <v>17</v>
      </c>
      <c r="H23" s="25"/>
      <c r="I23" s="40" t="s">
        <v>11</v>
      </c>
      <c r="J23" s="25"/>
      <c r="K23" s="34"/>
    </row>
    <row r="24" spans="7:12">
      <c r="G24" s="27">
        <v>42737</v>
      </c>
      <c r="H24" s="28">
        <f>-J2</f>
        <v>-1329.59</v>
      </c>
      <c r="I24" s="35">
        <f>XIRR(H24:H29,G24:G29)</f>
        <v>0.19745942950248721</v>
      </c>
      <c r="J24" s="30"/>
      <c r="K24" s="29"/>
    </row>
    <row r="25" spans="7:12">
      <c r="G25" s="27">
        <v>42737</v>
      </c>
      <c r="H25" s="28">
        <v>-150</v>
      </c>
      <c r="I25" s="35"/>
      <c r="J25" s="30"/>
      <c r="K25" s="29"/>
    </row>
    <row r="26" spans="7:12">
      <c r="G26" s="27">
        <v>42767</v>
      </c>
      <c r="H26" s="28">
        <v>-100</v>
      </c>
      <c r="I26" s="35"/>
      <c r="J26" s="30"/>
      <c r="K26" s="29"/>
    </row>
    <row r="27" spans="7:12">
      <c r="G27" s="27">
        <v>42795</v>
      </c>
      <c r="H27" s="28">
        <v>-150</v>
      </c>
      <c r="I27" s="35"/>
      <c r="J27" s="30" t="s">
        <v>16</v>
      </c>
      <c r="K27" s="36">
        <f>I24*O11</f>
        <v>6.4918168603557438E-2</v>
      </c>
    </row>
    <row r="28" spans="7:12">
      <c r="G28" s="27">
        <v>42828</v>
      </c>
      <c r="H28" s="28">
        <v>-150</v>
      </c>
      <c r="I28" s="35"/>
      <c r="J28" s="30"/>
      <c r="K28" s="29"/>
    </row>
    <row r="29" spans="7:12" ht="15" thickBot="1">
      <c r="G29" s="37">
        <v>42855</v>
      </c>
      <c r="H29" s="38">
        <v>1979.31</v>
      </c>
      <c r="I29" s="32"/>
      <c r="J29" s="32"/>
      <c r="K29" s="39"/>
    </row>
  </sheetData>
  <mergeCells count="15">
    <mergeCell ref="C1:D1"/>
    <mergeCell ref="H2:H3"/>
    <mergeCell ref="I3:I4"/>
    <mergeCell ref="H4:H5"/>
    <mergeCell ref="I5:I6"/>
    <mergeCell ref="H1:I1"/>
    <mergeCell ref="F1:G1"/>
    <mergeCell ref="C2:C3"/>
    <mergeCell ref="D3:D4"/>
    <mergeCell ref="C4:C5"/>
    <mergeCell ref="D5:D6"/>
    <mergeCell ref="F2:F3"/>
    <mergeCell ref="G3:G4"/>
    <mergeCell ref="F4:F5"/>
    <mergeCell ref="G5:G6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4"/>
  <sheetViews>
    <sheetView tabSelected="1" workbookViewId="0">
      <selection activeCell="E30" sqref="E30"/>
    </sheetView>
  </sheetViews>
  <sheetFormatPr baseColWidth="10" defaultRowHeight="14.5"/>
  <cols>
    <col min="5" max="5" width="14" bestFit="1" customWidth="1"/>
    <col min="7" max="7" width="15.1796875" bestFit="1" customWidth="1"/>
    <col min="8" max="8" width="14.81640625" bestFit="1" customWidth="1"/>
    <col min="9" max="9" width="14.08984375" bestFit="1" customWidth="1"/>
    <col min="10" max="10" width="14.54296875" bestFit="1" customWidth="1"/>
    <col min="11" max="11" width="12.26953125" bestFit="1" customWidth="1"/>
    <col min="12" max="12" width="12.7265625" bestFit="1" customWidth="1"/>
    <col min="16" max="16" width="20.453125" bestFit="1" customWidth="1"/>
  </cols>
  <sheetData>
    <row r="1" spans="1:16" ht="15" thickBot="1">
      <c r="A1" s="19" t="s">
        <v>5</v>
      </c>
      <c r="B1" s="20" t="s">
        <v>6</v>
      </c>
      <c r="C1" s="54" t="s">
        <v>4</v>
      </c>
      <c r="D1" s="55"/>
      <c r="E1" s="20" t="s">
        <v>6</v>
      </c>
      <c r="F1" s="61" t="s">
        <v>3</v>
      </c>
      <c r="G1" s="62"/>
      <c r="H1" s="59" t="s">
        <v>1</v>
      </c>
      <c r="I1" s="60"/>
      <c r="J1" s="20" t="s">
        <v>0</v>
      </c>
      <c r="K1" s="18" t="s">
        <v>7</v>
      </c>
      <c r="L1" s="18" t="s">
        <v>8</v>
      </c>
      <c r="M1" s="21" t="s">
        <v>2</v>
      </c>
      <c r="N1" s="15" t="s">
        <v>9</v>
      </c>
      <c r="O1" s="16">
        <f>(M5-SUM(K2:K5))/J2-1</f>
        <v>6.408385129823202E-2</v>
      </c>
    </row>
    <row r="2" spans="1:16">
      <c r="A2" s="7">
        <v>42737</v>
      </c>
      <c r="B2" s="4">
        <v>42.66</v>
      </c>
      <c r="C2" s="63">
        <f>(B3/B2-1)*0.7</f>
        <v>-9.5171120487576137E-3</v>
      </c>
      <c r="D2" s="2"/>
      <c r="E2" s="4">
        <v>3.47</v>
      </c>
      <c r="F2" s="63">
        <f>(E3/E2-1)*0.3</f>
        <v>1.210374639769447E-2</v>
      </c>
      <c r="G2" s="2"/>
      <c r="H2" s="56">
        <f>C2+F2</f>
        <v>2.586634348936856E-3</v>
      </c>
      <c r="I2" s="2"/>
      <c r="J2" s="9">
        <v>1329.59</v>
      </c>
      <c r="K2" s="10">
        <v>150</v>
      </c>
      <c r="L2" s="10">
        <f>J2+K2</f>
        <v>1479.59</v>
      </c>
      <c r="M2" s="11">
        <f>L2*H2+L2</f>
        <v>1483.4171583163434</v>
      </c>
      <c r="N2" s="15" t="s">
        <v>10</v>
      </c>
      <c r="O2" s="16">
        <f>M5/(J2+SUM(K2:K5))-1</f>
        <v>4.5331826540690567E-2</v>
      </c>
    </row>
    <row r="3" spans="1:16">
      <c r="A3" s="7">
        <v>42767</v>
      </c>
      <c r="B3" s="4">
        <v>42.08</v>
      </c>
      <c r="C3" s="63"/>
      <c r="D3" s="57">
        <f>(B4/B3-1)*0.7</f>
        <v>4.0423003802281317E-2</v>
      </c>
      <c r="E3" s="4">
        <v>3.61</v>
      </c>
      <c r="F3" s="63"/>
      <c r="G3" s="57">
        <f>(E4/E3-1)*0.3</f>
        <v>1.4127423822714679E-2</v>
      </c>
      <c r="H3" s="56"/>
      <c r="I3" s="57">
        <f>D3+G3</f>
        <v>5.4550427624995998E-2</v>
      </c>
      <c r="J3" s="9">
        <f>M2</f>
        <v>1483.4171583163434</v>
      </c>
      <c r="K3" s="10">
        <v>100</v>
      </c>
      <c r="L3" s="10">
        <f t="shared" ref="L3:L6" si="0">J3+K3</f>
        <v>1583.4171583163434</v>
      </c>
      <c r="M3" s="11">
        <f>L3*I3+L3</f>
        <v>1669.7932414112558</v>
      </c>
    </row>
    <row r="4" spans="1:16">
      <c r="A4" s="7">
        <v>42795</v>
      </c>
      <c r="B4" s="4">
        <v>44.51</v>
      </c>
      <c r="C4" s="63">
        <f>(B5/B4-1)*0.7</f>
        <v>-1.0222421927656721E-2</v>
      </c>
      <c r="D4" s="57"/>
      <c r="E4" s="4">
        <v>3.78</v>
      </c>
      <c r="F4" s="63">
        <f>(E5/E4-1)*0.3</f>
        <v>4.761904761904745E-3</v>
      </c>
      <c r="G4" s="57"/>
      <c r="H4" s="56">
        <f>C4+F4</f>
        <v>-5.4605171657519762E-3</v>
      </c>
      <c r="I4" s="57"/>
      <c r="J4" s="9">
        <f t="shared" ref="J4:J6" si="1">M3</f>
        <v>1669.7932414112558</v>
      </c>
      <c r="K4" s="10">
        <v>150</v>
      </c>
      <c r="L4" s="10">
        <f>J4+K4</f>
        <v>1819.7932414112558</v>
      </c>
      <c r="M4" s="11">
        <f>L4*H4+L4</f>
        <v>1809.8562291784103</v>
      </c>
    </row>
    <row r="5" spans="1:16">
      <c r="A5" s="7">
        <v>42828</v>
      </c>
      <c r="B5" s="4">
        <v>43.86</v>
      </c>
      <c r="C5" s="63"/>
      <c r="D5" s="57">
        <f>(B6/B5-1)*0.7</f>
        <v>9.5759233926131495E-4</v>
      </c>
      <c r="E5" s="4">
        <v>3.84</v>
      </c>
      <c r="F5" s="63"/>
      <c r="G5" s="57">
        <f>(E6/E5-1)*0.3</f>
        <v>1.5624999999999778E-3</v>
      </c>
      <c r="H5" s="56"/>
      <c r="I5" s="57">
        <f>D5+G5</f>
        <v>2.5200923392612925E-3</v>
      </c>
      <c r="J5" s="9">
        <f t="shared" si="1"/>
        <v>1809.8562291784103</v>
      </c>
      <c r="K5" s="10">
        <v>150</v>
      </c>
      <c r="L5" s="10">
        <f t="shared" si="0"/>
        <v>1959.8562291784103</v>
      </c>
      <c r="M5" s="11">
        <f>L5*I5+L5</f>
        <v>1964.7952478476163</v>
      </c>
    </row>
    <row r="6" spans="1:16" ht="15" thickBot="1">
      <c r="A6" s="8">
        <v>42857</v>
      </c>
      <c r="B6" s="5">
        <v>43.92</v>
      </c>
      <c r="C6" s="6"/>
      <c r="D6" s="58"/>
      <c r="E6" s="5">
        <v>3.86</v>
      </c>
      <c r="F6" s="6"/>
      <c r="G6" s="58"/>
      <c r="H6" s="3"/>
      <c r="I6" s="58"/>
      <c r="J6" s="12">
        <f t="shared" si="1"/>
        <v>1964.7952478476163</v>
      </c>
      <c r="K6" s="13">
        <v>150</v>
      </c>
      <c r="L6" s="13">
        <f t="shared" si="0"/>
        <v>2114.7952478476163</v>
      </c>
      <c r="M6" s="14"/>
    </row>
    <row r="8" spans="1:16" ht="24" thickBot="1">
      <c r="B8" s="50" t="s">
        <v>26</v>
      </c>
      <c r="J8" s="1"/>
      <c r="N8" s="17"/>
    </row>
    <row r="9" spans="1:16" ht="24" thickBot="1">
      <c r="B9" s="50" t="s">
        <v>27</v>
      </c>
      <c r="N9" s="51" t="s">
        <v>12</v>
      </c>
      <c r="O9" s="25"/>
      <c r="P9" s="34"/>
    </row>
    <row r="10" spans="1:16">
      <c r="I10" s="24" t="s">
        <v>18</v>
      </c>
      <c r="J10" s="25"/>
      <c r="K10" s="26" t="s">
        <v>11</v>
      </c>
      <c r="L10" s="1"/>
      <c r="N10" s="4" t="s">
        <v>13</v>
      </c>
      <c r="O10" s="30" t="s">
        <v>14</v>
      </c>
      <c r="P10" s="53" t="s">
        <v>15</v>
      </c>
    </row>
    <row r="11" spans="1:16" ht="24" thickBot="1">
      <c r="B11" s="50" t="s">
        <v>28</v>
      </c>
      <c r="I11" s="27">
        <f>A2</f>
        <v>42737</v>
      </c>
      <c r="J11" s="28">
        <f>-J2</f>
        <v>-1329.59</v>
      </c>
      <c r="K11" s="2">
        <f>XIRR(J11:J16,I11:I16)</f>
        <v>0.16717417836189269</v>
      </c>
      <c r="N11" s="5">
        <f>31+28+31+30</f>
        <v>120</v>
      </c>
      <c r="O11" s="6">
        <f>N11/365</f>
        <v>0.32876712328767121</v>
      </c>
      <c r="P11" s="52">
        <f>O1*100/O11/100</f>
        <v>0.19492171436545572</v>
      </c>
    </row>
    <row r="12" spans="1:16" ht="23.5">
      <c r="B12" s="50" t="s">
        <v>29</v>
      </c>
      <c r="I12" s="27">
        <v>42737</v>
      </c>
      <c r="J12" s="28">
        <v>-150</v>
      </c>
      <c r="K12" s="2"/>
      <c r="O12" s="1"/>
      <c r="P12" s="22"/>
    </row>
    <row r="13" spans="1:16">
      <c r="I13" s="27">
        <v>42767</v>
      </c>
      <c r="J13" s="28">
        <v>-100</v>
      </c>
      <c r="K13" s="2"/>
      <c r="O13" s="1"/>
      <c r="P13" s="22"/>
    </row>
    <row r="14" spans="1:16">
      <c r="I14" s="27">
        <v>42795</v>
      </c>
      <c r="J14" s="28">
        <v>-150</v>
      </c>
      <c r="K14" s="2"/>
      <c r="O14" s="1"/>
      <c r="P14" s="22"/>
    </row>
    <row r="15" spans="1:16">
      <c r="I15" s="27">
        <v>42828</v>
      </c>
      <c r="J15" s="28">
        <v>-150</v>
      </c>
      <c r="K15" s="2"/>
      <c r="O15" s="1"/>
      <c r="P15" s="22"/>
    </row>
    <row r="16" spans="1:16">
      <c r="I16" s="27">
        <v>42855</v>
      </c>
      <c r="J16" s="28">
        <f>M5</f>
        <v>1964.7952478476163</v>
      </c>
      <c r="K16" s="29"/>
      <c r="M16" s="17"/>
    </row>
    <row r="17" spans="7:12">
      <c r="I17" s="4"/>
      <c r="J17" s="30"/>
      <c r="K17" s="29"/>
    </row>
    <row r="18" spans="7:12">
      <c r="I18" s="4"/>
      <c r="J18" s="31"/>
      <c r="K18" s="29"/>
    </row>
    <row r="19" spans="7:12" ht="15" thickBot="1">
      <c r="I19" s="5"/>
      <c r="J19" s="32" t="s">
        <v>16</v>
      </c>
      <c r="K19" s="33">
        <f>K11*O11</f>
        <v>5.4961373708019512E-2</v>
      </c>
    </row>
    <row r="21" spans="7:12">
      <c r="H21" s="30"/>
      <c r="I21" s="30"/>
      <c r="J21" s="30"/>
      <c r="K21" s="30"/>
    </row>
    <row r="22" spans="7:12" ht="15" thickBot="1">
      <c r="H22" s="30"/>
      <c r="I22" s="30"/>
      <c r="J22" s="30"/>
      <c r="K22" s="30"/>
      <c r="L22" s="30"/>
    </row>
    <row r="23" spans="7:12">
      <c r="G23" s="24" t="s">
        <v>17</v>
      </c>
      <c r="H23" s="25"/>
      <c r="I23" s="40" t="s">
        <v>11</v>
      </c>
      <c r="J23" s="25"/>
      <c r="K23" s="34"/>
    </row>
    <row r="24" spans="7:12">
      <c r="G24" s="27">
        <v>42737</v>
      </c>
      <c r="H24" s="28">
        <f>-J2</f>
        <v>-1329.59</v>
      </c>
      <c r="I24" s="35">
        <f>XIRR(H24:H34,G24:G34)</f>
        <v>0.22471793293952941</v>
      </c>
      <c r="J24" s="30"/>
      <c r="K24" s="29"/>
    </row>
    <row r="25" spans="7:12">
      <c r="G25" s="27">
        <v>42737</v>
      </c>
      <c r="H25" s="28">
        <f>-150+0.6+0.8</f>
        <v>-148.6</v>
      </c>
      <c r="I25" s="35"/>
      <c r="J25" s="30"/>
      <c r="K25" s="29"/>
    </row>
    <row r="26" spans="7:12">
      <c r="G26" s="27">
        <v>42751</v>
      </c>
      <c r="H26" s="28">
        <f>0.08+0.66+0.48+0.54</f>
        <v>1.76</v>
      </c>
      <c r="I26" s="35"/>
      <c r="J26" s="30"/>
      <c r="K26" s="29"/>
    </row>
    <row r="27" spans="7:12">
      <c r="G27" s="27">
        <v>42767</v>
      </c>
      <c r="H27" s="28">
        <v>-100</v>
      </c>
      <c r="I27" s="35"/>
      <c r="J27" s="30"/>
      <c r="K27" s="29"/>
    </row>
    <row r="28" spans="7:12">
      <c r="G28" s="27">
        <v>42809</v>
      </c>
      <c r="H28" s="28">
        <f>0.86</f>
        <v>0.86</v>
      </c>
      <c r="I28" s="35"/>
      <c r="J28" s="30"/>
      <c r="K28" s="29"/>
    </row>
    <row r="29" spans="7:12">
      <c r="G29" s="27">
        <v>42810</v>
      </c>
      <c r="H29" s="28">
        <v>0.52</v>
      </c>
      <c r="I29" s="35"/>
      <c r="J29" s="30"/>
      <c r="K29" s="29"/>
    </row>
    <row r="30" spans="7:12">
      <c r="G30" s="27">
        <v>42795</v>
      </c>
      <c r="H30" s="28">
        <f>-150</f>
        <v>-150</v>
      </c>
      <c r="I30" s="35"/>
      <c r="J30" s="30" t="s">
        <v>16</v>
      </c>
      <c r="K30" s="36">
        <f>I24*O11</f>
        <v>7.3879868363680892E-2</v>
      </c>
    </row>
    <row r="31" spans="7:12">
      <c r="G31" s="27">
        <v>42828</v>
      </c>
      <c r="H31" s="28">
        <f>-150+0.91+0.54</f>
        <v>-148.55000000000001</v>
      </c>
      <c r="I31" s="35"/>
      <c r="J31" s="30"/>
      <c r="K31" s="29"/>
    </row>
    <row r="32" spans="7:12">
      <c r="G32" s="27">
        <v>42843</v>
      </c>
      <c r="H32" s="28">
        <f>0.04+1.23+0.32+0.52</f>
        <v>2.1100000000000003</v>
      </c>
      <c r="I32" s="35"/>
      <c r="J32" s="30"/>
      <c r="K32" s="29"/>
    </row>
    <row r="33" spans="7:11">
      <c r="G33" s="27">
        <v>42852</v>
      </c>
      <c r="H33" s="28">
        <f>2.24+0.17+2.06</f>
        <v>4.4700000000000006</v>
      </c>
      <c r="I33" s="35"/>
      <c r="J33" s="30"/>
      <c r="K33" s="29"/>
    </row>
    <row r="34" spans="7:11" ht="15" thickBot="1">
      <c r="G34" s="37">
        <v>42855</v>
      </c>
      <c r="H34" s="38">
        <f>1979.31</f>
        <v>1979.31</v>
      </c>
      <c r="I34" s="32"/>
      <c r="J34" s="32"/>
      <c r="K34" s="39"/>
    </row>
  </sheetData>
  <mergeCells count="15">
    <mergeCell ref="C1:D1"/>
    <mergeCell ref="F1:G1"/>
    <mergeCell ref="H1:I1"/>
    <mergeCell ref="C2:C3"/>
    <mergeCell ref="F2:F3"/>
    <mergeCell ref="H2:H3"/>
    <mergeCell ref="D3:D4"/>
    <mergeCell ref="G3:G4"/>
    <mergeCell ref="I3:I4"/>
    <mergeCell ref="C4:C5"/>
    <mergeCell ref="F4:F5"/>
    <mergeCell ref="H4:H5"/>
    <mergeCell ref="D5:D6"/>
    <mergeCell ref="G5:G6"/>
    <mergeCell ref="I5:I6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ausschüttend</vt:lpstr>
      <vt:lpstr>thesaurierend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2017-05-12T12:10:45Z</dcterms:modified>
</cp:coreProperties>
</file>