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672" yWindow="324" windowWidth="14304" windowHeight="7968" activeTab="1"/>
  </bookViews>
  <sheets>
    <sheet name="ein Jahr" sheetId="5" r:id="rId1"/>
    <sheet name="10 Jahre" sheetId="1" r:id="rId2"/>
    <sheet name="mehrjährig" sheetId="4" r:id="rId3"/>
    <sheet name="Tabelle3" sheetId="3" r:id="rId4"/>
  </sheets>
  <calcPr calcId="145621"/>
</workbook>
</file>

<file path=xl/calcChain.xml><?xml version="1.0" encoding="utf-8"?>
<calcChain xmlns="http://schemas.openxmlformats.org/spreadsheetml/2006/main">
  <c r="AO1" i="1" l="1"/>
  <c r="AK1" i="1"/>
  <c r="AM40" i="1" s="1"/>
  <c r="AG1" i="1"/>
  <c r="AC1" i="1"/>
  <c r="AD40" i="1" s="1"/>
  <c r="Y1" i="1"/>
  <c r="U1" i="1"/>
  <c r="V40" i="1" s="1"/>
  <c r="Q1" i="1"/>
  <c r="M1" i="1"/>
  <c r="I1" i="1"/>
  <c r="K40" i="1" s="1"/>
  <c r="O40" i="1"/>
  <c r="J40" i="1"/>
  <c r="E1" i="1"/>
  <c r="AQ40" i="1"/>
  <c r="AP40" i="1"/>
  <c r="AO40" i="1"/>
  <c r="AI40" i="1"/>
  <c r="AH40" i="1"/>
  <c r="AG40" i="1"/>
  <c r="AE40" i="1"/>
  <c r="AC40" i="1"/>
  <c r="AA40" i="1"/>
  <c r="Z40" i="1"/>
  <c r="Y40" i="1"/>
  <c r="W40" i="1"/>
  <c r="U40" i="1"/>
  <c r="S40" i="1"/>
  <c r="R40" i="1"/>
  <c r="Q40" i="1"/>
  <c r="G40" i="1"/>
  <c r="F40" i="1"/>
  <c r="E40" i="1"/>
  <c r="AQ17" i="1"/>
  <c r="AQ53" i="1" s="1"/>
  <c r="AQ5" i="1"/>
  <c r="AQ49" i="1" s="1"/>
  <c r="AP5" i="1"/>
  <c r="AP49" i="1" s="1"/>
  <c r="AO5" i="1"/>
  <c r="AO10" i="1" s="1"/>
  <c r="AM17" i="1"/>
  <c r="AM53" i="1" s="1"/>
  <c r="AM5" i="1"/>
  <c r="AM49" i="1" s="1"/>
  <c r="AL5" i="1"/>
  <c r="AL49" i="1" s="1"/>
  <c r="AK5" i="1"/>
  <c r="AK10" i="1" s="1"/>
  <c r="AI17" i="1"/>
  <c r="AI53" i="1" s="1"/>
  <c r="AI5" i="1"/>
  <c r="AI49" i="1" s="1"/>
  <c r="AH5" i="1"/>
  <c r="AH43" i="1" s="1"/>
  <c r="AG5" i="1"/>
  <c r="AG10" i="1" s="1"/>
  <c r="AE17" i="1"/>
  <c r="AE53" i="1" s="1"/>
  <c r="AC10" i="1"/>
  <c r="AE5" i="1"/>
  <c r="AE49" i="1" s="1"/>
  <c r="AD5" i="1"/>
  <c r="AD43" i="1" s="1"/>
  <c r="AC5" i="1"/>
  <c r="AC43" i="1" s="1"/>
  <c r="AA17" i="1"/>
  <c r="AA53" i="1" s="1"/>
  <c r="AA10" i="1"/>
  <c r="AA11" i="1" s="1"/>
  <c r="AA5" i="1"/>
  <c r="AA49" i="1" s="1"/>
  <c r="Z5" i="1"/>
  <c r="Z49" i="1" s="1"/>
  <c r="Y5" i="1"/>
  <c r="Y10" i="1" s="1"/>
  <c r="W43" i="1"/>
  <c r="W17" i="1"/>
  <c r="W53" i="1" s="1"/>
  <c r="W5" i="1"/>
  <c r="W49" i="1" s="1"/>
  <c r="V5" i="1"/>
  <c r="V49" i="1" s="1"/>
  <c r="U5" i="1"/>
  <c r="U10" i="1" s="1"/>
  <c r="S17" i="1"/>
  <c r="S18" i="1" s="1"/>
  <c r="S10" i="1"/>
  <c r="S11" i="1" s="1"/>
  <c r="S5" i="1"/>
  <c r="S49" i="1" s="1"/>
  <c r="R5" i="1"/>
  <c r="R49" i="1" s="1"/>
  <c r="Q5" i="1"/>
  <c r="Q43" i="1" s="1"/>
  <c r="O17" i="1"/>
  <c r="O53" i="1" s="1"/>
  <c r="N10" i="1"/>
  <c r="N11" i="1" s="1"/>
  <c r="N13" i="1" s="1"/>
  <c r="N17" i="1" s="1"/>
  <c r="O5" i="1"/>
  <c r="O43" i="1" s="1"/>
  <c r="N5" i="1"/>
  <c r="N49" i="1" s="1"/>
  <c r="M5" i="1"/>
  <c r="M43" i="1" s="1"/>
  <c r="I8" i="1"/>
  <c r="M8" i="1" s="1"/>
  <c r="Q8" i="1" s="1"/>
  <c r="U8" i="1" s="1"/>
  <c r="Y8" i="1" s="1"/>
  <c r="AC8" i="1" s="1"/>
  <c r="AG8" i="1" s="1"/>
  <c r="AK8" i="1" s="1"/>
  <c r="AO8" i="1" s="1"/>
  <c r="AL40" i="1" l="1"/>
  <c r="AK40" i="1"/>
  <c r="I40" i="1"/>
  <c r="N40" i="1"/>
  <c r="M40" i="1"/>
  <c r="S43" i="1"/>
  <c r="W10" i="1"/>
  <c r="W11" i="1" s="1"/>
  <c r="M10" i="1"/>
  <c r="M11" i="1" s="1"/>
  <c r="O18" i="1"/>
  <c r="R10" i="1"/>
  <c r="R11" i="1" s="1"/>
  <c r="R13" i="1" s="1"/>
  <c r="R17" i="1" s="1"/>
  <c r="R53" i="1" s="1"/>
  <c r="O49" i="1"/>
  <c r="O10" i="1"/>
  <c r="O11" i="1" s="1"/>
  <c r="Q10" i="1"/>
  <c r="R43" i="1"/>
  <c r="S53" i="1"/>
  <c r="V10" i="1"/>
  <c r="V11" i="1" s="1"/>
  <c r="V13" i="1" s="1"/>
  <c r="V17" i="1" s="1"/>
  <c r="V18" i="1" s="1"/>
  <c r="W18" i="1"/>
  <c r="AD10" i="1"/>
  <c r="AD11" i="1" s="1"/>
  <c r="AD13" i="1" s="1"/>
  <c r="AD17" i="1" s="1"/>
  <c r="AD18" i="1" s="1"/>
  <c r="AE43" i="1"/>
  <c r="AI10" i="1"/>
  <c r="AI11" i="1" s="1"/>
  <c r="AI43" i="1"/>
  <c r="AM10" i="1"/>
  <c r="AM11" i="1" s="1"/>
  <c r="AM43" i="1"/>
  <c r="AP10" i="1"/>
  <c r="AP11" i="1" s="1"/>
  <c r="AP13" i="1" s="1"/>
  <c r="AP17" i="1" s="1"/>
  <c r="AE10" i="1"/>
  <c r="AE11" i="1" s="1"/>
  <c r="AD49" i="1"/>
  <c r="AH49" i="1"/>
  <c r="AE18" i="1"/>
  <c r="AA18" i="1"/>
  <c r="AH10" i="1"/>
  <c r="AH11" i="1" s="1"/>
  <c r="AH13" i="1" s="1"/>
  <c r="AH17" i="1" s="1"/>
  <c r="AH53" i="1" s="1"/>
  <c r="AI18" i="1"/>
  <c r="AL10" i="1"/>
  <c r="AL11" i="1" s="1"/>
  <c r="AL13" i="1" s="1"/>
  <c r="AL17" i="1" s="1"/>
  <c r="AL18" i="1" s="1"/>
  <c r="AM18" i="1"/>
  <c r="AO11" i="1"/>
  <c r="AO18" i="1" s="1"/>
  <c r="AO43" i="1"/>
  <c r="AP43" i="1"/>
  <c r="AQ43" i="1"/>
  <c r="AQ10" i="1"/>
  <c r="AQ11" i="1" s="1"/>
  <c r="AQ18" i="1"/>
  <c r="AK11" i="1"/>
  <c r="AK18" i="1" s="1"/>
  <c r="AK43" i="1"/>
  <c r="AL43" i="1"/>
  <c r="AH18" i="1"/>
  <c r="AG11" i="1"/>
  <c r="AG18" i="1" s="1"/>
  <c r="AG43" i="1"/>
  <c r="AD53" i="1"/>
  <c r="AC11" i="1"/>
  <c r="AC17" i="1" s="1"/>
  <c r="Y11" i="1"/>
  <c r="Y17" i="1" s="1"/>
  <c r="Y43" i="1"/>
  <c r="Z43" i="1"/>
  <c r="Z10" i="1"/>
  <c r="Z11" i="1" s="1"/>
  <c r="Z13" i="1" s="1"/>
  <c r="Z17" i="1" s="1"/>
  <c r="AA43" i="1"/>
  <c r="U11" i="1"/>
  <c r="U18" i="1" s="1"/>
  <c r="U43" i="1"/>
  <c r="V43" i="1"/>
  <c r="R18" i="1"/>
  <c r="Q11" i="1"/>
  <c r="Q18" i="1" s="1"/>
  <c r="N53" i="1"/>
  <c r="N18" i="1"/>
  <c r="N43" i="1"/>
  <c r="K17" i="1"/>
  <c r="K53" i="1" s="1"/>
  <c r="K5" i="1"/>
  <c r="K49" i="1" s="1"/>
  <c r="J5" i="1"/>
  <c r="J10" i="1" s="1"/>
  <c r="J11" i="1" s="1"/>
  <c r="J13" i="1" s="1"/>
  <c r="J17" i="1" s="1"/>
  <c r="I5" i="1"/>
  <c r="I43" i="1" s="1"/>
  <c r="A46" i="1"/>
  <c r="A40" i="1"/>
  <c r="A29" i="1"/>
  <c r="A25" i="1"/>
  <c r="A21" i="1"/>
  <c r="G17" i="1"/>
  <c r="G18" i="1" s="1"/>
  <c r="A15" i="1"/>
  <c r="A9" i="1"/>
  <c r="A10" i="1" s="1"/>
  <c r="A11" i="1" s="1"/>
  <c r="G5" i="1"/>
  <c r="F5" i="1"/>
  <c r="E5" i="1"/>
  <c r="M17" i="1" l="1"/>
  <c r="M18" i="1"/>
  <c r="V53" i="1"/>
  <c r="AC18" i="1"/>
  <c r="AC20" i="1" s="1"/>
  <c r="AL53" i="1"/>
  <c r="U17" i="1"/>
  <c r="U20" i="1" s="1"/>
  <c r="Y18" i="1"/>
  <c r="J49" i="1"/>
  <c r="G43" i="1"/>
  <c r="G7" i="1"/>
  <c r="G6" i="1"/>
  <c r="K18" i="1"/>
  <c r="E10" i="1"/>
  <c r="E6" i="1"/>
  <c r="E7" i="1"/>
  <c r="I10" i="1"/>
  <c r="I11" i="1" s="1"/>
  <c r="I17" i="1" s="1"/>
  <c r="J43" i="1"/>
  <c r="AG17" i="1"/>
  <c r="AG20" i="1" s="1"/>
  <c r="AK17" i="1"/>
  <c r="AK20" i="1" s="1"/>
  <c r="F6" i="1"/>
  <c r="F7" i="1"/>
  <c r="AO17" i="1"/>
  <c r="AO20" i="1" s="1"/>
  <c r="AP53" i="1"/>
  <c r="AP18" i="1"/>
  <c r="Z53" i="1"/>
  <c r="Z18" i="1"/>
  <c r="Q17" i="1"/>
  <c r="Q20" i="1" s="1"/>
  <c r="J53" i="1"/>
  <c r="J18" i="1"/>
  <c r="K10" i="1"/>
  <c r="K11" i="1" s="1"/>
  <c r="K43" i="1"/>
  <c r="A12" i="1"/>
  <c r="G10" i="1"/>
  <c r="G11" i="1" s="1"/>
  <c r="E9" i="1"/>
  <c r="G49" i="1"/>
  <c r="G9" i="1"/>
  <c r="A13" i="1"/>
  <c r="A14" i="1" s="1"/>
  <c r="F49" i="1"/>
  <c r="F10" i="1"/>
  <c r="F11" i="1" s="1"/>
  <c r="F13" i="1" s="1"/>
  <c r="F17" i="1" s="1"/>
  <c r="F9" i="1"/>
  <c r="F12" i="1" s="1"/>
  <c r="F14" i="1" s="1"/>
  <c r="F23" i="1" s="1"/>
  <c r="G53" i="1"/>
  <c r="E43" i="1"/>
  <c r="F43" i="1"/>
  <c r="Y20" i="1" l="1"/>
  <c r="E12" i="1"/>
  <c r="E14" i="1" s="1"/>
  <c r="E23" i="1" s="1"/>
  <c r="E27" i="1" s="1"/>
  <c r="M20" i="1"/>
  <c r="E11" i="1"/>
  <c r="E18" i="1" s="1"/>
  <c r="I18" i="1"/>
  <c r="G12" i="1"/>
  <c r="G14" i="1" s="1"/>
  <c r="G23" i="1" s="1"/>
  <c r="F53" i="1"/>
  <c r="F18" i="1"/>
  <c r="A16" i="1"/>
  <c r="A17" i="1" s="1"/>
  <c r="F50" i="1"/>
  <c r="F51" i="1" s="1"/>
  <c r="F52" i="1" s="1"/>
  <c r="F27" i="1"/>
  <c r="J9" i="1" l="1"/>
  <c r="J12" i="1" s="1"/>
  <c r="J14" i="1" s="1"/>
  <c r="J23" i="1" s="1"/>
  <c r="I9" i="1"/>
  <c r="I12" i="1" s="1"/>
  <c r="I14" i="1" s="1"/>
  <c r="I23" i="1" s="1"/>
  <c r="I27" i="1" s="1"/>
  <c r="E17" i="1"/>
  <c r="E20" i="1" s="1"/>
  <c r="I20" i="1"/>
  <c r="F54" i="1"/>
  <c r="F36" i="1" s="1"/>
  <c r="G27" i="1"/>
  <c r="G50" i="1"/>
  <c r="G51" i="1" s="1"/>
  <c r="G52" i="1" s="1"/>
  <c r="G54" i="1" s="1"/>
  <c r="K8" i="1" s="1"/>
  <c r="A18" i="1"/>
  <c r="A19" i="1" s="1"/>
  <c r="E8" i="5"/>
  <c r="E15" i="5"/>
  <c r="G38" i="5"/>
  <c r="G37" i="5"/>
  <c r="G33" i="5"/>
  <c r="H24" i="5"/>
  <c r="G24" i="5"/>
  <c r="H21" i="5"/>
  <c r="H25" i="5" s="1"/>
  <c r="H31" i="5" s="1"/>
  <c r="J20" i="5"/>
  <c r="J24" i="5" s="1"/>
  <c r="I20" i="5"/>
  <c r="I24" i="5" s="1"/>
  <c r="H20" i="5"/>
  <c r="G20" i="5"/>
  <c r="F20" i="5"/>
  <c r="F24" i="5" s="1"/>
  <c r="H17" i="5"/>
  <c r="G17" i="5"/>
  <c r="F17" i="5"/>
  <c r="F32" i="5" s="1"/>
  <c r="J15" i="5"/>
  <c r="I15" i="5"/>
  <c r="H15" i="5"/>
  <c r="G15" i="5"/>
  <c r="F15" i="5"/>
  <c r="M9" i="1" l="1"/>
  <c r="M12" i="1" s="1"/>
  <c r="M14" i="1" s="1"/>
  <c r="M23" i="1" s="1"/>
  <c r="J50" i="1"/>
  <c r="J51" i="1" s="1"/>
  <c r="J52" i="1" s="1"/>
  <c r="J54" i="1" s="1"/>
  <c r="J27" i="1"/>
  <c r="K9" i="1"/>
  <c r="K12" i="1" s="1"/>
  <c r="K14" i="1" s="1"/>
  <c r="K23" i="1" s="1"/>
  <c r="F55" i="1"/>
  <c r="E24" i="1"/>
  <c r="E28" i="1" s="1"/>
  <c r="I24" i="1"/>
  <c r="G36" i="1"/>
  <c r="G55" i="1"/>
  <c r="G19" i="1" s="1"/>
  <c r="G20" i="1" s="1"/>
  <c r="G24" i="1" s="1"/>
  <c r="G28" i="1" s="1"/>
  <c r="A20" i="1"/>
  <c r="H35" i="5"/>
  <c r="H36" i="5" s="1"/>
  <c r="H39" i="5" s="1"/>
  <c r="H32" i="5"/>
  <c r="F21" i="5"/>
  <c r="F25" i="5" s="1"/>
  <c r="F31" i="5" s="1"/>
  <c r="G21" i="5"/>
  <c r="G25" i="5" s="1"/>
  <c r="G31" i="5" s="1"/>
  <c r="A15" i="5"/>
  <c r="A17" i="5" s="1"/>
  <c r="A16" i="5"/>
  <c r="M27" i="1" l="1"/>
  <c r="M24" i="1"/>
  <c r="N12" i="1"/>
  <c r="N14" i="1" s="1"/>
  <c r="N23" i="1" s="1"/>
  <c r="N50" i="1" s="1"/>
  <c r="N51" i="1" s="1"/>
  <c r="N52" i="1" s="1"/>
  <c r="N54" i="1" s="1"/>
  <c r="N9" i="1"/>
  <c r="K50" i="1"/>
  <c r="K51" i="1" s="1"/>
  <c r="K52" i="1" s="1"/>
  <c r="K54" i="1" s="1"/>
  <c r="O8" i="1" s="1"/>
  <c r="K27" i="1"/>
  <c r="N27" i="1"/>
  <c r="J55" i="1"/>
  <c r="J19" i="1" s="1"/>
  <c r="J20" i="1" s="1"/>
  <c r="J24" i="1" s="1"/>
  <c r="J36" i="1"/>
  <c r="E35" i="1"/>
  <c r="I7" i="1" s="1"/>
  <c r="I35" i="1" s="1"/>
  <c r="M7" i="1" s="1"/>
  <c r="M35" i="1" s="1"/>
  <c r="Q7" i="1" s="1"/>
  <c r="Q35" i="1" s="1"/>
  <c r="U7" i="1" s="1"/>
  <c r="U35" i="1" s="1"/>
  <c r="Y7" i="1" s="1"/>
  <c r="Y35" i="1" s="1"/>
  <c r="AC7" i="1" s="1"/>
  <c r="AC35" i="1" s="1"/>
  <c r="AG7" i="1" s="1"/>
  <c r="AG35" i="1" s="1"/>
  <c r="AK7" i="1" s="1"/>
  <c r="AK35" i="1" s="1"/>
  <c r="AO7" i="1" s="1"/>
  <c r="AO35" i="1" s="1"/>
  <c r="E34" i="1"/>
  <c r="I6" i="1"/>
  <c r="I28" i="1" s="1"/>
  <c r="F19" i="1"/>
  <c r="F20" i="1" s="1"/>
  <c r="J8" i="1"/>
  <c r="G34" i="1"/>
  <c r="K6" i="1"/>
  <c r="G35" i="1"/>
  <c r="A22" i="1"/>
  <c r="A23" i="1" s="1"/>
  <c r="G32" i="5"/>
  <c r="G35" i="5" s="1"/>
  <c r="G36" i="5" s="1"/>
  <c r="G39" i="5" s="1"/>
  <c r="F35" i="5"/>
  <c r="F36" i="5" s="1"/>
  <c r="F39" i="5" s="1"/>
  <c r="O9" i="1" l="1"/>
  <c r="O12" i="1" s="1"/>
  <c r="O14" i="1" s="1"/>
  <c r="O23" i="1" s="1"/>
  <c r="Q12" i="1"/>
  <c r="Q14" i="1" s="1"/>
  <c r="Q23" i="1" s="1"/>
  <c r="Q9" i="1"/>
  <c r="R9" i="1"/>
  <c r="R12" i="1" s="1"/>
  <c r="R14" i="1" s="1"/>
  <c r="R23" i="1" s="1"/>
  <c r="K36" i="1"/>
  <c r="K55" i="1"/>
  <c r="K19" i="1" s="1"/>
  <c r="K20" i="1" s="1"/>
  <c r="N8" i="1"/>
  <c r="R8" i="1"/>
  <c r="N55" i="1"/>
  <c r="N19" i="1" s="1"/>
  <c r="N20" i="1" s="1"/>
  <c r="N24" i="1" s="1"/>
  <c r="N36" i="1"/>
  <c r="E37" i="1"/>
  <c r="E38" i="1" s="1"/>
  <c r="E41" i="1" s="1"/>
  <c r="G37" i="1"/>
  <c r="G38" i="1" s="1"/>
  <c r="G41" i="1" s="1"/>
  <c r="K7" i="1"/>
  <c r="K35" i="1" s="1"/>
  <c r="O7" i="1" s="1"/>
  <c r="K24" i="1"/>
  <c r="K28" i="1" s="1"/>
  <c r="F24" i="1"/>
  <c r="F28" i="1" s="1"/>
  <c r="I34" i="1"/>
  <c r="I37" i="1" s="1"/>
  <c r="I38" i="1" s="1"/>
  <c r="I41" i="1" s="1"/>
  <c r="M6" i="1"/>
  <c r="M28" i="1" s="1"/>
  <c r="A24" i="1"/>
  <c r="A26" i="1" s="1"/>
  <c r="E4" i="5"/>
  <c r="E6" i="5" s="1"/>
  <c r="F4" i="5"/>
  <c r="F6" i="5" s="1"/>
  <c r="G4" i="5"/>
  <c r="G6" i="5" s="1"/>
  <c r="H4" i="5"/>
  <c r="H6" i="5" s="1"/>
  <c r="I4" i="5"/>
  <c r="I6" i="5" s="1"/>
  <c r="J4" i="5"/>
  <c r="J6" i="5" s="1"/>
  <c r="A5" i="5"/>
  <c r="A6" i="5" s="1"/>
  <c r="H7" i="5"/>
  <c r="H8" i="5" s="1"/>
  <c r="A12" i="5"/>
  <c r="G14" i="5"/>
  <c r="H14" i="5"/>
  <c r="J14" i="5"/>
  <c r="A18" i="5"/>
  <c r="A22" i="5"/>
  <c r="A26" i="5"/>
  <c r="A40" i="5"/>
  <c r="E43" i="5"/>
  <c r="I43" i="5"/>
  <c r="A46" i="5"/>
  <c r="I49" i="5"/>
  <c r="O50" i="1" l="1"/>
  <c r="O51" i="1" s="1"/>
  <c r="O52" i="1" s="1"/>
  <c r="O54" i="1" s="1"/>
  <c r="O27" i="1"/>
  <c r="R50" i="1"/>
  <c r="R51" i="1" s="1"/>
  <c r="R52" i="1" s="1"/>
  <c r="R54" i="1" s="1"/>
  <c r="R55" i="1" s="1"/>
  <c r="R27" i="1"/>
  <c r="Q27" i="1"/>
  <c r="Q24" i="1"/>
  <c r="R36" i="1"/>
  <c r="F35" i="1"/>
  <c r="J7" i="1" s="1"/>
  <c r="J35" i="1" s="1"/>
  <c r="N7" i="1" s="1"/>
  <c r="N35" i="1" s="1"/>
  <c r="R7" i="1" s="1"/>
  <c r="E39" i="1"/>
  <c r="E42" i="1" s="1"/>
  <c r="K34" i="1"/>
  <c r="O6" i="1"/>
  <c r="I39" i="1"/>
  <c r="F34" i="1"/>
  <c r="J6" i="1"/>
  <c r="J28" i="1" s="1"/>
  <c r="G39" i="1"/>
  <c r="M34" i="1"/>
  <c r="Q6" i="1"/>
  <c r="A27" i="1"/>
  <c r="G7" i="5"/>
  <c r="G43" i="5"/>
  <c r="J53" i="5"/>
  <c r="F7" i="5"/>
  <c r="H43" i="5"/>
  <c r="J49" i="5"/>
  <c r="J7" i="5"/>
  <c r="J8" i="5" s="1"/>
  <c r="J9" i="5" s="1"/>
  <c r="J11" i="5" s="1"/>
  <c r="J50" i="5" s="1"/>
  <c r="J51" i="5" s="1"/>
  <c r="J52" i="5" s="1"/>
  <c r="J54" i="5" s="1"/>
  <c r="J34" i="5" s="1"/>
  <c r="J43" i="5"/>
  <c r="F43" i="5"/>
  <c r="G8" i="5"/>
  <c r="F8" i="5"/>
  <c r="I7" i="5"/>
  <c r="I8" i="5" s="1"/>
  <c r="I10" i="5" s="1"/>
  <c r="I14" i="5" s="1"/>
  <c r="E7" i="5"/>
  <c r="E14" i="5" s="1"/>
  <c r="A7" i="5"/>
  <c r="A8" i="5" s="1"/>
  <c r="R19" i="1" l="1"/>
  <c r="R20" i="1" s="1"/>
  <c r="R24" i="1" s="1"/>
  <c r="V8" i="1"/>
  <c r="S12" i="1"/>
  <c r="S14" i="1" s="1"/>
  <c r="S23" i="1" s="1"/>
  <c r="S9" i="1"/>
  <c r="U9" i="1"/>
  <c r="U12" i="1" s="1"/>
  <c r="U14" i="1" s="1"/>
  <c r="U23" i="1" s="1"/>
  <c r="O36" i="1"/>
  <c r="S8" i="1"/>
  <c r="O55" i="1"/>
  <c r="O19" i="1" s="1"/>
  <c r="O20" i="1" s="1"/>
  <c r="Q28" i="1"/>
  <c r="U6" i="1" s="1"/>
  <c r="V9" i="1"/>
  <c r="V12" i="1" s="1"/>
  <c r="V14" i="1" s="1"/>
  <c r="V23" i="1" s="1"/>
  <c r="E44" i="1"/>
  <c r="E45" i="1" s="1"/>
  <c r="Q34" i="1"/>
  <c r="G42" i="1"/>
  <c r="G44" i="1"/>
  <c r="G45" i="1" s="1"/>
  <c r="M37" i="1"/>
  <c r="M38" i="1" s="1"/>
  <c r="M41" i="1" s="1"/>
  <c r="N6" i="1"/>
  <c r="N28" i="1" s="1"/>
  <c r="J34" i="1"/>
  <c r="I44" i="1"/>
  <c r="I45" i="1" s="1"/>
  <c r="I42" i="1"/>
  <c r="K37" i="1"/>
  <c r="K38" i="1" s="1"/>
  <c r="K41" i="1" s="1"/>
  <c r="F37" i="1"/>
  <c r="F38" i="1" s="1"/>
  <c r="F41" i="1" s="1"/>
  <c r="A28" i="1"/>
  <c r="A33" i="1" s="1"/>
  <c r="A9" i="5"/>
  <c r="A10" i="5" s="1"/>
  <c r="A11" i="5" s="1"/>
  <c r="I9" i="5"/>
  <c r="I11" i="5" s="1"/>
  <c r="I50" i="5" s="1"/>
  <c r="I51" i="5" s="1"/>
  <c r="I52" i="5" s="1"/>
  <c r="F10" i="5"/>
  <c r="F14" i="5" s="1"/>
  <c r="J55" i="5"/>
  <c r="J16" i="5" s="1"/>
  <c r="J17" i="5" s="1"/>
  <c r="E17" i="5"/>
  <c r="I53" i="5"/>
  <c r="E9" i="5"/>
  <c r="V50" i="1" l="1"/>
  <c r="V51" i="1" s="1"/>
  <c r="V52" i="1" s="1"/>
  <c r="V54" i="1" s="1"/>
  <c r="V27" i="1"/>
  <c r="U28" i="1"/>
  <c r="Y6" i="1" s="1"/>
  <c r="U27" i="1"/>
  <c r="U24" i="1"/>
  <c r="O24" i="1"/>
  <c r="O28" i="1" s="1"/>
  <c r="O35" i="1"/>
  <c r="S7" i="1" s="1"/>
  <c r="R35" i="1"/>
  <c r="V7" i="1" s="1"/>
  <c r="S27" i="1"/>
  <c r="S50" i="1"/>
  <c r="S51" i="1" s="1"/>
  <c r="S52" i="1" s="1"/>
  <c r="S54" i="1" s="1"/>
  <c r="K39" i="1"/>
  <c r="K44" i="1" s="1"/>
  <c r="K45" i="1" s="1"/>
  <c r="F39" i="1"/>
  <c r="F44" i="1" s="1"/>
  <c r="F45" i="1" s="1"/>
  <c r="J37" i="1"/>
  <c r="J38" i="1" s="1"/>
  <c r="J41" i="1" s="1"/>
  <c r="U34" i="1"/>
  <c r="N34" i="1"/>
  <c r="R6" i="1"/>
  <c r="R28" i="1" s="1"/>
  <c r="M39" i="1"/>
  <c r="Q37" i="1"/>
  <c r="Q38" i="1" s="1"/>
  <c r="Q41" i="1" s="1"/>
  <c r="A34" i="1"/>
  <c r="A35" i="1" s="1"/>
  <c r="J21" i="5"/>
  <c r="J25" i="5" s="1"/>
  <c r="J31" i="5" s="1"/>
  <c r="E32" i="5"/>
  <c r="I54" i="5"/>
  <c r="I34" i="5" s="1"/>
  <c r="F9" i="5"/>
  <c r="F11" i="5" s="1"/>
  <c r="E11" i="5"/>
  <c r="E20" i="5" s="1"/>
  <c r="G9" i="5"/>
  <c r="G11" i="5" s="1"/>
  <c r="H9" i="5"/>
  <c r="H11" i="5" s="1"/>
  <c r="A13" i="5"/>
  <c r="A14" i="5" s="1"/>
  <c r="S36" i="1" l="1"/>
  <c r="S55" i="1"/>
  <c r="S19" i="1" s="1"/>
  <c r="S20" i="1" s="1"/>
  <c r="S24" i="1" s="1"/>
  <c r="O34" i="1"/>
  <c r="O37" i="1" s="1"/>
  <c r="O38" i="1" s="1"/>
  <c r="O41" i="1" s="1"/>
  <c r="S6" i="1"/>
  <c r="Z9" i="1"/>
  <c r="Z12" i="1" s="1"/>
  <c r="Z14" i="1" s="1"/>
  <c r="Z23" i="1" s="1"/>
  <c r="G46" i="1"/>
  <c r="W8" i="1"/>
  <c r="V55" i="1"/>
  <c r="V36" i="1"/>
  <c r="F42" i="1"/>
  <c r="Y9" i="1"/>
  <c r="Y12" i="1" s="1"/>
  <c r="Y14" i="1" s="1"/>
  <c r="Y23" i="1" s="1"/>
  <c r="W12" i="1"/>
  <c r="W14" i="1" s="1"/>
  <c r="W23" i="1" s="1"/>
  <c r="W9" i="1"/>
  <c r="K42" i="1"/>
  <c r="O39" i="1"/>
  <c r="O44" i="1" s="1"/>
  <c r="O45" i="1" s="1"/>
  <c r="M44" i="1"/>
  <c r="M45" i="1" s="1"/>
  <c r="M42" i="1"/>
  <c r="U37" i="1"/>
  <c r="U38" i="1" s="1"/>
  <c r="U41" i="1" s="1"/>
  <c r="Q39" i="1"/>
  <c r="R34" i="1"/>
  <c r="V6" i="1"/>
  <c r="N37" i="1"/>
  <c r="N38" i="1" s="1"/>
  <c r="N41" i="1" s="1"/>
  <c r="J39" i="1"/>
  <c r="A36" i="1"/>
  <c r="A37" i="1" s="1"/>
  <c r="J32" i="5"/>
  <c r="J35" i="5" s="1"/>
  <c r="J36" i="5" s="1"/>
  <c r="J39" i="5" s="1"/>
  <c r="E24" i="5"/>
  <c r="E21" i="5"/>
  <c r="E25" i="5" s="1"/>
  <c r="I55" i="5"/>
  <c r="I16" i="5" s="1"/>
  <c r="I17" i="5" s="1"/>
  <c r="Y27" i="1" l="1"/>
  <c r="Y24" i="1"/>
  <c r="Y28" i="1" s="1"/>
  <c r="Z27" i="1"/>
  <c r="Z50" i="1"/>
  <c r="Z51" i="1" s="1"/>
  <c r="Z52" i="1" s="1"/>
  <c r="Z54" i="1" s="1"/>
  <c r="W50" i="1"/>
  <c r="W51" i="1" s="1"/>
  <c r="W52" i="1" s="1"/>
  <c r="W54" i="1" s="1"/>
  <c r="AA8" i="1" s="1"/>
  <c r="W27" i="1"/>
  <c r="S35" i="1"/>
  <c r="W7" i="1" s="1"/>
  <c r="V19" i="1"/>
  <c r="V20" i="1" s="1"/>
  <c r="Z8" i="1"/>
  <c r="S28" i="1"/>
  <c r="O42" i="1"/>
  <c r="U39" i="1"/>
  <c r="U42" i="1" s="1"/>
  <c r="N39" i="1"/>
  <c r="N42" i="1" s="1"/>
  <c r="J42" i="1"/>
  <c r="J44" i="1"/>
  <c r="J45" i="1" s="1"/>
  <c r="K46" i="1"/>
  <c r="Q42" i="1"/>
  <c r="Q44" i="1"/>
  <c r="Q45" i="1" s="1"/>
  <c r="R37" i="1"/>
  <c r="R38" i="1" s="1"/>
  <c r="R41" i="1" s="1"/>
  <c r="A38" i="1"/>
  <c r="I32" i="5"/>
  <c r="I21" i="5"/>
  <c r="I25" i="5" s="1"/>
  <c r="I31" i="5" s="1"/>
  <c r="E31" i="5"/>
  <c r="E35" i="5" s="1"/>
  <c r="E36" i="5" s="1"/>
  <c r="E41" i="5" s="1"/>
  <c r="J41" i="5"/>
  <c r="S34" i="1" l="1"/>
  <c r="W6" i="1"/>
  <c r="Z36" i="1"/>
  <c r="Z55" i="1"/>
  <c r="Z19" i="1" s="1"/>
  <c r="Z20" i="1" s="1"/>
  <c r="Z24" i="1" s="1"/>
  <c r="AA9" i="1"/>
  <c r="AA12" i="1" s="1"/>
  <c r="AA14" i="1" s="1"/>
  <c r="AA23" i="1" s="1"/>
  <c r="AD9" i="1"/>
  <c r="AD12" i="1" s="1"/>
  <c r="AD14" i="1" s="1"/>
  <c r="AD23" i="1" s="1"/>
  <c r="W55" i="1"/>
  <c r="W19" i="1" s="1"/>
  <c r="W20" i="1" s="1"/>
  <c r="W24" i="1" s="1"/>
  <c r="W36" i="1"/>
  <c r="AC6" i="1"/>
  <c r="Y34" i="1"/>
  <c r="Y37" i="1" s="1"/>
  <c r="Y38" i="1" s="1"/>
  <c r="Y41" i="1" s="1"/>
  <c r="V24" i="1"/>
  <c r="V28" i="1" s="1"/>
  <c r="V35" i="1"/>
  <c r="Z7" i="1" s="1"/>
  <c r="AC12" i="1"/>
  <c r="AC14" i="1" s="1"/>
  <c r="AC23" i="1" s="1"/>
  <c r="AC9" i="1"/>
  <c r="Y39" i="1"/>
  <c r="Y44" i="1" s="1"/>
  <c r="Y45" i="1" s="1"/>
  <c r="U44" i="1"/>
  <c r="U45" i="1" s="1"/>
  <c r="O46" i="1"/>
  <c r="N44" i="1"/>
  <c r="N45" i="1" s="1"/>
  <c r="R39" i="1"/>
  <c r="A39" i="1"/>
  <c r="A41" i="1" s="1"/>
  <c r="I35" i="5"/>
  <c r="I36" i="5" s="1"/>
  <c r="I39" i="5" s="1"/>
  <c r="E39" i="5"/>
  <c r="E44" i="5" s="1"/>
  <c r="E45" i="5" s="1"/>
  <c r="J42" i="5"/>
  <c r="J44" i="5"/>
  <c r="J45" i="5" s="1"/>
  <c r="AD50" i="1" l="1"/>
  <c r="AD51" i="1" s="1"/>
  <c r="AD52" i="1" s="1"/>
  <c r="AD54" i="1" s="1"/>
  <c r="AD27" i="1"/>
  <c r="AA50" i="1"/>
  <c r="AA51" i="1" s="1"/>
  <c r="AA52" i="1" s="1"/>
  <c r="AA54" i="1" s="1"/>
  <c r="AA27" i="1"/>
  <c r="V34" i="1"/>
  <c r="V37" i="1" s="1"/>
  <c r="V38" i="1" s="1"/>
  <c r="V41" i="1" s="1"/>
  <c r="Z6" i="1"/>
  <c r="Z28" i="1" s="1"/>
  <c r="W35" i="1"/>
  <c r="AA7" i="1" s="1"/>
  <c r="AD8" i="1"/>
  <c r="W28" i="1"/>
  <c r="AC27" i="1"/>
  <c r="AC24" i="1"/>
  <c r="AC28" i="1" s="1"/>
  <c r="S37" i="1"/>
  <c r="S38" i="1" s="1"/>
  <c r="S41" i="1" s="1"/>
  <c r="S39" i="1"/>
  <c r="S46" i="1" s="1"/>
  <c r="Z35" i="1"/>
  <c r="AD7" i="1" s="1"/>
  <c r="Y42" i="1"/>
  <c r="R42" i="1"/>
  <c r="R44" i="1"/>
  <c r="R45" i="1" s="1"/>
  <c r="V39" i="1"/>
  <c r="A42" i="1"/>
  <c r="A43" i="1" s="1"/>
  <c r="I41" i="5"/>
  <c r="E42" i="5"/>
  <c r="H41" i="5"/>
  <c r="F41" i="5"/>
  <c r="AC34" i="1" l="1"/>
  <c r="AG6" i="1"/>
  <c r="AE12" i="1"/>
  <c r="AE14" i="1" s="1"/>
  <c r="AE23" i="1" s="1"/>
  <c r="AE9" i="1"/>
  <c r="AA55" i="1"/>
  <c r="AA19" i="1" s="1"/>
  <c r="AA20" i="1" s="1"/>
  <c r="AA24" i="1" s="1"/>
  <c r="AA36" i="1"/>
  <c r="AE8" i="1"/>
  <c r="S44" i="1"/>
  <c r="S45" i="1" s="1"/>
  <c r="S42" i="1"/>
  <c r="AG9" i="1"/>
  <c r="AG12" i="1" s="1"/>
  <c r="AG14" i="1" s="1"/>
  <c r="AG23" i="1" s="1"/>
  <c r="Z34" i="1"/>
  <c r="Z37" i="1" s="1"/>
  <c r="Z38" i="1" s="1"/>
  <c r="Z41" i="1" s="1"/>
  <c r="AD6" i="1"/>
  <c r="AD28" i="1" s="1"/>
  <c r="AH9" i="1"/>
  <c r="AH12" i="1" s="1"/>
  <c r="AH14" i="1" s="1"/>
  <c r="AH23" i="1" s="1"/>
  <c r="W34" i="1"/>
  <c r="AA6" i="1"/>
  <c r="AA28" i="1" s="1"/>
  <c r="AD55" i="1"/>
  <c r="AD19" i="1" s="1"/>
  <c r="AD20" i="1" s="1"/>
  <c r="AD24" i="1" s="1"/>
  <c r="AD36" i="1"/>
  <c r="V44" i="1"/>
  <c r="V45" i="1" s="1"/>
  <c r="V42" i="1"/>
  <c r="Z39" i="1"/>
  <c r="A44" i="1"/>
  <c r="H47" i="5"/>
  <c r="H44" i="5"/>
  <c r="H45" i="5" s="1"/>
  <c r="F42" i="5"/>
  <c r="G41" i="5"/>
  <c r="I42" i="5"/>
  <c r="I44" i="5"/>
  <c r="I45" i="5" s="1"/>
  <c r="J46" i="5"/>
  <c r="AG27" i="1" l="1"/>
  <c r="AG24" i="1"/>
  <c r="AH50" i="1"/>
  <c r="AH51" i="1" s="1"/>
  <c r="AH52" i="1" s="1"/>
  <c r="AH54" i="1" s="1"/>
  <c r="AH27" i="1"/>
  <c r="AA34" i="1"/>
  <c r="AE6" i="1"/>
  <c r="AD34" i="1"/>
  <c r="AD37" i="1" s="1"/>
  <c r="AD38" i="1" s="1"/>
  <c r="AD41" i="1" s="1"/>
  <c r="AH6" i="1"/>
  <c r="AE50" i="1"/>
  <c r="AE51" i="1" s="1"/>
  <c r="AE52" i="1" s="1"/>
  <c r="AE54" i="1" s="1"/>
  <c r="AE27" i="1"/>
  <c r="W37" i="1"/>
  <c r="W38" i="1" s="1"/>
  <c r="W41" i="1" s="1"/>
  <c r="AA35" i="1"/>
  <c r="AE7" i="1" s="1"/>
  <c r="AH8" i="1"/>
  <c r="AI8" i="1"/>
  <c r="AD35" i="1"/>
  <c r="AH7" i="1" s="1"/>
  <c r="AG28" i="1"/>
  <c r="AC37" i="1"/>
  <c r="AC38" i="1" s="1"/>
  <c r="AC41" i="1" s="1"/>
  <c r="AC39" i="1"/>
  <c r="Z42" i="1"/>
  <c r="Z44" i="1"/>
  <c r="Z45" i="1" s="1"/>
  <c r="AD39" i="1"/>
  <c r="A45" i="1"/>
  <c r="H42" i="5"/>
  <c r="F44" i="5"/>
  <c r="F45" i="5" s="1"/>
  <c r="G42" i="5"/>
  <c r="G44" i="5"/>
  <c r="G45" i="5" s="1"/>
  <c r="W39" i="1" l="1"/>
  <c r="AL12" i="1"/>
  <c r="AL14" i="1" s="1"/>
  <c r="AL23" i="1" s="1"/>
  <c r="AL9" i="1"/>
  <c r="AH36" i="1"/>
  <c r="AH55" i="1"/>
  <c r="AH19" i="1" s="1"/>
  <c r="AH20" i="1" s="1"/>
  <c r="AH24" i="1" s="1"/>
  <c r="AH28" i="1" s="1"/>
  <c r="AC42" i="1"/>
  <c r="AC44" i="1"/>
  <c r="AC45" i="1" s="1"/>
  <c r="AI9" i="1"/>
  <c r="AI12" i="1" s="1"/>
  <c r="AI14" i="1" s="1"/>
  <c r="AI23" i="1" s="1"/>
  <c r="AK6" i="1"/>
  <c r="AG34" i="1"/>
  <c r="AE55" i="1"/>
  <c r="AE19" i="1" s="1"/>
  <c r="AE20" i="1" s="1"/>
  <c r="AE24" i="1" s="1"/>
  <c r="AE28" i="1" s="1"/>
  <c r="AE36" i="1"/>
  <c r="AA37" i="1"/>
  <c r="AA38" i="1" s="1"/>
  <c r="AA41" i="1" s="1"/>
  <c r="AK9" i="1"/>
  <c r="AK12" i="1" s="1"/>
  <c r="AK14" i="1" s="1"/>
  <c r="AK23" i="1" s="1"/>
  <c r="AD42" i="1"/>
  <c r="AD44" i="1"/>
  <c r="AD45" i="1" s="1"/>
  <c r="A47" i="1"/>
  <c r="F7" i="4"/>
  <c r="H7" i="4" s="1"/>
  <c r="I7" i="4" s="1"/>
  <c r="D7" i="4"/>
  <c r="G7" i="4" s="1"/>
  <c r="C7" i="4"/>
  <c r="E7" i="4" s="1"/>
  <c r="J7" i="4" s="1"/>
  <c r="A8" i="4" s="1"/>
  <c r="F2" i="4"/>
  <c r="B2" i="4"/>
  <c r="C2" i="4" s="1"/>
  <c r="D2" i="4" s="1"/>
  <c r="E2" i="4" s="1"/>
  <c r="A2" i="4"/>
  <c r="G1" i="4"/>
  <c r="E1" i="4"/>
  <c r="F1" i="4" s="1"/>
  <c r="D1" i="4"/>
  <c r="B1" i="4"/>
  <c r="AK27" i="1" l="1"/>
  <c r="AK24" i="1"/>
  <c r="AI50" i="1"/>
  <c r="AI51" i="1" s="1"/>
  <c r="AI52" i="1" s="1"/>
  <c r="AI54" i="1" s="1"/>
  <c r="AI27" i="1"/>
  <c r="AE34" i="1"/>
  <c r="AI6" i="1"/>
  <c r="AH34" i="1"/>
  <c r="AL6" i="1"/>
  <c r="AG37" i="1"/>
  <c r="AG38" i="1" s="1"/>
  <c r="AG41" i="1" s="1"/>
  <c r="AG39" i="1"/>
  <c r="AL50" i="1"/>
  <c r="AL51" i="1" s="1"/>
  <c r="AL52" i="1" s="1"/>
  <c r="AL54" i="1" s="1"/>
  <c r="AL27" i="1"/>
  <c r="AK28" i="1"/>
  <c r="AL8" i="1"/>
  <c r="W42" i="1"/>
  <c r="W44" i="1"/>
  <c r="W45" i="1" s="1"/>
  <c r="W46" i="1"/>
  <c r="AA39" i="1"/>
  <c r="AE35" i="1"/>
  <c r="AI7" i="1" s="1"/>
  <c r="AH35" i="1"/>
  <c r="AL7" i="1" s="1"/>
  <c r="A48" i="1"/>
  <c r="A49" i="1" s="1"/>
  <c r="K7" i="4"/>
  <c r="B8" i="4"/>
  <c r="C8" i="4"/>
  <c r="G2" i="4"/>
  <c r="G3" i="4" s="1"/>
  <c r="AP9" i="1" l="1"/>
  <c r="AP12" i="1" s="1"/>
  <c r="AP14" i="1" s="1"/>
  <c r="AP23" i="1" s="1"/>
  <c r="AM9" i="1"/>
  <c r="AM12" i="1" s="1"/>
  <c r="AM14" i="1" s="1"/>
  <c r="AM23" i="1" s="1"/>
  <c r="AI36" i="1"/>
  <c r="AI55" i="1"/>
  <c r="AI19" i="1" s="1"/>
  <c r="AI20" i="1" s="1"/>
  <c r="AI24" i="1" s="1"/>
  <c r="AI28" i="1" s="1"/>
  <c r="AM8" i="1"/>
  <c r="AL36" i="1"/>
  <c r="AL55" i="1"/>
  <c r="AL19" i="1" s="1"/>
  <c r="AL20" i="1" s="1"/>
  <c r="AL24" i="1" s="1"/>
  <c r="AL28" i="1" s="1"/>
  <c r="AA44" i="1"/>
  <c r="AA45" i="1" s="1"/>
  <c r="AA42" i="1"/>
  <c r="AA46" i="1"/>
  <c r="AP8" i="1"/>
  <c r="AG44" i="1"/>
  <c r="AG45" i="1" s="1"/>
  <c r="AG42" i="1"/>
  <c r="AI35" i="1"/>
  <c r="AM7" i="1" s="1"/>
  <c r="AH37" i="1"/>
  <c r="AH38" i="1" s="1"/>
  <c r="AH41" i="1" s="1"/>
  <c r="AO6" i="1"/>
  <c r="AK34" i="1"/>
  <c r="AE37" i="1"/>
  <c r="AE38" i="1" s="1"/>
  <c r="AE41" i="1" s="1"/>
  <c r="AO9" i="1"/>
  <c r="AO12" i="1" s="1"/>
  <c r="AO14" i="1" s="1"/>
  <c r="AO23" i="1" s="1"/>
  <c r="A50" i="1"/>
  <c r="A51" i="1" s="1"/>
  <c r="E8" i="4"/>
  <c r="D8" i="4"/>
  <c r="G8" i="4" s="1"/>
  <c r="M7" i="4"/>
  <c r="L7" i="4"/>
  <c r="AI34" i="1" l="1"/>
  <c r="AM6" i="1"/>
  <c r="AL34" i="1"/>
  <c r="AP6" i="1"/>
  <c r="AM27" i="1"/>
  <c r="AM50" i="1"/>
  <c r="AM51" i="1" s="1"/>
  <c r="AM52" i="1" s="1"/>
  <c r="AM54" i="1" s="1"/>
  <c r="AO27" i="1"/>
  <c r="AO24" i="1"/>
  <c r="AP27" i="1"/>
  <c r="AP50" i="1"/>
  <c r="AP51" i="1" s="1"/>
  <c r="AP52" i="1" s="1"/>
  <c r="AP54" i="1" s="1"/>
  <c r="AK37" i="1"/>
  <c r="AK38" i="1" s="1"/>
  <c r="AK41" i="1" s="1"/>
  <c r="AO28" i="1"/>
  <c r="AO34" i="1" s="1"/>
  <c r="AE39" i="1"/>
  <c r="AH39" i="1"/>
  <c r="AL35" i="1"/>
  <c r="AP7" i="1" s="1"/>
  <c r="A52" i="1"/>
  <c r="A53" i="1" s="1"/>
  <c r="N7" i="4"/>
  <c r="F8" i="4"/>
  <c r="J8" i="4" s="1"/>
  <c r="A9" i="4" s="1"/>
  <c r="AH44" i="1" l="1"/>
  <c r="AH45" i="1" s="1"/>
  <c r="AH42" i="1"/>
  <c r="AK39" i="1"/>
  <c r="AE44" i="1"/>
  <c r="AE45" i="1" s="1"/>
  <c r="AE42" i="1"/>
  <c r="AE46" i="1"/>
  <c r="AL37" i="1"/>
  <c r="AL38" i="1" s="1"/>
  <c r="AL41" i="1" s="1"/>
  <c r="AL39" i="1"/>
  <c r="AO37" i="1"/>
  <c r="AO38" i="1" s="1"/>
  <c r="AO41" i="1" s="1"/>
  <c r="AO39" i="1"/>
  <c r="AQ8" i="1"/>
  <c r="AM36" i="1"/>
  <c r="AM55" i="1"/>
  <c r="AM19" i="1" s="1"/>
  <c r="AM20" i="1" s="1"/>
  <c r="AP55" i="1"/>
  <c r="AP19" i="1" s="1"/>
  <c r="AP20" i="1" s="1"/>
  <c r="AP24" i="1" s="1"/>
  <c r="AP28" i="1" s="1"/>
  <c r="AP34" i="1" s="1"/>
  <c r="AP36" i="1"/>
  <c r="AP35" i="1"/>
  <c r="AQ9" i="1"/>
  <c r="AQ12" i="1" s="1"/>
  <c r="AQ14" i="1" s="1"/>
  <c r="AQ23" i="1" s="1"/>
  <c r="AI37" i="1"/>
  <c r="AI38" i="1" s="1"/>
  <c r="AI41" i="1" s="1"/>
  <c r="AI39" i="1"/>
  <c r="A54" i="1"/>
  <c r="A55" i="1" s="1"/>
  <c r="H8" i="4"/>
  <c r="I8" i="4" s="1"/>
  <c r="AP37" i="1" l="1"/>
  <c r="AP38" i="1" s="1"/>
  <c r="AP41" i="1" s="1"/>
  <c r="AP39" i="1"/>
  <c r="AQ50" i="1"/>
  <c r="AQ51" i="1" s="1"/>
  <c r="AQ52" i="1" s="1"/>
  <c r="AQ54" i="1" s="1"/>
  <c r="AQ27" i="1"/>
  <c r="AO44" i="1"/>
  <c r="AO45" i="1" s="1"/>
  <c r="AO42" i="1"/>
  <c r="AK42" i="1"/>
  <c r="AK44" i="1"/>
  <c r="AK45" i="1" s="1"/>
  <c r="AM24" i="1"/>
  <c r="AM28" i="1" s="1"/>
  <c r="AM35" i="1"/>
  <c r="AQ7" i="1" s="1"/>
  <c r="AL42" i="1"/>
  <c r="AL44" i="1"/>
  <c r="AL45" i="1" s="1"/>
  <c r="AI44" i="1"/>
  <c r="AI45" i="1" s="1"/>
  <c r="AI42" i="1"/>
  <c r="AI46" i="1"/>
  <c r="K8" i="4"/>
  <c r="B9" i="4"/>
  <c r="AQ36" i="1" l="1"/>
  <c r="AQ55" i="1"/>
  <c r="AQ19" i="1" s="1"/>
  <c r="AQ20" i="1" s="1"/>
  <c r="AQ24" i="1" s="1"/>
  <c r="AP42" i="1"/>
  <c r="AP44" i="1"/>
  <c r="AP45" i="1" s="1"/>
  <c r="AQ6" i="1"/>
  <c r="AM34" i="1"/>
  <c r="M8" i="4"/>
  <c r="N8" i="4" s="1"/>
  <c r="L8" i="4"/>
  <c r="C9" i="4"/>
  <c r="AM37" i="1" l="1"/>
  <c r="AM38" i="1" s="1"/>
  <c r="AM41" i="1" s="1"/>
  <c r="AM39" i="1"/>
  <c r="AQ35" i="1"/>
  <c r="AQ28" i="1"/>
  <c r="AQ34" i="1" s="1"/>
  <c r="E9" i="4"/>
  <c r="D9" i="4"/>
  <c r="G9" i="4" s="1"/>
  <c r="AQ37" i="1" l="1"/>
  <c r="AQ38" i="1" s="1"/>
  <c r="AQ41" i="1" s="1"/>
  <c r="AQ39" i="1"/>
  <c r="AM42" i="1"/>
  <c r="AM44" i="1"/>
  <c r="AM45" i="1" s="1"/>
  <c r="AM46" i="1"/>
  <c r="F9" i="4"/>
  <c r="J9" i="4" s="1"/>
  <c r="A10" i="4" s="1"/>
  <c r="AQ44" i="1" l="1"/>
  <c r="AQ45" i="1" s="1"/>
  <c r="AQ42" i="1"/>
  <c r="AQ46" i="1"/>
  <c r="H9" i="4"/>
  <c r="I9" i="4" s="1"/>
  <c r="K9" i="4" l="1"/>
  <c r="B10" i="4"/>
  <c r="C10" i="4" l="1"/>
  <c r="M9" i="4"/>
  <c r="L9" i="4"/>
  <c r="E10" i="4" l="1"/>
  <c r="D10" i="4"/>
  <c r="G10" i="4" s="1"/>
  <c r="N9" i="4"/>
  <c r="F10" i="4" l="1"/>
  <c r="J10" i="4" s="1"/>
  <c r="A11" i="4" s="1"/>
  <c r="H10" i="4" l="1"/>
  <c r="I10" i="4" s="1"/>
  <c r="K10" i="4" l="1"/>
  <c r="B11" i="4"/>
  <c r="C11" i="4" l="1"/>
  <c r="M10" i="4"/>
  <c r="L10" i="4"/>
  <c r="E11" i="4" l="1"/>
  <c r="D11" i="4"/>
  <c r="G11" i="4" s="1"/>
  <c r="N10" i="4"/>
  <c r="F11" i="4" l="1"/>
  <c r="J11" i="4" s="1"/>
  <c r="A12" i="4" s="1"/>
  <c r="H11" i="4" l="1"/>
  <c r="I11" i="4" s="1"/>
  <c r="K11" i="4" l="1"/>
  <c r="B12" i="4"/>
  <c r="C12" i="4" l="1"/>
  <c r="M11" i="4"/>
  <c r="L11" i="4"/>
  <c r="E12" i="4" l="1"/>
  <c r="D12" i="4"/>
  <c r="G12" i="4" s="1"/>
  <c r="N11" i="4"/>
  <c r="F12" i="4" l="1"/>
  <c r="J12" i="4" s="1"/>
  <c r="A13" i="4" s="1"/>
  <c r="H12" i="4" l="1"/>
  <c r="I12" i="4" s="1"/>
  <c r="K12" i="4" l="1"/>
  <c r="B13" i="4"/>
  <c r="C13" i="4" l="1"/>
  <c r="M12" i="4"/>
  <c r="L12" i="4"/>
  <c r="E13" i="4" l="1"/>
  <c r="D13" i="4"/>
  <c r="G13" i="4" s="1"/>
  <c r="N12" i="4"/>
  <c r="F13" i="4" l="1"/>
  <c r="J13" i="4" s="1"/>
  <c r="A14" i="4" s="1"/>
  <c r="H13" i="4" l="1"/>
  <c r="I13" i="4" s="1"/>
  <c r="K13" i="4" l="1"/>
  <c r="B14" i="4"/>
  <c r="C14" i="4" l="1"/>
  <c r="M13" i="4"/>
  <c r="L13" i="4"/>
  <c r="E14" i="4" l="1"/>
  <c r="D14" i="4"/>
  <c r="G14" i="4" s="1"/>
  <c r="N13" i="4"/>
  <c r="F14" i="4" l="1"/>
  <c r="J14" i="4" s="1"/>
  <c r="A15" i="4" s="1"/>
  <c r="H14" i="4" l="1"/>
  <c r="I14" i="4" s="1"/>
  <c r="K14" i="4" l="1"/>
  <c r="B15" i="4"/>
  <c r="C15" i="4" l="1"/>
  <c r="M14" i="4"/>
  <c r="L14" i="4"/>
  <c r="E15" i="4" l="1"/>
  <c r="D15" i="4"/>
  <c r="G15" i="4" s="1"/>
  <c r="N14" i="4"/>
  <c r="F15" i="4" l="1"/>
  <c r="J15" i="4" s="1"/>
  <c r="A16" i="4" s="1"/>
  <c r="H15" i="4" l="1"/>
  <c r="I15" i="4" s="1"/>
  <c r="K15" i="4" l="1"/>
  <c r="B16" i="4"/>
  <c r="C16" i="4" l="1"/>
  <c r="M15" i="4"/>
  <c r="L15" i="4"/>
  <c r="E16" i="4" l="1"/>
  <c r="D16" i="4"/>
  <c r="G16" i="4" s="1"/>
  <c r="N15" i="4"/>
  <c r="F16" i="4" l="1"/>
  <c r="J16" i="4" s="1"/>
  <c r="A17" i="4" s="1"/>
  <c r="H16" i="4" l="1"/>
  <c r="I16" i="4" s="1"/>
  <c r="K16" i="4" l="1"/>
  <c r="B17" i="4"/>
  <c r="C17" i="4" l="1"/>
  <c r="M16" i="4"/>
  <c r="L16" i="4"/>
  <c r="E17" i="4" l="1"/>
  <c r="D17" i="4"/>
  <c r="G17" i="4" s="1"/>
  <c r="N16" i="4"/>
  <c r="F17" i="4" l="1"/>
  <c r="J17" i="4" s="1"/>
  <c r="A18" i="4" s="1"/>
  <c r="H17" i="4" l="1"/>
  <c r="I17" i="4" s="1"/>
  <c r="K17" i="4" l="1"/>
  <c r="B18" i="4"/>
  <c r="C18" i="4" l="1"/>
  <c r="M17" i="4"/>
  <c r="L17" i="4"/>
  <c r="E18" i="4" l="1"/>
  <c r="D18" i="4"/>
  <c r="G18" i="4" s="1"/>
  <c r="N17" i="4"/>
  <c r="F18" i="4" l="1"/>
  <c r="J18" i="4" s="1"/>
  <c r="A19" i="4" s="1"/>
  <c r="H18" i="4" l="1"/>
  <c r="I18" i="4" s="1"/>
  <c r="K18" i="4" l="1"/>
  <c r="B19" i="4"/>
  <c r="C19" i="4" l="1"/>
  <c r="M18" i="4"/>
  <c r="L18" i="4"/>
  <c r="E19" i="4" l="1"/>
  <c r="D19" i="4"/>
  <c r="G19" i="4" s="1"/>
  <c r="N18" i="4"/>
  <c r="F19" i="4" l="1"/>
  <c r="J19" i="4" s="1"/>
  <c r="A20" i="4" s="1"/>
  <c r="H19" i="4" l="1"/>
  <c r="I19" i="4" s="1"/>
  <c r="K19" i="4" l="1"/>
  <c r="B20" i="4"/>
  <c r="C20" i="4" l="1"/>
  <c r="M19" i="4"/>
  <c r="L19" i="4"/>
  <c r="E20" i="4" l="1"/>
  <c r="D20" i="4"/>
  <c r="G20" i="4" s="1"/>
  <c r="N19" i="4"/>
  <c r="F20" i="4" l="1"/>
  <c r="J20" i="4" s="1"/>
  <c r="A21" i="4" s="1"/>
  <c r="H20" i="4" l="1"/>
  <c r="I20" i="4" s="1"/>
  <c r="K20" i="4" l="1"/>
  <c r="B21" i="4"/>
  <c r="C21" i="4" l="1"/>
  <c r="M20" i="4"/>
  <c r="L20" i="4"/>
  <c r="N20" i="4" l="1"/>
  <c r="E21" i="4"/>
  <c r="D21" i="4"/>
  <c r="G21" i="4" s="1"/>
  <c r="F21" i="4" l="1"/>
  <c r="J21" i="4" s="1"/>
  <c r="A22" i="4" s="1"/>
  <c r="H21" i="4" l="1"/>
  <c r="I21" i="4" s="1"/>
  <c r="K21" i="4" l="1"/>
  <c r="B22" i="4"/>
  <c r="C22" i="4" l="1"/>
  <c r="M21" i="4"/>
  <c r="L21" i="4"/>
  <c r="E22" i="4" l="1"/>
  <c r="D22" i="4"/>
  <c r="G22" i="4" s="1"/>
  <c r="N21" i="4"/>
  <c r="F22" i="4" l="1"/>
  <c r="J22" i="4" s="1"/>
  <c r="A23" i="4" s="1"/>
  <c r="H22" i="4" l="1"/>
  <c r="I22" i="4" s="1"/>
  <c r="K22" i="4" l="1"/>
  <c r="B23" i="4"/>
  <c r="C23" i="4" l="1"/>
  <c r="M22" i="4"/>
  <c r="L22" i="4"/>
  <c r="E23" i="4" l="1"/>
  <c r="D23" i="4"/>
  <c r="G23" i="4" s="1"/>
  <c r="F23" i="4"/>
  <c r="J23" i="4" s="1"/>
  <c r="A24" i="4" s="1"/>
  <c r="N22" i="4"/>
  <c r="H23" i="4" l="1"/>
  <c r="I23" i="4" s="1"/>
  <c r="K23" i="4" l="1"/>
  <c r="B24" i="4"/>
  <c r="C24" i="4" l="1"/>
  <c r="M23" i="4"/>
  <c r="L23" i="4"/>
  <c r="N23" i="4" l="1"/>
  <c r="E24" i="4"/>
  <c r="D24" i="4"/>
  <c r="G24" i="4" s="1"/>
  <c r="F24" i="4" l="1"/>
  <c r="J24" i="4" s="1"/>
  <c r="A25" i="4" s="1"/>
  <c r="H24" i="4" l="1"/>
  <c r="I24" i="4" s="1"/>
  <c r="K24" i="4" l="1"/>
  <c r="B25" i="4"/>
  <c r="C25" i="4" l="1"/>
  <c r="M24" i="4"/>
  <c r="L24" i="4"/>
  <c r="E25" i="4" l="1"/>
  <c r="D25" i="4"/>
  <c r="G25" i="4" s="1"/>
  <c r="N24" i="4"/>
  <c r="F25" i="4" l="1"/>
  <c r="J25" i="4" s="1"/>
  <c r="A26" i="4" s="1"/>
  <c r="H25" i="4" l="1"/>
  <c r="I25" i="4" s="1"/>
  <c r="K25" i="4" l="1"/>
  <c r="B26" i="4"/>
  <c r="C26" i="4" l="1"/>
  <c r="M25" i="4"/>
  <c r="L25" i="4"/>
  <c r="N25" i="4" l="1"/>
  <c r="E26" i="4"/>
  <c r="D26" i="4"/>
  <c r="G26" i="4" s="1"/>
  <c r="F26" i="4" l="1"/>
  <c r="J26" i="4" s="1"/>
  <c r="H26" i="4" l="1"/>
  <c r="I26" i="4" s="1"/>
  <c r="K26" i="4" s="1"/>
  <c r="M26" i="4" l="1"/>
  <c r="L26" i="4"/>
  <c r="N26" i="4" l="1"/>
  <c r="A19" i="5" l="1"/>
  <c r="A20" i="5" l="1"/>
  <c r="A21" i="5" l="1"/>
  <c r="A23" i="5" l="1"/>
  <c r="A24" i="5"/>
  <c r="A25" i="5" l="1"/>
  <c r="A30" i="5" s="1"/>
  <c r="A31" i="5" l="1"/>
  <c r="A32" i="5" s="1"/>
  <c r="A33" i="5" l="1"/>
  <c r="A34" i="5" s="1"/>
  <c r="A35" i="5" l="1"/>
  <c r="A37" i="5"/>
  <c r="A36" i="5"/>
  <c r="A38" i="5" l="1"/>
  <c r="A39" i="5" s="1"/>
  <c r="A41" i="5" s="1"/>
  <c r="A42" i="5" l="1"/>
  <c r="A43" i="5"/>
  <c r="A44" i="5" l="1"/>
  <c r="A45" i="5" l="1"/>
  <c r="A47" i="5" l="1"/>
  <c r="A48" i="5" l="1"/>
  <c r="A49" i="5" l="1"/>
  <c r="A50" i="5" s="1"/>
  <c r="A51" i="5" l="1"/>
  <c r="A52" i="5" s="1"/>
  <c r="A53" i="5" l="1"/>
  <c r="A54" i="5" l="1"/>
  <c r="A55" i="5" s="1"/>
</calcChain>
</file>

<file path=xl/sharedStrings.xml><?xml version="1.0" encoding="utf-8"?>
<sst xmlns="http://schemas.openxmlformats.org/spreadsheetml/2006/main" count="203" uniqueCount="62">
  <si>
    <t>Aktie</t>
  </si>
  <si>
    <t>altes Regime</t>
  </si>
  <si>
    <t>neues Regime</t>
  </si>
  <si>
    <t>Rendite p.a.</t>
  </si>
  <si>
    <t>replizierend</t>
  </si>
  <si>
    <t>Swapper</t>
  </si>
  <si>
    <t>Teilfreistellung</t>
  </si>
  <si>
    <t>ausschüttend</t>
  </si>
  <si>
    <t>thesaurierend</t>
  </si>
  <si>
    <t>kauft Anteile</t>
  </si>
  <si>
    <t>6 Monate später</t>
  </si>
  <si>
    <t>zahlt Dividende</t>
  </si>
  <si>
    <t>wird versteuert</t>
  </si>
  <si>
    <t>neuer Kurs</t>
  </si>
  <si>
    <t>Fonds A schüttet aus</t>
  </si>
  <si>
    <t>Anleger</t>
  </si>
  <si>
    <t>bekommt Dividende/Ausschüttung</t>
  </si>
  <si>
    <t>zahlt Steuern darauf</t>
  </si>
  <si>
    <t>Quellensteuer-Gutschrift</t>
  </si>
  <si>
    <t>Steuern auf thes. Erträge</t>
  </si>
  <si>
    <t>Steuern auf Vorabpauschale</t>
  </si>
  <si>
    <t>Zu-/Abfluß beim Anleger</t>
  </si>
  <si>
    <t>Wiederanlage bzw. Liquibeschaffung</t>
  </si>
  <si>
    <t>Kurs nach 1/2 Jahr und Ausschüttung</t>
  </si>
  <si>
    <t>neue Anteile</t>
  </si>
  <si>
    <t>Kurs nach 1 Jahr</t>
  </si>
  <si>
    <t>Anteile nach 1 Jahr</t>
  </si>
  <si>
    <t>verkauft Anteile</t>
  </si>
  <si>
    <t>abzgl. Kaufpreis</t>
  </si>
  <si>
    <t>abzgl. thes. Erträge</t>
  </si>
  <si>
    <t>abzgl. Vorabpauschalen</t>
  </si>
  <si>
    <t>zu versteuern</t>
  </si>
  <si>
    <t>versteuert Ergebnis</t>
  </si>
  <si>
    <t>Nettoergebnis</t>
  </si>
  <si>
    <t>Steuern</t>
  </si>
  <si>
    <t>Bruttoergebnis</t>
  </si>
  <si>
    <t>Soll-Bruttoergebnis</t>
  </si>
  <si>
    <t>(1+r/2)^2-1</t>
  </si>
  <si>
    <t>Steuereffekt</t>
  </si>
  <si>
    <t>Steuerbelastung</t>
  </si>
  <si>
    <t>Nebenrechnung Vorabpauschale</t>
  </si>
  <si>
    <t>Basiszins</t>
  </si>
  <si>
    <t>./. Kostenpauschale</t>
  </si>
  <si>
    <t>Kursänderung + Ausschüttung</t>
  </si>
  <si>
    <t>Basisertrag</t>
  </si>
  <si>
    <t>nicht negativ</t>
  </si>
  <si>
    <t>Ausschüttung</t>
  </si>
  <si>
    <t>Unterschreitung</t>
  </si>
  <si>
    <t>Kurs</t>
  </si>
  <si>
    <t>Anteile</t>
  </si>
  <si>
    <t>Wert</t>
  </si>
  <si>
    <t>Anteile neu</t>
  </si>
  <si>
    <t>vor Steuern</t>
  </si>
  <si>
    <t>nach Steuern</t>
  </si>
  <si>
    <t>n.St. o. TFS</t>
  </si>
  <si>
    <t>Delta in %</t>
  </si>
  <si>
    <t>noch ohne Vorabpauschale</t>
  </si>
  <si>
    <t>Steuersätze</t>
  </si>
  <si>
    <t>Anzahl Anteile</t>
  </si>
  <si>
    <t>kumulierter Kaufpreis</t>
  </si>
  <si>
    <t>kumulierte Vorabpauschalen</t>
  </si>
  <si>
    <t>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</si>
</sst>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%"/>
    <numFmt numFmtId="165" formatCode="0.0%"/>
    <numFmt numFmtId="166" formatCode="0.0000"/>
    <numFmt numFmtId="167" formatCode="0.000"/>
    <numFmt numFmtId="168" formatCode="0.000000000"/>
    <numFmt numFmtId="171" formatCode="&quot;Jahr &quot;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164" fontId="0" fillId="2" borderId="0" xfId="1" applyNumberFormat="1" applyFont="1" applyFill="1"/>
    <xf numFmtId="165" fontId="0" fillId="2" borderId="0" xfId="1" applyNumberFormat="1" applyFont="1" applyFill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2" xfId="1" applyNumberFormat="1" applyFont="1" applyBorder="1"/>
    <xf numFmtId="164" fontId="0" fillId="0" borderId="0" xfId="1" applyNumberFormat="1" applyFont="1" applyFill="1" applyBorder="1"/>
    <xf numFmtId="165" fontId="0" fillId="0" borderId="0" xfId="1" applyNumberFormat="1" applyFont="1" applyFill="1"/>
    <xf numFmtId="2" fontId="0" fillId="0" borderId="4" xfId="1" applyNumberFormat="1" applyFont="1" applyBorder="1"/>
    <xf numFmtId="2" fontId="0" fillId="0" borderId="3" xfId="1" applyNumberFormat="1" applyFont="1" applyBorder="1"/>
    <xf numFmtId="2" fontId="0" fillId="0" borderId="5" xfId="1" applyNumberFormat="1" applyFont="1" applyBorder="1"/>
    <xf numFmtId="9" fontId="0" fillId="0" borderId="0" xfId="0" applyNumberFormat="1"/>
    <xf numFmtId="164" fontId="0" fillId="0" borderId="0" xfId="1" applyNumberFormat="1" applyFont="1"/>
    <xf numFmtId="10" fontId="0" fillId="0" borderId="7" xfId="1" applyNumberFormat="1" applyFont="1" applyBorder="1"/>
    <xf numFmtId="10" fontId="0" fillId="0" borderId="6" xfId="1" applyNumberFormat="1" applyFont="1" applyBorder="1"/>
    <xf numFmtId="10" fontId="0" fillId="0" borderId="8" xfId="1" applyNumberFormat="1" applyFont="1" applyBorder="1"/>
    <xf numFmtId="10" fontId="0" fillId="2" borderId="0" xfId="1" applyNumberFormat="1" applyFont="1" applyFill="1"/>
    <xf numFmtId="10" fontId="0" fillId="0" borderId="0" xfId="1" applyNumberFormat="1" applyFont="1" applyBorder="1"/>
    <xf numFmtId="10" fontId="0" fillId="0" borderId="0" xfId="1" applyNumberFormat="1" applyFont="1"/>
    <xf numFmtId="0" fontId="0" fillId="3" borderId="0" xfId="0" applyFill="1"/>
    <xf numFmtId="0" fontId="0" fillId="0" borderId="0" xfId="0" applyFont="1"/>
    <xf numFmtId="165" fontId="0" fillId="2" borderId="0" xfId="0" applyNumberFormat="1" applyFont="1" applyFill="1"/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0" fillId="0" borderId="2" xfId="0" applyFont="1" applyBorder="1" applyAlignment="1">
      <alignment horizontal="centerContinuous"/>
    </xf>
    <xf numFmtId="2" fontId="0" fillId="0" borderId="1" xfId="0" applyNumberFormat="1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9" fontId="0" fillId="2" borderId="0" xfId="0" applyNumberFormat="1" applyFont="1" applyFill="1"/>
    <xf numFmtId="0" fontId="0" fillId="0" borderId="3" xfId="0" applyFont="1" applyBorder="1"/>
    <xf numFmtId="2" fontId="0" fillId="2" borderId="3" xfId="0" applyNumberFormat="1" applyFont="1" applyFill="1" applyBorder="1"/>
    <xf numFmtId="16" fontId="0" fillId="0" borderId="3" xfId="0" applyNumberFormat="1" applyFont="1" applyBorder="1"/>
    <xf numFmtId="2" fontId="0" fillId="0" borderId="4" xfId="0" applyNumberFormat="1" applyFont="1" applyBorder="1"/>
    <xf numFmtId="2" fontId="0" fillId="0" borderId="3" xfId="0" applyNumberFormat="1" applyFont="1" applyBorder="1"/>
    <xf numFmtId="2" fontId="0" fillId="0" borderId="5" xfId="0" applyNumberFormat="1" applyFont="1" applyBorder="1"/>
    <xf numFmtId="2" fontId="0" fillId="0" borderId="0" xfId="0" applyNumberFormat="1" applyFont="1" applyBorder="1"/>
    <xf numFmtId="2" fontId="0" fillId="0" borderId="2" xfId="0" applyNumberFormat="1" applyFont="1" applyBorder="1"/>
    <xf numFmtId="16" fontId="0" fillId="0" borderId="0" xfId="0" applyNumberFormat="1" applyFont="1"/>
    <xf numFmtId="2" fontId="0" fillId="4" borderId="1" xfId="0" applyNumberFormat="1" applyFont="1" applyFill="1" applyBorder="1"/>
    <xf numFmtId="2" fontId="0" fillId="0" borderId="0" xfId="0" applyNumberFormat="1" applyFont="1" applyFill="1" applyBorder="1"/>
    <xf numFmtId="2" fontId="0" fillId="0" borderId="2" xfId="0" applyNumberFormat="1" applyFont="1" applyFill="1" applyBorder="1"/>
    <xf numFmtId="0" fontId="0" fillId="0" borderId="6" xfId="0" applyFont="1" applyBorder="1"/>
    <xf numFmtId="166" fontId="0" fillId="0" borderId="7" xfId="0" applyNumberFormat="1" applyFont="1" applyBorder="1"/>
    <xf numFmtId="166" fontId="0" fillId="0" borderId="6" xfId="0" applyNumberFormat="1" applyFont="1" applyBorder="1"/>
    <xf numFmtId="166" fontId="0" fillId="0" borderId="8" xfId="0" applyNumberFormat="1" applyFont="1" applyBorder="1"/>
    <xf numFmtId="16" fontId="0" fillId="0" borderId="0" xfId="0" applyNumberFormat="1" applyFont="1" applyBorder="1"/>
    <xf numFmtId="167" fontId="0" fillId="0" borderId="1" xfId="0" applyNumberFormat="1" applyFont="1" applyBorder="1"/>
    <xf numFmtId="167" fontId="0" fillId="0" borderId="0" xfId="0" applyNumberFormat="1" applyFont="1" applyBorder="1"/>
    <xf numFmtId="167" fontId="0" fillId="0" borderId="2" xfId="0" applyNumberFormat="1" applyFont="1" applyBorder="1"/>
    <xf numFmtId="0" fontId="0" fillId="0" borderId="0" xfId="0" applyFont="1" applyFill="1" applyBorder="1"/>
    <xf numFmtId="0" fontId="0" fillId="0" borderId="0" xfId="0" applyFont="1" applyFill="1"/>
    <xf numFmtId="9" fontId="0" fillId="0" borderId="0" xfId="0" applyNumberFormat="1" applyFont="1" applyFill="1"/>
    <xf numFmtId="9" fontId="0" fillId="0" borderId="0" xfId="0" applyNumberFormat="1" applyFont="1"/>
    <xf numFmtId="2" fontId="0" fillId="4" borderId="0" xfId="0" applyNumberFormat="1" applyFont="1" applyFill="1" applyBorder="1"/>
    <xf numFmtId="168" fontId="0" fillId="0" borderId="0" xfId="0" applyNumberFormat="1" applyFont="1"/>
    <xf numFmtId="0" fontId="4" fillId="0" borderId="0" xfId="0" applyFont="1"/>
    <xf numFmtId="2" fontId="5" fillId="0" borderId="2" xfId="0" applyNumberFormat="1" applyFont="1" applyBorder="1"/>
    <xf numFmtId="0" fontId="4" fillId="0" borderId="3" xfId="0" applyFont="1" applyBorder="1"/>
    <xf numFmtId="2" fontId="6" fillId="0" borderId="1" xfId="0" applyNumberFormat="1" applyFont="1" applyBorder="1"/>
    <xf numFmtId="2" fontId="6" fillId="0" borderId="0" xfId="0" applyNumberFormat="1" applyFont="1" applyBorder="1"/>
    <xf numFmtId="0" fontId="4" fillId="0" borderId="0" xfId="0" applyFont="1" applyBorder="1"/>
    <xf numFmtId="2" fontId="6" fillId="4" borderId="0" xfId="0" applyNumberFormat="1" applyFont="1" applyFill="1" applyBorder="1"/>
    <xf numFmtId="2" fontId="2" fillId="0" borderId="0" xfId="0" applyNumberFormat="1" applyFont="1" applyBorder="1"/>
    <xf numFmtId="0" fontId="7" fillId="0" borderId="6" xfId="0" applyFont="1" applyBorder="1"/>
    <xf numFmtId="0" fontId="8" fillId="0" borderId="6" xfId="0" applyFont="1" applyBorder="1"/>
    <xf numFmtId="0" fontId="9" fillId="0" borderId="6" xfId="0" applyFont="1" applyBorder="1"/>
    <xf numFmtId="2" fontId="9" fillId="0" borderId="7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166" fontId="9" fillId="0" borderId="7" xfId="0" applyNumberFormat="1" applyFont="1" applyBorder="1"/>
    <xf numFmtId="166" fontId="9" fillId="0" borderId="6" xfId="0" applyNumberFormat="1" applyFont="1" applyBorder="1"/>
    <xf numFmtId="0" fontId="10" fillId="0" borderId="0" xfId="0" applyFont="1"/>
    <xf numFmtId="0" fontId="3" fillId="0" borderId="0" xfId="0" applyFont="1"/>
    <xf numFmtId="2" fontId="3" fillId="0" borderId="1" xfId="0" applyNumberFormat="1" applyFont="1" applyBorder="1"/>
    <xf numFmtId="2" fontId="3" fillId="0" borderId="0" xfId="0" applyNumberFormat="1" applyFont="1" applyBorder="1"/>
    <xf numFmtId="2" fontId="3" fillId="0" borderId="2" xfId="0" applyNumberFormat="1" applyFont="1" applyBorder="1"/>
    <xf numFmtId="0" fontId="0" fillId="0" borderId="4" xfId="0" applyFont="1" applyBorder="1"/>
    <xf numFmtId="0" fontId="0" fillId="0" borderId="7" xfId="0" applyFont="1" applyBorder="1"/>
    <xf numFmtId="0" fontId="3" fillId="0" borderId="1" xfId="0" applyFont="1" applyBorder="1"/>
    <xf numFmtId="2" fontId="6" fillId="0" borderId="2" xfId="0" applyNumberFormat="1" applyFont="1" applyBorder="1"/>
    <xf numFmtId="10" fontId="0" fillId="0" borderId="2" xfId="1" applyNumberFormat="1" applyFont="1" applyBorder="1"/>
    <xf numFmtId="2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/>
    <xf numFmtId="0" fontId="0" fillId="0" borderId="1" xfId="0" applyFont="1" applyFill="1" applyBorder="1"/>
    <xf numFmtId="2" fontId="0" fillId="0" borderId="4" xfId="0" applyNumberFormat="1" applyFont="1" applyFill="1" applyBorder="1"/>
    <xf numFmtId="166" fontId="0" fillId="0" borderId="7" xfId="0" applyNumberFormat="1" applyFont="1" applyFill="1" applyBorder="1"/>
    <xf numFmtId="167" fontId="0" fillId="0" borderId="1" xfId="0" applyNumberFormat="1" applyFont="1" applyFill="1" applyBorder="1"/>
    <xf numFmtId="2" fontId="0" fillId="0" borderId="1" xfId="1" applyNumberFormat="1" applyFont="1" applyFill="1" applyBorder="1"/>
    <xf numFmtId="2" fontId="0" fillId="0" borderId="4" xfId="1" applyNumberFormat="1" applyFont="1" applyFill="1" applyBorder="1"/>
    <xf numFmtId="2" fontId="9" fillId="0" borderId="7" xfId="0" applyNumberFormat="1" applyFont="1" applyFill="1" applyBorder="1"/>
    <xf numFmtId="10" fontId="0" fillId="0" borderId="7" xfId="1" applyNumberFormat="1" applyFont="1" applyFill="1" applyBorder="1"/>
    <xf numFmtId="166" fontId="0" fillId="0" borderId="1" xfId="0" applyNumberFormat="1" applyFont="1" applyFill="1" applyBorder="1"/>
    <xf numFmtId="10" fontId="3" fillId="0" borderId="1" xfId="1" applyNumberFormat="1" applyFont="1" applyFill="1" applyBorder="1"/>
    <xf numFmtId="9" fontId="0" fillId="2" borderId="0" xfId="1" applyNumberFormat="1" applyFont="1" applyFill="1"/>
    <xf numFmtId="2" fontId="0" fillId="0" borderId="0" xfId="0" applyNumberFormat="1" applyFont="1" applyFill="1" applyBorder="1" applyAlignment="1">
      <alignment horizontal="centerContinuous"/>
    </xf>
    <xf numFmtId="2" fontId="0" fillId="0" borderId="2" xfId="0" applyNumberFormat="1" applyFont="1" applyFill="1" applyBorder="1" applyAlignment="1">
      <alignment horizontal="centerContinuous"/>
    </xf>
    <xf numFmtId="171" fontId="0" fillId="0" borderId="1" xfId="0" applyNumberFormat="1" applyFont="1" applyFill="1" applyBorder="1" applyAlignment="1">
      <alignment horizontal="centerContinuous"/>
    </xf>
    <xf numFmtId="10" fontId="3" fillId="0" borderId="1" xfId="1" applyNumberFormat="1" applyFont="1" applyBorder="1"/>
    <xf numFmtId="10" fontId="3" fillId="0" borderId="0" xfId="1" applyNumberFormat="1" applyFont="1" applyBorder="1"/>
    <xf numFmtId="10" fontId="3" fillId="0" borderId="5" xfId="1" applyNumberFormat="1" applyFon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59"/>
  <sheetViews>
    <sheetView workbookViewId="0">
      <selection activeCell="D31" sqref="D31"/>
    </sheetView>
  </sheetViews>
  <sheetFormatPr baseColWidth="10" defaultColWidth="9.6640625" defaultRowHeight="14.4" outlineLevelRow="1" x14ac:dyDescent="0.3"/>
  <cols>
    <col min="1" max="1" width="3.44140625" style="20" bestFit="1" customWidth="1"/>
    <col min="2" max="2" width="11.21875" style="20" customWidth="1"/>
    <col min="3" max="3" width="9.6640625" style="20"/>
    <col min="4" max="4" width="14.77734375" style="20" customWidth="1"/>
    <col min="5" max="5" width="10" style="26" customWidth="1"/>
    <col min="6" max="6" width="14" style="28" bestFit="1" customWidth="1"/>
    <col min="7" max="7" width="13.88671875" style="29" customWidth="1"/>
    <col min="8" max="8" width="13.88671875" style="27" customWidth="1"/>
    <col min="9" max="9" width="13.88671875" style="28" customWidth="1"/>
    <col min="10" max="10" width="13.88671875" style="29" customWidth="1"/>
    <col min="11" max="11" width="9.6640625" style="20"/>
    <col min="16" max="16384" width="9.6640625" style="20"/>
  </cols>
  <sheetData>
    <row r="1" spans="1:10" s="20" customFormat="1" x14ac:dyDescent="0.3">
      <c r="B1" s="20" t="s">
        <v>57</v>
      </c>
      <c r="C1" s="21">
        <v>5.5E-2</v>
      </c>
      <c r="D1" s="1">
        <v>0.25</v>
      </c>
      <c r="E1" s="22" t="s">
        <v>0</v>
      </c>
      <c r="F1" s="23" t="s">
        <v>1</v>
      </c>
      <c r="G1" s="24"/>
      <c r="H1" s="25"/>
      <c r="I1" s="23" t="s">
        <v>2</v>
      </c>
      <c r="J1" s="24"/>
    </row>
    <row r="2" spans="1:10" s="20" customFormat="1" x14ac:dyDescent="0.3">
      <c r="B2" s="20" t="s">
        <v>3</v>
      </c>
      <c r="D2" s="2">
        <v>7.0000000000000007E-2</v>
      </c>
      <c r="E2" s="26"/>
      <c r="F2" s="23" t="s">
        <v>4</v>
      </c>
      <c r="G2" s="24"/>
      <c r="H2" s="27" t="s">
        <v>5</v>
      </c>
      <c r="I2" s="28"/>
      <c r="J2" s="29"/>
    </row>
    <row r="3" spans="1:10" s="20" customFormat="1" x14ac:dyDescent="0.3">
      <c r="B3" s="20" t="s">
        <v>6</v>
      </c>
      <c r="D3" s="30">
        <v>0.7</v>
      </c>
      <c r="E3" s="28"/>
      <c r="F3" s="28" t="s">
        <v>7</v>
      </c>
      <c r="G3" s="24" t="s">
        <v>8</v>
      </c>
      <c r="H3" s="25"/>
      <c r="I3" s="28" t="s">
        <v>7</v>
      </c>
      <c r="J3" s="24" t="s">
        <v>8</v>
      </c>
    </row>
    <row r="4" spans="1:10" s="31" customFormat="1" x14ac:dyDescent="0.3">
      <c r="A4" s="31">
        <v>1</v>
      </c>
      <c r="B4" s="31" t="s">
        <v>9</v>
      </c>
      <c r="C4" s="32">
        <v>-1000</v>
      </c>
      <c r="D4" s="33">
        <v>42917</v>
      </c>
      <c r="E4" s="34">
        <f>+$C$4</f>
        <v>-1000</v>
      </c>
      <c r="F4" s="34">
        <f>+$C$4</f>
        <v>-1000</v>
      </c>
      <c r="G4" s="35">
        <f>+$C$4</f>
        <v>-1000</v>
      </c>
      <c r="H4" s="36">
        <f>+$C$4</f>
        <v>-1000</v>
      </c>
      <c r="I4" s="34">
        <f>+$C$4</f>
        <v>-1000</v>
      </c>
      <c r="J4" s="35">
        <f>+$C$4</f>
        <v>-1000</v>
      </c>
    </row>
    <row r="5" spans="1:10" s="20" customFormat="1" x14ac:dyDescent="0.3">
      <c r="A5" s="20" t="str">
        <f>IF(B5&lt;&gt;"",MAX(A1:A4)+1,"")</f>
        <v/>
      </c>
      <c r="E5" s="26"/>
      <c r="F5" s="26"/>
      <c r="G5" s="37"/>
      <c r="H5" s="38"/>
      <c r="I5" s="26"/>
      <c r="J5" s="37"/>
    </row>
    <row r="6" spans="1:10" s="20" customFormat="1" x14ac:dyDescent="0.3">
      <c r="A6" s="20">
        <f>IF(B6&lt;&gt;"",MAX(A2:A5)+1,"")</f>
        <v>2</v>
      </c>
      <c r="B6" s="57" t="s">
        <v>10</v>
      </c>
      <c r="D6" s="39">
        <v>42736</v>
      </c>
      <c r="E6" s="26">
        <f t="shared" ref="E6:J6" si="0">-E4*(1+$D2/2)</f>
        <v>1035</v>
      </c>
      <c r="F6" s="26">
        <f t="shared" si="0"/>
        <v>1035</v>
      </c>
      <c r="G6" s="37">
        <f t="shared" si="0"/>
        <v>1035</v>
      </c>
      <c r="H6" s="38">
        <f t="shared" si="0"/>
        <v>1035</v>
      </c>
      <c r="I6" s="26">
        <f t="shared" si="0"/>
        <v>1035</v>
      </c>
      <c r="J6" s="37">
        <f t="shared" si="0"/>
        <v>1035</v>
      </c>
    </row>
    <row r="7" spans="1:10" s="20" customFormat="1" x14ac:dyDescent="0.3">
      <c r="A7" s="20">
        <f>IF(B7&lt;&gt;"",MAX(A3:A6)+1,"")</f>
        <v>3</v>
      </c>
      <c r="B7" s="20" t="s">
        <v>11</v>
      </c>
      <c r="D7" s="2">
        <v>2.7E-2</v>
      </c>
      <c r="E7" s="26">
        <f t="shared" ref="E7:J7" si="1">-E4*$D7</f>
        <v>27</v>
      </c>
      <c r="F7" s="26">
        <f t="shared" si="1"/>
        <v>27</v>
      </c>
      <c r="G7" s="37">
        <f t="shared" si="1"/>
        <v>27</v>
      </c>
      <c r="H7" s="58">
        <f t="shared" si="1"/>
        <v>27</v>
      </c>
      <c r="I7" s="26">
        <f t="shared" si="1"/>
        <v>27</v>
      </c>
      <c r="J7" s="37">
        <f t="shared" si="1"/>
        <v>27</v>
      </c>
    </row>
    <row r="8" spans="1:10" s="20" customFormat="1" x14ac:dyDescent="0.3">
      <c r="A8" s="20">
        <f>IF(B8&lt;&gt;"",MAX(A5:A7)+1,"")</f>
        <v>4</v>
      </c>
      <c r="B8" s="20" t="s">
        <v>12</v>
      </c>
      <c r="D8" s="30">
        <v>0.15</v>
      </c>
      <c r="E8" s="40">
        <f>(-$D$8*E7)</f>
        <v>-4.05</v>
      </c>
      <c r="F8" s="26">
        <f>-$D8*F7</f>
        <v>-4.05</v>
      </c>
      <c r="G8" s="37">
        <f>-$D8*G7</f>
        <v>-4.05</v>
      </c>
      <c r="H8" s="58">
        <f>-$D8*H7</f>
        <v>-4.05</v>
      </c>
      <c r="I8" s="26">
        <f>-$D8*I7</f>
        <v>-4.05</v>
      </c>
      <c r="J8" s="37">
        <f>-$D8*J7</f>
        <v>-4.05</v>
      </c>
    </row>
    <row r="9" spans="1:10" s="20" customFormat="1" x14ac:dyDescent="0.3">
      <c r="A9" s="20">
        <f>IF(B9&lt;&gt;"",MAX(A6:A8)+1,"")</f>
        <v>5</v>
      </c>
      <c r="B9" s="20" t="s">
        <v>13</v>
      </c>
      <c r="E9" s="26">
        <f>+E6-E7</f>
        <v>1008</v>
      </c>
      <c r="F9" s="26">
        <f>+$E9+F7+F8</f>
        <v>1030.95</v>
      </c>
      <c r="G9" s="37">
        <f>+$E9+G7+G8</f>
        <v>1030.95</v>
      </c>
      <c r="H9" s="38">
        <f>+$E9+H7+H8</f>
        <v>1030.95</v>
      </c>
      <c r="I9" s="26">
        <f>+I6+I8</f>
        <v>1030.95</v>
      </c>
      <c r="J9" s="37">
        <f>+J6+J8</f>
        <v>1030.95</v>
      </c>
    </row>
    <row r="10" spans="1:10" s="20" customFormat="1" x14ac:dyDescent="0.3">
      <c r="A10" s="20">
        <f>IF(B10&lt;&gt;"",MAX(A8:A9)+1,"")</f>
        <v>6</v>
      </c>
      <c r="B10" s="20" t="s">
        <v>14</v>
      </c>
      <c r="E10" s="26"/>
      <c r="F10" s="26">
        <f>+F8+F7</f>
        <v>22.95</v>
      </c>
      <c r="G10" s="41"/>
      <c r="H10" s="42"/>
      <c r="I10" s="26">
        <f>+I8+I7</f>
        <v>22.95</v>
      </c>
      <c r="J10" s="41"/>
    </row>
    <row r="11" spans="1:10" s="20" customFormat="1" x14ac:dyDescent="0.3">
      <c r="A11" s="20">
        <f>IF(B11&lt;&gt;"",MAX(A8:A10)+1,"")</f>
        <v>7</v>
      </c>
      <c r="B11" s="20" t="s">
        <v>13</v>
      </c>
      <c r="E11" s="26">
        <f>+E9</f>
        <v>1008</v>
      </c>
      <c r="F11" s="26">
        <f>+F9-F10</f>
        <v>1008</v>
      </c>
      <c r="G11" s="37">
        <f>+G9-G10</f>
        <v>1030.95</v>
      </c>
      <c r="H11" s="38">
        <f>+H9-H10</f>
        <v>1030.95</v>
      </c>
      <c r="I11" s="26">
        <f>+I9-I10</f>
        <v>1008</v>
      </c>
      <c r="J11" s="37">
        <f>+J9-J10</f>
        <v>1030.95</v>
      </c>
    </row>
    <row r="12" spans="1:10" s="20" customFormat="1" x14ac:dyDescent="0.3">
      <c r="A12" s="20" t="str">
        <f>IF(B12&lt;&gt;"",MAX(A9:A11)+1,"")</f>
        <v/>
      </c>
      <c r="E12" s="26"/>
      <c r="F12" s="26"/>
      <c r="G12" s="37"/>
      <c r="H12" s="38"/>
      <c r="I12" s="26"/>
      <c r="J12" s="37"/>
    </row>
    <row r="13" spans="1:10" s="31" customFormat="1" x14ac:dyDescent="0.3">
      <c r="A13" s="31">
        <f>IF(B13&lt;&gt;"",MAX(A10:A12)+1,"")</f>
        <v>8</v>
      </c>
      <c r="B13" s="59" t="s">
        <v>15</v>
      </c>
      <c r="E13" s="34"/>
      <c r="F13" s="34"/>
      <c r="G13" s="35"/>
      <c r="H13" s="36"/>
      <c r="I13" s="34"/>
      <c r="J13" s="35"/>
    </row>
    <row r="14" spans="1:10" s="20" customFormat="1" x14ac:dyDescent="0.3">
      <c r="A14" s="20">
        <f>IF(B14&lt;&gt;"",MAX(A10:A13)+1,"")</f>
        <v>9</v>
      </c>
      <c r="B14" s="20" t="s">
        <v>16</v>
      </c>
      <c r="E14" s="26">
        <f>+E7+E8</f>
        <v>22.95</v>
      </c>
      <c r="F14" s="26">
        <f>+F10</f>
        <v>22.95</v>
      </c>
      <c r="G14" s="37">
        <f>+G10</f>
        <v>0</v>
      </c>
      <c r="H14" s="38">
        <f>+H10</f>
        <v>0</v>
      </c>
      <c r="I14" s="26">
        <f>+I10</f>
        <v>22.95</v>
      </c>
      <c r="J14" s="37">
        <f>+J10</f>
        <v>0</v>
      </c>
    </row>
    <row r="15" spans="1:10" s="20" customFormat="1" x14ac:dyDescent="0.3">
      <c r="A15" s="20">
        <f t="shared" ref="A15:A17" si="2">IF(B15&lt;&gt;"",MAX(A11:A14)+1,"")</f>
        <v>10</v>
      </c>
      <c r="B15" s="20" t="s">
        <v>17</v>
      </c>
      <c r="E15" s="40">
        <f>(-$D$1*E7-E8)*(1+$C$1)</f>
        <v>-2.8485</v>
      </c>
      <c r="F15" s="40">
        <f>(-$D$1*F7-F8)*(1+$C$1)</f>
        <v>-2.8485</v>
      </c>
      <c r="G15" s="37">
        <f t="shared" ref="G15:H15" si="3">-$D$1*G14*(1+$C$1)</f>
        <v>0</v>
      </c>
      <c r="H15" s="38">
        <f t="shared" si="3"/>
        <v>0</v>
      </c>
      <c r="I15" s="60">
        <f>-$D$1*I14*$D$3*(1+$C$1)</f>
        <v>-4.2371437499999995</v>
      </c>
      <c r="J15" s="61">
        <f>-$D$1*J14*$D$3*(1+$C$1)</f>
        <v>0</v>
      </c>
    </row>
    <row r="16" spans="1:10" s="20" customFormat="1" x14ac:dyDescent="0.3">
      <c r="A16" s="20">
        <f t="shared" si="2"/>
        <v>11</v>
      </c>
      <c r="B16" s="20" t="s">
        <v>20</v>
      </c>
      <c r="E16" s="26"/>
      <c r="F16" s="3"/>
      <c r="G16" s="4"/>
      <c r="H16" s="5"/>
      <c r="I16" s="3">
        <f>-I55*$D1*(1+$C$1)</f>
        <v>0</v>
      </c>
      <c r="J16" s="4">
        <f>-J55*$D1*(1+$C$1)</f>
        <v>-3.7478874999999992</v>
      </c>
    </row>
    <row r="17" spans="1:10" s="29" customFormat="1" x14ac:dyDescent="0.3">
      <c r="A17" s="20">
        <f t="shared" si="2"/>
        <v>12</v>
      </c>
      <c r="B17" s="29" t="s">
        <v>21</v>
      </c>
      <c r="E17" s="34">
        <f t="shared" ref="E17:J17" si="4">SUM(E14:E16)</f>
        <v>20.101499999999998</v>
      </c>
      <c r="F17" s="34">
        <f t="shared" si="4"/>
        <v>20.101499999999998</v>
      </c>
      <c r="G17" s="35">
        <f t="shared" si="4"/>
        <v>0</v>
      </c>
      <c r="H17" s="36">
        <f t="shared" si="4"/>
        <v>0</v>
      </c>
      <c r="I17" s="34">
        <f t="shared" si="4"/>
        <v>18.712856250000002</v>
      </c>
      <c r="J17" s="35">
        <f t="shared" si="4"/>
        <v>-3.7478874999999992</v>
      </c>
    </row>
    <row r="18" spans="1:10" s="20" customFormat="1" x14ac:dyDescent="0.3">
      <c r="A18" s="20" t="str">
        <f>IF(B18&lt;&gt;"",MAX(A16:A17)+1,"")</f>
        <v/>
      </c>
      <c r="E18" s="26"/>
      <c r="F18" s="3"/>
      <c r="G18" s="4"/>
      <c r="H18" s="5"/>
      <c r="I18" s="3"/>
      <c r="J18" s="4"/>
    </row>
    <row r="19" spans="1:10" s="20" customFormat="1" x14ac:dyDescent="0.3">
      <c r="A19" s="20">
        <f>IF(B19&lt;&gt;"",MAX(A16:A18)+1,"")</f>
        <v>13</v>
      </c>
      <c r="B19" s="57" t="s">
        <v>22</v>
      </c>
      <c r="E19" s="26"/>
      <c r="F19" s="26"/>
      <c r="G19" s="37"/>
      <c r="H19" s="38"/>
      <c r="I19" s="26"/>
      <c r="J19" s="37"/>
    </row>
    <row r="20" spans="1:10" s="20" customFormat="1" x14ac:dyDescent="0.3">
      <c r="A20" s="20">
        <f t="shared" ref="A20:A26" si="5">IF(B20&lt;&gt;"",MAX(A16:A19)+1,"")</f>
        <v>14</v>
      </c>
      <c r="B20" s="20" t="s">
        <v>23</v>
      </c>
      <c r="E20" s="26">
        <f t="shared" ref="E20:J20" si="6">+E11</f>
        <v>1008</v>
      </c>
      <c r="F20" s="3">
        <f t="shared" si="6"/>
        <v>1008</v>
      </c>
      <c r="G20" s="4">
        <f t="shared" si="6"/>
        <v>1030.95</v>
      </c>
      <c r="H20" s="5">
        <f t="shared" si="6"/>
        <v>1030.95</v>
      </c>
      <c r="I20" s="3">
        <f t="shared" si="6"/>
        <v>1008</v>
      </c>
      <c r="J20" s="4">
        <f t="shared" si="6"/>
        <v>1030.95</v>
      </c>
    </row>
    <row r="21" spans="1:10" s="43" customFormat="1" x14ac:dyDescent="0.3">
      <c r="A21" s="43">
        <f t="shared" si="5"/>
        <v>15</v>
      </c>
      <c r="B21" s="43" t="s">
        <v>24</v>
      </c>
      <c r="E21" s="44">
        <f>IF(E17&lt;0,SUM(E15:E16)/(E20-(E20+E4)*($D1*(1+$C$1))),E17/E20)</f>
        <v>1.9941964285714285E-2</v>
      </c>
      <c r="F21" s="44">
        <f>IF(F17&lt;0,SUM(F15:F16)/(F20-(F20+F4)*($D1*(1+$C$1))),F17/F20)</f>
        <v>1.9941964285714285E-2</v>
      </c>
      <c r="G21" s="45">
        <f>IF(G17&lt;0,SUM(G15:G16)/(G20-(G20+G4)*($D1*(1+$C$1))),G17/G20)</f>
        <v>0</v>
      </c>
      <c r="H21" s="46">
        <f>IF(H17&lt;0,SUM(H15:H16)/(H20-(H20+H4)*($D1*(1+$C$1))),H17/H20)</f>
        <v>0</v>
      </c>
      <c r="I21" s="44">
        <f>IF(I17&lt;0,SUM(I15:I16)/(I20-(I20+I4)*($D1*(1+$C$1)*$D3)),I17/I20)</f>
        <v>1.8564341517857144E-2</v>
      </c>
      <c r="J21" s="45">
        <f>IF(J17&lt;0,SUM(J15:J16)/(J20-(J20+J4)*($D1*(1+$C$1)*$D3)),J17/J20)</f>
        <v>-3.6556344348983539E-3</v>
      </c>
    </row>
    <row r="22" spans="1:10" s="20" customFormat="1" x14ac:dyDescent="0.3">
      <c r="A22" s="20" t="str">
        <f t="shared" si="5"/>
        <v/>
      </c>
      <c r="E22" s="26"/>
      <c r="F22" s="3"/>
      <c r="G22" s="4"/>
      <c r="H22" s="5"/>
      <c r="I22" s="3"/>
      <c r="J22" s="4"/>
    </row>
    <row r="23" spans="1:10" s="29" customFormat="1" x14ac:dyDescent="0.3">
      <c r="A23" s="29">
        <f t="shared" si="5"/>
        <v>16</v>
      </c>
      <c r="B23" s="62" t="s">
        <v>10</v>
      </c>
      <c r="D23" s="47">
        <v>42917</v>
      </c>
      <c r="E23" s="26"/>
      <c r="F23" s="3"/>
      <c r="G23" s="4"/>
      <c r="H23" s="5"/>
      <c r="I23" s="3"/>
      <c r="J23" s="4"/>
    </row>
    <row r="24" spans="1:10" s="20" customFormat="1" x14ac:dyDescent="0.3">
      <c r="A24" s="20">
        <f t="shared" si="5"/>
        <v>17</v>
      </c>
      <c r="B24" s="20" t="s">
        <v>25</v>
      </c>
      <c r="E24" s="26">
        <f t="shared" ref="E24:J24" si="7">+E20*(1+$D2/2)</f>
        <v>1043.28</v>
      </c>
      <c r="F24" s="26">
        <f t="shared" si="7"/>
        <v>1043.28</v>
      </c>
      <c r="G24" s="37">
        <f t="shared" si="7"/>
        <v>1067.03325</v>
      </c>
      <c r="H24" s="38">
        <f t="shared" si="7"/>
        <v>1067.03325</v>
      </c>
      <c r="I24" s="26">
        <f t="shared" si="7"/>
        <v>1043.28</v>
      </c>
      <c r="J24" s="37">
        <f t="shared" si="7"/>
        <v>1067.03325</v>
      </c>
    </row>
    <row r="25" spans="1:10" s="20" customFormat="1" x14ac:dyDescent="0.3">
      <c r="A25" s="20">
        <f t="shared" si="5"/>
        <v>18</v>
      </c>
      <c r="B25" s="20" t="s">
        <v>26</v>
      </c>
      <c r="E25" s="48">
        <f t="shared" ref="E25:J25" si="8">1+E21</f>
        <v>1.0199419642857144</v>
      </c>
      <c r="F25" s="48">
        <f t="shared" si="8"/>
        <v>1.0199419642857144</v>
      </c>
      <c r="G25" s="49">
        <f t="shared" si="8"/>
        <v>1</v>
      </c>
      <c r="H25" s="50">
        <f t="shared" si="8"/>
        <v>1</v>
      </c>
      <c r="I25" s="48">
        <f t="shared" si="8"/>
        <v>1.0185643415178571</v>
      </c>
      <c r="J25" s="49">
        <f t="shared" si="8"/>
        <v>0.99634436556510164</v>
      </c>
    </row>
    <row r="26" spans="1:10" s="20" customFormat="1" x14ac:dyDescent="0.3">
      <c r="A26" s="20" t="str">
        <f t="shared" si="5"/>
        <v/>
      </c>
      <c r="E26" s="3"/>
      <c r="F26" s="3"/>
      <c r="G26" s="4"/>
      <c r="H26" s="5"/>
      <c r="I26" s="3"/>
      <c r="J26" s="4"/>
    </row>
    <row r="27" spans="1:10" s="29" customFormat="1" outlineLevel="1" x14ac:dyDescent="0.3">
      <c r="B27" s="51"/>
      <c r="C27" s="51"/>
      <c r="D27" s="6"/>
      <c r="E27" s="22" t="s">
        <v>0</v>
      </c>
      <c r="F27" s="23" t="s">
        <v>1</v>
      </c>
      <c r="G27" s="24"/>
      <c r="H27" s="25"/>
      <c r="I27" s="23" t="s">
        <v>2</v>
      </c>
      <c r="J27" s="24"/>
    </row>
    <row r="28" spans="1:10" s="20" customFormat="1" outlineLevel="1" x14ac:dyDescent="0.3">
      <c r="B28" s="52"/>
      <c r="C28" s="52"/>
      <c r="D28" s="7"/>
      <c r="E28" s="26"/>
      <c r="F28" s="23" t="s">
        <v>4</v>
      </c>
      <c r="G28" s="24"/>
      <c r="H28" s="27" t="s">
        <v>5</v>
      </c>
      <c r="I28" s="28"/>
      <c r="J28" s="29"/>
    </row>
    <row r="29" spans="1:10" s="20" customFormat="1" outlineLevel="1" x14ac:dyDescent="0.3">
      <c r="B29" s="52"/>
      <c r="C29" s="52"/>
      <c r="D29" s="53"/>
      <c r="E29" s="28"/>
      <c r="F29" s="28" t="s">
        <v>7</v>
      </c>
      <c r="G29" s="24" t="s">
        <v>8</v>
      </c>
      <c r="H29" s="25"/>
      <c r="I29" s="28" t="s">
        <v>7</v>
      </c>
      <c r="J29" s="24" t="s">
        <v>8</v>
      </c>
    </row>
    <row r="30" spans="1:10" s="31" customFormat="1" x14ac:dyDescent="0.3">
      <c r="A30" s="31">
        <f>IF(B30&lt;&gt;"",MAX(A23:A26)+1,"")</f>
        <v>19</v>
      </c>
      <c r="B30" s="59" t="s">
        <v>15</v>
      </c>
      <c r="E30" s="8"/>
      <c r="F30" s="8"/>
      <c r="G30" s="9"/>
      <c r="H30" s="10"/>
      <c r="I30" s="8"/>
      <c r="J30" s="9"/>
    </row>
    <row r="31" spans="1:10" s="20" customFormat="1" x14ac:dyDescent="0.3">
      <c r="A31" s="20">
        <f t="shared" ref="A31:A35" si="9">IF(B31&lt;&gt;"",MAX(A27:A30)+1,"")</f>
        <v>20</v>
      </c>
      <c r="B31" s="20" t="s">
        <v>27</v>
      </c>
      <c r="D31" s="39">
        <v>42736</v>
      </c>
      <c r="E31" s="26">
        <f t="shared" ref="E31:J31" si="10">+E25*E24</f>
        <v>1064.0850525000001</v>
      </c>
      <c r="F31" s="26">
        <f t="shared" si="10"/>
        <v>1064.0850525000001</v>
      </c>
      <c r="G31" s="37">
        <f t="shared" si="10"/>
        <v>1067.03325</v>
      </c>
      <c r="H31" s="38">
        <f t="shared" si="10"/>
        <v>1067.03325</v>
      </c>
      <c r="I31" s="26">
        <f t="shared" si="10"/>
        <v>1062.64780621875</v>
      </c>
      <c r="J31" s="37">
        <f t="shared" si="10"/>
        <v>1063.1325665081185</v>
      </c>
    </row>
    <row r="32" spans="1:10" s="20" customFormat="1" x14ac:dyDescent="0.3">
      <c r="A32" s="20">
        <f t="shared" si="9"/>
        <v>21</v>
      </c>
      <c r="B32" s="20" t="s">
        <v>28</v>
      </c>
      <c r="E32" s="26">
        <f t="shared" ref="E32:J32" si="11">IF(E17&gt;0,-E17+E4,E4+E21*E4)</f>
        <v>-1020.1015</v>
      </c>
      <c r="F32" s="26">
        <f t="shared" si="11"/>
        <v>-1020.1015</v>
      </c>
      <c r="G32" s="37">
        <f t="shared" si="11"/>
        <v>-1000</v>
      </c>
      <c r="H32" s="38">
        <f t="shared" si="11"/>
        <v>-1000</v>
      </c>
      <c r="I32" s="26">
        <f t="shared" si="11"/>
        <v>-1018.71285625</v>
      </c>
      <c r="J32" s="37">
        <f t="shared" si="11"/>
        <v>-996.34436556510161</v>
      </c>
    </row>
    <row r="33" spans="1:11" s="20" customFormat="1" x14ac:dyDescent="0.3">
      <c r="A33" s="20">
        <f t="shared" si="9"/>
        <v>22</v>
      </c>
      <c r="B33" s="20" t="s">
        <v>29</v>
      </c>
      <c r="E33" s="26"/>
      <c r="F33" s="26"/>
      <c r="G33" s="63">
        <f>-G7-G8</f>
        <v>-22.95</v>
      </c>
      <c r="H33" s="38"/>
      <c r="I33" s="26"/>
      <c r="J33" s="64"/>
    </row>
    <row r="34" spans="1:11" s="20" customFormat="1" x14ac:dyDescent="0.3">
      <c r="A34" s="20">
        <f t="shared" si="9"/>
        <v>23</v>
      </c>
      <c r="B34" s="20" t="s">
        <v>30</v>
      </c>
      <c r="E34" s="26"/>
      <c r="F34" s="26"/>
      <c r="G34" s="37"/>
      <c r="H34" s="38"/>
      <c r="I34" s="26">
        <f>-I54</f>
        <v>0</v>
      </c>
      <c r="J34" s="37">
        <f>-J54</f>
        <v>-20.299999999999997</v>
      </c>
    </row>
    <row r="35" spans="1:11" s="20" customFormat="1" x14ac:dyDescent="0.3">
      <c r="A35" s="20">
        <f t="shared" si="9"/>
        <v>24</v>
      </c>
      <c r="B35" s="20" t="s">
        <v>31</v>
      </c>
      <c r="E35" s="34">
        <f t="shared" ref="E35:J35" si="12">SUM(E31:E34)</f>
        <v>43.983552500000087</v>
      </c>
      <c r="F35" s="34">
        <f t="shared" si="12"/>
        <v>43.983552500000087</v>
      </c>
      <c r="G35" s="35">
        <f t="shared" si="12"/>
        <v>44.08324999999995</v>
      </c>
      <c r="H35" s="36">
        <f t="shared" si="12"/>
        <v>67.033249999999953</v>
      </c>
      <c r="I35" s="34">
        <f t="shared" si="12"/>
        <v>43.934949968750061</v>
      </c>
      <c r="J35" s="35">
        <f t="shared" si="12"/>
        <v>46.488200943016935</v>
      </c>
    </row>
    <row r="36" spans="1:11" s="20" customFormat="1" x14ac:dyDescent="0.3">
      <c r="A36" s="20">
        <f>IF(B36&lt;&gt;"",MAX(A32:A35)+1,"")</f>
        <v>25</v>
      </c>
      <c r="B36" s="20" t="s">
        <v>32</v>
      </c>
      <c r="D36" s="54"/>
      <c r="E36" s="26">
        <f>-E35*$D$1*(1+$C$1)</f>
        <v>-11.600661971875022</v>
      </c>
      <c r="F36" s="26">
        <f t="shared" ref="F36:H36" si="13">-F35*$D$1*(1+$C$1)</f>
        <v>-11.600661971875022</v>
      </c>
      <c r="G36" s="37">
        <f t="shared" si="13"/>
        <v>-11.626957187499986</v>
      </c>
      <c r="H36" s="38">
        <f t="shared" si="13"/>
        <v>-17.680019687499986</v>
      </c>
      <c r="I36" s="26">
        <f>-I35*$D$1*(1+$C$1)*$D$3</f>
        <v>-8.1114901379804785</v>
      </c>
      <c r="J36" s="37">
        <f>-J35*$D$1*(1+$C$1)*$D$3</f>
        <v>-8.5828840991045006</v>
      </c>
    </row>
    <row r="37" spans="1:11" s="20" customFormat="1" x14ac:dyDescent="0.3">
      <c r="A37" s="20">
        <f>IF(B37&lt;&gt;"",MAX(A33:A36)+1,"")</f>
        <v>26</v>
      </c>
      <c r="B37" s="20" t="s">
        <v>19</v>
      </c>
      <c r="E37" s="26"/>
      <c r="F37" s="26"/>
      <c r="G37" s="55">
        <f>(-$D$1*G7-G8)*(1+$C$1)+G8</f>
        <v>-6.8985000000000003</v>
      </c>
      <c r="H37" s="38"/>
      <c r="I37" s="26"/>
      <c r="J37" s="37"/>
    </row>
    <row r="38" spans="1:11" s="20" customFormat="1" x14ac:dyDescent="0.3">
      <c r="A38" s="20">
        <f>IF(B38&lt;&gt;"",MAX(A34:A37)+1,"")</f>
        <v>27</v>
      </c>
      <c r="B38" s="20" t="s">
        <v>18</v>
      </c>
      <c r="D38" s="53"/>
      <c r="E38" s="26"/>
      <c r="F38" s="26"/>
      <c r="G38" s="55">
        <f>-G8</f>
        <v>4.05</v>
      </c>
      <c r="H38" s="38"/>
      <c r="I38" s="26"/>
      <c r="J38" s="37"/>
    </row>
    <row r="39" spans="1:11" s="67" customFormat="1" ht="15.6" x14ac:dyDescent="0.3">
      <c r="A39" s="65">
        <f>IF(B39&lt;&gt;"",MAX(A31:A38)+1,"")</f>
        <v>28</v>
      </c>
      <c r="B39" s="66" t="s">
        <v>33</v>
      </c>
      <c r="E39" s="68">
        <f>+E31+E4+E36</f>
        <v>52.484390528125054</v>
      </c>
      <c r="F39" s="68">
        <f>+F31+F4+F36</f>
        <v>52.484390528125054</v>
      </c>
      <c r="G39" s="69">
        <f>+G31+G4+G36+G37+G38</f>
        <v>52.557792812499969</v>
      </c>
      <c r="H39" s="70">
        <f>+H31+H4+H36</f>
        <v>49.353230312499967</v>
      </c>
      <c r="I39" s="71">
        <f>+I31+I4+I36</f>
        <v>54.536316080769538</v>
      </c>
      <c r="J39" s="72">
        <f>+J31+J4+J36</f>
        <v>54.549682409014039</v>
      </c>
      <c r="K39" s="69"/>
    </row>
    <row r="40" spans="1:11" s="74" customFormat="1" hidden="1" outlineLevel="1" x14ac:dyDescent="0.3">
      <c r="A40" s="20" t="str">
        <f>IF(B40&lt;&gt;"",MAX(A34:A39)+1,"")</f>
        <v/>
      </c>
      <c r="B40" s="73"/>
      <c r="E40" s="75"/>
      <c r="F40" s="75"/>
      <c r="G40" s="76"/>
      <c r="H40" s="77"/>
      <c r="I40" s="75"/>
      <c r="J40" s="76"/>
    </row>
    <row r="41" spans="1:11" s="31" customFormat="1" hidden="1" outlineLevel="1" x14ac:dyDescent="0.3">
      <c r="A41" s="31">
        <f>IF(B41&lt;&gt;"",MAX(A35:A40)+1,"")</f>
        <v>29</v>
      </c>
      <c r="B41" s="31" t="s">
        <v>34</v>
      </c>
      <c r="E41" s="34">
        <f t="shared" ref="E41:J41" si="14">-(+E15+E36+E16+E8+E38+E37)</f>
        <v>18.499161971875022</v>
      </c>
      <c r="F41" s="34">
        <f t="shared" si="14"/>
        <v>18.499161971875022</v>
      </c>
      <c r="G41" s="35">
        <f t="shared" si="14"/>
        <v>18.525457187499988</v>
      </c>
      <c r="H41" s="36">
        <f t="shared" si="14"/>
        <v>21.730019687499986</v>
      </c>
      <c r="I41" s="34">
        <f t="shared" si="14"/>
        <v>16.398633887980477</v>
      </c>
      <c r="J41" s="35">
        <f t="shared" si="14"/>
        <v>16.380771599104499</v>
      </c>
    </row>
    <row r="42" spans="1:11" s="20" customFormat="1" hidden="1" outlineLevel="1" x14ac:dyDescent="0.3">
      <c r="A42" s="20">
        <f>IF(B42&lt;&gt;"",MAX(A36:A41)+1,"")</f>
        <v>30</v>
      </c>
      <c r="B42" s="20" t="s">
        <v>35</v>
      </c>
      <c r="D42" s="12"/>
      <c r="E42" s="26">
        <f t="shared" ref="E42:J42" si="15">+E39+E41</f>
        <v>70.983552500000073</v>
      </c>
      <c r="F42" s="26">
        <f t="shared" si="15"/>
        <v>70.983552500000073</v>
      </c>
      <c r="G42" s="37">
        <f t="shared" si="15"/>
        <v>71.083249999999964</v>
      </c>
      <c r="H42" s="38">
        <f t="shared" si="15"/>
        <v>71.08324999999995</v>
      </c>
      <c r="I42" s="26">
        <f t="shared" si="15"/>
        <v>70.934949968750018</v>
      </c>
      <c r="J42" s="37">
        <f t="shared" si="15"/>
        <v>70.930454008118545</v>
      </c>
    </row>
    <row r="43" spans="1:11" s="20" customFormat="1" hidden="1" outlineLevel="1" x14ac:dyDescent="0.3">
      <c r="A43" s="20">
        <f>IF(B43&lt;&gt;"",MAX(A39:A42)+1,"")</f>
        <v>31</v>
      </c>
      <c r="B43" s="20" t="s">
        <v>36</v>
      </c>
      <c r="D43" s="20" t="s">
        <v>37</v>
      </c>
      <c r="E43" s="26">
        <f t="shared" ref="E43:J43" si="16">-E4*((1+$D2/2)^2-1)</f>
        <v>71.224999999999866</v>
      </c>
      <c r="F43" s="26">
        <f t="shared" si="16"/>
        <v>71.224999999999866</v>
      </c>
      <c r="G43" s="37">
        <f t="shared" si="16"/>
        <v>71.224999999999866</v>
      </c>
      <c r="H43" s="38">
        <f t="shared" si="16"/>
        <v>71.224999999999866</v>
      </c>
      <c r="I43" s="26">
        <f t="shared" si="16"/>
        <v>71.224999999999866</v>
      </c>
      <c r="J43" s="37">
        <f t="shared" si="16"/>
        <v>71.224999999999866</v>
      </c>
    </row>
    <row r="44" spans="1:11" s="20" customFormat="1" hidden="1" outlineLevel="1" x14ac:dyDescent="0.3">
      <c r="A44" s="20">
        <f>IF(B44&lt;&gt;"",MAX(A40:A43)+1,"")</f>
        <v>32</v>
      </c>
      <c r="B44" s="20" t="s">
        <v>38</v>
      </c>
      <c r="D44" s="56"/>
      <c r="E44" s="26">
        <f t="shared" ref="E44:J44" si="17">+E43-E39</f>
        <v>18.740609471874812</v>
      </c>
      <c r="F44" s="26">
        <f t="shared" si="17"/>
        <v>18.740609471874812</v>
      </c>
      <c r="G44" s="37">
        <f t="shared" si="17"/>
        <v>18.667207187499898</v>
      </c>
      <c r="H44" s="38">
        <f t="shared" si="17"/>
        <v>21.871769687499899</v>
      </c>
      <c r="I44" s="26">
        <f t="shared" si="17"/>
        <v>16.688683919230328</v>
      </c>
      <c r="J44" s="37">
        <f t="shared" si="17"/>
        <v>16.675317590985827</v>
      </c>
    </row>
    <row r="45" spans="1:11" s="43" customFormat="1" hidden="1" outlineLevel="1" x14ac:dyDescent="0.3">
      <c r="A45" s="43">
        <f>IF(B45&lt;&gt;"",MAX(A41:A44)+1,"")</f>
        <v>33</v>
      </c>
      <c r="B45" s="43" t="s">
        <v>39</v>
      </c>
      <c r="E45" s="13">
        <f t="shared" ref="E45:J45" si="18">+E44/E43</f>
        <v>0.26311842010354297</v>
      </c>
      <c r="F45" s="13">
        <f t="shared" si="18"/>
        <v>0.26311842010354297</v>
      </c>
      <c r="G45" s="14">
        <f t="shared" si="18"/>
        <v>0.26208785100035004</v>
      </c>
      <c r="H45" s="15">
        <f t="shared" si="18"/>
        <v>0.30707995349245265</v>
      </c>
      <c r="I45" s="13">
        <f t="shared" si="18"/>
        <v>0.23430935653535079</v>
      </c>
      <c r="J45" s="14">
        <f t="shared" si="18"/>
        <v>0.23412169309913455</v>
      </c>
    </row>
    <row r="46" spans="1:11" s="20" customFormat="1" collapsed="1" x14ac:dyDescent="0.3">
      <c r="A46" s="20" t="str">
        <f>IF(B46&lt;&gt;"",MAX(A42:A45)+1,"")</f>
        <v/>
      </c>
      <c r="E46" s="26"/>
      <c r="F46" s="26"/>
      <c r="G46" s="37"/>
      <c r="H46" s="38"/>
      <c r="I46" s="26"/>
      <c r="J46" s="17">
        <f>+(J39-I39)/10</f>
        <v>1.3366328244501346E-3</v>
      </c>
    </row>
    <row r="47" spans="1:11" s="20" customFormat="1" x14ac:dyDescent="0.3">
      <c r="A47" s="20">
        <f t="shared" ref="A47:A55" si="19">IF(B47&lt;&gt;"",MAX(A44:A46)+1,"")</f>
        <v>34</v>
      </c>
      <c r="B47" s="57" t="s">
        <v>40</v>
      </c>
      <c r="E47" s="26"/>
      <c r="F47" s="28"/>
      <c r="G47" s="29"/>
      <c r="H47" s="38">
        <f>+H36-G36</f>
        <v>-6.0530624999999993</v>
      </c>
      <c r="I47" s="28"/>
      <c r="J47" s="29"/>
    </row>
    <row r="48" spans="1:11" s="20" customFormat="1" x14ac:dyDescent="0.3">
      <c r="A48" s="20">
        <f t="shared" si="19"/>
        <v>35</v>
      </c>
      <c r="B48" s="20" t="s">
        <v>41</v>
      </c>
      <c r="D48" s="16">
        <v>2.9000000000000001E-2</v>
      </c>
      <c r="E48" s="26"/>
      <c r="F48" s="28"/>
      <c r="G48" s="29"/>
      <c r="H48" s="27"/>
      <c r="I48" s="28"/>
      <c r="J48" s="29"/>
    </row>
    <row r="49" spans="1:10" s="20" customFormat="1" x14ac:dyDescent="0.3">
      <c r="A49" s="20">
        <f t="shared" si="19"/>
        <v>36</v>
      </c>
      <c r="B49" s="20" t="s">
        <v>42</v>
      </c>
      <c r="D49" s="53">
        <v>0.3</v>
      </c>
      <c r="E49" s="26"/>
      <c r="F49" s="28"/>
      <c r="G49" s="29"/>
      <c r="H49" s="27"/>
      <c r="I49" s="26">
        <f>-I4*$D48*(1-$D49)</f>
        <v>20.299999999999997</v>
      </c>
      <c r="J49" s="37">
        <f>-J4*$D48*(1-$D49)</f>
        <v>20.299999999999997</v>
      </c>
    </row>
    <row r="50" spans="1:10" s="20" customFormat="1" x14ac:dyDescent="0.3">
      <c r="A50" s="20">
        <f t="shared" si="19"/>
        <v>37</v>
      </c>
      <c r="B50" s="20" t="s">
        <v>43</v>
      </c>
      <c r="E50" s="26"/>
      <c r="F50" s="28"/>
      <c r="G50" s="29"/>
      <c r="H50" s="27"/>
      <c r="I50" s="26">
        <f>+I20+I4+I14</f>
        <v>30.95</v>
      </c>
      <c r="J50" s="37">
        <f>+J20+J4+J14</f>
        <v>30.950000000000045</v>
      </c>
    </row>
    <row r="51" spans="1:10" s="20" customFormat="1" x14ac:dyDescent="0.3">
      <c r="A51" s="20">
        <f t="shared" si="19"/>
        <v>38</v>
      </c>
      <c r="B51" s="20" t="s">
        <v>44</v>
      </c>
      <c r="E51" s="26"/>
      <c r="F51" s="28"/>
      <c r="G51" s="29"/>
      <c r="H51" s="27"/>
      <c r="I51" s="26">
        <f>MIN(I49:I50)</f>
        <v>20.299999999999997</v>
      </c>
      <c r="J51" s="37">
        <f>MIN(J49:J50)</f>
        <v>20.299999999999997</v>
      </c>
    </row>
    <row r="52" spans="1:10" s="20" customFormat="1" x14ac:dyDescent="0.3">
      <c r="A52" s="20">
        <f t="shared" si="19"/>
        <v>39</v>
      </c>
      <c r="B52" s="20" t="s">
        <v>45</v>
      </c>
      <c r="E52" s="26"/>
      <c r="F52" s="28"/>
      <c r="G52" s="29"/>
      <c r="H52" s="27"/>
      <c r="I52" s="26">
        <f>MAX(0,I51)</f>
        <v>20.299999999999997</v>
      </c>
      <c r="J52" s="37">
        <f>MAX(0,J51)</f>
        <v>20.299999999999997</v>
      </c>
    </row>
    <row r="53" spans="1:10" s="20" customFormat="1" x14ac:dyDescent="0.3">
      <c r="A53" s="20">
        <f t="shared" si="19"/>
        <v>40</v>
      </c>
      <c r="B53" s="20" t="s">
        <v>46</v>
      </c>
      <c r="E53" s="26"/>
      <c r="F53" s="28"/>
      <c r="G53" s="29"/>
      <c r="H53" s="27"/>
      <c r="I53" s="26">
        <f>+I14</f>
        <v>22.95</v>
      </c>
      <c r="J53" s="37">
        <f>+J14</f>
        <v>0</v>
      </c>
    </row>
    <row r="54" spans="1:10" s="20" customFormat="1" x14ac:dyDescent="0.3">
      <c r="A54" s="20">
        <f t="shared" si="19"/>
        <v>41</v>
      </c>
      <c r="B54" s="20" t="s">
        <v>47</v>
      </c>
      <c r="E54" s="26"/>
      <c r="F54" s="28"/>
      <c r="G54" s="29"/>
      <c r="H54" s="27"/>
      <c r="I54" s="26">
        <f>MAX(0,I52-I53)</f>
        <v>0</v>
      </c>
      <c r="J54" s="37">
        <f>MAX(0,J52-J53)</f>
        <v>20.299999999999997</v>
      </c>
    </row>
    <row r="55" spans="1:10" s="20" customFormat="1" x14ac:dyDescent="0.3">
      <c r="A55" s="20">
        <f t="shared" si="19"/>
        <v>42</v>
      </c>
      <c r="B55" s="20" t="s">
        <v>6</v>
      </c>
      <c r="D55" s="54"/>
      <c r="E55" s="26"/>
      <c r="F55" s="28"/>
      <c r="G55" s="29"/>
      <c r="H55" s="27"/>
      <c r="I55" s="26">
        <f>+I54*$D$3</f>
        <v>0</v>
      </c>
      <c r="J55" s="37">
        <f>+J54*$D$3</f>
        <v>14.209999999999997</v>
      </c>
    </row>
    <row r="56" spans="1:10" s="20" customFormat="1" x14ac:dyDescent="0.3">
      <c r="E56" s="26"/>
      <c r="F56" s="28"/>
      <c r="G56" s="29"/>
      <c r="H56" s="27"/>
      <c r="I56" s="28"/>
      <c r="J56" s="29"/>
    </row>
    <row r="57" spans="1:10" s="20" customFormat="1" x14ac:dyDescent="0.3">
      <c r="E57" s="26"/>
      <c r="F57" s="28"/>
      <c r="G57" s="29"/>
      <c r="H57" s="27"/>
      <c r="I57" s="28"/>
      <c r="J57" s="29"/>
    </row>
    <row r="58" spans="1:10" s="20" customFormat="1" x14ac:dyDescent="0.3">
      <c r="E58" s="26"/>
      <c r="F58" s="28"/>
      <c r="G58" s="29"/>
      <c r="H58" s="27"/>
      <c r="I58" s="28"/>
      <c r="J58" s="29"/>
    </row>
    <row r="59" spans="1:10" s="20" customFormat="1" x14ac:dyDescent="0.3">
      <c r="E59" s="26"/>
      <c r="F59" s="28"/>
      <c r="G59" s="29"/>
      <c r="H59" s="27"/>
      <c r="I59" s="28"/>
      <c r="J59" s="2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Q55"/>
  <sheetViews>
    <sheetView tabSelected="1" topLeftCell="AH21" workbookViewId="0">
      <selection activeCell="AQ40" sqref="AQ40"/>
    </sheetView>
  </sheetViews>
  <sheetFormatPr baseColWidth="10" defaultColWidth="9.6640625" defaultRowHeight="14.4" outlineLevelRow="1" x14ac:dyDescent="0.3"/>
  <cols>
    <col min="1" max="1" width="3.44140625" style="20" bestFit="1" customWidth="1"/>
    <col min="2" max="2" width="11.21875" style="20" customWidth="1"/>
    <col min="3" max="3" width="9.6640625" style="20"/>
    <col min="4" max="4" width="14.77734375" style="20" customWidth="1"/>
    <col min="5" max="5" width="10" style="84" customWidth="1"/>
    <col min="6" max="6" width="13.88671875" style="28" customWidth="1"/>
    <col min="7" max="7" width="13.88671875" style="29" customWidth="1"/>
    <col min="8" max="8" width="9.6640625" style="28"/>
    <col min="9" max="9" width="10" style="84" customWidth="1"/>
    <col min="10" max="10" width="13.88671875" style="28" customWidth="1"/>
    <col min="11" max="11" width="13.88671875" style="27" customWidth="1"/>
    <col min="13" max="13" width="10" style="84" customWidth="1"/>
    <col min="14" max="14" width="13.88671875" style="28" customWidth="1"/>
    <col min="15" max="15" width="13.88671875" style="27" customWidth="1"/>
    <col min="16" max="16" width="9.6640625" style="20"/>
    <col min="17" max="17" width="10" style="84" customWidth="1"/>
    <col min="18" max="18" width="13.88671875" style="28" customWidth="1"/>
    <col min="19" max="19" width="13.88671875" style="27" customWidth="1"/>
    <col min="20" max="20" width="9.6640625" style="20"/>
    <col min="21" max="21" width="10" style="84" customWidth="1"/>
    <col min="22" max="22" width="13.88671875" style="28" customWidth="1"/>
    <col min="23" max="23" width="13.88671875" style="27" customWidth="1"/>
    <col min="24" max="24" width="9.6640625" style="20"/>
    <col min="25" max="25" width="10" style="84" customWidth="1"/>
    <col min="26" max="26" width="13.88671875" style="28" customWidth="1"/>
    <col min="27" max="27" width="13.88671875" style="27" customWidth="1"/>
    <col min="28" max="28" width="9.6640625" style="20"/>
    <col min="29" max="29" width="10" style="84" customWidth="1"/>
    <col min="30" max="30" width="13.88671875" style="28" customWidth="1"/>
    <col min="31" max="31" width="13.88671875" style="27" customWidth="1"/>
    <col min="32" max="32" width="9.6640625" style="20"/>
    <col min="33" max="33" width="10" style="84" customWidth="1"/>
    <col min="34" max="34" width="13.88671875" style="28" customWidth="1"/>
    <col min="35" max="35" width="13.88671875" style="27" customWidth="1"/>
    <col min="36" max="36" width="9.6640625" style="20"/>
    <col min="37" max="37" width="10" style="84" customWidth="1"/>
    <col min="38" max="38" width="13.88671875" style="28" customWidth="1"/>
    <col min="39" max="39" width="13.88671875" style="27" customWidth="1"/>
    <col min="40" max="40" width="9.6640625" style="20"/>
    <col min="41" max="41" width="10" style="84" customWidth="1"/>
    <col min="42" max="42" width="13.88671875" style="28" customWidth="1"/>
    <col min="43" max="43" width="13.88671875" style="27" customWidth="1"/>
    <col min="44" max="16384" width="9.6640625" style="20"/>
  </cols>
  <sheetData>
    <row r="1" spans="1:43" x14ac:dyDescent="0.3">
      <c r="B1" s="20" t="s">
        <v>61</v>
      </c>
      <c r="E1" s="98">
        <f>COLUMN()/5</f>
        <v>1</v>
      </c>
      <c r="F1" s="96"/>
      <c r="G1" s="97"/>
      <c r="I1" s="98">
        <f>(COLUMN()-5)/4+1</f>
        <v>2</v>
      </c>
      <c r="J1" s="96"/>
      <c r="K1" s="97"/>
      <c r="M1" s="98">
        <f>(COLUMN()-5)/4+1</f>
        <v>3</v>
      </c>
      <c r="N1" s="96"/>
      <c r="O1" s="97"/>
      <c r="Q1" s="98">
        <f>(COLUMN()-5)/4+1</f>
        <v>4</v>
      </c>
      <c r="R1" s="96"/>
      <c r="S1" s="97"/>
      <c r="U1" s="98">
        <f>(COLUMN()-5)/4+1</f>
        <v>5</v>
      </c>
      <c r="V1" s="96"/>
      <c r="W1" s="97"/>
      <c r="Y1" s="98">
        <f>(COLUMN()-5)/4+1</f>
        <v>6</v>
      </c>
      <c r="Z1" s="96"/>
      <c r="AA1" s="97"/>
      <c r="AC1" s="98">
        <f>(COLUMN()-5)/4+1</f>
        <v>7</v>
      </c>
      <c r="AD1" s="96"/>
      <c r="AE1" s="97"/>
      <c r="AG1" s="98">
        <f>(COLUMN()-5)/4+1</f>
        <v>8</v>
      </c>
      <c r="AH1" s="96"/>
      <c r="AI1" s="97"/>
      <c r="AK1" s="98">
        <f>(COLUMN()-5)/4+1</f>
        <v>9</v>
      </c>
      <c r="AL1" s="96"/>
      <c r="AM1" s="97"/>
      <c r="AO1" s="98">
        <f>(COLUMN()-5)/4+1</f>
        <v>10</v>
      </c>
      <c r="AP1" s="96"/>
      <c r="AQ1" s="97"/>
    </row>
    <row r="2" spans="1:43" x14ac:dyDescent="0.3">
      <c r="B2" s="20" t="s">
        <v>57</v>
      </c>
      <c r="C2" s="21">
        <v>5.5E-2</v>
      </c>
      <c r="D2" s="95">
        <v>0.25</v>
      </c>
      <c r="E2" s="83" t="s">
        <v>0</v>
      </c>
      <c r="F2" s="23" t="s">
        <v>2</v>
      </c>
      <c r="G2" s="24"/>
      <c r="I2" s="83" t="s">
        <v>0</v>
      </c>
      <c r="J2" s="23" t="s">
        <v>2</v>
      </c>
      <c r="K2" s="25"/>
      <c r="L2" s="20"/>
      <c r="M2" s="83" t="s">
        <v>0</v>
      </c>
      <c r="N2" s="23" t="s">
        <v>2</v>
      </c>
      <c r="O2" s="25"/>
      <c r="Q2" s="83" t="s">
        <v>0</v>
      </c>
      <c r="R2" s="23" t="s">
        <v>2</v>
      </c>
      <c r="S2" s="25"/>
      <c r="U2" s="83" t="s">
        <v>0</v>
      </c>
      <c r="V2" s="23" t="s">
        <v>2</v>
      </c>
      <c r="W2" s="25"/>
      <c r="Y2" s="83" t="s">
        <v>0</v>
      </c>
      <c r="Z2" s="23" t="s">
        <v>2</v>
      </c>
      <c r="AA2" s="25"/>
      <c r="AC2" s="83" t="s">
        <v>0</v>
      </c>
      <c r="AD2" s="23" t="s">
        <v>2</v>
      </c>
      <c r="AE2" s="25"/>
      <c r="AG2" s="83" t="s">
        <v>0</v>
      </c>
      <c r="AH2" s="23" t="s">
        <v>2</v>
      </c>
      <c r="AI2" s="25"/>
      <c r="AK2" s="83" t="s">
        <v>0</v>
      </c>
      <c r="AL2" s="23" t="s">
        <v>2</v>
      </c>
      <c r="AM2" s="25"/>
      <c r="AO2" s="83" t="s">
        <v>0</v>
      </c>
      <c r="AP2" s="23" t="s">
        <v>2</v>
      </c>
      <c r="AQ2" s="25"/>
    </row>
    <row r="3" spans="1:43" x14ac:dyDescent="0.3">
      <c r="B3" s="20" t="s">
        <v>3</v>
      </c>
      <c r="D3" s="2">
        <v>7.0000000000000007E-2</v>
      </c>
      <c r="L3" s="20"/>
    </row>
    <row r="4" spans="1:43" x14ac:dyDescent="0.3">
      <c r="B4" s="20" t="s">
        <v>6</v>
      </c>
      <c r="D4" s="30">
        <v>0.7</v>
      </c>
      <c r="E4" s="85"/>
      <c r="F4" s="28" t="s">
        <v>7</v>
      </c>
      <c r="G4" s="24" t="s">
        <v>8</v>
      </c>
      <c r="I4" s="85"/>
      <c r="J4" s="28" t="s">
        <v>7</v>
      </c>
      <c r="K4" s="25" t="s">
        <v>8</v>
      </c>
      <c r="L4" s="20"/>
      <c r="M4" s="85"/>
      <c r="N4" s="28" t="s">
        <v>7</v>
      </c>
      <c r="O4" s="25" t="s">
        <v>8</v>
      </c>
      <c r="Q4" s="85"/>
      <c r="R4" s="28" t="s">
        <v>7</v>
      </c>
      <c r="S4" s="25" t="s">
        <v>8</v>
      </c>
      <c r="U4" s="85"/>
      <c r="V4" s="28" t="s">
        <v>7</v>
      </c>
      <c r="W4" s="25" t="s">
        <v>8</v>
      </c>
      <c r="Y4" s="85"/>
      <c r="Z4" s="28" t="s">
        <v>7</v>
      </c>
      <c r="AA4" s="25" t="s">
        <v>8</v>
      </c>
      <c r="AC4" s="85"/>
      <c r="AD4" s="28" t="s">
        <v>7</v>
      </c>
      <c r="AE4" s="25" t="s">
        <v>8</v>
      </c>
      <c r="AG4" s="85"/>
      <c r="AH4" s="28" t="s">
        <v>7</v>
      </c>
      <c r="AI4" s="25" t="s">
        <v>8</v>
      </c>
      <c r="AK4" s="85"/>
      <c r="AL4" s="28" t="s">
        <v>7</v>
      </c>
      <c r="AM4" s="25" t="s">
        <v>8</v>
      </c>
      <c r="AO4" s="85"/>
      <c r="AP4" s="28" t="s">
        <v>7</v>
      </c>
      <c r="AQ4" s="25" t="s">
        <v>8</v>
      </c>
    </row>
    <row r="5" spans="1:43" s="31" customFormat="1" x14ac:dyDescent="0.3">
      <c r="A5" s="31">
        <v>1</v>
      </c>
      <c r="B5" s="31" t="s">
        <v>9</v>
      </c>
      <c r="C5" s="32">
        <v>-1000</v>
      </c>
      <c r="D5" s="33">
        <v>42917</v>
      </c>
      <c r="E5" s="86">
        <f>+$C$5</f>
        <v>-1000</v>
      </c>
      <c r="F5" s="34">
        <f>+$C$5</f>
        <v>-1000</v>
      </c>
      <c r="G5" s="35">
        <f>+$C$5</f>
        <v>-1000</v>
      </c>
      <c r="H5" s="78"/>
      <c r="I5" s="86">
        <f>+$C$5</f>
        <v>-1000</v>
      </c>
      <c r="J5" s="34">
        <f>+$C$5</f>
        <v>-1000</v>
      </c>
      <c r="K5" s="36">
        <f>+$C$5</f>
        <v>-1000</v>
      </c>
      <c r="M5" s="86">
        <f>+$C$5</f>
        <v>-1000</v>
      </c>
      <c r="N5" s="34">
        <f>+$C$5</f>
        <v>-1000</v>
      </c>
      <c r="O5" s="36">
        <f>+$C$5</f>
        <v>-1000</v>
      </c>
      <c r="Q5" s="86">
        <f>+$C$5</f>
        <v>-1000</v>
      </c>
      <c r="R5" s="34">
        <f>+$C$5</f>
        <v>-1000</v>
      </c>
      <c r="S5" s="36">
        <f>+$C$5</f>
        <v>-1000</v>
      </c>
      <c r="U5" s="86">
        <f>+$C$5</f>
        <v>-1000</v>
      </c>
      <c r="V5" s="34">
        <f>+$C$5</f>
        <v>-1000</v>
      </c>
      <c r="W5" s="36">
        <f>+$C$5</f>
        <v>-1000</v>
      </c>
      <c r="Y5" s="86">
        <f>+$C$5</f>
        <v>-1000</v>
      </c>
      <c r="Z5" s="34">
        <f>+$C$5</f>
        <v>-1000</v>
      </c>
      <c r="AA5" s="36">
        <f>+$C$5</f>
        <v>-1000</v>
      </c>
      <c r="AC5" s="86">
        <f>+$C$5</f>
        <v>-1000</v>
      </c>
      <c r="AD5" s="34">
        <f>+$C$5</f>
        <v>-1000</v>
      </c>
      <c r="AE5" s="36">
        <f>+$C$5</f>
        <v>-1000</v>
      </c>
      <c r="AG5" s="86">
        <f>+$C$5</f>
        <v>-1000</v>
      </c>
      <c r="AH5" s="34">
        <f>+$C$5</f>
        <v>-1000</v>
      </c>
      <c r="AI5" s="36">
        <f>+$C$5</f>
        <v>-1000</v>
      </c>
      <c r="AK5" s="86">
        <f>+$C$5</f>
        <v>-1000</v>
      </c>
      <c r="AL5" s="34">
        <f>+$C$5</f>
        <v>-1000</v>
      </c>
      <c r="AM5" s="36">
        <f>+$C$5</f>
        <v>-1000</v>
      </c>
      <c r="AO5" s="86">
        <f>+$C$5</f>
        <v>-1000</v>
      </c>
      <c r="AP5" s="34">
        <f>+$C$5</f>
        <v>-1000</v>
      </c>
      <c r="AQ5" s="36">
        <f>+$C$5</f>
        <v>-1000</v>
      </c>
    </row>
    <row r="6" spans="1:43" x14ac:dyDescent="0.3">
      <c r="A6" s="20">
        <v>2</v>
      </c>
      <c r="B6" s="51" t="s">
        <v>58</v>
      </c>
      <c r="E6" s="84">
        <f>-E5</f>
        <v>1000</v>
      </c>
      <c r="F6" s="26">
        <f t="shared" ref="F6:G6" si="0">-F5</f>
        <v>1000</v>
      </c>
      <c r="G6" s="37">
        <f t="shared" si="0"/>
        <v>1000</v>
      </c>
      <c r="I6" s="93">
        <f>+E28</f>
        <v>1.0199419642857144</v>
      </c>
      <c r="J6" s="26">
        <f>+F28</f>
        <v>1.0185643415178571</v>
      </c>
      <c r="K6" s="38">
        <f>+G28</f>
        <v>0.99634436556510164</v>
      </c>
      <c r="L6" s="20"/>
      <c r="M6" s="93">
        <f>+I28</f>
        <v>1.0390354286531296</v>
      </c>
      <c r="N6" s="26">
        <f>+J28</f>
        <v>1.0363387988480035</v>
      </c>
      <c r="O6" s="38">
        <f>+K28</f>
        <v>0.99287989303645618</v>
      </c>
      <c r="Q6" s="93">
        <f>+M28</f>
        <v>1.0572965689336862</v>
      </c>
      <c r="R6" s="26">
        <f>+N28</f>
        <v>1.0533384303695885</v>
      </c>
      <c r="S6" s="38">
        <f>+O28</f>
        <v>0.98959919512820416</v>
      </c>
      <c r="U6" s="93">
        <f>+Q28</f>
        <v>1.0747430136241909</v>
      </c>
      <c r="V6" s="26">
        <f>+R28</f>
        <v>1.0695796467746823</v>
      </c>
      <c r="W6" s="38">
        <f>+S28</f>
        <v>0.98649489488451658</v>
      </c>
      <c r="Y6" s="93">
        <f>+U28</f>
        <v>1.0913937015249986</v>
      </c>
      <c r="Z6" s="26">
        <f>+V28</f>
        <v>1.0850800785410395</v>
      </c>
      <c r="AA6" s="38">
        <f>+W28</f>
        <v>0.98355965835009629</v>
      </c>
      <c r="AC6" s="93">
        <f>+Y28</f>
        <v>1.1072687341667093</v>
      </c>
      <c r="AD6" s="26">
        <f>+Z28</f>
        <v>1.0998584385533965</v>
      </c>
      <c r="AE6" s="38">
        <f>+AA28</f>
        <v>0.98078622431107587</v>
      </c>
      <c r="AG6" s="93">
        <f>+AC28</f>
        <v>1.1223892252628829</v>
      </c>
      <c r="AH6" s="26">
        <f>+AD28</f>
        <v>1.1139343819562322</v>
      </c>
      <c r="AI6" s="38">
        <f>+AE28</f>
        <v>0.97816743104977122</v>
      </c>
      <c r="AK6" s="93">
        <f>+AG28</f>
        <v>1.1367771493319501</v>
      </c>
      <c r="AL6" s="26">
        <f>+AH28</f>
        <v>1.1273283652331205</v>
      </c>
      <c r="AM6" s="38">
        <f>+AI28</f>
        <v>0.97569624010938305</v>
      </c>
      <c r="AO6" s="93">
        <f>+AK28</f>
        <v>1.1504551914928671</v>
      </c>
      <c r="AP6" s="26">
        <f>+AL28</f>
        <v>1.1400615063787405</v>
      </c>
      <c r="AQ6" s="38">
        <f>+AM28</f>
        <v>0.97336575711074735</v>
      </c>
    </row>
    <row r="7" spans="1:43" x14ac:dyDescent="0.3">
      <c r="B7" s="51" t="s">
        <v>59</v>
      </c>
      <c r="E7" s="84">
        <f>+E5</f>
        <v>-1000</v>
      </c>
      <c r="F7" s="26">
        <f t="shared" ref="F7:G7" si="1">+F5</f>
        <v>-1000</v>
      </c>
      <c r="G7" s="37">
        <f t="shared" si="1"/>
        <v>-1000</v>
      </c>
      <c r="I7" s="84">
        <f>+E35</f>
        <v>-1020.1015</v>
      </c>
      <c r="J7" s="26">
        <f t="shared" ref="J7:K7" si="2">+F35</f>
        <v>-1018.71285625</v>
      </c>
      <c r="K7" s="38">
        <f t="shared" si="2"/>
        <v>-996.34436556510161</v>
      </c>
      <c r="L7" s="20"/>
      <c r="M7" s="84">
        <f>+I35</f>
        <v>-1040.203</v>
      </c>
      <c r="N7" s="26">
        <f t="shared" ref="N7" si="3">+J35</f>
        <v>-1037.4257124999999</v>
      </c>
      <c r="O7" s="38">
        <f t="shared" ref="O7" si="4">+K35</f>
        <v>-992.59647806510156</v>
      </c>
      <c r="Q7" s="84">
        <f>+M35</f>
        <v>-1060.3045</v>
      </c>
      <c r="R7" s="26">
        <f t="shared" ref="R7" si="5">+N35</f>
        <v>-1056.1385687499999</v>
      </c>
      <c r="S7" s="38">
        <f t="shared" ref="S7" si="6">+O35</f>
        <v>-988.84859056510152</v>
      </c>
      <c r="U7" s="84">
        <f>+Q35</f>
        <v>-1080.4059999999999</v>
      </c>
      <c r="V7" s="26">
        <f t="shared" ref="V7" si="7">+R35</f>
        <v>-1074.8514249999998</v>
      </c>
      <c r="W7" s="38">
        <f t="shared" ref="W7" si="8">+S35</f>
        <v>-985.10070306510147</v>
      </c>
      <c r="Y7" s="84">
        <f>+U35</f>
        <v>-1100.5074999999999</v>
      </c>
      <c r="Z7" s="26">
        <f t="shared" ref="Z7" si="9">+V35</f>
        <v>-1093.5642812499998</v>
      </c>
      <c r="AA7" s="38">
        <f t="shared" ref="AA7" si="10">+W35</f>
        <v>-981.35281556510142</v>
      </c>
      <c r="AC7" s="84">
        <f>+Y35</f>
        <v>-1120.6089999999999</v>
      </c>
      <c r="AD7" s="26">
        <f t="shared" ref="AD7" si="11">+Z35</f>
        <v>-1112.2771374999998</v>
      </c>
      <c r="AE7" s="38">
        <f t="shared" ref="AE7" si="12">+AA35</f>
        <v>-977.60492806510138</v>
      </c>
      <c r="AG7" s="84">
        <f>+AC35</f>
        <v>-1140.7104999999999</v>
      </c>
      <c r="AH7" s="26">
        <f t="shared" ref="AH7" si="13">+AD35</f>
        <v>-1130.9899937499997</v>
      </c>
      <c r="AI7" s="38">
        <f t="shared" ref="AI7" si="14">+AE35</f>
        <v>-973.85704056510133</v>
      </c>
      <c r="AK7" s="84">
        <f>+AG35</f>
        <v>-1160.8119999999999</v>
      </c>
      <c r="AL7" s="26">
        <f t="shared" ref="AL7" si="15">+AH35</f>
        <v>-1149.7028499999997</v>
      </c>
      <c r="AM7" s="38">
        <f t="shared" ref="AM7" si="16">+AI35</f>
        <v>-970.10915306510128</v>
      </c>
      <c r="AO7" s="84">
        <f>+AK35</f>
        <v>-1180.9134999999999</v>
      </c>
      <c r="AP7" s="26">
        <f t="shared" ref="AP7" si="17">+AL35</f>
        <v>-1168.4157062499996</v>
      </c>
      <c r="AQ7" s="38">
        <f t="shared" ref="AQ7" si="18">+AM35</f>
        <v>-966.36126556510123</v>
      </c>
    </row>
    <row r="8" spans="1:43" x14ac:dyDescent="0.3">
      <c r="B8" s="51" t="s">
        <v>60</v>
      </c>
      <c r="E8" s="84">
        <v>0</v>
      </c>
      <c r="F8" s="26">
        <v>0</v>
      </c>
      <c r="G8" s="37">
        <v>0</v>
      </c>
      <c r="I8" s="84">
        <f>+E8+E55</f>
        <v>0</v>
      </c>
      <c r="J8" s="26">
        <f>+F8+F55</f>
        <v>0</v>
      </c>
      <c r="K8" s="38">
        <f>+G8+G54</f>
        <v>20.299999999999997</v>
      </c>
      <c r="L8" s="20"/>
      <c r="M8" s="84">
        <f>+I8+I55</f>
        <v>0</v>
      </c>
      <c r="N8" s="26">
        <f>+J8+J55</f>
        <v>0</v>
      </c>
      <c r="O8" s="38">
        <f>+K8+K54</f>
        <v>40.599999999999994</v>
      </c>
      <c r="Q8" s="84">
        <f>+M8+M55</f>
        <v>0</v>
      </c>
      <c r="R8" s="26">
        <f>+N8+N55</f>
        <v>0</v>
      </c>
      <c r="S8" s="38">
        <f>+O8+O54</f>
        <v>60.899999999999991</v>
      </c>
      <c r="U8" s="84">
        <f>+Q8+Q55</f>
        <v>0</v>
      </c>
      <c r="V8" s="26">
        <f>+R8+R55</f>
        <v>0</v>
      </c>
      <c r="W8" s="38">
        <f>+S8+S54</f>
        <v>81.199999999999989</v>
      </c>
      <c r="Y8" s="84">
        <f>+U8+U55</f>
        <v>0</v>
      </c>
      <c r="Z8" s="26">
        <f>+V8+V55</f>
        <v>0</v>
      </c>
      <c r="AA8" s="38">
        <f>+W8+W54</f>
        <v>101.49999999999999</v>
      </c>
      <c r="AC8" s="84">
        <f>+Y8+Y55</f>
        <v>0</v>
      </c>
      <c r="AD8" s="26">
        <f>+Z8+Z55</f>
        <v>0</v>
      </c>
      <c r="AE8" s="38">
        <f>+AA8+AA54</f>
        <v>121.79999999999998</v>
      </c>
      <c r="AG8" s="84">
        <f>+AC8+AC55</f>
        <v>0</v>
      </c>
      <c r="AH8" s="26">
        <f>+AD8+AD55</f>
        <v>0</v>
      </c>
      <c r="AI8" s="38">
        <f>+AE8+AE54</f>
        <v>142.09999999999997</v>
      </c>
      <c r="AK8" s="84">
        <f>+AG8+AG55</f>
        <v>0</v>
      </c>
      <c r="AL8" s="26">
        <f>+AH8+AH55</f>
        <v>0</v>
      </c>
      <c r="AM8" s="38">
        <f>+AI8+AI54</f>
        <v>162.39999999999998</v>
      </c>
      <c r="AO8" s="84">
        <f>+AK8+AK55</f>
        <v>0</v>
      </c>
      <c r="AP8" s="26">
        <f>+AL8+AL55</f>
        <v>0</v>
      </c>
      <c r="AQ8" s="38">
        <f>+AM8+AM54</f>
        <v>182.7</v>
      </c>
    </row>
    <row r="9" spans="1:43" s="31" customFormat="1" x14ac:dyDescent="0.3">
      <c r="A9" s="31">
        <f>IF(B9&lt;&gt;"",MAX(A3:A6)+1,"")</f>
        <v>3</v>
      </c>
      <c r="B9" s="59" t="s">
        <v>10</v>
      </c>
      <c r="D9" s="33">
        <v>42736</v>
      </c>
      <c r="E9" s="86">
        <f t="shared" ref="E9:G9" si="19">-E5*(1+$D3/2)</f>
        <v>1035</v>
      </c>
      <c r="F9" s="34">
        <f t="shared" si="19"/>
        <v>1035</v>
      </c>
      <c r="G9" s="35">
        <f t="shared" si="19"/>
        <v>1035</v>
      </c>
      <c r="H9" s="78"/>
      <c r="I9" s="86">
        <f>E27*(1+$D3/2)</f>
        <v>1079.7947999999999</v>
      </c>
      <c r="J9" s="34">
        <f t="shared" ref="J9:K9" si="20">F27*(1+$D3/2)</f>
        <v>1079.7947999999999</v>
      </c>
      <c r="K9" s="36">
        <f t="shared" si="20"/>
        <v>1104.3794137499999</v>
      </c>
      <c r="M9" s="86">
        <f>I27*(1+$D3/2)</f>
        <v>1127.7801096299997</v>
      </c>
      <c r="N9" s="34">
        <f t="shared" ref="N9" si="21">J27*(1+$D3/2)</f>
        <v>1127.7801096299997</v>
      </c>
      <c r="O9" s="36">
        <f t="shared" ref="O9" si="22">K27*(1+$D3/2)</f>
        <v>1178.7003762443435</v>
      </c>
      <c r="Q9" s="86">
        <f>M27*(1+$D3/2)</f>
        <v>1179.1831729383962</v>
      </c>
      <c r="R9" s="34">
        <f t="shared" ref="R9" si="23">N27*(1+$D3/2)</f>
        <v>1179.1831729383962</v>
      </c>
      <c r="S9" s="36">
        <f t="shared" ref="S9" si="24">O27*(1+$D3/2)</f>
        <v>1258.3148492923467</v>
      </c>
      <c r="U9" s="86">
        <f>Q27*(1+$D3/2)</f>
        <v>1234.2474194309332</v>
      </c>
      <c r="V9" s="34">
        <f t="shared" ref="V9" si="25">R27*(1+$D3/2)</f>
        <v>1234.2474194309332</v>
      </c>
      <c r="W9" s="36">
        <f t="shared" ref="W9" si="26">S27*(1+$D3/2)</f>
        <v>1343.599863183194</v>
      </c>
      <c r="Y9" s="86">
        <f>U27*(1+$D3/2)</f>
        <v>1293.2336168799013</v>
      </c>
      <c r="Z9" s="34">
        <f t="shared" ref="Z9" si="27">V27*(1+$D3/2)</f>
        <v>1293.2336168799013</v>
      </c>
      <c r="AA9" s="36">
        <f t="shared" ref="AA9" si="28">W27*(1+$D3/2)</f>
        <v>1434.9593021884168</v>
      </c>
      <c r="AC9" s="86">
        <f>Y27*(1+$D3/2)</f>
        <v>1356.4211062421721</v>
      </c>
      <c r="AD9" s="34">
        <f t="shared" ref="AD9" si="29">Z27*(1+$D3/2)</f>
        <v>1356.4211062421721</v>
      </c>
      <c r="AE9" s="36">
        <f t="shared" ref="AE9" si="30">AA27*(1+$D3/2)</f>
        <v>1532.8258172367864</v>
      </c>
      <c r="AG9" s="86">
        <f>AC27*(1+$D3/2)</f>
        <v>1424.1091245342707</v>
      </c>
      <c r="AH9" s="34">
        <f t="shared" ref="AH9" si="31">AD27*(1+$D3/2)</f>
        <v>1424.1091245342707</v>
      </c>
      <c r="AI9" s="36">
        <f t="shared" ref="AI9" si="32">AE27*(1+$D3/2)</f>
        <v>1637.6628748194764</v>
      </c>
      <c r="AK9" s="86">
        <f>AG27*(1+$D3/2)</f>
        <v>1496.6182219292239</v>
      </c>
      <c r="AL9" s="34">
        <f t="shared" ref="AL9" si="33">AH27*(1+$D3/2)</f>
        <v>1496.6182219292239</v>
      </c>
      <c r="AM9" s="36">
        <f t="shared" ref="AM9" si="34">AI27*(1+$D3/2)</f>
        <v>1749.9669518284936</v>
      </c>
      <c r="AO9" s="86">
        <f>AK27*(1+$D3/2)</f>
        <v>1574.2917797861328</v>
      </c>
      <c r="AP9" s="34">
        <f t="shared" ref="AP9" si="35">AL27*(1+$D3/2)</f>
        <v>1574.2917797861328</v>
      </c>
      <c r="AQ9" s="36">
        <f t="shared" ref="AQ9" si="36">AM27*(1+$D3/2)</f>
        <v>1870.2698867224778</v>
      </c>
    </row>
    <row r="10" spans="1:43" x14ac:dyDescent="0.3">
      <c r="A10" s="20">
        <f>IF(B10&lt;&gt;"",MAX(A4:A9)+1,"")</f>
        <v>4</v>
      </c>
      <c r="B10" s="20" t="s">
        <v>11</v>
      </c>
      <c r="D10" s="2">
        <v>2.7E-2</v>
      </c>
      <c r="E10" s="84">
        <f t="shared" ref="E10:G10" si="37">-E5*$D10</f>
        <v>27</v>
      </c>
      <c r="F10" s="26">
        <f t="shared" si="37"/>
        <v>27</v>
      </c>
      <c r="G10" s="37">
        <f t="shared" si="37"/>
        <v>27</v>
      </c>
      <c r="I10" s="84">
        <f t="shared" ref="I10:K10" si="38">-I5*$D10</f>
        <v>27</v>
      </c>
      <c r="J10" s="26">
        <f t="shared" si="38"/>
        <v>27</v>
      </c>
      <c r="K10" s="38">
        <f t="shared" si="38"/>
        <v>27</v>
      </c>
      <c r="L10" s="20"/>
      <c r="M10" s="84">
        <f t="shared" ref="M10:O10" si="39">-M5*$D10</f>
        <v>27</v>
      </c>
      <c r="N10" s="26">
        <f t="shared" si="39"/>
        <v>27</v>
      </c>
      <c r="O10" s="38">
        <f t="shared" si="39"/>
        <v>27</v>
      </c>
      <c r="Q10" s="84">
        <f t="shared" ref="Q10:S10" si="40">-Q5*$D10</f>
        <v>27</v>
      </c>
      <c r="R10" s="26">
        <f t="shared" si="40"/>
        <v>27</v>
      </c>
      <c r="S10" s="38">
        <f t="shared" si="40"/>
        <v>27</v>
      </c>
      <c r="U10" s="84">
        <f t="shared" ref="U10:W10" si="41">-U5*$D10</f>
        <v>27</v>
      </c>
      <c r="V10" s="26">
        <f t="shared" si="41"/>
        <v>27</v>
      </c>
      <c r="W10" s="38">
        <f t="shared" si="41"/>
        <v>27</v>
      </c>
      <c r="Y10" s="84">
        <f t="shared" ref="Y10:AA10" si="42">-Y5*$D10</f>
        <v>27</v>
      </c>
      <c r="Z10" s="26">
        <f t="shared" si="42"/>
        <v>27</v>
      </c>
      <c r="AA10" s="38">
        <f t="shared" si="42"/>
        <v>27</v>
      </c>
      <c r="AC10" s="84">
        <f t="shared" ref="AC10:AE10" si="43">-AC5*$D10</f>
        <v>27</v>
      </c>
      <c r="AD10" s="26">
        <f t="shared" si="43"/>
        <v>27</v>
      </c>
      <c r="AE10" s="38">
        <f t="shared" si="43"/>
        <v>27</v>
      </c>
      <c r="AG10" s="84">
        <f t="shared" ref="AG10:AI10" si="44">-AG5*$D10</f>
        <v>27</v>
      </c>
      <c r="AH10" s="26">
        <f t="shared" si="44"/>
        <v>27</v>
      </c>
      <c r="AI10" s="38">
        <f t="shared" si="44"/>
        <v>27</v>
      </c>
      <c r="AK10" s="84">
        <f t="shared" ref="AK10:AM10" si="45">-AK5*$D10</f>
        <v>27</v>
      </c>
      <c r="AL10" s="26">
        <f t="shared" si="45"/>
        <v>27</v>
      </c>
      <c r="AM10" s="38">
        <f t="shared" si="45"/>
        <v>27</v>
      </c>
      <c r="AO10" s="84">
        <f t="shared" ref="AO10:AQ10" si="46">-AO5*$D10</f>
        <v>27</v>
      </c>
      <c r="AP10" s="26">
        <f t="shared" si="46"/>
        <v>27</v>
      </c>
      <c r="AQ10" s="38">
        <f t="shared" si="46"/>
        <v>27</v>
      </c>
    </row>
    <row r="11" spans="1:43" x14ac:dyDescent="0.3">
      <c r="A11" s="20">
        <f>IF(B11&lt;&gt;"",MAX(A6:A10)+1,"")</f>
        <v>5</v>
      </c>
      <c r="B11" s="20" t="s">
        <v>12</v>
      </c>
      <c r="D11" s="30">
        <v>0.15</v>
      </c>
      <c r="E11" s="84">
        <f>(-$D$11*E10)</f>
        <v>-4.05</v>
      </c>
      <c r="F11" s="26">
        <f>-$D11*F10</f>
        <v>-4.05</v>
      </c>
      <c r="G11" s="37">
        <f>-$D11*G10</f>
        <v>-4.05</v>
      </c>
      <c r="I11" s="84">
        <f>(-$D$11*I10)</f>
        <v>-4.05</v>
      </c>
      <c r="J11" s="26">
        <f>-$D11*J10</f>
        <v>-4.05</v>
      </c>
      <c r="K11" s="38">
        <f>-$D11*K10</f>
        <v>-4.05</v>
      </c>
      <c r="L11" s="20"/>
      <c r="M11" s="84">
        <f>(-$D$11*M10)</f>
        <v>-4.05</v>
      </c>
      <c r="N11" s="26">
        <f>-$D11*N10</f>
        <v>-4.05</v>
      </c>
      <c r="O11" s="38">
        <f>-$D11*O10</f>
        <v>-4.05</v>
      </c>
      <c r="Q11" s="84">
        <f>(-$D$11*Q10)</f>
        <v>-4.05</v>
      </c>
      <c r="R11" s="26">
        <f>-$D11*R10</f>
        <v>-4.05</v>
      </c>
      <c r="S11" s="38">
        <f>-$D11*S10</f>
        <v>-4.05</v>
      </c>
      <c r="U11" s="84">
        <f>(-$D$11*U10)</f>
        <v>-4.05</v>
      </c>
      <c r="V11" s="26">
        <f>-$D11*V10</f>
        <v>-4.05</v>
      </c>
      <c r="W11" s="38">
        <f>-$D11*W10</f>
        <v>-4.05</v>
      </c>
      <c r="Y11" s="84">
        <f>(-$D$11*Y10)</f>
        <v>-4.05</v>
      </c>
      <c r="Z11" s="26">
        <f>-$D11*Z10</f>
        <v>-4.05</v>
      </c>
      <c r="AA11" s="38">
        <f>-$D11*AA10</f>
        <v>-4.05</v>
      </c>
      <c r="AC11" s="84">
        <f>(-$D$11*AC10)</f>
        <v>-4.05</v>
      </c>
      <c r="AD11" s="26">
        <f>-$D11*AD10</f>
        <v>-4.05</v>
      </c>
      <c r="AE11" s="38">
        <f>-$D11*AE10</f>
        <v>-4.05</v>
      </c>
      <c r="AG11" s="84">
        <f>(-$D$11*AG10)</f>
        <v>-4.05</v>
      </c>
      <c r="AH11" s="26">
        <f>-$D11*AH10</f>
        <v>-4.05</v>
      </c>
      <c r="AI11" s="38">
        <f>-$D11*AI10</f>
        <v>-4.05</v>
      </c>
      <c r="AK11" s="84">
        <f>(-$D$11*AK10)</f>
        <v>-4.05</v>
      </c>
      <c r="AL11" s="26">
        <f>-$D11*AL10</f>
        <v>-4.05</v>
      </c>
      <c r="AM11" s="38">
        <f>-$D11*AM10</f>
        <v>-4.05</v>
      </c>
      <c r="AO11" s="84">
        <f>(-$D$11*AO10)</f>
        <v>-4.05</v>
      </c>
      <c r="AP11" s="26">
        <f>-$D11*AP10</f>
        <v>-4.05</v>
      </c>
      <c r="AQ11" s="38">
        <f>-$D11*AQ10</f>
        <v>-4.05</v>
      </c>
    </row>
    <row r="12" spans="1:43" x14ac:dyDescent="0.3">
      <c r="A12" s="20">
        <f>IF(B12&lt;&gt;"",MAX(A9:A11)+1,"")</f>
        <v>6</v>
      </c>
      <c r="B12" s="20" t="s">
        <v>13</v>
      </c>
      <c r="E12" s="84">
        <f>+E9-E10</f>
        <v>1008</v>
      </c>
      <c r="F12" s="26">
        <f>+F9+F11</f>
        <v>1030.95</v>
      </c>
      <c r="G12" s="37">
        <f>+G9+G11</f>
        <v>1030.95</v>
      </c>
      <c r="I12" s="84">
        <f>+I9-I10</f>
        <v>1052.7947999999999</v>
      </c>
      <c r="J12" s="26">
        <f>+J9+J11</f>
        <v>1075.7447999999999</v>
      </c>
      <c r="K12" s="38">
        <f>+K9+K11</f>
        <v>1100.32941375</v>
      </c>
      <c r="L12" s="20"/>
      <c r="M12" s="84">
        <f>+M9-M10</f>
        <v>1100.7801096299997</v>
      </c>
      <c r="N12" s="26">
        <f>+N9+N11</f>
        <v>1123.7301096299998</v>
      </c>
      <c r="O12" s="38">
        <f>+O9+O11</f>
        <v>1174.6503762443435</v>
      </c>
      <c r="Q12" s="84">
        <f>+Q9-Q10</f>
        <v>1152.1831729383962</v>
      </c>
      <c r="R12" s="26">
        <f>+R9+R11</f>
        <v>1175.1331729383962</v>
      </c>
      <c r="S12" s="38">
        <f>+S9+S11</f>
        <v>1254.2648492923468</v>
      </c>
      <c r="U12" s="84">
        <f>+U9-U10</f>
        <v>1207.2474194309332</v>
      </c>
      <c r="V12" s="26">
        <f>+V9+V11</f>
        <v>1230.1974194309332</v>
      </c>
      <c r="W12" s="38">
        <f>+W9+W11</f>
        <v>1339.549863183194</v>
      </c>
      <c r="Y12" s="84">
        <f>+Y9-Y10</f>
        <v>1266.2336168799013</v>
      </c>
      <c r="Z12" s="26">
        <f>+Z9+Z11</f>
        <v>1289.1836168799014</v>
      </c>
      <c r="AA12" s="38">
        <f>+AA9+AA11</f>
        <v>1430.9093021884169</v>
      </c>
      <c r="AC12" s="84">
        <f>+AC9-AC10</f>
        <v>1329.4211062421721</v>
      </c>
      <c r="AD12" s="26">
        <f>+AD9+AD11</f>
        <v>1352.3711062421721</v>
      </c>
      <c r="AE12" s="38">
        <f>+AE9+AE11</f>
        <v>1528.7758172367865</v>
      </c>
      <c r="AG12" s="84">
        <f>+AG9-AG10</f>
        <v>1397.1091245342707</v>
      </c>
      <c r="AH12" s="26">
        <f>+AH9+AH11</f>
        <v>1420.0591245342707</v>
      </c>
      <c r="AI12" s="38">
        <f>+AI9+AI11</f>
        <v>1633.6128748194765</v>
      </c>
      <c r="AK12" s="84">
        <f>+AK9-AK10</f>
        <v>1469.6182219292239</v>
      </c>
      <c r="AL12" s="26">
        <f>+AL9+AL11</f>
        <v>1492.5682219292239</v>
      </c>
      <c r="AM12" s="38">
        <f>+AM9+AM11</f>
        <v>1745.9169518284937</v>
      </c>
      <c r="AO12" s="84">
        <f>+AO9-AO10</f>
        <v>1547.2917797861328</v>
      </c>
      <c r="AP12" s="26">
        <f>+AP9+AP11</f>
        <v>1570.2417797861328</v>
      </c>
      <c r="AQ12" s="38">
        <f>+AQ9+AQ11</f>
        <v>1866.2198867224779</v>
      </c>
    </row>
    <row r="13" spans="1:43" x14ac:dyDescent="0.3">
      <c r="A13" s="20">
        <f>IF(B13&lt;&gt;"",MAX(A11:A12)+1,"")</f>
        <v>7</v>
      </c>
      <c r="B13" s="20" t="s">
        <v>14</v>
      </c>
      <c r="F13" s="26">
        <f>+F11+F10</f>
        <v>22.95</v>
      </c>
      <c r="G13" s="41"/>
      <c r="J13" s="26">
        <f>+J11+J10</f>
        <v>22.95</v>
      </c>
      <c r="K13" s="42"/>
      <c r="L13" s="20"/>
      <c r="N13" s="26">
        <f>+N11+N10</f>
        <v>22.95</v>
      </c>
      <c r="O13" s="42"/>
      <c r="R13" s="26">
        <f>+R11+R10</f>
        <v>22.95</v>
      </c>
      <c r="S13" s="42"/>
      <c r="V13" s="26">
        <f>+V11+V10</f>
        <v>22.95</v>
      </c>
      <c r="W13" s="42"/>
      <c r="Z13" s="26">
        <f>+Z11+Z10</f>
        <v>22.95</v>
      </c>
      <c r="AA13" s="42"/>
      <c r="AD13" s="26">
        <f>+AD11+AD10</f>
        <v>22.95</v>
      </c>
      <c r="AE13" s="42"/>
      <c r="AH13" s="26">
        <f>+AH11+AH10</f>
        <v>22.95</v>
      </c>
      <c r="AI13" s="42"/>
      <c r="AL13" s="26">
        <f>+AL11+AL10</f>
        <v>22.95</v>
      </c>
      <c r="AM13" s="42"/>
      <c r="AP13" s="26">
        <f>+AP11+AP10</f>
        <v>22.95</v>
      </c>
      <c r="AQ13" s="42"/>
    </row>
    <row r="14" spans="1:43" x14ac:dyDescent="0.3">
      <c r="A14" s="20">
        <f>IF(B14&lt;&gt;"",MAX(A11:A13)+1,"")</f>
        <v>8</v>
      </c>
      <c r="B14" s="20" t="s">
        <v>13</v>
      </c>
      <c r="E14" s="84">
        <f>+E12</f>
        <v>1008</v>
      </c>
      <c r="F14" s="26">
        <f>+F12-F13</f>
        <v>1008</v>
      </c>
      <c r="G14" s="37">
        <f>+G12-G13</f>
        <v>1030.95</v>
      </c>
      <c r="I14" s="84">
        <f>+I12</f>
        <v>1052.7947999999999</v>
      </c>
      <c r="J14" s="26">
        <f>+J12-J13</f>
        <v>1052.7947999999999</v>
      </c>
      <c r="K14" s="38">
        <f>+K12-K13</f>
        <v>1100.32941375</v>
      </c>
      <c r="L14" s="20"/>
      <c r="M14" s="84">
        <f>+M12</f>
        <v>1100.7801096299997</v>
      </c>
      <c r="N14" s="26">
        <f>+N12-N13</f>
        <v>1100.7801096299997</v>
      </c>
      <c r="O14" s="38">
        <f>+O12-O13</f>
        <v>1174.6503762443435</v>
      </c>
      <c r="Q14" s="84">
        <f>+Q12</f>
        <v>1152.1831729383962</v>
      </c>
      <c r="R14" s="26">
        <f>+R12-R13</f>
        <v>1152.1831729383962</v>
      </c>
      <c r="S14" s="38">
        <f>+S12-S13</f>
        <v>1254.2648492923468</v>
      </c>
      <c r="U14" s="84">
        <f>+U12</f>
        <v>1207.2474194309332</v>
      </c>
      <c r="V14" s="26">
        <f>+V12-V13</f>
        <v>1207.2474194309332</v>
      </c>
      <c r="W14" s="38">
        <f>+W12-W13</f>
        <v>1339.549863183194</v>
      </c>
      <c r="Y14" s="84">
        <f>+Y12</f>
        <v>1266.2336168799013</v>
      </c>
      <c r="Z14" s="26">
        <f>+Z12-Z13</f>
        <v>1266.2336168799013</v>
      </c>
      <c r="AA14" s="38">
        <f>+AA12-AA13</f>
        <v>1430.9093021884169</v>
      </c>
      <c r="AC14" s="84">
        <f>+AC12</f>
        <v>1329.4211062421721</v>
      </c>
      <c r="AD14" s="26">
        <f>+AD12-AD13</f>
        <v>1329.4211062421721</v>
      </c>
      <c r="AE14" s="38">
        <f>+AE12-AE13</f>
        <v>1528.7758172367865</v>
      </c>
      <c r="AG14" s="84">
        <f>+AG12</f>
        <v>1397.1091245342707</v>
      </c>
      <c r="AH14" s="26">
        <f>+AH12-AH13</f>
        <v>1397.1091245342707</v>
      </c>
      <c r="AI14" s="38">
        <f>+AI12-AI13</f>
        <v>1633.6128748194765</v>
      </c>
      <c r="AK14" s="84">
        <f>+AK12</f>
        <v>1469.6182219292239</v>
      </c>
      <c r="AL14" s="26">
        <f>+AL12-AL13</f>
        <v>1469.6182219292239</v>
      </c>
      <c r="AM14" s="38">
        <f>+AM12-AM13</f>
        <v>1745.9169518284937</v>
      </c>
      <c r="AO14" s="84">
        <f>+AO12</f>
        <v>1547.2917797861328</v>
      </c>
      <c r="AP14" s="26">
        <f>+AP12-AP13</f>
        <v>1547.2917797861328</v>
      </c>
      <c r="AQ14" s="38">
        <f>+AQ12-AQ13</f>
        <v>1866.2198867224779</v>
      </c>
    </row>
    <row r="15" spans="1:43" x14ac:dyDescent="0.3">
      <c r="A15" s="20" t="str">
        <f>IF(B15&lt;&gt;"",MAX(A12:A14)+1,"")</f>
        <v/>
      </c>
      <c r="F15" s="26"/>
      <c r="G15" s="37"/>
      <c r="J15" s="26"/>
      <c r="K15" s="38"/>
      <c r="L15" s="20"/>
      <c r="N15" s="26"/>
      <c r="O15" s="38"/>
      <c r="R15" s="26"/>
      <c r="S15" s="38"/>
      <c r="V15" s="26"/>
      <c r="W15" s="38"/>
      <c r="Z15" s="26"/>
      <c r="AA15" s="38"/>
      <c r="AD15" s="26"/>
      <c r="AE15" s="38"/>
      <c r="AH15" s="26"/>
      <c r="AI15" s="38"/>
      <c r="AL15" s="26"/>
      <c r="AM15" s="38"/>
      <c r="AP15" s="26"/>
      <c r="AQ15" s="38"/>
    </row>
    <row r="16" spans="1:43" s="31" customFormat="1" x14ac:dyDescent="0.3">
      <c r="A16" s="31">
        <f>IF(B16&lt;&gt;"",MAX(A13:A15)+1,"")</f>
        <v>9</v>
      </c>
      <c r="B16" s="59" t="s">
        <v>15</v>
      </c>
      <c r="E16" s="86"/>
      <c r="F16" s="34"/>
      <c r="G16" s="35"/>
      <c r="H16" s="78"/>
      <c r="I16" s="86"/>
      <c r="J16" s="34"/>
      <c r="K16" s="36"/>
      <c r="M16" s="86"/>
      <c r="N16" s="34"/>
      <c r="O16" s="36"/>
      <c r="Q16" s="86"/>
      <c r="R16" s="34"/>
      <c r="S16" s="36"/>
      <c r="U16" s="86"/>
      <c r="V16" s="34"/>
      <c r="W16" s="36"/>
      <c r="Y16" s="86"/>
      <c r="Z16" s="34"/>
      <c r="AA16" s="36"/>
      <c r="AC16" s="86"/>
      <c r="AD16" s="34"/>
      <c r="AE16" s="36"/>
      <c r="AG16" s="86"/>
      <c r="AH16" s="34"/>
      <c r="AI16" s="36"/>
      <c r="AK16" s="86"/>
      <c r="AL16" s="34"/>
      <c r="AM16" s="36"/>
      <c r="AO16" s="86"/>
      <c r="AP16" s="34"/>
      <c r="AQ16" s="36"/>
    </row>
    <row r="17" spans="1:43" x14ac:dyDescent="0.3">
      <c r="A17" s="20">
        <f>IF(B17&lt;&gt;"",MAX(A13:A16)+1,"")</f>
        <v>10</v>
      </c>
      <c r="B17" s="20" t="s">
        <v>16</v>
      </c>
      <c r="E17" s="84">
        <f>+E10+E11</f>
        <v>22.95</v>
      </c>
      <c r="F17" s="26">
        <f>+F13</f>
        <v>22.95</v>
      </c>
      <c r="G17" s="37">
        <f>+G13</f>
        <v>0</v>
      </c>
      <c r="I17" s="84">
        <f>+I10+I11</f>
        <v>22.95</v>
      </c>
      <c r="J17" s="26">
        <f>+J13</f>
        <v>22.95</v>
      </c>
      <c r="K17" s="38">
        <f>+K13</f>
        <v>0</v>
      </c>
      <c r="L17" s="20"/>
      <c r="M17" s="84">
        <f>+M10+M11</f>
        <v>22.95</v>
      </c>
      <c r="N17" s="26">
        <f>+N13</f>
        <v>22.95</v>
      </c>
      <c r="O17" s="38">
        <f>+O13</f>
        <v>0</v>
      </c>
      <c r="Q17" s="84">
        <f>+Q10+Q11</f>
        <v>22.95</v>
      </c>
      <c r="R17" s="26">
        <f>+R13</f>
        <v>22.95</v>
      </c>
      <c r="S17" s="38">
        <f>+S13</f>
        <v>0</v>
      </c>
      <c r="U17" s="84">
        <f>+U10+U11</f>
        <v>22.95</v>
      </c>
      <c r="V17" s="26">
        <f>+V13</f>
        <v>22.95</v>
      </c>
      <c r="W17" s="38">
        <f>+W13</f>
        <v>0</v>
      </c>
      <c r="Y17" s="84">
        <f>+Y10+Y11</f>
        <v>22.95</v>
      </c>
      <c r="Z17" s="26">
        <f>+Z13</f>
        <v>22.95</v>
      </c>
      <c r="AA17" s="38">
        <f>+AA13</f>
        <v>0</v>
      </c>
      <c r="AC17" s="84">
        <f>+AC10+AC11</f>
        <v>22.95</v>
      </c>
      <c r="AD17" s="26">
        <f>+AD13</f>
        <v>22.95</v>
      </c>
      <c r="AE17" s="38">
        <f>+AE13</f>
        <v>0</v>
      </c>
      <c r="AG17" s="84">
        <f>+AG10+AG11</f>
        <v>22.95</v>
      </c>
      <c r="AH17" s="26">
        <f>+AH13</f>
        <v>22.95</v>
      </c>
      <c r="AI17" s="38">
        <f>+AI13</f>
        <v>0</v>
      </c>
      <c r="AK17" s="84">
        <f>+AK10+AK11</f>
        <v>22.95</v>
      </c>
      <c r="AL17" s="26">
        <f>+AL13</f>
        <v>22.95</v>
      </c>
      <c r="AM17" s="38">
        <f>+AM13</f>
        <v>0</v>
      </c>
      <c r="AO17" s="84">
        <f>+AO10+AO11</f>
        <v>22.95</v>
      </c>
      <c r="AP17" s="26">
        <f>+AP13</f>
        <v>22.95</v>
      </c>
      <c r="AQ17" s="38">
        <f>+AQ13</f>
        <v>0</v>
      </c>
    </row>
    <row r="18" spans="1:43" x14ac:dyDescent="0.3">
      <c r="A18" s="20">
        <f t="shared" ref="A18:A20" si="47">IF(B18&lt;&gt;"",MAX(A14:A17)+1,"")</f>
        <v>11</v>
      </c>
      <c r="B18" s="20" t="s">
        <v>17</v>
      </c>
      <c r="E18" s="84">
        <f>(-$D$2*E10-E11)*(1+$C$2)</f>
        <v>-2.8485</v>
      </c>
      <c r="F18" s="60">
        <f>-$D$2*F17*$D$4*(1+$C$2)</f>
        <v>-4.2371437499999995</v>
      </c>
      <c r="G18" s="61">
        <f>-$D$2*G17*$D$4*(1+$C$2)</f>
        <v>0</v>
      </c>
      <c r="I18" s="84">
        <f>(-$D$2*I10-I11)*(1+$C$2)</f>
        <v>-2.8485</v>
      </c>
      <c r="J18" s="60">
        <f>-$D$2*J17*$D$4*(1+$C$2)</f>
        <v>-4.2371437499999995</v>
      </c>
      <c r="K18" s="81">
        <f>-$D$2*K17*$D$4*(1+$C$2)</f>
        <v>0</v>
      </c>
      <c r="L18" s="20"/>
      <c r="M18" s="84">
        <f>(-$D$2*M10-M11)*(1+$C$2)</f>
        <v>-2.8485</v>
      </c>
      <c r="N18" s="60">
        <f>-$D$2*N17*$D$4*(1+$C$2)</f>
        <v>-4.2371437499999995</v>
      </c>
      <c r="O18" s="81">
        <f>-$D$2*O17*$D$4*(1+$C$2)</f>
        <v>0</v>
      </c>
      <c r="Q18" s="84">
        <f>(-$D$2*Q10-Q11)*(1+$C$2)</f>
        <v>-2.8485</v>
      </c>
      <c r="R18" s="60">
        <f>-$D$2*R17*$D$4*(1+$C$2)</f>
        <v>-4.2371437499999995</v>
      </c>
      <c r="S18" s="81">
        <f>-$D$2*S17*$D$4*(1+$C$2)</f>
        <v>0</v>
      </c>
      <c r="U18" s="84">
        <f>(-$D$2*U10-U11)*(1+$C$2)</f>
        <v>-2.8485</v>
      </c>
      <c r="V18" s="60">
        <f>-$D$2*V17*$D$4*(1+$C$2)</f>
        <v>-4.2371437499999995</v>
      </c>
      <c r="W18" s="81">
        <f>-$D$2*W17*$D$4*(1+$C$2)</f>
        <v>0</v>
      </c>
      <c r="Y18" s="84">
        <f>(-$D$2*Y10-Y11)*(1+$C$2)</f>
        <v>-2.8485</v>
      </c>
      <c r="Z18" s="60">
        <f>-$D$2*Z17*$D$4*(1+$C$2)</f>
        <v>-4.2371437499999995</v>
      </c>
      <c r="AA18" s="81">
        <f>-$D$2*AA17*$D$4*(1+$C$2)</f>
        <v>0</v>
      </c>
      <c r="AC18" s="84">
        <f>(-$D$2*AC10-AC11)*(1+$C$2)</f>
        <v>-2.8485</v>
      </c>
      <c r="AD18" s="60">
        <f>-$D$2*AD17*$D$4*(1+$C$2)</f>
        <v>-4.2371437499999995</v>
      </c>
      <c r="AE18" s="81">
        <f>-$D$2*AE17*$D$4*(1+$C$2)</f>
        <v>0</v>
      </c>
      <c r="AG18" s="84">
        <f>(-$D$2*AG10-AG11)*(1+$C$2)</f>
        <v>-2.8485</v>
      </c>
      <c r="AH18" s="60">
        <f>-$D$2*AH17*$D$4*(1+$C$2)</f>
        <v>-4.2371437499999995</v>
      </c>
      <c r="AI18" s="81">
        <f>-$D$2*AI17*$D$4*(1+$C$2)</f>
        <v>0</v>
      </c>
      <c r="AK18" s="84">
        <f>(-$D$2*AK10-AK11)*(1+$C$2)</f>
        <v>-2.8485</v>
      </c>
      <c r="AL18" s="60">
        <f>-$D$2*AL17*$D$4*(1+$C$2)</f>
        <v>-4.2371437499999995</v>
      </c>
      <c r="AM18" s="81">
        <f>-$D$2*AM17*$D$4*(1+$C$2)</f>
        <v>0</v>
      </c>
      <c r="AO18" s="84">
        <f>(-$D$2*AO10-AO11)*(1+$C$2)</f>
        <v>-2.8485</v>
      </c>
      <c r="AP18" s="60">
        <f>-$D$2*AP17*$D$4*(1+$C$2)</f>
        <v>-4.2371437499999995</v>
      </c>
      <c r="AQ18" s="81">
        <f>-$D$2*AQ17*$D$4*(1+$C$2)</f>
        <v>0</v>
      </c>
    </row>
    <row r="19" spans="1:43" x14ac:dyDescent="0.3">
      <c r="A19" s="20">
        <f t="shared" si="47"/>
        <v>12</v>
      </c>
      <c r="B19" s="20" t="s">
        <v>20</v>
      </c>
      <c r="F19" s="3">
        <f>-F55*$D2*(1+$C$2)</f>
        <v>0</v>
      </c>
      <c r="G19" s="4">
        <f>-G55*$D2*(1+$C$2)</f>
        <v>-3.7478874999999992</v>
      </c>
      <c r="J19" s="3">
        <f>-J55*$D2*(1+$C$2)</f>
        <v>0</v>
      </c>
      <c r="K19" s="5">
        <f>-K55*$D2*(1+$C$2)</f>
        <v>-3.7478874999999992</v>
      </c>
      <c r="L19" s="20"/>
      <c r="N19" s="3">
        <f>-N55*$D2*(1+$C$2)</f>
        <v>0</v>
      </c>
      <c r="O19" s="5">
        <f>-O55*$D2*(1+$C$2)</f>
        <v>-3.7478874999999992</v>
      </c>
      <c r="R19" s="3">
        <f>-R55*$D2*(1+$C$2)</f>
        <v>0</v>
      </c>
      <c r="S19" s="5">
        <f>-S55*$D2*(1+$C$2)</f>
        <v>-3.7478874999999992</v>
      </c>
      <c r="V19" s="3">
        <f>-V55*$D2*(1+$C$2)</f>
        <v>0</v>
      </c>
      <c r="W19" s="5">
        <f>-W55*$D2*(1+$C$2)</f>
        <v>-3.7478874999999992</v>
      </c>
      <c r="Z19" s="3">
        <f>-Z55*$D2*(1+$C$2)</f>
        <v>0</v>
      </c>
      <c r="AA19" s="5">
        <f>-AA55*$D2*(1+$C$2)</f>
        <v>-3.7478874999999992</v>
      </c>
      <c r="AD19" s="3">
        <f>-AD55*$D2*(1+$C$2)</f>
        <v>0</v>
      </c>
      <c r="AE19" s="5">
        <f>-AE55*$D2*(1+$C$2)</f>
        <v>-3.7478874999999992</v>
      </c>
      <c r="AH19" s="3">
        <f>-AH55*$D2*(1+$C$2)</f>
        <v>0</v>
      </c>
      <c r="AI19" s="5">
        <f>-AI55*$D2*(1+$C$2)</f>
        <v>-3.7478874999999992</v>
      </c>
      <c r="AL19" s="3">
        <f>-AL55*$D2*(1+$C$2)</f>
        <v>0</v>
      </c>
      <c r="AM19" s="5">
        <f>-AM55*$D2*(1+$C$2)</f>
        <v>-3.7478874999999992</v>
      </c>
      <c r="AP19" s="3">
        <f>-AP55*$D2*(1+$C$2)</f>
        <v>0</v>
      </c>
      <c r="AQ19" s="5">
        <f>-AQ55*$D2*(1+$C$2)</f>
        <v>-3.7478874999999992</v>
      </c>
    </row>
    <row r="20" spans="1:43" s="29" customFormat="1" x14ac:dyDescent="0.3">
      <c r="A20" s="20">
        <f t="shared" si="47"/>
        <v>13</v>
      </c>
      <c r="B20" s="29" t="s">
        <v>21</v>
      </c>
      <c r="E20" s="86">
        <f t="shared" ref="E20:G20" si="48">SUM(E17:E19)</f>
        <v>20.101499999999998</v>
      </c>
      <c r="F20" s="34">
        <f t="shared" si="48"/>
        <v>18.712856250000002</v>
      </c>
      <c r="G20" s="35">
        <f t="shared" si="48"/>
        <v>-3.7478874999999992</v>
      </c>
      <c r="H20" s="28"/>
      <c r="I20" s="86">
        <f t="shared" ref="I20" si="49">SUM(I17:I19)</f>
        <v>20.101499999999998</v>
      </c>
      <c r="J20" s="34">
        <f t="shared" ref="J20" si="50">SUM(J17:J19)</f>
        <v>18.712856250000002</v>
      </c>
      <c r="K20" s="36">
        <f t="shared" ref="K20" si="51">SUM(K17:K19)</f>
        <v>-3.7478874999999992</v>
      </c>
      <c r="M20" s="86">
        <f t="shared" ref="M20" si="52">SUM(M17:M19)</f>
        <v>20.101499999999998</v>
      </c>
      <c r="N20" s="34">
        <f t="shared" ref="N20" si="53">SUM(N17:N19)</f>
        <v>18.712856250000002</v>
      </c>
      <c r="O20" s="36">
        <f t="shared" ref="O20" si="54">SUM(O17:O19)</f>
        <v>-3.7478874999999992</v>
      </c>
      <c r="Q20" s="86">
        <f t="shared" ref="Q20" si="55">SUM(Q17:Q19)</f>
        <v>20.101499999999998</v>
      </c>
      <c r="R20" s="34">
        <f t="shared" ref="R20" si="56">SUM(R17:R19)</f>
        <v>18.712856250000002</v>
      </c>
      <c r="S20" s="36">
        <f t="shared" ref="S20" si="57">SUM(S17:S19)</f>
        <v>-3.7478874999999992</v>
      </c>
      <c r="U20" s="86">
        <f t="shared" ref="U20" si="58">SUM(U17:U19)</f>
        <v>20.101499999999998</v>
      </c>
      <c r="V20" s="34">
        <f t="shared" ref="V20" si="59">SUM(V17:V19)</f>
        <v>18.712856250000002</v>
      </c>
      <c r="W20" s="36">
        <f t="shared" ref="W20" si="60">SUM(W17:W19)</f>
        <v>-3.7478874999999992</v>
      </c>
      <c r="Y20" s="86">
        <f t="shared" ref="Y20" si="61">SUM(Y17:Y19)</f>
        <v>20.101499999999998</v>
      </c>
      <c r="Z20" s="34">
        <f t="shared" ref="Z20" si="62">SUM(Z17:Z19)</f>
        <v>18.712856250000002</v>
      </c>
      <c r="AA20" s="36">
        <f t="shared" ref="AA20" si="63">SUM(AA17:AA19)</f>
        <v>-3.7478874999999992</v>
      </c>
      <c r="AC20" s="86">
        <f t="shared" ref="AC20" si="64">SUM(AC17:AC19)</f>
        <v>20.101499999999998</v>
      </c>
      <c r="AD20" s="34">
        <f t="shared" ref="AD20" si="65">SUM(AD17:AD19)</f>
        <v>18.712856250000002</v>
      </c>
      <c r="AE20" s="36">
        <f t="shared" ref="AE20" si="66">SUM(AE17:AE19)</f>
        <v>-3.7478874999999992</v>
      </c>
      <c r="AG20" s="86">
        <f t="shared" ref="AG20" si="67">SUM(AG17:AG19)</f>
        <v>20.101499999999998</v>
      </c>
      <c r="AH20" s="34">
        <f t="shared" ref="AH20" si="68">SUM(AH17:AH19)</f>
        <v>18.712856250000002</v>
      </c>
      <c r="AI20" s="36">
        <f t="shared" ref="AI20" si="69">SUM(AI17:AI19)</f>
        <v>-3.7478874999999992</v>
      </c>
      <c r="AK20" s="86">
        <f t="shared" ref="AK20" si="70">SUM(AK17:AK19)</f>
        <v>20.101499999999998</v>
      </c>
      <c r="AL20" s="34">
        <f t="shared" ref="AL20" si="71">SUM(AL17:AL19)</f>
        <v>18.712856250000002</v>
      </c>
      <c r="AM20" s="36">
        <f t="shared" ref="AM20" si="72">SUM(AM17:AM19)</f>
        <v>-3.7478874999999992</v>
      </c>
      <c r="AO20" s="86">
        <f t="shared" ref="AO20" si="73">SUM(AO17:AO19)</f>
        <v>20.101499999999998</v>
      </c>
      <c r="AP20" s="34">
        <f t="shared" ref="AP20" si="74">SUM(AP17:AP19)</f>
        <v>18.712856250000002</v>
      </c>
      <c r="AQ20" s="36">
        <f t="shared" ref="AQ20" si="75">SUM(AQ17:AQ19)</f>
        <v>-3.7478874999999992</v>
      </c>
    </row>
    <row r="21" spans="1:43" x14ac:dyDescent="0.3">
      <c r="A21" s="20" t="str">
        <f>IF(B21&lt;&gt;"",MAX(A19:A20)+1,"")</f>
        <v/>
      </c>
      <c r="F21" s="3"/>
      <c r="G21" s="4"/>
      <c r="J21" s="3"/>
      <c r="K21" s="5"/>
      <c r="L21" s="20"/>
      <c r="N21" s="3"/>
      <c r="O21" s="5"/>
      <c r="R21" s="3"/>
      <c r="S21" s="5"/>
      <c r="V21" s="3"/>
      <c r="W21" s="5"/>
      <c r="Z21" s="3"/>
      <c r="AA21" s="5"/>
      <c r="AD21" s="3"/>
      <c r="AE21" s="5"/>
      <c r="AH21" s="3"/>
      <c r="AI21" s="5"/>
      <c r="AL21" s="3"/>
      <c r="AM21" s="5"/>
      <c r="AP21" s="3"/>
      <c r="AQ21" s="5"/>
    </row>
    <row r="22" spans="1:43" x14ac:dyDescent="0.3">
      <c r="A22" s="20">
        <f>IF(B22&lt;&gt;"",MAX(A19:A21)+1,"")</f>
        <v>14</v>
      </c>
      <c r="B22" s="57" t="s">
        <v>22</v>
      </c>
      <c r="F22" s="26"/>
      <c r="G22" s="37"/>
      <c r="J22" s="26"/>
      <c r="K22" s="38"/>
      <c r="L22" s="20"/>
      <c r="N22" s="26"/>
      <c r="O22" s="38"/>
      <c r="R22" s="26"/>
      <c r="S22" s="38"/>
      <c r="V22" s="26"/>
      <c r="W22" s="38"/>
      <c r="Z22" s="26"/>
      <c r="AA22" s="38"/>
      <c r="AD22" s="26"/>
      <c r="AE22" s="38"/>
      <c r="AH22" s="26"/>
      <c r="AI22" s="38"/>
      <c r="AL22" s="26"/>
      <c r="AM22" s="38"/>
      <c r="AP22" s="26"/>
      <c r="AQ22" s="38"/>
    </row>
    <row r="23" spans="1:43" x14ac:dyDescent="0.3">
      <c r="A23" s="20">
        <f t="shared" ref="A23:A29" si="76">IF(B23&lt;&gt;"",MAX(A19:A22)+1,"")</f>
        <v>15</v>
      </c>
      <c r="B23" s="20" t="s">
        <v>23</v>
      </c>
      <c r="E23" s="84">
        <f t="shared" ref="E23:G23" si="77">+E14</f>
        <v>1008</v>
      </c>
      <c r="F23" s="3">
        <f t="shared" si="77"/>
        <v>1008</v>
      </c>
      <c r="G23" s="4">
        <f t="shared" si="77"/>
        <v>1030.95</v>
      </c>
      <c r="I23" s="84">
        <f t="shared" ref="I23:K23" si="78">+I14</f>
        <v>1052.7947999999999</v>
      </c>
      <c r="J23" s="3">
        <f t="shared" si="78"/>
        <v>1052.7947999999999</v>
      </c>
      <c r="K23" s="5">
        <f t="shared" si="78"/>
        <v>1100.32941375</v>
      </c>
      <c r="L23" s="20"/>
      <c r="M23" s="84">
        <f t="shared" ref="M23:O23" si="79">+M14</f>
        <v>1100.7801096299997</v>
      </c>
      <c r="N23" s="3">
        <f t="shared" si="79"/>
        <v>1100.7801096299997</v>
      </c>
      <c r="O23" s="5">
        <f t="shared" si="79"/>
        <v>1174.6503762443435</v>
      </c>
      <c r="Q23" s="84">
        <f t="shared" ref="Q23:S23" si="80">+Q14</f>
        <v>1152.1831729383962</v>
      </c>
      <c r="R23" s="3">
        <f t="shared" si="80"/>
        <v>1152.1831729383962</v>
      </c>
      <c r="S23" s="5">
        <f t="shared" si="80"/>
        <v>1254.2648492923468</v>
      </c>
      <c r="U23" s="84">
        <f t="shared" ref="U23:W23" si="81">+U14</f>
        <v>1207.2474194309332</v>
      </c>
      <c r="V23" s="3">
        <f t="shared" si="81"/>
        <v>1207.2474194309332</v>
      </c>
      <c r="W23" s="5">
        <f t="shared" si="81"/>
        <v>1339.549863183194</v>
      </c>
      <c r="Y23" s="84">
        <f t="shared" ref="Y23:AA23" si="82">+Y14</f>
        <v>1266.2336168799013</v>
      </c>
      <c r="Z23" s="3">
        <f t="shared" si="82"/>
        <v>1266.2336168799013</v>
      </c>
      <c r="AA23" s="5">
        <f t="shared" si="82"/>
        <v>1430.9093021884169</v>
      </c>
      <c r="AC23" s="84">
        <f t="shared" ref="AC23:AE23" si="83">+AC14</f>
        <v>1329.4211062421721</v>
      </c>
      <c r="AD23" s="3">
        <f t="shared" si="83"/>
        <v>1329.4211062421721</v>
      </c>
      <c r="AE23" s="5">
        <f t="shared" si="83"/>
        <v>1528.7758172367865</v>
      </c>
      <c r="AG23" s="84">
        <f t="shared" ref="AG23:AI23" si="84">+AG14</f>
        <v>1397.1091245342707</v>
      </c>
      <c r="AH23" s="3">
        <f t="shared" si="84"/>
        <v>1397.1091245342707</v>
      </c>
      <c r="AI23" s="5">
        <f t="shared" si="84"/>
        <v>1633.6128748194765</v>
      </c>
      <c r="AK23" s="84">
        <f t="shared" ref="AK23:AM23" si="85">+AK14</f>
        <v>1469.6182219292239</v>
      </c>
      <c r="AL23" s="3">
        <f t="shared" si="85"/>
        <v>1469.6182219292239</v>
      </c>
      <c r="AM23" s="5">
        <f t="shared" si="85"/>
        <v>1745.9169518284937</v>
      </c>
      <c r="AO23" s="84">
        <f t="shared" ref="AO23:AQ23" si="86">+AO14</f>
        <v>1547.2917797861328</v>
      </c>
      <c r="AP23" s="3">
        <f t="shared" si="86"/>
        <v>1547.2917797861328</v>
      </c>
      <c r="AQ23" s="5">
        <f t="shared" si="86"/>
        <v>1866.2198867224779</v>
      </c>
    </row>
    <row r="24" spans="1:43" s="43" customFormat="1" x14ac:dyDescent="0.3">
      <c r="A24" s="43">
        <f t="shared" si="76"/>
        <v>16</v>
      </c>
      <c r="B24" s="43" t="s">
        <v>24</v>
      </c>
      <c r="E24" s="87">
        <f>IF(E20&lt;0,SUM(E18:E19)/(E23-(E23+E5)*($D2*(1+$C$2))),E20/E23)</f>
        <v>1.9941964285714285E-2</v>
      </c>
      <c r="F24" s="44">
        <f>IF(F20&lt;0,SUM(F18:F19)/(F23-(F23+F5)*($D2*(1+$C$2)*$D4)),F20/F23)</f>
        <v>1.8564341517857144E-2</v>
      </c>
      <c r="G24" s="45">
        <f>IF(G20&lt;0,SUM(G18:G19)/(G23-(G23+G5)*($D2*(1+$C$2)*$D4)),G20/G23)</f>
        <v>-3.6556344348983539E-3</v>
      </c>
      <c r="H24" s="79"/>
      <c r="I24" s="87">
        <f>IF(I20&lt;0,SUM(I18:I19)/(I23-(I23+I5)*($D2*(1+$C$2))),I20/I23)</f>
        <v>1.909346436741519E-2</v>
      </c>
      <c r="J24" s="44">
        <f>IF(J20&lt;0,SUM(J18:J19)/(J23-(J23+J5)*($D2*(1+$C$2)*$D4)),J20/J23)</f>
        <v>1.777445733014639E-2</v>
      </c>
      <c r="K24" s="46">
        <f>IF(K20&lt;0,SUM(K18:K19)/(K23-(K23+K5)*($D2*(1+$C$2)*$D4)),K20/K23)</f>
        <v>-3.4644725286454778E-3</v>
      </c>
      <c r="M24" s="87">
        <f>IF(M20&lt;0,SUM(M18:M19)/(M23-(M23+M5)*($D2*(1+$C$2))),M20/M23)</f>
        <v>1.8261140280556691E-2</v>
      </c>
      <c r="N24" s="44">
        <f>IF(N20&lt;0,SUM(N18:N19)/(N23-(N23+N5)*($D2*(1+$C$2)*$D4)),N20/N23)</f>
        <v>1.6999631521585061E-2</v>
      </c>
      <c r="O24" s="46">
        <f>IF(O20&lt;0,SUM(O18:O19)/(O23-(O23+O5)*($D2*(1+$C$2)*$D4)),O20/O23)</f>
        <v>-3.2806979082519944E-3</v>
      </c>
      <c r="Q24" s="87">
        <f>IF(Q20&lt;0,SUM(Q18:Q19)/(Q23-(Q23+Q5)*($D2*(1+$C$2))),Q20/Q23)</f>
        <v>1.7446444690504749E-2</v>
      </c>
      <c r="R24" s="44">
        <f>IF(R20&lt;0,SUM(R18:R19)/(R23-(R23+R5)*($D2*(1+$C$2)*$D4)),R20/R23)</f>
        <v>1.6241216405093708E-2</v>
      </c>
      <c r="S24" s="46">
        <f>IF(S20&lt;0,SUM(S18:S19)/(S23-(S23+S5)*($D2*(1+$C$2)*$D4)),S20/S23)</f>
        <v>-3.1043002436875688E-3</v>
      </c>
      <c r="U24" s="87">
        <f>IF(U20&lt;0,SUM(U18:U19)/(U23-(U23+U5)*($D2*(1+$C$2))),U20/U23)</f>
        <v>1.6650687900807735E-2</v>
      </c>
      <c r="V24" s="44">
        <f>IF(V20&lt;0,SUM(V18:V19)/(V23-(V23+V5)*($D2*(1+$C$2)*$D4)),V20/V23)</f>
        <v>1.5500431766357209E-2</v>
      </c>
      <c r="W24" s="46">
        <f>IF(W20&lt;0,SUM(W18:W19)/(W23-(W23+W5)*($D2*(1+$C$2)*$D4)),W20/W23)</f>
        <v>-2.9352365344203399E-3</v>
      </c>
      <c r="Y24" s="87">
        <f>IF(Y20&lt;0,SUM(Y18:Y19)/(Y23-(Y23+Y5)*($D2*(1+$C$2))),Y20/Y23)</f>
        <v>1.5875032641710828E-2</v>
      </c>
      <c r="Z24" s="44">
        <f>IF(Z20&lt;0,SUM(Z18:Z19)/(Z23-(Z23+Z5)*($D2*(1+$C$2)*$D4)),Z20/Z23)</f>
        <v>1.4778360012356917E-2</v>
      </c>
      <c r="AA24" s="46">
        <f>IF(AA20&lt;0,SUM(AA18:AA19)/(AA23-(AA23+AA5)*($D2*(1+$C$2)*$D4)),AA20/AA23)</f>
        <v>-2.7734340390203902E-3</v>
      </c>
      <c r="AC24" s="87">
        <f>IF(AC20&lt;0,SUM(AC18:AC19)/(AC23-(AC23+AC5)*($D2*(1+$C$2))),AC20/AC23)</f>
        <v>1.5120491096173583E-2</v>
      </c>
      <c r="AD24" s="44">
        <f>IF(AD20&lt;0,SUM(AD18:AD19)/(AD23-(AD23+AD5)*($D2*(1+$C$2)*$D4)),AD20/AD23)</f>
        <v>1.4075943402835672E-2</v>
      </c>
      <c r="AE24" s="46">
        <f>IF(AE20&lt;0,SUM(AE18:AE19)/(AE23-(AE23+AE5)*($D2*(1+$C$2)*$D4)),AE20/AE23)</f>
        <v>-2.618793261304651E-3</v>
      </c>
      <c r="AG24" s="87">
        <f>IF(AG20&lt;0,SUM(AG18:AG19)/(AG23-(AG23+AG5)*($D2*(1+$C$2))),AG20/AG23)</f>
        <v>1.4387924069067172E-2</v>
      </c>
      <c r="AH24" s="44">
        <f>IF(AH20&lt;0,SUM(AH18:AH19)/(AH23-(AH23+AH5)*($D2*(1+$C$2)*$D4)),AH20/AH23)</f>
        <v>1.3393983276888248E-2</v>
      </c>
      <c r="AI24" s="46">
        <f>IF(AI20&lt;0,SUM(AI18:AI19)/(AI23-(AI23+AI5)*($D2*(1+$C$2)*$D4)),AI20/AI23)</f>
        <v>-2.4711909403882216E-3</v>
      </c>
      <c r="AK24" s="87">
        <f>IF(AK20&lt;0,SUM(AK18:AK19)/(AK23-(AK23+AK5)*($D2*(1+$C$2))),AK20/AK23)</f>
        <v>1.3678042160917135E-2</v>
      </c>
      <c r="AL24" s="44">
        <f>IF(AL20&lt;0,SUM(AL18:AL19)/(AL23-(AL23+AL5)*($D2*(1+$C$2)*$D4)),AL20/AL23)</f>
        <v>1.2733141145620066E-2</v>
      </c>
      <c r="AM24" s="46">
        <f>IF(AM20&lt;0,SUM(AM18:AM19)/(AM23-(AM23+AM5)*($D2*(1+$C$2)*$D4)),AM20/AM23)</f>
        <v>-2.3304829986356881E-3</v>
      </c>
      <c r="AO24" s="87">
        <f>IF(AO20&lt;0,SUM(AO18:AO19)/(AO23-(AO23+AO5)*($D2*(1+$C$2))),AO20/AO23)</f>
        <v>1.2991408771510719E-2</v>
      </c>
      <c r="AP24" s="44">
        <f>IF(AP20&lt;0,SUM(AP18:AP19)/(AP23-(AP23+AP5)*($D2*(1+$C$2)*$D4)),AP20/AP23)</f>
        <v>1.209394148826054E-2</v>
      </c>
      <c r="AQ24" s="46">
        <f>IF(AQ20&lt;0,SUM(AQ18:AQ19)/(AQ23-(AQ23+AQ5)*($D2*(1+$C$2)*$D4)),AQ20/AQ23)</f>
        <v>-2.1965074083600072E-3</v>
      </c>
    </row>
    <row r="25" spans="1:43" x14ac:dyDescent="0.3">
      <c r="A25" s="20" t="str">
        <f t="shared" si="76"/>
        <v/>
      </c>
      <c r="F25" s="3"/>
      <c r="G25" s="4"/>
      <c r="J25" s="3"/>
      <c r="K25" s="5"/>
      <c r="L25" s="20"/>
      <c r="N25" s="3"/>
      <c r="O25" s="5"/>
      <c r="R25" s="3"/>
      <c r="S25" s="5"/>
      <c r="V25" s="3"/>
      <c r="W25" s="5"/>
      <c r="Z25" s="3"/>
      <c r="AA25" s="5"/>
      <c r="AD25" s="3"/>
      <c r="AE25" s="5"/>
      <c r="AH25" s="3"/>
      <c r="AI25" s="5"/>
      <c r="AL25" s="3"/>
      <c r="AM25" s="5"/>
      <c r="AP25" s="3"/>
      <c r="AQ25" s="5"/>
    </row>
    <row r="26" spans="1:43" s="29" customFormat="1" x14ac:dyDescent="0.3">
      <c r="A26" s="29">
        <f t="shared" si="76"/>
        <v>17</v>
      </c>
      <c r="B26" s="62" t="s">
        <v>10</v>
      </c>
      <c r="D26" s="47">
        <v>42917</v>
      </c>
      <c r="E26" s="84"/>
      <c r="F26" s="3"/>
      <c r="G26" s="4"/>
      <c r="H26" s="28"/>
      <c r="I26" s="84"/>
      <c r="J26" s="3"/>
      <c r="K26" s="5"/>
      <c r="M26" s="84"/>
      <c r="N26" s="3"/>
      <c r="O26" s="5"/>
      <c r="Q26" s="84"/>
      <c r="R26" s="3"/>
      <c r="S26" s="5"/>
      <c r="U26" s="84"/>
      <c r="V26" s="3"/>
      <c r="W26" s="5"/>
      <c r="Y26" s="84"/>
      <c r="Z26" s="3"/>
      <c r="AA26" s="5"/>
      <c r="AC26" s="84"/>
      <c r="AD26" s="3"/>
      <c r="AE26" s="5"/>
      <c r="AG26" s="84"/>
      <c r="AH26" s="3"/>
      <c r="AI26" s="5"/>
      <c r="AK26" s="84"/>
      <c r="AL26" s="3"/>
      <c r="AM26" s="5"/>
      <c r="AO26" s="84"/>
      <c r="AP26" s="3"/>
      <c r="AQ26" s="5"/>
    </row>
    <row r="27" spans="1:43" x14ac:dyDescent="0.3">
      <c r="A27" s="20">
        <f t="shared" si="76"/>
        <v>18</v>
      </c>
      <c r="B27" s="20" t="s">
        <v>25</v>
      </c>
      <c r="E27" s="84">
        <f t="shared" ref="E27:G27" si="87">+E23*(1+$D3/2)</f>
        <v>1043.28</v>
      </c>
      <c r="F27" s="26">
        <f t="shared" si="87"/>
        <v>1043.28</v>
      </c>
      <c r="G27" s="37">
        <f t="shared" si="87"/>
        <v>1067.03325</v>
      </c>
      <c r="I27" s="84">
        <f t="shared" ref="I27:K27" si="88">+I23*(1+$D3/2)</f>
        <v>1089.6426179999999</v>
      </c>
      <c r="J27" s="26">
        <f t="shared" si="88"/>
        <v>1089.6426179999999</v>
      </c>
      <c r="K27" s="38">
        <f t="shared" si="88"/>
        <v>1138.8409432312499</v>
      </c>
      <c r="L27" s="20"/>
      <c r="M27" s="84">
        <f t="shared" ref="M27:O27" si="89">+M23*(1+$D3/2)</f>
        <v>1139.3074134670496</v>
      </c>
      <c r="N27" s="26">
        <f t="shared" si="89"/>
        <v>1139.3074134670496</v>
      </c>
      <c r="O27" s="38">
        <f t="shared" si="89"/>
        <v>1215.7631394128955</v>
      </c>
      <c r="Q27" s="84">
        <f t="shared" ref="Q27:S27" si="90">+Q23*(1+$D3/2)</f>
        <v>1192.5095839912399</v>
      </c>
      <c r="R27" s="26">
        <f t="shared" si="90"/>
        <v>1192.5095839912399</v>
      </c>
      <c r="S27" s="38">
        <f t="shared" si="90"/>
        <v>1298.1641190175787</v>
      </c>
      <c r="U27" s="84">
        <f t="shared" ref="U27:W27" si="91">+U23*(1+$D3/2)</f>
        <v>1249.5010791110158</v>
      </c>
      <c r="V27" s="26">
        <f t="shared" si="91"/>
        <v>1249.5010791110158</v>
      </c>
      <c r="W27" s="38">
        <f t="shared" si="91"/>
        <v>1386.4341083946058</v>
      </c>
      <c r="Y27" s="84">
        <f t="shared" ref="Y27:AA27" si="92">+Y23*(1+$D3/2)</f>
        <v>1310.5517934706977</v>
      </c>
      <c r="Z27" s="26">
        <f t="shared" si="92"/>
        <v>1310.5517934706977</v>
      </c>
      <c r="AA27" s="38">
        <f t="shared" si="92"/>
        <v>1480.9911277650112</v>
      </c>
      <c r="AC27" s="84">
        <f t="shared" ref="AC27:AE27" si="93">+AC23*(1+$D3/2)</f>
        <v>1375.9508449606481</v>
      </c>
      <c r="AD27" s="26">
        <f t="shared" si="93"/>
        <v>1375.9508449606481</v>
      </c>
      <c r="AE27" s="38">
        <f t="shared" si="93"/>
        <v>1582.2829708400739</v>
      </c>
      <c r="AG27" s="84">
        <f t="shared" ref="AG27:AI27" si="94">+AG23*(1+$D3/2)</f>
        <v>1446.0079438929699</v>
      </c>
      <c r="AH27" s="26">
        <f t="shared" si="94"/>
        <v>1446.0079438929699</v>
      </c>
      <c r="AI27" s="38">
        <f t="shared" si="94"/>
        <v>1690.7893254381581</v>
      </c>
      <c r="AK27" s="84">
        <f t="shared" ref="AK27:AM27" si="95">+AK23*(1+$D3/2)</f>
        <v>1521.0548596967467</v>
      </c>
      <c r="AL27" s="26">
        <f t="shared" si="95"/>
        <v>1521.0548596967467</v>
      </c>
      <c r="AM27" s="38">
        <f t="shared" si="95"/>
        <v>1807.0240451424909</v>
      </c>
      <c r="AO27" s="84">
        <f t="shared" ref="AO27:AQ27" si="96">+AO23*(1+$D3/2)</f>
        <v>1601.4469920786473</v>
      </c>
      <c r="AP27" s="26">
        <f t="shared" si="96"/>
        <v>1601.4469920786473</v>
      </c>
      <c r="AQ27" s="38">
        <f t="shared" si="96"/>
        <v>1931.5375827577645</v>
      </c>
    </row>
    <row r="28" spans="1:43" x14ac:dyDescent="0.3">
      <c r="A28" s="20">
        <f t="shared" si="76"/>
        <v>19</v>
      </c>
      <c r="B28" s="20" t="s">
        <v>26</v>
      </c>
      <c r="E28" s="88">
        <f t="shared" ref="E28:G28" si="97">1+E24</f>
        <v>1.0199419642857144</v>
      </c>
      <c r="F28" s="48">
        <f t="shared" si="97"/>
        <v>1.0185643415178571</v>
      </c>
      <c r="G28" s="49">
        <f t="shared" si="97"/>
        <v>0.99634436556510164</v>
      </c>
      <c r="I28" s="88">
        <f>I6+I24</f>
        <v>1.0390354286531296</v>
      </c>
      <c r="J28" s="48">
        <f t="shared" ref="J28:K28" si="98">J6+J24</f>
        <v>1.0363387988480035</v>
      </c>
      <c r="K28" s="50">
        <f t="shared" si="98"/>
        <v>0.99287989303645618</v>
      </c>
      <c r="L28" s="20"/>
      <c r="M28" s="88">
        <f>M6+M24</f>
        <v>1.0572965689336862</v>
      </c>
      <c r="N28" s="48">
        <f t="shared" ref="N28:O28" si="99">N6+N24</f>
        <v>1.0533384303695885</v>
      </c>
      <c r="O28" s="50">
        <f t="shared" si="99"/>
        <v>0.98959919512820416</v>
      </c>
      <c r="Q28" s="88">
        <f>Q6+Q24</f>
        <v>1.0747430136241909</v>
      </c>
      <c r="R28" s="48">
        <f t="shared" ref="R28:S28" si="100">R6+R24</f>
        <v>1.0695796467746823</v>
      </c>
      <c r="S28" s="50">
        <f t="shared" si="100"/>
        <v>0.98649489488451658</v>
      </c>
      <c r="U28" s="88">
        <f>U6+U24</f>
        <v>1.0913937015249986</v>
      </c>
      <c r="V28" s="48">
        <f t="shared" ref="V28:W28" si="101">V6+V24</f>
        <v>1.0850800785410395</v>
      </c>
      <c r="W28" s="50">
        <f t="shared" si="101"/>
        <v>0.98355965835009629</v>
      </c>
      <c r="Y28" s="88">
        <f>Y6+Y24</f>
        <v>1.1072687341667093</v>
      </c>
      <c r="Z28" s="48">
        <f t="shared" ref="Z28:AA28" si="102">Z6+Z24</f>
        <v>1.0998584385533965</v>
      </c>
      <c r="AA28" s="50">
        <f t="shared" si="102"/>
        <v>0.98078622431107587</v>
      </c>
      <c r="AC28" s="88">
        <f>AC6+AC24</f>
        <v>1.1223892252628829</v>
      </c>
      <c r="AD28" s="48">
        <f t="shared" ref="AD28:AE28" si="103">AD6+AD24</f>
        <v>1.1139343819562322</v>
      </c>
      <c r="AE28" s="50">
        <f t="shared" si="103"/>
        <v>0.97816743104977122</v>
      </c>
      <c r="AG28" s="88">
        <f>AG6+AG24</f>
        <v>1.1367771493319501</v>
      </c>
      <c r="AH28" s="48">
        <f t="shared" ref="AH28:AI28" si="104">AH6+AH24</f>
        <v>1.1273283652331205</v>
      </c>
      <c r="AI28" s="50">
        <f t="shared" si="104"/>
        <v>0.97569624010938305</v>
      </c>
      <c r="AK28" s="88">
        <f>AK6+AK24</f>
        <v>1.1504551914928671</v>
      </c>
      <c r="AL28" s="48">
        <f t="shared" ref="AL28:AM28" si="105">AL6+AL24</f>
        <v>1.1400615063787405</v>
      </c>
      <c r="AM28" s="50">
        <f t="shared" si="105"/>
        <v>0.97336575711074735</v>
      </c>
      <c r="AO28" s="88">
        <f>AO6+AO24</f>
        <v>1.1634466002643777</v>
      </c>
      <c r="AP28" s="48">
        <f t="shared" ref="AP28:AQ28" si="106">AP6+AP24</f>
        <v>1.1521554478670011</v>
      </c>
      <c r="AQ28" s="50">
        <f t="shared" si="106"/>
        <v>0.97116924970238738</v>
      </c>
    </row>
    <row r="29" spans="1:43" x14ac:dyDescent="0.3">
      <c r="A29" s="20" t="str">
        <f t="shared" si="76"/>
        <v/>
      </c>
      <c r="E29" s="89"/>
      <c r="F29" s="3"/>
      <c r="G29" s="4"/>
      <c r="I29" s="89"/>
      <c r="J29" s="3"/>
      <c r="K29" s="5"/>
      <c r="L29" s="20"/>
      <c r="M29" s="89"/>
      <c r="N29" s="3"/>
      <c r="O29" s="5"/>
      <c r="Q29" s="89"/>
      <c r="R29" s="3"/>
      <c r="S29" s="5"/>
      <c r="U29" s="89"/>
      <c r="V29" s="3"/>
      <c r="W29" s="5"/>
      <c r="Y29" s="89"/>
      <c r="Z29" s="3"/>
      <c r="AA29" s="5"/>
      <c r="AC29" s="89"/>
      <c r="AD29" s="3"/>
      <c r="AE29" s="5"/>
      <c r="AG29" s="89"/>
      <c r="AH29" s="3"/>
      <c r="AI29" s="5"/>
      <c r="AK29" s="89"/>
      <c r="AL29" s="3"/>
      <c r="AM29" s="5"/>
      <c r="AO29" s="89"/>
      <c r="AP29" s="3"/>
      <c r="AQ29" s="5"/>
    </row>
    <row r="30" spans="1:43" s="29" customFormat="1" x14ac:dyDescent="0.3">
      <c r="B30" s="51"/>
      <c r="C30" s="51"/>
      <c r="D30" s="6"/>
      <c r="E30" s="83" t="s">
        <v>0</v>
      </c>
      <c r="F30" s="23" t="s">
        <v>2</v>
      </c>
      <c r="G30" s="24"/>
      <c r="H30" s="28"/>
      <c r="I30" s="83" t="s">
        <v>0</v>
      </c>
      <c r="J30" s="23" t="s">
        <v>2</v>
      </c>
      <c r="K30" s="25"/>
      <c r="M30" s="83" t="s">
        <v>0</v>
      </c>
      <c r="N30" s="23" t="s">
        <v>2</v>
      </c>
      <c r="O30" s="25"/>
      <c r="Q30" s="83" t="s">
        <v>0</v>
      </c>
      <c r="R30" s="23" t="s">
        <v>2</v>
      </c>
      <c r="S30" s="25"/>
      <c r="U30" s="83" t="s">
        <v>0</v>
      </c>
      <c r="V30" s="23" t="s">
        <v>2</v>
      </c>
      <c r="W30" s="25"/>
      <c r="Y30" s="83" t="s">
        <v>0</v>
      </c>
      <c r="Z30" s="23" t="s">
        <v>2</v>
      </c>
      <c r="AA30" s="25"/>
      <c r="AC30" s="83" t="s">
        <v>0</v>
      </c>
      <c r="AD30" s="23" t="s">
        <v>2</v>
      </c>
      <c r="AE30" s="25"/>
      <c r="AG30" s="83" t="s">
        <v>0</v>
      </c>
      <c r="AH30" s="23" t="s">
        <v>2</v>
      </c>
      <c r="AI30" s="25"/>
      <c r="AK30" s="83" t="s">
        <v>0</v>
      </c>
      <c r="AL30" s="23" t="s">
        <v>2</v>
      </c>
      <c r="AM30" s="25"/>
      <c r="AO30" s="83" t="s">
        <v>0</v>
      </c>
      <c r="AP30" s="23" t="s">
        <v>2</v>
      </c>
      <c r="AQ30" s="25"/>
    </row>
    <row r="31" spans="1:43" x14ac:dyDescent="0.3">
      <c r="B31" s="52"/>
      <c r="C31" s="52"/>
      <c r="D31" s="7"/>
      <c r="L31" s="20"/>
    </row>
    <row r="32" spans="1:43" x14ac:dyDescent="0.3">
      <c r="B32" s="52"/>
      <c r="C32" s="52"/>
      <c r="D32" s="53"/>
      <c r="E32" s="85"/>
      <c r="F32" s="28" t="s">
        <v>7</v>
      </c>
      <c r="G32" s="24" t="s">
        <v>8</v>
      </c>
      <c r="I32" s="85"/>
      <c r="J32" s="28" t="s">
        <v>7</v>
      </c>
      <c r="K32" s="25" t="s">
        <v>8</v>
      </c>
      <c r="L32" s="20"/>
      <c r="M32" s="85"/>
      <c r="N32" s="28" t="s">
        <v>7</v>
      </c>
      <c r="O32" s="25" t="s">
        <v>8</v>
      </c>
      <c r="Q32" s="85"/>
      <c r="R32" s="28" t="s">
        <v>7</v>
      </c>
      <c r="S32" s="25" t="s">
        <v>8</v>
      </c>
      <c r="U32" s="85"/>
      <c r="V32" s="28" t="s">
        <v>7</v>
      </c>
      <c r="W32" s="25" t="s">
        <v>8</v>
      </c>
      <c r="Y32" s="85"/>
      <c r="Z32" s="28" t="s">
        <v>7</v>
      </c>
      <c r="AA32" s="25" t="s">
        <v>8</v>
      </c>
      <c r="AC32" s="85"/>
      <c r="AD32" s="28" t="s">
        <v>7</v>
      </c>
      <c r="AE32" s="25" t="s">
        <v>8</v>
      </c>
      <c r="AG32" s="85"/>
      <c r="AH32" s="28" t="s">
        <v>7</v>
      </c>
      <c r="AI32" s="25" t="s">
        <v>8</v>
      </c>
      <c r="AK32" s="85"/>
      <c r="AL32" s="28" t="s">
        <v>7</v>
      </c>
      <c r="AM32" s="25" t="s">
        <v>8</v>
      </c>
      <c r="AO32" s="85"/>
      <c r="AP32" s="28" t="s">
        <v>7</v>
      </c>
      <c r="AQ32" s="25" t="s">
        <v>8</v>
      </c>
    </row>
    <row r="33" spans="1:43" s="31" customFormat="1" x14ac:dyDescent="0.3">
      <c r="A33" s="31">
        <f>IF(B33&lt;&gt;"",MAX(A26:A29)+1,"")</f>
        <v>20</v>
      </c>
      <c r="B33" s="59" t="s">
        <v>15</v>
      </c>
      <c r="E33" s="90"/>
      <c r="F33" s="8"/>
      <c r="G33" s="9"/>
      <c r="H33" s="78"/>
      <c r="I33" s="90"/>
      <c r="J33" s="8"/>
      <c r="K33" s="10"/>
      <c r="M33" s="90"/>
      <c r="N33" s="8"/>
      <c r="O33" s="10"/>
      <c r="Q33" s="90"/>
      <c r="R33" s="8"/>
      <c r="S33" s="10"/>
      <c r="U33" s="90"/>
      <c r="V33" s="8"/>
      <c r="W33" s="10"/>
      <c r="Y33" s="90"/>
      <c r="Z33" s="8"/>
      <c r="AA33" s="10"/>
      <c r="AC33" s="90"/>
      <c r="AD33" s="8"/>
      <c r="AE33" s="10"/>
      <c r="AG33" s="90"/>
      <c r="AH33" s="8"/>
      <c r="AI33" s="10"/>
      <c r="AK33" s="90"/>
      <c r="AL33" s="8"/>
      <c r="AM33" s="10"/>
      <c r="AO33" s="90"/>
      <c r="AP33" s="8"/>
      <c r="AQ33" s="10"/>
    </row>
    <row r="34" spans="1:43" x14ac:dyDescent="0.3">
      <c r="A34" s="20">
        <f t="shared" ref="A34:A35" si="107">IF(B34&lt;&gt;"",MAX(A30:A33)+1,"")</f>
        <v>21</v>
      </c>
      <c r="B34" s="20" t="s">
        <v>27</v>
      </c>
      <c r="E34" s="84">
        <f t="shared" ref="E34:G34" si="108">+E28*E27</f>
        <v>1064.0850525000001</v>
      </c>
      <c r="F34" s="26">
        <f t="shared" si="108"/>
        <v>1062.64780621875</v>
      </c>
      <c r="G34" s="37">
        <f t="shared" si="108"/>
        <v>1063.1325665081185</v>
      </c>
      <c r="I34" s="84">
        <f>+I28*I27</f>
        <v>1132.1772846723482</v>
      </c>
      <c r="J34" s="26">
        <f t="shared" ref="J34:K34" si="109">+J28*J27</f>
        <v>1129.2389219117138</v>
      </c>
      <c r="K34" s="38">
        <f t="shared" si="109"/>
        <v>1130.7322739009803</v>
      </c>
      <c r="L34" s="20"/>
      <c r="M34" s="84">
        <f t="shared" ref="M34:O34" si="110">+M28*M27</f>
        <v>1204.5858192194241</v>
      </c>
      <c r="N34" s="26">
        <f t="shared" si="110"/>
        <v>1200.0762826098178</v>
      </c>
      <c r="O34" s="38">
        <f t="shared" si="110"/>
        <v>1203.1182242295401</v>
      </c>
      <c r="Q34" s="84">
        <f t="shared" ref="Q34:S34" si="111">+Q28*Q27</f>
        <v>1281.6413440744752</v>
      </c>
      <c r="R34" s="26">
        <f t="shared" si="111"/>
        <v>1275.4839796207737</v>
      </c>
      <c r="S34" s="38">
        <f t="shared" si="111"/>
        <v>1280.6322761330973</v>
      </c>
      <c r="U34" s="84">
        <f t="shared" ref="U34:W34" si="112">+U28*U27</f>
        <v>1363.6976077904517</v>
      </c>
      <c r="V34" s="26">
        <f t="shared" si="112"/>
        <v>1355.8087290588946</v>
      </c>
      <c r="W34" s="38">
        <f t="shared" si="112"/>
        <v>1363.6406579775189</v>
      </c>
      <c r="Y34" s="84">
        <f t="shared" ref="Y34:AA34" si="113">+Y28*Y27</f>
        <v>1451.1330254162101</v>
      </c>
      <c r="Z34" s="26">
        <f t="shared" si="113"/>
        <v>1441.421449210035</v>
      </c>
      <c r="AA34" s="38">
        <f t="shared" si="113"/>
        <v>1452.5356964388475</v>
      </c>
      <c r="AC34" s="84">
        <f t="shared" ref="AC34:AE34" si="114">+AC28*AC27</f>
        <v>1544.3524028751908</v>
      </c>
      <c r="AD34" s="26">
        <f t="shared" si="114"/>
        <v>1532.7189540833949</v>
      </c>
      <c r="AE34" s="38">
        <f t="shared" si="114"/>
        <v>1547.7376687804351</v>
      </c>
      <c r="AG34" s="84">
        <f t="shared" ref="AG34:AI34" si="115">+AG28*AG27</f>
        <v>1643.7887883700048</v>
      </c>
      <c r="AH34" s="26">
        <f t="shared" si="115"/>
        <v>1630.1257715029676</v>
      </c>
      <c r="AI34" s="38">
        <f t="shared" si="115"/>
        <v>1649.696787647091</v>
      </c>
      <c r="AK34" s="84">
        <f t="shared" ref="AK34:AM34" si="116">+AK28*AK27</f>
        <v>1749.9054598835769</v>
      </c>
      <c r="AL34" s="26">
        <f t="shared" si="116"/>
        <v>1734.0960946305768</v>
      </c>
      <c r="AM34" s="38">
        <f t="shared" si="116"/>
        <v>1758.8953278174458</v>
      </c>
      <c r="AO34" s="84">
        <f t="shared" ref="AO34:AQ34" si="117">+AO28*AO27</f>
        <v>1863.198058437516</v>
      </c>
      <c r="AP34" s="26">
        <f t="shared" si="117"/>
        <v>1845.1158763936357</v>
      </c>
      <c r="AQ34" s="38">
        <f t="shared" si="117"/>
        <v>1875.8499050188211</v>
      </c>
    </row>
    <row r="35" spans="1:43" x14ac:dyDescent="0.3">
      <c r="A35" s="20">
        <f t="shared" si="107"/>
        <v>22</v>
      </c>
      <c r="B35" s="20" t="s">
        <v>28</v>
      </c>
      <c r="E35" s="84">
        <f t="shared" ref="E35:G35" si="118">IF(E20&gt;0,-E20+E5,E5+E24*E5)</f>
        <v>-1020.1015</v>
      </c>
      <c r="F35" s="26">
        <f t="shared" si="118"/>
        <v>-1018.71285625</v>
      </c>
      <c r="G35" s="37">
        <f t="shared" si="118"/>
        <v>-996.34436556510161</v>
      </c>
      <c r="I35" s="84">
        <f>+I7-I20</f>
        <v>-1040.203</v>
      </c>
      <c r="J35" s="26">
        <f t="shared" ref="J35:K35" si="119">+J7-J20</f>
        <v>-1037.4257124999999</v>
      </c>
      <c r="K35" s="38">
        <f t="shared" si="119"/>
        <v>-992.59647806510156</v>
      </c>
      <c r="L35" s="20"/>
      <c r="M35" s="84">
        <f>+M7-M20</f>
        <v>-1060.3045</v>
      </c>
      <c r="N35" s="26">
        <f t="shared" ref="N35:O35" si="120">+N7-N20</f>
        <v>-1056.1385687499999</v>
      </c>
      <c r="O35" s="38">
        <f t="shared" si="120"/>
        <v>-988.84859056510152</v>
      </c>
      <c r="Q35" s="84">
        <f>+Q7-Q20</f>
        <v>-1080.4059999999999</v>
      </c>
      <c r="R35" s="26">
        <f t="shared" ref="R35:S35" si="121">+R7-R20</f>
        <v>-1074.8514249999998</v>
      </c>
      <c r="S35" s="38">
        <f t="shared" si="121"/>
        <v>-985.10070306510147</v>
      </c>
      <c r="U35" s="84">
        <f>+U7-U20</f>
        <v>-1100.5074999999999</v>
      </c>
      <c r="V35" s="26">
        <f t="shared" ref="V35:W35" si="122">+V7-V20</f>
        <v>-1093.5642812499998</v>
      </c>
      <c r="W35" s="38">
        <f t="shared" si="122"/>
        <v>-981.35281556510142</v>
      </c>
      <c r="Y35" s="84">
        <f>+Y7-Y20</f>
        <v>-1120.6089999999999</v>
      </c>
      <c r="Z35" s="26">
        <f t="shared" ref="Z35:AA35" si="123">+Z7-Z20</f>
        <v>-1112.2771374999998</v>
      </c>
      <c r="AA35" s="38">
        <f t="shared" si="123"/>
        <v>-977.60492806510138</v>
      </c>
      <c r="AC35" s="84">
        <f>+AC7-AC20</f>
        <v>-1140.7104999999999</v>
      </c>
      <c r="AD35" s="26">
        <f t="shared" ref="AD35:AE35" si="124">+AD7-AD20</f>
        <v>-1130.9899937499997</v>
      </c>
      <c r="AE35" s="38">
        <f t="shared" si="124"/>
        <v>-973.85704056510133</v>
      </c>
      <c r="AG35" s="84">
        <f>+AG7-AG20</f>
        <v>-1160.8119999999999</v>
      </c>
      <c r="AH35" s="26">
        <f t="shared" ref="AH35:AI35" si="125">+AH7-AH20</f>
        <v>-1149.7028499999997</v>
      </c>
      <c r="AI35" s="38">
        <f t="shared" si="125"/>
        <v>-970.10915306510128</v>
      </c>
      <c r="AK35" s="84">
        <f>+AK7-AK20</f>
        <v>-1180.9134999999999</v>
      </c>
      <c r="AL35" s="26">
        <f t="shared" ref="AL35:AM35" si="126">+AL7-AL20</f>
        <v>-1168.4157062499996</v>
      </c>
      <c r="AM35" s="38">
        <f t="shared" si="126"/>
        <v>-966.36126556510123</v>
      </c>
      <c r="AO35" s="84">
        <f>+AO7-AO20</f>
        <v>-1201.0149999999999</v>
      </c>
      <c r="AP35" s="26">
        <f t="shared" ref="AP35:AQ35" si="127">+AP7-AP20</f>
        <v>-1187.1285624999996</v>
      </c>
      <c r="AQ35" s="38">
        <f t="shared" si="127"/>
        <v>-962.61337806510119</v>
      </c>
    </row>
    <row r="36" spans="1:43" outlineLevel="1" x14ac:dyDescent="0.3">
      <c r="A36" s="20">
        <f>IF(B36&lt;&gt;"",MAX(A33:A35)+1,"")</f>
        <v>23</v>
      </c>
      <c r="B36" s="20" t="s">
        <v>30</v>
      </c>
      <c r="F36" s="26">
        <f>-F54</f>
        <v>0</v>
      </c>
      <c r="G36" s="37">
        <f>-G54</f>
        <v>-20.299999999999997</v>
      </c>
      <c r="J36" s="26">
        <f>-J54</f>
        <v>0</v>
      </c>
      <c r="K36" s="38">
        <f>-K54-K8</f>
        <v>-40.599999999999994</v>
      </c>
      <c r="L36" s="20"/>
      <c r="N36" s="26">
        <f>-N54</f>
        <v>0</v>
      </c>
      <c r="O36" s="38">
        <f>-O54-O8</f>
        <v>-60.899999999999991</v>
      </c>
      <c r="R36" s="26">
        <f>-R54</f>
        <v>0</v>
      </c>
      <c r="S36" s="38">
        <f>-S54-S8</f>
        <v>-81.199999999999989</v>
      </c>
      <c r="V36" s="26">
        <f>-V54</f>
        <v>0</v>
      </c>
      <c r="W36" s="38">
        <f>-W54-W8</f>
        <v>-101.49999999999999</v>
      </c>
      <c r="Z36" s="26">
        <f>-Z54</f>
        <v>0</v>
      </c>
      <c r="AA36" s="38">
        <f>-AA54-AA8</f>
        <v>-121.79999999999998</v>
      </c>
      <c r="AD36" s="26">
        <f>-AD54</f>
        <v>0</v>
      </c>
      <c r="AE36" s="38">
        <f>-AE54-AE8</f>
        <v>-142.09999999999997</v>
      </c>
      <c r="AH36" s="26">
        <f>-AH54</f>
        <v>0</v>
      </c>
      <c r="AI36" s="38">
        <f>-AI54-AI8</f>
        <v>-162.39999999999998</v>
      </c>
      <c r="AL36" s="26">
        <f>-AL54</f>
        <v>0</v>
      </c>
      <c r="AM36" s="38">
        <f>-AM54-AM8</f>
        <v>-182.7</v>
      </c>
      <c r="AP36" s="26">
        <f>-AP54</f>
        <v>0</v>
      </c>
      <c r="AQ36" s="38">
        <f>-AQ54-AQ8</f>
        <v>-203</v>
      </c>
    </row>
    <row r="37" spans="1:43" outlineLevel="1" x14ac:dyDescent="0.3">
      <c r="A37" s="20">
        <f>IF(B37&lt;&gt;"",MAX(A34:A36)+1,"")</f>
        <v>24</v>
      </c>
      <c r="B37" s="20" t="s">
        <v>31</v>
      </c>
      <c r="E37" s="86">
        <f>SUM(E34:E36)</f>
        <v>43.983552500000087</v>
      </c>
      <c r="F37" s="34">
        <f>SUM(F34:F36)</f>
        <v>43.934949968750061</v>
      </c>
      <c r="G37" s="35">
        <f>SUM(G34:G36)</f>
        <v>46.488200943016935</v>
      </c>
      <c r="I37" s="86">
        <f>SUM(I34:I36)</f>
        <v>91.974284672348176</v>
      </c>
      <c r="J37" s="34">
        <f>SUM(J34:J36)</f>
        <v>91.813209411713842</v>
      </c>
      <c r="K37" s="36">
        <f>SUM(K34:K36)</f>
        <v>97.535795835878758</v>
      </c>
      <c r="L37" s="20"/>
      <c r="M37" s="86">
        <f>SUM(M34:M36)</f>
        <v>144.28131921942418</v>
      </c>
      <c r="N37" s="34">
        <f>SUM(N34:N36)</f>
        <v>143.9377138598179</v>
      </c>
      <c r="O37" s="36">
        <f>SUM(O34:O36)</f>
        <v>153.36963366443865</v>
      </c>
      <c r="Q37" s="86">
        <f>SUM(Q34:Q36)</f>
        <v>201.23534407447528</v>
      </c>
      <c r="R37" s="34">
        <f>SUM(R34:R36)</f>
        <v>200.63255462077382</v>
      </c>
      <c r="S37" s="36">
        <f>SUM(S34:S36)</f>
        <v>214.33157306799586</v>
      </c>
      <c r="U37" s="86">
        <f>SUM(U34:U36)</f>
        <v>263.19010779045175</v>
      </c>
      <c r="V37" s="34">
        <f>SUM(V34:V36)</f>
        <v>262.24444780889485</v>
      </c>
      <c r="W37" s="36">
        <f>SUM(W34:W36)</f>
        <v>280.78784241241749</v>
      </c>
      <c r="Y37" s="86">
        <f>SUM(Y34:Y36)</f>
        <v>330.52402541621018</v>
      </c>
      <c r="Z37" s="34">
        <f>SUM(Z34:Z36)</f>
        <v>329.14431171003525</v>
      </c>
      <c r="AA37" s="36">
        <f>SUM(AA34:AA36)</f>
        <v>353.13076837374615</v>
      </c>
      <c r="AC37" s="86">
        <f>SUM(AC34:AC36)</f>
        <v>403.64190287519091</v>
      </c>
      <c r="AD37" s="34">
        <f>SUM(AD34:AD36)</f>
        <v>401.72896033339521</v>
      </c>
      <c r="AE37" s="36">
        <f>SUM(AE34:AE36)</f>
        <v>431.78062821533382</v>
      </c>
      <c r="AG37" s="86">
        <f>SUM(AG34:AG36)</f>
        <v>482.9767883700049</v>
      </c>
      <c r="AH37" s="34">
        <f>SUM(AH34:AH36)</f>
        <v>480.42292150296794</v>
      </c>
      <c r="AI37" s="36">
        <f>SUM(AI34:AI36)</f>
        <v>517.18763458198976</v>
      </c>
      <c r="AK37" s="86">
        <f>SUM(AK34:AK36)</f>
        <v>568.99195988357701</v>
      </c>
      <c r="AL37" s="34">
        <f>SUM(AL34:AL36)</f>
        <v>565.68038838057714</v>
      </c>
      <c r="AM37" s="36">
        <f>SUM(AM34:AM36)</f>
        <v>609.83406225234467</v>
      </c>
      <c r="AO37" s="86">
        <f>SUM(AO34:AO36)</f>
        <v>662.18305843751614</v>
      </c>
      <c r="AP37" s="34">
        <f>SUM(AP34:AP36)</f>
        <v>657.98731389363616</v>
      </c>
      <c r="AQ37" s="36">
        <f>SUM(AQ34:AQ36)</f>
        <v>710.23652695371993</v>
      </c>
    </row>
    <row r="38" spans="1:43" x14ac:dyDescent="0.3">
      <c r="A38" s="20">
        <f>IF(B38&lt;&gt;"",MAX(A35:A37)+1,"")</f>
        <v>25</v>
      </c>
      <c r="B38" s="20" t="s">
        <v>32</v>
      </c>
      <c r="D38" s="54"/>
      <c r="E38" s="84">
        <f>-E37*$D$2*(1+$C$2)</f>
        <v>-11.600661971875022</v>
      </c>
      <c r="F38" s="26">
        <f>-F37*$D$2*(1+$C$2)*$D$4</f>
        <v>-8.1114901379804785</v>
      </c>
      <c r="G38" s="37">
        <f>-G37*$D$2*(1+$C$2)*$D$4</f>
        <v>-8.5828840991045006</v>
      </c>
      <c r="I38" s="84">
        <f>-I37*$D$2*(1+$C$2)</f>
        <v>-24.258217582331831</v>
      </c>
      <c r="J38" s="26">
        <f>-J37*$D$2*(1+$C$2)*$D$4</f>
        <v>-16.951013787637667</v>
      </c>
      <c r="K38" s="38">
        <f>-K37*$D$2*(1+$C$2)*$D$4</f>
        <v>-18.007546306199114</v>
      </c>
      <c r="L38" s="20"/>
      <c r="M38" s="84">
        <f>-M37*$D$2*(1+$C$2)</f>
        <v>-38.054197944123125</v>
      </c>
      <c r="N38" s="26">
        <f>-N37*$D$2*(1+$C$2)*$D$4</f>
        <v>-26.574500421368878</v>
      </c>
      <c r="O38" s="38">
        <f>-O37*$D$2*(1+$C$2)*$D$4</f>
        <v>-28.315868615296981</v>
      </c>
      <c r="Q38" s="84">
        <f>-Q37*$D$2*(1+$C$2)</f>
        <v>-53.075821999642855</v>
      </c>
      <c r="R38" s="26">
        <f>-R37*$D$2*(1+$C$2)*$D$4</f>
        <v>-37.041785396860362</v>
      </c>
      <c r="S38" s="38">
        <f>-S37*$D$2*(1+$C$2)*$D$4</f>
        <v>-39.570966677678733</v>
      </c>
      <c r="U38" s="84">
        <f>-U37*$D$2*(1+$C$2)</f>
        <v>-69.416390929731648</v>
      </c>
      <c r="V38" s="26">
        <f>-V37*$D$2*(1+$C$2)*$D$4</f>
        <v>-48.416881176717204</v>
      </c>
      <c r="W38" s="38">
        <f>-W37*$D$2*(1+$C$2)*$D$4</f>
        <v>-51.840455405392568</v>
      </c>
      <c r="Y38" s="84">
        <f>-Y37*$D$2*(1+$C$2)</f>
        <v>-87.175711703525423</v>
      </c>
      <c r="Z38" s="26">
        <f>-Z37*$D$2*(1+$C$2)*$D$4</f>
        <v>-60.768268549465247</v>
      </c>
      <c r="AA38" s="38">
        <f>-AA37*$D$2*(1+$C$2)*$D$4</f>
        <v>-65.196768111002882</v>
      </c>
      <c r="AC38" s="84">
        <f>-AC37*$D$2*(1+$C$2)</f>
        <v>-106.46055188333159</v>
      </c>
      <c r="AD38" s="26">
        <f>-AD37*$D$2*(1+$C$2)*$D$4</f>
        <v>-74.169209301553082</v>
      </c>
      <c r="AE38" s="38">
        <f>-AE37*$D$2*(1+$C$2)*$D$4</f>
        <v>-79.717498484255998</v>
      </c>
      <c r="AG38" s="84">
        <f>-AG37*$D$2*(1+$C$2)</f>
        <v>-127.38512793258879</v>
      </c>
      <c r="AH38" s="26">
        <f>-AH37*$D$2*(1+$C$2)*$D$4</f>
        <v>-88.698081882485454</v>
      </c>
      <c r="AI38" s="38">
        <f>-AI37*$D$2*(1+$C$2)*$D$4</f>
        <v>-95.485767034699847</v>
      </c>
      <c r="AK38" s="84">
        <f>-AK37*$D$2*(1+$C$2)</f>
        <v>-150.07162941929343</v>
      </c>
      <c r="AL38" s="26">
        <f>-AL37*$D$2*(1+$C$2)*$D$4</f>
        <v>-104.43874170476406</v>
      </c>
      <c r="AM38" s="38">
        <f>-AM37*$D$2*(1+$C$2)*$D$4</f>
        <v>-112.59061374333912</v>
      </c>
      <c r="AO38" s="84">
        <f>-AO37*$D$2*(1+$C$2)</f>
        <v>-174.65078166289487</v>
      </c>
      <c r="AP38" s="26">
        <f>-AP37*$D$2*(1+$C$2)*$D$4</f>
        <v>-121.48090782761257</v>
      </c>
      <c r="AQ38" s="38">
        <f>-AQ37*$D$2*(1+$C$2)*$D$4</f>
        <v>-131.12741878883054</v>
      </c>
    </row>
    <row r="39" spans="1:43" s="67" customFormat="1" ht="15.6" x14ac:dyDescent="0.3">
      <c r="A39" s="65">
        <f>IF(B39&lt;&gt;"",MAX(A34:A38)+1,"")</f>
        <v>26</v>
      </c>
      <c r="B39" s="66" t="s">
        <v>33</v>
      </c>
      <c r="E39" s="91">
        <f>+E34+E5+E38</f>
        <v>52.484390528125054</v>
      </c>
      <c r="F39" s="68">
        <f>+F34+F5+F38</f>
        <v>54.536316080769538</v>
      </c>
      <c r="G39" s="69">
        <f>+G34+G5+G38</f>
        <v>54.549682409014039</v>
      </c>
      <c r="H39" s="68"/>
      <c r="I39" s="91">
        <f>+I34+I5+I38</f>
        <v>107.91906709001631</v>
      </c>
      <c r="J39" s="68">
        <f>+J34+J5+J38</f>
        <v>112.2879081240761</v>
      </c>
      <c r="K39" s="70">
        <f>+K34+K5+K38</f>
        <v>112.7247275947812</v>
      </c>
      <c r="M39" s="91">
        <f>+M34+M5+M38</f>
        <v>166.53162127530101</v>
      </c>
      <c r="N39" s="68">
        <f>+N34+N5+N38</f>
        <v>173.50178218844891</v>
      </c>
      <c r="O39" s="70">
        <f>+O34+O5+O38</f>
        <v>174.80235561424317</v>
      </c>
      <c r="Q39" s="91">
        <f>+Q34+Q5+Q38</f>
        <v>228.56552207483236</v>
      </c>
      <c r="R39" s="68">
        <f>+R34+R5+R38</f>
        <v>238.4421942239133</v>
      </c>
      <c r="S39" s="70">
        <f>+S34+S5+S38</f>
        <v>241.06130945541858</v>
      </c>
      <c r="U39" s="91">
        <f>+U34+U5+U38</f>
        <v>294.28121686072006</v>
      </c>
      <c r="V39" s="68">
        <f>+V34+V5+V38</f>
        <v>307.39184788217744</v>
      </c>
      <c r="W39" s="70">
        <f>+W34+W5+W38</f>
        <v>311.80020257212635</v>
      </c>
      <c r="Y39" s="91">
        <f>+Y34+Y5+Y38</f>
        <v>363.95731371268471</v>
      </c>
      <c r="Z39" s="68">
        <f>+Z34+Z5+Z38</f>
        <v>380.65318066056977</v>
      </c>
      <c r="AA39" s="70">
        <f>+AA34+AA5+AA38</f>
        <v>387.3389283278446</v>
      </c>
      <c r="AC39" s="91">
        <f>+AC34+AC5+AC38</f>
        <v>437.8918509918592</v>
      </c>
      <c r="AD39" s="68">
        <f>+AD34+AD5+AD38</f>
        <v>458.54974478184181</v>
      </c>
      <c r="AE39" s="70">
        <f>+AE34+AE5+AE38</f>
        <v>468.02017029617912</v>
      </c>
      <c r="AG39" s="91">
        <f>+AG34+AG5+AG38</f>
        <v>516.40366043741597</v>
      </c>
      <c r="AH39" s="68">
        <f>+AH34+AH5+AH38</f>
        <v>541.42768962048217</v>
      </c>
      <c r="AI39" s="70">
        <f>+AI34+AI5+AI38</f>
        <v>554.21102061239117</v>
      </c>
      <c r="AK39" s="91">
        <f>+AK34+AK5+AK38</f>
        <v>599.83383046428344</v>
      </c>
      <c r="AL39" s="68">
        <f>+AL34+AL5+AL38</f>
        <v>629.65735292581269</v>
      </c>
      <c r="AM39" s="70">
        <f>+AM34+AM5+AM38</f>
        <v>646.30471407410676</v>
      </c>
      <c r="AO39" s="91">
        <f>+AO34+AO5+AO38</f>
        <v>688.5472767746212</v>
      </c>
      <c r="AP39" s="68">
        <f>+AP34+AP5+AP38</f>
        <v>723.63496856602319</v>
      </c>
      <c r="AQ39" s="70">
        <f>+AQ34+AQ5+AQ38</f>
        <v>744.72248622999064</v>
      </c>
    </row>
    <row r="40" spans="1:43" s="74" customFormat="1" x14ac:dyDescent="0.3">
      <c r="A40" s="20" t="str">
        <f>IF(B40&lt;&gt;"",MAX(A36:A39)+1,"")</f>
        <v/>
      </c>
      <c r="B40" s="73"/>
      <c r="E40" s="94">
        <f>+(1+E39/-$E$5)^(1/E1)-1</f>
        <v>5.2484390528125147E-2</v>
      </c>
      <c r="F40" s="99">
        <f>+(1+F39/-$F$5)^(1/E1)-1</f>
        <v>5.4536316080769476E-2</v>
      </c>
      <c r="G40" s="100">
        <f>+(1+G39/-$G$5)^(1/E1)-1</f>
        <v>5.4549682409014144E-2</v>
      </c>
      <c r="H40" s="80"/>
      <c r="I40" s="94">
        <f>+(1+I39/-$E$5)^(1/I1)-1</f>
        <v>5.2577344944311655E-2</v>
      </c>
      <c r="J40" s="99">
        <f>+(1+J39/-$F$5)^(1/I1)-1</f>
        <v>5.4650609502538527E-2</v>
      </c>
      <c r="K40" s="101">
        <f>+(1+K39/-$G$5)^(1/I1)-1</f>
        <v>5.4857681203858588E-2</v>
      </c>
      <c r="M40" s="94">
        <f>+(1+M39/-$E$5)^(1/M1)-1</f>
        <v>5.2685979220429946E-2</v>
      </c>
      <c r="N40" s="99">
        <f>+(1+N39/-$F$5)^(1/M1)-1</f>
        <v>5.4778457164704752E-2</v>
      </c>
      <c r="O40" s="101">
        <f>+(1+O39/-$G$5)^(1/M1)-1</f>
        <v>5.5167978048976218E-2</v>
      </c>
      <c r="Q40" s="94">
        <f>+(1+Q39/-$E$5)^(1/Q1)-1</f>
        <v>5.2808980481106271E-2</v>
      </c>
      <c r="R40" s="99">
        <f>+(1+R39/-$F$5)^(1/Q1)-1</f>
        <v>5.4918564297143035E-2</v>
      </c>
      <c r="S40" s="101">
        <f>+(1+S39/-$G$5)^(1/Q1)-1</f>
        <v>5.5475870238339553E-2</v>
      </c>
      <c r="U40" s="94">
        <f>+(1+U39/-$E$5)^(1/U1)-1</f>
        <v>5.294510441377609E-2</v>
      </c>
      <c r="V40" s="99">
        <f>+(1+V39/-$F$5)^(1/U1)-1</f>
        <v>5.5069708720896893E-2</v>
      </c>
      <c r="W40" s="101">
        <f>+(1+W39/-$G$5)^(1/U1)-1</f>
        <v>5.5780262481478271E-2</v>
      </c>
      <c r="Y40" s="94">
        <f>+(1+Y39/-$E$5)^(1/Y1)-1</f>
        <v>5.3093170944736645E-2</v>
      </c>
      <c r="Z40" s="99">
        <f>+(1+Z39/-$F$5)^(1/Y1)-1</f>
        <v>5.5230737013616471E-2</v>
      </c>
      <c r="AA40" s="101">
        <f>+(1+AA39/-$G$5)^(1/Y1)-1</f>
        <v>5.608067453011234E-2</v>
      </c>
      <c r="AC40" s="94">
        <f>+(1+AC39/-$E$5)^(1/AC1)-1</f>
        <v>5.3252060670343937E-2</v>
      </c>
      <c r="AD40" s="99">
        <f>+(1+AD39/-$F$5)^(1/AC1)-1</f>
        <v>5.5400561266035098E-2</v>
      </c>
      <c r="AE40" s="101">
        <f>+(1+AE39/-$G$5)^(1/AC1)-1</f>
        <v>5.6376813782965662E-2</v>
      </c>
      <c r="AG40" s="94">
        <f>+(1+AG39/-$E$5)^(1/AG1)-1</f>
        <v>5.3420711893640282E-2</v>
      </c>
      <c r="AH40" s="99">
        <f>+(1+AH39/-$F$5)^(1/AG1)-1</f>
        <v>5.557815629491869E-2</v>
      </c>
      <c r="AI40" s="101">
        <f>+(1+AI39/-$G$5)^(1/AG1)-1</f>
        <v>5.6668468398170413E-2</v>
      </c>
      <c r="AK40" s="94">
        <f>+(1+AK39/-$E$5)^(1/AK1)-1</f>
        <v>5.3598118139807083E-2</v>
      </c>
      <c r="AL40" s="99">
        <f>+(1+AL39/-$F$5)^(1/AK1)-1</f>
        <v>5.5762557200914165E-2</v>
      </c>
      <c r="AM40" s="101">
        <f>+(1+AM39/-$G$5)^(1/AK1)-1</f>
        <v>5.6955471537487368E-2</v>
      </c>
      <c r="AO40" s="94">
        <f>+(1+AO39/-$E$5)^(1/AO1)-1</f>
        <v>5.3783326043704616E-2</v>
      </c>
      <c r="AP40" s="99">
        <f>+(1+AP39/-$F$5)^(1/AO1)-1</f>
        <v>5.5952857179591309E-2</v>
      </c>
      <c r="AQ40" s="101">
        <f>+(1+AQ39/-$G$5)^(1/AO1)-1</f>
        <v>5.7237686875496241E-2</v>
      </c>
    </row>
    <row r="41" spans="1:43" s="31" customFormat="1" x14ac:dyDescent="0.3">
      <c r="A41" s="31">
        <f>IF(B41&lt;&gt;"",MAX(A37:A40)+1,"")</f>
        <v>27</v>
      </c>
      <c r="B41" s="31" t="s">
        <v>34</v>
      </c>
      <c r="E41" s="86">
        <f>-(+E18+E38+E19+E11)</f>
        <v>18.499161971875022</v>
      </c>
      <c r="F41" s="34">
        <f t="shared" ref="F41:G41" si="128">-(+F18+F38+F19+F11)</f>
        <v>16.398633887980477</v>
      </c>
      <c r="G41" s="35">
        <f t="shared" si="128"/>
        <v>16.380771599104499</v>
      </c>
      <c r="H41" s="78"/>
      <c r="I41" s="86">
        <f>-(+I18+I38+I19+I11)</f>
        <v>31.156717582331833</v>
      </c>
      <c r="J41" s="34">
        <f t="shared" ref="J41:K41" si="129">-(+J18+J38+J19+J11)</f>
        <v>25.238157537637665</v>
      </c>
      <c r="K41" s="36">
        <f t="shared" si="129"/>
        <v>25.805433806199115</v>
      </c>
      <c r="M41" s="86">
        <f>-(+M18+M38+M19+M11)</f>
        <v>44.952697944123123</v>
      </c>
      <c r="N41" s="34">
        <f t="shared" ref="N41:O41" si="130">-(+N18+N38+N19+N11)</f>
        <v>34.861644171368873</v>
      </c>
      <c r="O41" s="35">
        <f t="shared" si="130"/>
        <v>36.113756115296979</v>
      </c>
      <c r="Q41" s="86">
        <f>-(+Q18+Q38+Q19+Q11)</f>
        <v>59.974321999642854</v>
      </c>
      <c r="R41" s="34">
        <f t="shared" ref="R41:S41" si="131">-(+R18+R38+R19+R11)</f>
        <v>45.328929146860361</v>
      </c>
      <c r="S41" s="35">
        <f t="shared" si="131"/>
        <v>47.368854177678728</v>
      </c>
      <c r="U41" s="86">
        <f>-(+U18+U38+U19+U11)</f>
        <v>76.314890929731646</v>
      </c>
      <c r="V41" s="34">
        <f t="shared" ref="V41:W41" si="132">-(+V18+V38+V19+V11)</f>
        <v>56.704024926717203</v>
      </c>
      <c r="W41" s="35">
        <f t="shared" si="132"/>
        <v>59.638342905392562</v>
      </c>
      <c r="Y41" s="86">
        <f>-(+Y18+Y38+Y19+Y11)</f>
        <v>94.074211703525421</v>
      </c>
      <c r="Z41" s="34">
        <f t="shared" ref="Z41:AA41" si="133">-(+Z18+Z38+Z19+Z11)</f>
        <v>69.055412299465246</v>
      </c>
      <c r="AA41" s="35">
        <f t="shared" si="133"/>
        <v>72.994655611002884</v>
      </c>
      <c r="AC41" s="86">
        <f>-(+AC18+AC38+AC19+AC11)</f>
        <v>113.35905188333159</v>
      </c>
      <c r="AD41" s="34">
        <f t="shared" ref="AD41:AE41" si="134">-(+AD18+AD38+AD19+AD11)</f>
        <v>82.45635305155308</v>
      </c>
      <c r="AE41" s="35">
        <f t="shared" si="134"/>
        <v>87.515385984256</v>
      </c>
      <c r="AG41" s="86">
        <f>-(+AG18+AG38+AG19+AG11)</f>
        <v>134.28362793258879</v>
      </c>
      <c r="AH41" s="34">
        <f t="shared" ref="AH41:AI41" si="135">-(+AH18+AH38+AH19+AH11)</f>
        <v>96.985225632485452</v>
      </c>
      <c r="AI41" s="35">
        <f t="shared" si="135"/>
        <v>103.28365453469985</v>
      </c>
      <c r="AK41" s="86">
        <f>-(+AK18+AK38+AK19+AK11)</f>
        <v>156.97012941929344</v>
      </c>
      <c r="AL41" s="34">
        <f t="shared" ref="AL41:AM41" si="136">-(+AL18+AL38+AL19+AL11)</f>
        <v>112.72588545476405</v>
      </c>
      <c r="AM41" s="35">
        <f t="shared" si="136"/>
        <v>120.38850124333912</v>
      </c>
      <c r="AO41" s="86">
        <f>-(+AO18+AO38+AO19+AO11)</f>
        <v>181.54928166289488</v>
      </c>
      <c r="AP41" s="34">
        <f t="shared" ref="AP41:AQ41" si="137">-(+AP18+AP38+AP19+AP11)</f>
        <v>129.76805157761257</v>
      </c>
      <c r="AQ41" s="35">
        <f t="shared" si="137"/>
        <v>138.92530628883054</v>
      </c>
    </row>
    <row r="42" spans="1:43" x14ac:dyDescent="0.3">
      <c r="A42" s="20">
        <f>IF(B42&lt;&gt;"",MAX(A38:A41)+1,"")</f>
        <v>28</v>
      </c>
      <c r="B42" s="20" t="s">
        <v>35</v>
      </c>
      <c r="D42" s="12"/>
      <c r="E42" s="84">
        <f t="shared" ref="E42:G42" si="138">+E39+E41</f>
        <v>70.983552500000073</v>
      </c>
      <c r="F42" s="26">
        <f t="shared" si="138"/>
        <v>70.934949968750018</v>
      </c>
      <c r="G42" s="37">
        <f t="shared" si="138"/>
        <v>70.930454008118545</v>
      </c>
      <c r="I42" s="84">
        <f t="shared" ref="I42" si="139">+I39+I41</f>
        <v>139.07578467234814</v>
      </c>
      <c r="J42" s="26">
        <f t="shared" ref="J42" si="140">+J39+J41</f>
        <v>137.52606566171377</v>
      </c>
      <c r="K42" s="38">
        <f t="shared" ref="K42" si="141">+K39+K41</f>
        <v>138.53016140098032</v>
      </c>
      <c r="L42" s="20"/>
      <c r="M42" s="84">
        <f t="shared" ref="M42" si="142">+M39+M41</f>
        <v>211.48431921942412</v>
      </c>
      <c r="N42" s="26">
        <f t="shared" ref="N42" si="143">+N39+N41</f>
        <v>208.36342635981779</v>
      </c>
      <c r="O42" s="38">
        <f t="shared" ref="O42" si="144">+O39+O41</f>
        <v>210.91611172954015</v>
      </c>
      <c r="Q42" s="84">
        <f t="shared" ref="Q42" si="145">+Q39+Q41</f>
        <v>288.53984407447524</v>
      </c>
      <c r="R42" s="26">
        <f t="shared" ref="R42" si="146">+R39+R41</f>
        <v>283.77112337077369</v>
      </c>
      <c r="S42" s="38">
        <f t="shared" ref="S42" si="147">+S39+S41</f>
        <v>288.43016363309732</v>
      </c>
      <c r="U42" s="84">
        <f t="shared" ref="U42" si="148">+U39+U41</f>
        <v>370.5961077904517</v>
      </c>
      <c r="V42" s="26">
        <f t="shared" ref="V42" si="149">+V39+V41</f>
        <v>364.09587280889463</v>
      </c>
      <c r="W42" s="38">
        <f t="shared" ref="W42" si="150">+W39+W41</f>
        <v>371.43854547751891</v>
      </c>
      <c r="Y42" s="84">
        <f t="shared" ref="Y42" si="151">+Y39+Y41</f>
        <v>458.03152541621012</v>
      </c>
      <c r="Z42" s="26">
        <f t="shared" ref="Z42" si="152">+Z39+Z41</f>
        <v>449.70859296003505</v>
      </c>
      <c r="AA42" s="38">
        <f t="shared" ref="AA42" si="153">+AA39+AA41</f>
        <v>460.33358393884748</v>
      </c>
      <c r="AC42" s="84">
        <f t="shared" ref="AC42" si="154">+AC39+AC41</f>
        <v>551.25090287519083</v>
      </c>
      <c r="AD42" s="26">
        <f t="shared" ref="AD42" si="155">+AD39+AD41</f>
        <v>541.00609783339485</v>
      </c>
      <c r="AE42" s="38">
        <f t="shared" ref="AE42" si="156">+AE39+AE41</f>
        <v>555.53555628043512</v>
      </c>
      <c r="AG42" s="84">
        <f t="shared" ref="AG42" si="157">+AG39+AG41</f>
        <v>650.68728837000481</v>
      </c>
      <c r="AH42" s="26">
        <f t="shared" ref="AH42" si="158">+AH39+AH41</f>
        <v>638.41291525296765</v>
      </c>
      <c r="AI42" s="38">
        <f t="shared" ref="AI42" si="159">+AI39+AI41</f>
        <v>657.49467514709102</v>
      </c>
      <c r="AK42" s="84">
        <f t="shared" ref="AK42" si="160">+AK39+AK41</f>
        <v>756.80395988357691</v>
      </c>
      <c r="AL42" s="26">
        <f t="shared" ref="AL42" si="161">+AL39+AL41</f>
        <v>742.3832383805767</v>
      </c>
      <c r="AM42" s="38">
        <f t="shared" ref="AM42" si="162">+AM39+AM41</f>
        <v>766.69321531744583</v>
      </c>
      <c r="AO42" s="84">
        <f t="shared" ref="AO42" si="163">+AO39+AO41</f>
        <v>870.09655843751602</v>
      </c>
      <c r="AP42" s="26">
        <f t="shared" ref="AP42" si="164">+AP39+AP41</f>
        <v>853.40302014363579</v>
      </c>
      <c r="AQ42" s="38">
        <f t="shared" ref="AQ42" si="165">+AQ39+AQ41</f>
        <v>883.64779251882123</v>
      </c>
    </row>
    <row r="43" spans="1:43" x14ac:dyDescent="0.3">
      <c r="A43" s="20">
        <f>IF(B43&lt;&gt;"",MAX(A39:A42)+1,"")</f>
        <v>29</v>
      </c>
      <c r="B43" s="20" t="s">
        <v>36</v>
      </c>
      <c r="D43" s="20" t="s">
        <v>37</v>
      </c>
      <c r="E43" s="84">
        <f>-E5*((1+$D3/2)^2-1)</f>
        <v>71.224999999999866</v>
      </c>
      <c r="F43" s="26">
        <f>-F5*((1+$D3/2)^2-1)</f>
        <v>71.224999999999866</v>
      </c>
      <c r="G43" s="37">
        <f>-G5*((1+$D3/2)^2-1)</f>
        <v>71.224999999999866</v>
      </c>
      <c r="I43" s="84">
        <f>-I5*((1+$D3/2)^2-1)</f>
        <v>71.224999999999866</v>
      </c>
      <c r="J43" s="26">
        <f>-J5*((1+$D3/2)^2-1)</f>
        <v>71.224999999999866</v>
      </c>
      <c r="K43" s="38">
        <f>-K5*((1+$D3/2)^2-1)</f>
        <v>71.224999999999866</v>
      </c>
      <c r="L43" s="20"/>
      <c r="M43" s="84">
        <f>-M5*((1+$D3/2)^2-1)</f>
        <v>71.224999999999866</v>
      </c>
      <c r="N43" s="26">
        <f>-N5*((1+$D3/2)^2-1)</f>
        <v>71.224999999999866</v>
      </c>
      <c r="O43" s="38">
        <f>-O5*((1+$D3/2)^2-1)</f>
        <v>71.224999999999866</v>
      </c>
      <c r="Q43" s="84">
        <f>-Q5*((1+$D3/2)^2-1)</f>
        <v>71.224999999999866</v>
      </c>
      <c r="R43" s="26">
        <f>-R5*((1+$D3/2)^2-1)</f>
        <v>71.224999999999866</v>
      </c>
      <c r="S43" s="38">
        <f>-S5*((1+$D3/2)^2-1)</f>
        <v>71.224999999999866</v>
      </c>
      <c r="U43" s="84">
        <f>-U5*((1+$D3/2)^2-1)</f>
        <v>71.224999999999866</v>
      </c>
      <c r="V43" s="26">
        <f>-V5*((1+$D3/2)^2-1)</f>
        <v>71.224999999999866</v>
      </c>
      <c r="W43" s="38">
        <f>-W5*((1+$D3/2)^2-1)</f>
        <v>71.224999999999866</v>
      </c>
      <c r="Y43" s="84">
        <f>-Y5*((1+$D3/2)^2-1)</f>
        <v>71.224999999999866</v>
      </c>
      <c r="Z43" s="26">
        <f>-Z5*((1+$D3/2)^2-1)</f>
        <v>71.224999999999866</v>
      </c>
      <c r="AA43" s="38">
        <f>-AA5*((1+$D3/2)^2-1)</f>
        <v>71.224999999999866</v>
      </c>
      <c r="AC43" s="84">
        <f>-AC5*((1+$D3/2)^2-1)</f>
        <v>71.224999999999866</v>
      </c>
      <c r="AD43" s="26">
        <f>-AD5*((1+$D3/2)^2-1)</f>
        <v>71.224999999999866</v>
      </c>
      <c r="AE43" s="38">
        <f>-AE5*((1+$D3/2)^2-1)</f>
        <v>71.224999999999866</v>
      </c>
      <c r="AG43" s="84">
        <f>-AG5*((1+$D3/2)^2-1)</f>
        <v>71.224999999999866</v>
      </c>
      <c r="AH43" s="26">
        <f>-AH5*((1+$D3/2)^2-1)</f>
        <v>71.224999999999866</v>
      </c>
      <c r="AI43" s="38">
        <f>-AI5*((1+$D3/2)^2-1)</f>
        <v>71.224999999999866</v>
      </c>
      <c r="AK43" s="84">
        <f>-AK5*((1+$D3/2)^2-1)</f>
        <v>71.224999999999866</v>
      </c>
      <c r="AL43" s="26">
        <f>-AL5*((1+$D3/2)^2-1)</f>
        <v>71.224999999999866</v>
      </c>
      <c r="AM43" s="38">
        <f>-AM5*((1+$D3/2)^2-1)</f>
        <v>71.224999999999866</v>
      </c>
      <c r="AO43" s="84">
        <f>-AO5*((1+$D3/2)^2-1)</f>
        <v>71.224999999999866</v>
      </c>
      <c r="AP43" s="26">
        <f>-AP5*((1+$D3/2)^2-1)</f>
        <v>71.224999999999866</v>
      </c>
      <c r="AQ43" s="38">
        <f>-AQ5*((1+$D3/2)^2-1)</f>
        <v>71.224999999999866</v>
      </c>
    </row>
    <row r="44" spans="1:43" hidden="1" outlineLevel="1" x14ac:dyDescent="0.3">
      <c r="A44" s="20">
        <f>IF(B44&lt;&gt;"",MAX(A40:A43)+1,"")</f>
        <v>30</v>
      </c>
      <c r="B44" s="20" t="s">
        <v>38</v>
      </c>
      <c r="D44" s="56"/>
      <c r="E44" s="84">
        <f t="shared" ref="E44:G44" si="166">+E43-E39</f>
        <v>18.740609471874812</v>
      </c>
      <c r="F44" s="26">
        <f t="shared" si="166"/>
        <v>16.688683919230328</v>
      </c>
      <c r="G44" s="37">
        <f t="shared" si="166"/>
        <v>16.675317590985827</v>
      </c>
      <c r="I44" s="84">
        <f t="shared" ref="I44" si="167">+I43-I39</f>
        <v>-36.694067090016446</v>
      </c>
      <c r="J44" s="26">
        <f t="shared" ref="J44" si="168">+J43-J39</f>
        <v>-41.06290812407623</v>
      </c>
      <c r="K44" s="38">
        <f t="shared" ref="K44" si="169">+K43-K39</f>
        <v>-41.499727594781334</v>
      </c>
      <c r="L44" s="20"/>
      <c r="M44" s="84">
        <f t="shared" ref="M44" si="170">+M43-M39</f>
        <v>-95.30662127530114</v>
      </c>
      <c r="N44" s="26">
        <f t="shared" ref="N44" si="171">+N43-N39</f>
        <v>-102.27678218844905</v>
      </c>
      <c r="O44" s="38">
        <f t="shared" ref="O44" si="172">+O43-O39</f>
        <v>-103.5773556142433</v>
      </c>
      <c r="Q44" s="84">
        <f t="shared" ref="Q44" si="173">+Q43-Q39</f>
        <v>-157.34052207483251</v>
      </c>
      <c r="R44" s="26">
        <f t="shared" ref="R44" si="174">+R43-R39</f>
        <v>-167.21719422391345</v>
      </c>
      <c r="S44" s="38">
        <f t="shared" ref="S44" si="175">+S43-S39</f>
        <v>-169.8363094554187</v>
      </c>
      <c r="U44" s="84">
        <f t="shared" ref="U44" si="176">+U43-U39</f>
        <v>-223.05621686072021</v>
      </c>
      <c r="V44" s="26">
        <f t="shared" ref="V44" si="177">+V43-V39</f>
        <v>-236.16684788217759</v>
      </c>
      <c r="W44" s="38">
        <f t="shared" ref="W44" si="178">+W43-W39</f>
        <v>-240.5752025721265</v>
      </c>
      <c r="Y44" s="84">
        <f t="shared" ref="Y44" si="179">+Y43-Y39</f>
        <v>-292.73231371268486</v>
      </c>
      <c r="Z44" s="26">
        <f t="shared" ref="Z44" si="180">+Z43-Z39</f>
        <v>-309.42818066056992</v>
      </c>
      <c r="AA44" s="38">
        <f t="shared" ref="AA44" si="181">+AA43-AA39</f>
        <v>-316.11392832784475</v>
      </c>
      <c r="AC44" s="84">
        <f t="shared" ref="AC44" si="182">+AC43-AC39</f>
        <v>-366.66685099185935</v>
      </c>
      <c r="AD44" s="26">
        <f t="shared" ref="AD44" si="183">+AD43-AD39</f>
        <v>-387.32474478184196</v>
      </c>
      <c r="AE44" s="38">
        <f t="shared" ref="AE44" si="184">+AE43-AE39</f>
        <v>-396.79517029617926</v>
      </c>
      <c r="AG44" s="84">
        <f t="shared" ref="AG44" si="185">+AG43-AG39</f>
        <v>-445.17866043741611</v>
      </c>
      <c r="AH44" s="26">
        <f t="shared" ref="AH44" si="186">+AH43-AH39</f>
        <v>-470.20268962048232</v>
      </c>
      <c r="AI44" s="38">
        <f t="shared" ref="AI44" si="187">+AI43-AI39</f>
        <v>-482.98602061239131</v>
      </c>
      <c r="AK44" s="84">
        <f t="shared" ref="AK44" si="188">+AK43-AK39</f>
        <v>-528.60883046428353</v>
      </c>
      <c r="AL44" s="26">
        <f t="shared" ref="AL44" si="189">+AL43-AL39</f>
        <v>-558.43235292581278</v>
      </c>
      <c r="AM44" s="38">
        <f t="shared" ref="AM44" si="190">+AM43-AM39</f>
        <v>-575.07971407410685</v>
      </c>
      <c r="AO44" s="84">
        <f t="shared" ref="AO44" si="191">+AO43-AO39</f>
        <v>-617.32227677462129</v>
      </c>
      <c r="AP44" s="26">
        <f t="shared" ref="AP44" si="192">+AP43-AP39</f>
        <v>-652.40996856602328</v>
      </c>
      <c r="AQ44" s="38">
        <f t="shared" ref="AQ44" si="193">+AQ43-AQ39</f>
        <v>-673.49748622999073</v>
      </c>
    </row>
    <row r="45" spans="1:43" s="43" customFormat="1" hidden="1" outlineLevel="1" x14ac:dyDescent="0.3">
      <c r="A45" s="43">
        <f>IF(B45&lt;&gt;"",MAX(A41:A44)+1,"")</f>
        <v>31</v>
      </c>
      <c r="B45" s="43" t="s">
        <v>39</v>
      </c>
      <c r="E45" s="92">
        <f t="shared" ref="E45:G45" si="194">+E44/E43</f>
        <v>0.26311842010354297</v>
      </c>
      <c r="F45" s="13">
        <f t="shared" si="194"/>
        <v>0.23430935653535079</v>
      </c>
      <c r="G45" s="14">
        <f t="shared" si="194"/>
        <v>0.23412169309913455</v>
      </c>
      <c r="H45" s="79"/>
      <c r="I45" s="92">
        <f t="shared" ref="I45" si="195">+I44/I43</f>
        <v>-0.51518521712904897</v>
      </c>
      <c r="J45" s="13">
        <f t="shared" ref="J45" si="196">+J44/J43</f>
        <v>-0.57652380658583791</v>
      </c>
      <c r="K45" s="15">
        <f t="shared" ref="K45" si="197">+K44/K43</f>
        <v>-0.58265675808748907</v>
      </c>
      <c r="M45" s="92">
        <f t="shared" ref="M45" si="198">+M44/M43</f>
        <v>-1.3381063008115313</v>
      </c>
      <c r="N45" s="13">
        <f t="shared" ref="N45" si="199">+N44/N43</f>
        <v>-1.4359674578932853</v>
      </c>
      <c r="O45" s="15">
        <f t="shared" ref="O45" si="200">+O44/O43</f>
        <v>-1.4542275270515057</v>
      </c>
      <c r="Q45" s="92">
        <f t="shared" ref="Q45" si="201">+Q44/Q43</f>
        <v>-2.2090631389937916</v>
      </c>
      <c r="R45" s="13">
        <f t="shared" ref="R45" si="202">+R44/R43</f>
        <v>-2.3477317546355039</v>
      </c>
      <c r="S45" s="15">
        <f t="shared" ref="S45" si="203">+S44/S43</f>
        <v>-2.3845041692582525</v>
      </c>
      <c r="U45" s="92">
        <f t="shared" ref="U45" si="204">+U44/U43</f>
        <v>-3.1317124164369341</v>
      </c>
      <c r="V45" s="13">
        <f t="shared" ref="V45" si="205">+V44/V43</f>
        <v>-3.3157858600516397</v>
      </c>
      <c r="W45" s="15">
        <f t="shared" ref="W45" si="206">+W44/W43</f>
        <v>-3.3776792217918841</v>
      </c>
      <c r="Y45" s="92">
        <f t="shared" ref="Y45" si="207">+Y44/Y43</f>
        <v>-4.1099657944918979</v>
      </c>
      <c r="Z45" s="13">
        <f t="shared" ref="Z45" si="208">+Z44/Z43</f>
        <v>-4.3443760008504109</v>
      </c>
      <c r="AA45" s="15">
        <f t="shared" ref="AA45" si="209">+AA44/AA43</f>
        <v>-4.4382439919669405</v>
      </c>
      <c r="AC45" s="92">
        <f t="shared" ref="AC45" si="210">+AC44/AC43</f>
        <v>-5.1480077359334508</v>
      </c>
      <c r="AD45" s="13">
        <f t="shared" ref="AD45" si="211">+AD44/AD43</f>
        <v>-5.4380448547819258</v>
      </c>
      <c r="AE45" s="15">
        <f t="shared" ref="AE45" si="212">+AE44/AE43</f>
        <v>-5.5710097619681296</v>
      </c>
      <c r="AG45" s="92">
        <f t="shared" ref="AG45" si="213">+AG44/AG43</f>
        <v>-6.2503146428559768</v>
      </c>
      <c r="AH45" s="13">
        <f t="shared" ref="AH45" si="214">+AH44/AH43</f>
        <v>-6.6016523639239484</v>
      </c>
      <c r="AI45" s="15">
        <f t="shared" ref="AI45" si="215">+AI44/AI43</f>
        <v>-6.7811305105284969</v>
      </c>
      <c r="AK45" s="92">
        <f t="shared" ref="AK45" si="216">+AK44/AK43</f>
        <v>-7.4216754013939559</v>
      </c>
      <c r="AL45" s="13">
        <f t="shared" ref="AL45" si="217">+AL44/AL43</f>
        <v>-7.8403980754765019</v>
      </c>
      <c r="AM45" s="15">
        <f t="shared" ref="AM45" si="218">+AM44/AM43</f>
        <v>-8.0741272597277352</v>
      </c>
      <c r="AO45" s="92">
        <f t="shared" ref="AO45" si="219">+AO44/AO43</f>
        <v>-8.6672134331291328</v>
      </c>
      <c r="AP45" s="13">
        <f t="shared" ref="AP45" si="220">+AP44/AP43</f>
        <v>-9.1598451185121021</v>
      </c>
      <c r="AQ45" s="15">
        <f t="shared" ref="AQ45" si="221">+AQ44/AQ43</f>
        <v>-9.4559141625832499</v>
      </c>
    </row>
    <row r="46" spans="1:43" hidden="1" outlineLevel="1" x14ac:dyDescent="0.3">
      <c r="A46" s="20" t="str">
        <f>IF(B46&lt;&gt;"",MAX(A42:A45)+1,"")</f>
        <v/>
      </c>
      <c r="F46" s="26"/>
      <c r="G46" s="17">
        <f>+(G39-F39)/10</f>
        <v>1.3366328244501346E-3</v>
      </c>
      <c r="J46" s="26"/>
      <c r="K46" s="82">
        <f>+(K39-J39)/10</f>
        <v>4.3681947070510319E-2</v>
      </c>
      <c r="L46" s="20"/>
      <c r="N46" s="26"/>
      <c r="O46" s="82">
        <f>+(O39-N39)/10</f>
        <v>0.1300573425794255</v>
      </c>
      <c r="R46" s="26"/>
      <c r="S46" s="82">
        <f>+(S39-R39)/10</f>
        <v>0.26191152315052763</v>
      </c>
      <c r="V46" s="26"/>
      <c r="W46" s="82">
        <f>+(W39-V39)/10</f>
        <v>0.44083546899489079</v>
      </c>
      <c r="Z46" s="26"/>
      <c r="AA46" s="82">
        <f>+(AA39-Z39)/10</f>
        <v>0.66857476672748251</v>
      </c>
      <c r="AD46" s="26"/>
      <c r="AE46" s="82">
        <f>+(AE39-AD39)/10</f>
        <v>0.94704255143373073</v>
      </c>
      <c r="AH46" s="26"/>
      <c r="AI46" s="82">
        <f>+(AI39-AH39)/10</f>
        <v>1.2783330991908997</v>
      </c>
      <c r="AL46" s="26"/>
      <c r="AM46" s="82">
        <f>+(AM39-AL39)/10</f>
        <v>1.6647361148294066</v>
      </c>
      <c r="AP46" s="26"/>
      <c r="AQ46" s="82">
        <f>+(AQ39-AP39)/10</f>
        <v>2.1087517663967446</v>
      </c>
    </row>
    <row r="47" spans="1:43" hidden="1" outlineLevel="1" x14ac:dyDescent="0.3">
      <c r="A47" s="20">
        <f t="shared" ref="A47:A55" si="222">IF(B47&lt;&gt;"",MAX(A44:A46)+1,"")</f>
        <v>32</v>
      </c>
      <c r="B47" s="57" t="s">
        <v>40</v>
      </c>
      <c r="L47" s="20"/>
    </row>
    <row r="48" spans="1:43" hidden="1" outlineLevel="1" x14ac:dyDescent="0.3">
      <c r="A48" s="20">
        <f t="shared" si="222"/>
        <v>33</v>
      </c>
      <c r="B48" s="20" t="s">
        <v>41</v>
      </c>
      <c r="D48" s="16">
        <v>2.9000000000000001E-2</v>
      </c>
      <c r="L48" s="20"/>
    </row>
    <row r="49" spans="1:43" hidden="1" outlineLevel="1" x14ac:dyDescent="0.3">
      <c r="A49" s="20">
        <f t="shared" si="222"/>
        <v>34</v>
      </c>
      <c r="B49" s="20" t="s">
        <v>42</v>
      </c>
      <c r="D49" s="53">
        <v>0.3</v>
      </c>
      <c r="F49" s="26">
        <f>-F5*$D48*(1-$D49)</f>
        <v>20.299999999999997</v>
      </c>
      <c r="G49" s="37">
        <f>-G5*$D48*(1-$D49)</f>
        <v>20.299999999999997</v>
      </c>
      <c r="J49" s="26">
        <f>-J5*$D48*(1-$D49)</f>
        <v>20.299999999999997</v>
      </c>
      <c r="K49" s="38">
        <f>-K5*$D48*(1-$D49)</f>
        <v>20.299999999999997</v>
      </c>
      <c r="L49" s="20"/>
      <c r="N49" s="26">
        <f>-N5*$D48*(1-$D49)</f>
        <v>20.299999999999997</v>
      </c>
      <c r="O49" s="38">
        <f>-O5*$D48*(1-$D49)</f>
        <v>20.299999999999997</v>
      </c>
      <c r="R49" s="26">
        <f>-R5*$D48*(1-$D49)</f>
        <v>20.299999999999997</v>
      </c>
      <c r="S49" s="38">
        <f>-S5*$D48*(1-$D49)</f>
        <v>20.299999999999997</v>
      </c>
      <c r="V49" s="26">
        <f>-V5*$D48*(1-$D49)</f>
        <v>20.299999999999997</v>
      </c>
      <c r="W49" s="38">
        <f>-W5*$D48*(1-$D49)</f>
        <v>20.299999999999997</v>
      </c>
      <c r="Z49" s="26">
        <f>-Z5*$D48*(1-$D49)</f>
        <v>20.299999999999997</v>
      </c>
      <c r="AA49" s="38">
        <f>-AA5*$D48*(1-$D49)</f>
        <v>20.299999999999997</v>
      </c>
      <c r="AD49" s="26">
        <f>-AD5*$D48*(1-$D49)</f>
        <v>20.299999999999997</v>
      </c>
      <c r="AE49" s="38">
        <f>-AE5*$D48*(1-$D49)</f>
        <v>20.299999999999997</v>
      </c>
      <c r="AH49" s="26">
        <f>-AH5*$D48*(1-$D49)</f>
        <v>20.299999999999997</v>
      </c>
      <c r="AI49" s="38">
        <f>-AI5*$D48*(1-$D49)</f>
        <v>20.299999999999997</v>
      </c>
      <c r="AL49" s="26">
        <f>-AL5*$D48*(1-$D49)</f>
        <v>20.299999999999997</v>
      </c>
      <c r="AM49" s="38">
        <f>-AM5*$D48*(1-$D49)</f>
        <v>20.299999999999997</v>
      </c>
      <c r="AP49" s="26">
        <f>-AP5*$D48*(1-$D49)</f>
        <v>20.299999999999997</v>
      </c>
      <c r="AQ49" s="38">
        <f>-AQ5*$D48*(1-$D49)</f>
        <v>20.299999999999997</v>
      </c>
    </row>
    <row r="50" spans="1:43" collapsed="1" x14ac:dyDescent="0.3">
      <c r="A50" s="20">
        <f t="shared" si="222"/>
        <v>35</v>
      </c>
      <c r="B50" s="20" t="s">
        <v>43</v>
      </c>
      <c r="F50" s="26">
        <f>+F23+F5+F17</f>
        <v>30.95</v>
      </c>
      <c r="G50" s="37">
        <f>+G23+G5+G17</f>
        <v>30.950000000000045</v>
      </c>
      <c r="J50" s="26">
        <f>+J23+J5+J17</f>
        <v>75.744799999999898</v>
      </c>
      <c r="K50" s="38">
        <f>+K23+K5+K17</f>
        <v>100.32941374999996</v>
      </c>
      <c r="L50" s="20"/>
      <c r="N50" s="26">
        <f>+N23+N5+N17</f>
        <v>123.73010962999975</v>
      </c>
      <c r="O50" s="38">
        <f>+O23+O5+O17</f>
        <v>174.65037624434353</v>
      </c>
      <c r="R50" s="26">
        <f>+R23+R5+R17</f>
        <v>175.13317293839617</v>
      </c>
      <c r="S50" s="38">
        <f>+S23+S5+S17</f>
        <v>254.26484929234675</v>
      </c>
      <c r="V50" s="26">
        <f>+V23+V5+V17</f>
        <v>230.19741943093317</v>
      </c>
      <c r="W50" s="38">
        <f>+W23+W5+W17</f>
        <v>339.54986318319402</v>
      </c>
      <c r="Z50" s="26">
        <f>+Z23+Z5+Z17</f>
        <v>289.18361687990131</v>
      </c>
      <c r="AA50" s="38">
        <f>+AA23+AA5+AA17</f>
        <v>430.90930218841686</v>
      </c>
      <c r="AD50" s="26">
        <f>+AD23+AD5+AD17</f>
        <v>352.37110624217206</v>
      </c>
      <c r="AE50" s="38">
        <f>+AE23+AE5+AE17</f>
        <v>528.77581723678645</v>
      </c>
      <c r="AH50" s="26">
        <f>+AH23+AH5+AH17</f>
        <v>420.05912453427067</v>
      </c>
      <c r="AI50" s="38">
        <f>+AI23+AI5+AI17</f>
        <v>633.61287481947647</v>
      </c>
      <c r="AL50" s="26">
        <f>+AL23+AL5+AL17</f>
        <v>492.56822192922385</v>
      </c>
      <c r="AM50" s="38">
        <f>+AM23+AM5+AM17</f>
        <v>745.91695182849367</v>
      </c>
      <c r="AP50" s="26">
        <f>+AP23+AP5+AP17</f>
        <v>570.24177978613284</v>
      </c>
      <c r="AQ50" s="38">
        <f>+AQ23+AQ5+AQ17</f>
        <v>866.2198867224779</v>
      </c>
    </row>
    <row r="51" spans="1:43" x14ac:dyDescent="0.3">
      <c r="A51" s="20">
        <f t="shared" si="222"/>
        <v>36</v>
      </c>
      <c r="B51" s="20" t="s">
        <v>44</v>
      </c>
      <c r="F51" s="26">
        <f>MIN(F49:F50)</f>
        <v>20.299999999999997</v>
      </c>
      <c r="G51" s="37">
        <f>MIN(G49:G50)</f>
        <v>20.299999999999997</v>
      </c>
      <c r="J51" s="26">
        <f>MIN(J49:J50)</f>
        <v>20.299999999999997</v>
      </c>
      <c r="K51" s="38">
        <f>MIN(K49:K50)</f>
        <v>20.299999999999997</v>
      </c>
      <c r="L51" s="20"/>
      <c r="N51" s="26">
        <f>MIN(N49:N50)</f>
        <v>20.299999999999997</v>
      </c>
      <c r="O51" s="38">
        <f>MIN(O49:O50)</f>
        <v>20.299999999999997</v>
      </c>
      <c r="R51" s="26">
        <f>MIN(R49:R50)</f>
        <v>20.299999999999997</v>
      </c>
      <c r="S51" s="38">
        <f>MIN(S49:S50)</f>
        <v>20.299999999999997</v>
      </c>
      <c r="V51" s="26">
        <f>MIN(V49:V50)</f>
        <v>20.299999999999997</v>
      </c>
      <c r="W51" s="38">
        <f>MIN(W49:W50)</f>
        <v>20.299999999999997</v>
      </c>
      <c r="Z51" s="26">
        <f>MIN(Z49:Z50)</f>
        <v>20.299999999999997</v>
      </c>
      <c r="AA51" s="38">
        <f>MIN(AA49:AA50)</f>
        <v>20.299999999999997</v>
      </c>
      <c r="AD51" s="26">
        <f>MIN(AD49:AD50)</f>
        <v>20.299999999999997</v>
      </c>
      <c r="AE51" s="38">
        <f>MIN(AE49:AE50)</f>
        <v>20.299999999999997</v>
      </c>
      <c r="AH51" s="26">
        <f>MIN(AH49:AH50)</f>
        <v>20.299999999999997</v>
      </c>
      <c r="AI51" s="38">
        <f>MIN(AI49:AI50)</f>
        <v>20.299999999999997</v>
      </c>
      <c r="AL51" s="26">
        <f>MIN(AL49:AL50)</f>
        <v>20.299999999999997</v>
      </c>
      <c r="AM51" s="38">
        <f>MIN(AM49:AM50)</f>
        <v>20.299999999999997</v>
      </c>
      <c r="AP51" s="26">
        <f>MIN(AP49:AP50)</f>
        <v>20.299999999999997</v>
      </c>
      <c r="AQ51" s="38">
        <f>MIN(AQ49:AQ50)</f>
        <v>20.299999999999997</v>
      </c>
    </row>
    <row r="52" spans="1:43" x14ac:dyDescent="0.3">
      <c r="A52" s="20">
        <f t="shared" si="222"/>
        <v>37</v>
      </c>
      <c r="B52" s="20" t="s">
        <v>45</v>
      </c>
      <c r="F52" s="26">
        <f>MAX(0,F51)</f>
        <v>20.299999999999997</v>
      </c>
      <c r="G52" s="37">
        <f>MAX(0,G51)</f>
        <v>20.299999999999997</v>
      </c>
      <c r="J52" s="26">
        <f>MAX(0,J51)</f>
        <v>20.299999999999997</v>
      </c>
      <c r="K52" s="38">
        <f>MAX(0,K51)</f>
        <v>20.299999999999997</v>
      </c>
      <c r="L52" s="20"/>
      <c r="N52" s="26">
        <f>MAX(0,N51)</f>
        <v>20.299999999999997</v>
      </c>
      <c r="O52" s="38">
        <f>MAX(0,O51)</f>
        <v>20.299999999999997</v>
      </c>
      <c r="R52" s="26">
        <f>MAX(0,R51)</f>
        <v>20.299999999999997</v>
      </c>
      <c r="S52" s="38">
        <f>MAX(0,S51)</f>
        <v>20.299999999999997</v>
      </c>
      <c r="V52" s="26">
        <f>MAX(0,V51)</f>
        <v>20.299999999999997</v>
      </c>
      <c r="W52" s="38">
        <f>MAX(0,W51)</f>
        <v>20.299999999999997</v>
      </c>
      <c r="Z52" s="26">
        <f>MAX(0,Z51)</f>
        <v>20.299999999999997</v>
      </c>
      <c r="AA52" s="38">
        <f>MAX(0,AA51)</f>
        <v>20.299999999999997</v>
      </c>
      <c r="AD52" s="26">
        <f>MAX(0,AD51)</f>
        <v>20.299999999999997</v>
      </c>
      <c r="AE52" s="38">
        <f>MAX(0,AE51)</f>
        <v>20.299999999999997</v>
      </c>
      <c r="AH52" s="26">
        <f>MAX(0,AH51)</f>
        <v>20.299999999999997</v>
      </c>
      <c r="AI52" s="38">
        <f>MAX(0,AI51)</f>
        <v>20.299999999999997</v>
      </c>
      <c r="AL52" s="26">
        <f>MAX(0,AL51)</f>
        <v>20.299999999999997</v>
      </c>
      <c r="AM52" s="38">
        <f>MAX(0,AM51)</f>
        <v>20.299999999999997</v>
      </c>
      <c r="AP52" s="26">
        <f>MAX(0,AP51)</f>
        <v>20.299999999999997</v>
      </c>
      <c r="AQ52" s="38">
        <f>MAX(0,AQ51)</f>
        <v>20.299999999999997</v>
      </c>
    </row>
    <row r="53" spans="1:43" x14ac:dyDescent="0.3">
      <c r="A53" s="20">
        <f t="shared" si="222"/>
        <v>38</v>
      </c>
      <c r="B53" s="20" t="s">
        <v>46</v>
      </c>
      <c r="F53" s="26">
        <f>+F17</f>
        <v>22.95</v>
      </c>
      <c r="G53" s="37">
        <f>+G17</f>
        <v>0</v>
      </c>
      <c r="J53" s="26">
        <f>+J17</f>
        <v>22.95</v>
      </c>
      <c r="K53" s="38">
        <f>+K17</f>
        <v>0</v>
      </c>
      <c r="L53" s="20"/>
      <c r="N53" s="26">
        <f>+N17</f>
        <v>22.95</v>
      </c>
      <c r="O53" s="38">
        <f>+O17</f>
        <v>0</v>
      </c>
      <c r="R53" s="26">
        <f>+R17</f>
        <v>22.95</v>
      </c>
      <c r="S53" s="38">
        <f>+S17</f>
        <v>0</v>
      </c>
      <c r="V53" s="26">
        <f>+V17</f>
        <v>22.95</v>
      </c>
      <c r="W53" s="38">
        <f>+W17</f>
        <v>0</v>
      </c>
      <c r="Z53" s="26">
        <f>+Z17</f>
        <v>22.95</v>
      </c>
      <c r="AA53" s="38">
        <f>+AA17</f>
        <v>0</v>
      </c>
      <c r="AD53" s="26">
        <f>+AD17</f>
        <v>22.95</v>
      </c>
      <c r="AE53" s="38">
        <f>+AE17</f>
        <v>0</v>
      </c>
      <c r="AH53" s="26">
        <f>+AH17</f>
        <v>22.95</v>
      </c>
      <c r="AI53" s="38">
        <f>+AI17</f>
        <v>0</v>
      </c>
      <c r="AL53" s="26">
        <f>+AL17</f>
        <v>22.95</v>
      </c>
      <c r="AM53" s="38">
        <f>+AM17</f>
        <v>0</v>
      </c>
      <c r="AP53" s="26">
        <f>+AP17</f>
        <v>22.95</v>
      </c>
      <c r="AQ53" s="38">
        <f>+AQ17</f>
        <v>0</v>
      </c>
    </row>
    <row r="54" spans="1:43" x14ac:dyDescent="0.3">
      <c r="A54" s="20">
        <f t="shared" si="222"/>
        <v>39</v>
      </c>
      <c r="B54" s="20" t="s">
        <v>47</v>
      </c>
      <c r="F54" s="26">
        <f>MAX(0,F52-F53)</f>
        <v>0</v>
      </c>
      <c r="G54" s="37">
        <f>MAX(0,G52-G53)</f>
        <v>20.299999999999997</v>
      </c>
      <c r="J54" s="26">
        <f>MAX(0,J52-J53)</f>
        <v>0</v>
      </c>
      <c r="K54" s="38">
        <f>MAX(0,K52-K53)</f>
        <v>20.299999999999997</v>
      </c>
      <c r="L54" s="20"/>
      <c r="N54" s="26">
        <f>MAX(0,N52-N53)</f>
        <v>0</v>
      </c>
      <c r="O54" s="38">
        <f>MAX(0,O52-O53)</f>
        <v>20.299999999999997</v>
      </c>
      <c r="R54" s="26">
        <f>MAX(0,R52-R53)</f>
        <v>0</v>
      </c>
      <c r="S54" s="38">
        <f>MAX(0,S52-S53)</f>
        <v>20.299999999999997</v>
      </c>
      <c r="V54" s="26">
        <f>MAX(0,V52-V53)</f>
        <v>0</v>
      </c>
      <c r="W54" s="38">
        <f>MAX(0,W52-W53)</f>
        <v>20.299999999999997</v>
      </c>
      <c r="Z54" s="26">
        <f>MAX(0,Z52-Z53)</f>
        <v>0</v>
      </c>
      <c r="AA54" s="38">
        <f>MAX(0,AA52-AA53)</f>
        <v>20.299999999999997</v>
      </c>
      <c r="AD54" s="26">
        <f>MAX(0,AD52-AD53)</f>
        <v>0</v>
      </c>
      <c r="AE54" s="38">
        <f>MAX(0,AE52-AE53)</f>
        <v>20.299999999999997</v>
      </c>
      <c r="AH54" s="26">
        <f>MAX(0,AH52-AH53)</f>
        <v>0</v>
      </c>
      <c r="AI54" s="38">
        <f>MAX(0,AI52-AI53)</f>
        <v>20.299999999999997</v>
      </c>
      <c r="AL54" s="26">
        <f>MAX(0,AL52-AL53)</f>
        <v>0</v>
      </c>
      <c r="AM54" s="38">
        <f>MAX(0,AM52-AM53)</f>
        <v>20.299999999999997</v>
      </c>
      <c r="AP54" s="26">
        <f>MAX(0,AP52-AP53)</f>
        <v>0</v>
      </c>
      <c r="AQ54" s="38">
        <f>MAX(0,AQ52-AQ53)</f>
        <v>20.299999999999997</v>
      </c>
    </row>
    <row r="55" spans="1:43" x14ac:dyDescent="0.3">
      <c r="A55" s="20">
        <f t="shared" si="222"/>
        <v>40</v>
      </c>
      <c r="B55" s="20" t="s">
        <v>6</v>
      </c>
      <c r="D55" s="54"/>
      <c r="F55" s="26">
        <f>+F54*$D$4</f>
        <v>0</v>
      </c>
      <c r="G55" s="37">
        <f>+G54*$D$4</f>
        <v>14.209999999999997</v>
      </c>
      <c r="J55" s="26">
        <f>+J54*$D$4</f>
        <v>0</v>
      </c>
      <c r="K55" s="38">
        <f>+K54*$D$4</f>
        <v>14.209999999999997</v>
      </c>
      <c r="L55" s="20"/>
      <c r="N55" s="26">
        <f>+N54*$D$4</f>
        <v>0</v>
      </c>
      <c r="O55" s="38">
        <f>+O54*$D$4</f>
        <v>14.209999999999997</v>
      </c>
      <c r="R55" s="26">
        <f>+R54*$D$4</f>
        <v>0</v>
      </c>
      <c r="S55" s="38">
        <f>+S54*$D$4</f>
        <v>14.209999999999997</v>
      </c>
      <c r="V55" s="26">
        <f>+V54*$D$4</f>
        <v>0</v>
      </c>
      <c r="W55" s="38">
        <f>+W54*$D$4</f>
        <v>14.209999999999997</v>
      </c>
      <c r="Z55" s="26">
        <f>+Z54*$D$4</f>
        <v>0</v>
      </c>
      <c r="AA55" s="38">
        <f>+AA54*$D$4</f>
        <v>14.209999999999997</v>
      </c>
      <c r="AD55" s="26">
        <f>+AD54*$D$4</f>
        <v>0</v>
      </c>
      <c r="AE55" s="38">
        <f>+AE54*$D$4</f>
        <v>14.209999999999997</v>
      </c>
      <c r="AH55" s="26">
        <f>+AH54*$D$4</f>
        <v>0</v>
      </c>
      <c r="AI55" s="38">
        <f>+AI54*$D$4</f>
        <v>14.209999999999997</v>
      </c>
      <c r="AL55" s="26">
        <f>+AL54*$D$4</f>
        <v>0</v>
      </c>
      <c r="AM55" s="38">
        <f>+AM54*$D$4</f>
        <v>14.209999999999997</v>
      </c>
      <c r="AP55" s="26">
        <f>+AP54*$D$4</f>
        <v>0</v>
      </c>
      <c r="AQ55" s="38">
        <f>+AQ54*$D$4</f>
        <v>14.209999999999997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N26"/>
  <sheetViews>
    <sheetView topLeftCell="D2" workbookViewId="0">
      <selection activeCell="I21" sqref="I21"/>
    </sheetView>
  </sheetViews>
  <sheetFormatPr baseColWidth="10" defaultRowHeight="14.4" x14ac:dyDescent="0.3"/>
  <sheetData>
    <row r="1" spans="1:14" x14ac:dyDescent="0.3">
      <c r="A1">
        <v>7.0000000000000007E-2</v>
      </c>
      <c r="B1">
        <f>+A1*0.7</f>
        <v>4.9000000000000002E-2</v>
      </c>
      <c r="D1">
        <f>(1+A1+C1)^10</f>
        <v>1.9671513572895656</v>
      </c>
      <c r="E1">
        <f>+D1-1</f>
        <v>0.96715135728956558</v>
      </c>
      <c r="F1">
        <f>-E1*0.26375*0.7</f>
        <v>-0.17856031933958602</v>
      </c>
      <c r="G1">
        <f>+D1+F1</f>
        <v>1.7885910379499796</v>
      </c>
    </row>
    <row r="2" spans="1:14" x14ac:dyDescent="0.3">
      <c r="A2">
        <f>+A1*0.26375</f>
        <v>1.84625E-2</v>
      </c>
      <c r="B2">
        <f>+B1*0.26375</f>
        <v>1.2923749999999999E-2</v>
      </c>
      <c r="C2">
        <f>+B2-A2</f>
        <v>-5.5387500000000003E-3</v>
      </c>
      <c r="D2">
        <f>(1+A1+C2)^10</f>
        <v>1.8676632045878327</v>
      </c>
      <c r="E2">
        <f>+D2-1</f>
        <v>0.86766320458783275</v>
      </c>
      <c r="F2">
        <f>+F1/0.7</f>
        <v>-0.25508617048512289</v>
      </c>
      <c r="G2">
        <f>+D1+F2</f>
        <v>1.7120651868044428</v>
      </c>
    </row>
    <row r="3" spans="1:14" x14ac:dyDescent="0.3">
      <c r="G3">
        <f>+G1-G2</f>
        <v>7.6525851145536894E-2</v>
      </c>
    </row>
    <row r="4" spans="1:14" x14ac:dyDescent="0.3">
      <c r="J4" s="19" t="s">
        <v>56</v>
      </c>
      <c r="K4" s="19"/>
    </row>
    <row r="5" spans="1:14" x14ac:dyDescent="0.3">
      <c r="G5" s="12">
        <v>0.26374999999999998</v>
      </c>
    </row>
    <row r="6" spans="1:14" x14ac:dyDescent="0.3">
      <c r="A6" t="s">
        <v>48</v>
      </c>
      <c r="B6" t="s">
        <v>49</v>
      </c>
      <c r="C6" t="s">
        <v>50</v>
      </c>
      <c r="D6" s="11">
        <v>0.03</v>
      </c>
      <c r="E6" s="11">
        <v>7.0000000000000007E-2</v>
      </c>
      <c r="F6" t="s">
        <v>13</v>
      </c>
      <c r="G6">
        <v>0.7</v>
      </c>
      <c r="H6" t="s">
        <v>24</v>
      </c>
      <c r="I6" t="s">
        <v>51</v>
      </c>
      <c r="J6" t="s">
        <v>13</v>
      </c>
      <c r="K6" t="s">
        <v>52</v>
      </c>
      <c r="L6" t="s">
        <v>53</v>
      </c>
      <c r="M6" t="s">
        <v>54</v>
      </c>
      <c r="N6" t="s">
        <v>55</v>
      </c>
    </row>
    <row r="7" spans="1:14" x14ac:dyDescent="0.3">
      <c r="A7">
        <v>1</v>
      </c>
      <c r="B7">
        <v>100</v>
      </c>
      <c r="C7">
        <f>+A7*B7</f>
        <v>100</v>
      </c>
      <c r="D7">
        <f t="shared" ref="D7:D16" si="0">+C7*D$6</f>
        <v>3</v>
      </c>
      <c r="E7">
        <f t="shared" ref="E7:E16" si="1">+C7*$E$6</f>
        <v>7.0000000000000009</v>
      </c>
      <c r="F7">
        <f>+(C7-D7+E7)/B7</f>
        <v>1.04</v>
      </c>
      <c r="G7">
        <f>D7*(1-G$5*G$6)</f>
        <v>2.4461249999999999</v>
      </c>
      <c r="H7">
        <f>G7/F7</f>
        <v>2.3520432692307689</v>
      </c>
      <c r="I7">
        <f>+B7+H7</f>
        <v>102.35204326923076</v>
      </c>
      <c r="J7">
        <f>+(C7-D7+E7)/B$7</f>
        <v>1.04</v>
      </c>
      <c r="K7">
        <f>+I7*J7</f>
        <v>106.44612499999999</v>
      </c>
      <c r="L7">
        <f>+K7-(K7-C$7-SUM(G7:$G$7))*(G6*G5)</f>
        <v>105.70762499999999</v>
      </c>
      <c r="M7">
        <f>+K7-(K7-C$7-SUM(G7:$G$7))*(G$5)</f>
        <v>105.391125</v>
      </c>
      <c r="N7" s="18">
        <f>1-(M7-C$7-SUM($G$7:G7))/(L7-C$7-SUM($G$7:G7))</f>
        <v>9.7041238693849841E-2</v>
      </c>
    </row>
    <row r="8" spans="1:14" x14ac:dyDescent="0.3">
      <c r="A8">
        <f>+J7</f>
        <v>1.04</v>
      </c>
      <c r="B8">
        <f>+I7</f>
        <v>102.35204326923076</v>
      </c>
      <c r="C8">
        <f>+A8*B8</f>
        <v>106.44612499999999</v>
      </c>
      <c r="D8">
        <f t="shared" si="0"/>
        <v>3.1933837499999997</v>
      </c>
      <c r="E8">
        <f t="shared" si="1"/>
        <v>7.4512287500000003</v>
      </c>
      <c r="F8">
        <f t="shared" ref="F8:F26" si="2">+(C8-D8+E8)/B8</f>
        <v>1.0816000000000001</v>
      </c>
      <c r="G8">
        <f t="shared" ref="G8:G26" si="3">D8*(1-G$5*G$6)</f>
        <v>2.6038052751562497</v>
      </c>
      <c r="H8">
        <f t="shared" ref="H8:H26" si="4">G8/F8</f>
        <v>2.4073643446341064</v>
      </c>
      <c r="I8">
        <f t="shared" ref="I8:I26" si="5">+B8+H8</f>
        <v>104.75940761386487</v>
      </c>
      <c r="J8">
        <f>+F8</f>
        <v>1.0816000000000001</v>
      </c>
      <c r="K8">
        <f t="shared" ref="K8:K26" si="6">+I8*J8</f>
        <v>113.30777527515625</v>
      </c>
      <c r="L8">
        <f>+K8-(K8-C$7-SUM($G$7:G8))*(G$5*G$6)</f>
        <v>111.78317064203125</v>
      </c>
      <c r="M8">
        <f>+K8-(K8-C$7-SUM(G$7:$G8))*(G$5)</f>
        <v>111.12976865640624</v>
      </c>
      <c r="N8" s="18">
        <f>1-(M8-C$7-SUM($G$7:G8))/(L8-C$7-SUM($G$7:G8))</f>
        <v>9.7041238693853948E-2</v>
      </c>
    </row>
    <row r="9" spans="1:14" x14ac:dyDescent="0.3">
      <c r="A9">
        <f t="shared" ref="A9:A26" si="7">+J8</f>
        <v>1.0816000000000001</v>
      </c>
      <c r="B9">
        <f t="shared" ref="B9:B26" si="8">+I8</f>
        <v>104.75940761386487</v>
      </c>
      <c r="C9">
        <f t="shared" ref="C9:C26" si="9">+A9*B9</f>
        <v>113.30777527515625</v>
      </c>
      <c r="D9">
        <f t="shared" si="0"/>
        <v>3.3992332582546871</v>
      </c>
      <c r="E9">
        <f t="shared" si="1"/>
        <v>7.9315442692609377</v>
      </c>
      <c r="F9">
        <f t="shared" si="2"/>
        <v>1.1248640000000001</v>
      </c>
      <c r="G9">
        <f t="shared" si="3"/>
        <v>2.7716498179494153</v>
      </c>
      <c r="H9">
        <f t="shared" si="4"/>
        <v>2.4639865956679343</v>
      </c>
      <c r="I9">
        <f t="shared" si="5"/>
        <v>107.2233942095328</v>
      </c>
      <c r="J9">
        <f t="shared" ref="J9:J26" si="10">+F9</f>
        <v>1.1248640000000001</v>
      </c>
      <c r="K9">
        <f t="shared" si="6"/>
        <v>120.61173610411191</v>
      </c>
      <c r="L9">
        <f>+K9-(K9-C$7-SUM($G$7:G9))*(G$5*G$6)</f>
        <v>118.25035355057989</v>
      </c>
      <c r="M9">
        <f>+K9-(K9-C$7-SUM(G$7:$G9))*(G$5)</f>
        <v>117.23833245620901</v>
      </c>
      <c r="N9" s="18">
        <f>1-(M9-C$7-SUM($G$7:G9))/(L9-C$7-SUM($G$7:G9))</f>
        <v>9.7041238693853504E-2</v>
      </c>
    </row>
    <row r="10" spans="1:14" x14ac:dyDescent="0.3">
      <c r="A10">
        <f t="shared" si="7"/>
        <v>1.1248640000000001</v>
      </c>
      <c r="B10">
        <f t="shared" si="8"/>
        <v>107.2233942095328</v>
      </c>
      <c r="C10">
        <f t="shared" si="9"/>
        <v>120.61173610411191</v>
      </c>
      <c r="D10">
        <f t="shared" si="0"/>
        <v>3.6183520831233573</v>
      </c>
      <c r="E10">
        <f t="shared" si="1"/>
        <v>8.4428215272878351</v>
      </c>
      <c r="F10">
        <f t="shared" si="2"/>
        <v>1.1698585600000002</v>
      </c>
      <c r="G10">
        <f t="shared" si="3"/>
        <v>2.9503138297767073</v>
      </c>
      <c r="H10">
        <f t="shared" si="4"/>
        <v>2.52194062654609</v>
      </c>
      <c r="I10">
        <f t="shared" si="5"/>
        <v>109.74533483607888</v>
      </c>
      <c r="J10">
        <f t="shared" si="10"/>
        <v>1.1698585600000002</v>
      </c>
      <c r="K10">
        <f t="shared" si="6"/>
        <v>128.38651937805309</v>
      </c>
      <c r="L10">
        <f>+K10-(K10-C$7-SUM($G$7:G10))*(G$5*G$6)</f>
        <v>125.1344191533922</v>
      </c>
      <c r="M10">
        <f>+K10-(K10-C$7-SUM(G$7:$G10))*(G$5)</f>
        <v>123.74066191425182</v>
      </c>
      <c r="N10" s="18">
        <f>1-(M10-C$7-SUM($G$7:G10))/(L10-C$7-SUM($G$7:G10))</f>
        <v>9.7041238693852616E-2</v>
      </c>
    </row>
    <row r="11" spans="1:14" x14ac:dyDescent="0.3">
      <c r="A11">
        <f t="shared" si="7"/>
        <v>1.1698585600000002</v>
      </c>
      <c r="B11">
        <f t="shared" si="8"/>
        <v>109.74533483607888</v>
      </c>
      <c r="C11">
        <f t="shared" si="9"/>
        <v>128.38651937805309</v>
      </c>
      <c r="D11">
        <f t="shared" si="0"/>
        <v>3.8515955813415927</v>
      </c>
      <c r="E11">
        <f t="shared" si="1"/>
        <v>8.987056356463718</v>
      </c>
      <c r="F11">
        <f t="shared" si="2"/>
        <v>1.2166529024000001</v>
      </c>
      <c r="G11">
        <f t="shared" si="3"/>
        <v>3.1404947471364011</v>
      </c>
      <c r="H11">
        <f t="shared" si="4"/>
        <v>2.5812577613067638</v>
      </c>
      <c r="I11">
        <f t="shared" si="5"/>
        <v>112.32659259738564</v>
      </c>
      <c r="J11">
        <f t="shared" si="10"/>
        <v>1.2166529024000001</v>
      </c>
      <c r="K11">
        <f t="shared" si="6"/>
        <v>136.66247490031162</v>
      </c>
      <c r="L11">
        <f>+K11-(K11-C$7-SUM($G$7:G11))*(G$5*G$6)</f>
        <v>132.46224023004382</v>
      </c>
      <c r="M11">
        <f>+K11-(K11-C$7-SUM(G$7:$G11))*(G$5)</f>
        <v>130.66213965707189</v>
      </c>
      <c r="N11" s="18">
        <f>1-(M11-C$7-SUM($G$7:G11))/(L11-C$7-SUM($G$7:G11))</f>
        <v>9.7041238693852838E-2</v>
      </c>
    </row>
    <row r="12" spans="1:14" x14ac:dyDescent="0.3">
      <c r="A12">
        <f t="shared" si="7"/>
        <v>1.2166529024000001</v>
      </c>
      <c r="B12">
        <f t="shared" si="8"/>
        <v>112.32659259738564</v>
      </c>
      <c r="C12">
        <f t="shared" si="9"/>
        <v>136.66247490031162</v>
      </c>
      <c r="D12">
        <f t="shared" si="0"/>
        <v>4.0998742470093488</v>
      </c>
      <c r="E12">
        <f t="shared" si="1"/>
        <v>9.5663732430218147</v>
      </c>
      <c r="F12">
        <f t="shared" si="2"/>
        <v>1.2653190184960001</v>
      </c>
      <c r="G12">
        <f t="shared" si="3"/>
        <v>3.3429349641552477</v>
      </c>
      <c r="H12">
        <f t="shared" si="4"/>
        <v>2.6419700607430765</v>
      </c>
      <c r="I12">
        <f t="shared" si="5"/>
        <v>114.96856265812872</v>
      </c>
      <c r="J12">
        <f t="shared" si="10"/>
        <v>1.2653190184960001</v>
      </c>
      <c r="K12">
        <f t="shared" si="6"/>
        <v>145.47190886047932</v>
      </c>
      <c r="L12">
        <f>+K12-(K12-C$7-SUM($G$7:G12))*(G$5*G$6)</f>
        <v>140.26242181307271</v>
      </c>
      <c r="M12">
        <f>+K12-(K12-C$7-SUM(G$7:$G12))*(G$5)</f>
        <v>138.02978450704128</v>
      </c>
      <c r="N12" s="18">
        <f>1-(M12-C$7-SUM($G$7:G12))/(L12-C$7-SUM($G$7:G12))</f>
        <v>9.7041238693853171E-2</v>
      </c>
    </row>
    <row r="13" spans="1:14" x14ac:dyDescent="0.3">
      <c r="A13">
        <f t="shared" si="7"/>
        <v>1.2653190184960001</v>
      </c>
      <c r="B13">
        <f t="shared" si="8"/>
        <v>114.96856265812872</v>
      </c>
      <c r="C13">
        <f t="shared" si="9"/>
        <v>145.47190886047932</v>
      </c>
      <c r="D13">
        <f t="shared" si="0"/>
        <v>4.364157265814379</v>
      </c>
      <c r="E13">
        <f t="shared" si="1"/>
        <v>10.183033620233553</v>
      </c>
      <c r="F13">
        <f t="shared" si="2"/>
        <v>1.31593177923584</v>
      </c>
      <c r="G13">
        <f t="shared" si="3"/>
        <v>3.5584247306133991</v>
      </c>
      <c r="H13">
        <f t="shared" si="4"/>
        <v>2.704110339731876</v>
      </c>
      <c r="I13">
        <f t="shared" si="5"/>
        <v>117.67267299786059</v>
      </c>
      <c r="J13">
        <f t="shared" si="10"/>
        <v>1.31593177923584</v>
      </c>
      <c r="K13">
        <f t="shared" si="6"/>
        <v>154.84920994551189</v>
      </c>
      <c r="L13">
        <f>+K13-(K13-C$7-SUM($G$7:G13))*(G$5*G$6)</f>
        <v>148.56541285117063</v>
      </c>
      <c r="M13">
        <f>+K13-(K13-C$7-SUM(G$7:$G13))*(G$5)</f>
        <v>145.87235695359581</v>
      </c>
      <c r="N13" s="18">
        <f>1-(M13-C$7-SUM($G$7:G13))/(L13-C$7-SUM($G$7:G13))</f>
        <v>9.7041238693852505E-2</v>
      </c>
    </row>
    <row r="14" spans="1:14" x14ac:dyDescent="0.3">
      <c r="A14">
        <f t="shared" si="7"/>
        <v>1.31593177923584</v>
      </c>
      <c r="B14">
        <f t="shared" si="8"/>
        <v>117.67267299786059</v>
      </c>
      <c r="C14">
        <f t="shared" si="9"/>
        <v>154.84920994551189</v>
      </c>
      <c r="D14">
        <f t="shared" si="0"/>
        <v>4.6454762983653568</v>
      </c>
      <c r="E14">
        <f t="shared" si="1"/>
        <v>10.839444696185833</v>
      </c>
      <c r="F14">
        <f t="shared" si="2"/>
        <v>1.3685690504052737</v>
      </c>
      <c r="G14">
        <f t="shared" si="3"/>
        <v>3.7878052367796524</v>
      </c>
      <c r="H14">
        <f t="shared" si="4"/>
        <v>2.767712184970113</v>
      </c>
      <c r="I14">
        <f t="shared" si="5"/>
        <v>120.4403851828307</v>
      </c>
      <c r="J14">
        <f t="shared" si="10"/>
        <v>1.3685690504052737</v>
      </c>
      <c r="K14">
        <f t="shared" si="6"/>
        <v>164.83098358011199</v>
      </c>
      <c r="L14">
        <f>+K14-(K14-C$7-SUM($G$7:G14))*(G$5*G$6)</f>
        <v>157.40362507032313</v>
      </c>
      <c r="M14">
        <f>+K14-(K14-C$7-SUM(G$7:$G14))*(G$5)</f>
        <v>154.22047142327077</v>
      </c>
      <c r="N14" s="18">
        <f>1-(M14-C$7-SUM($G$7:G14))/(L14-C$7-SUM($G$7:G14))</f>
        <v>9.7041238693852505E-2</v>
      </c>
    </row>
    <row r="15" spans="1:14" x14ac:dyDescent="0.3">
      <c r="A15">
        <f t="shared" si="7"/>
        <v>1.3685690504052737</v>
      </c>
      <c r="B15">
        <f t="shared" si="8"/>
        <v>120.4403851828307</v>
      </c>
      <c r="C15">
        <f t="shared" si="9"/>
        <v>164.83098358011199</v>
      </c>
      <c r="D15">
        <f t="shared" si="0"/>
        <v>4.9449295074033595</v>
      </c>
      <c r="E15">
        <f t="shared" si="1"/>
        <v>11.538168850607841</v>
      </c>
      <c r="F15">
        <f t="shared" si="2"/>
        <v>1.4233118124214843</v>
      </c>
      <c r="G15">
        <f t="shared" si="3"/>
        <v>4.0319718970990142</v>
      </c>
      <c r="H15">
        <f t="shared" si="4"/>
        <v>2.8328099731283825</v>
      </c>
      <c r="I15">
        <f t="shared" si="5"/>
        <v>123.27319515595907</v>
      </c>
      <c r="J15">
        <f t="shared" si="10"/>
        <v>1.4233118124214843</v>
      </c>
      <c r="K15">
        <f t="shared" si="6"/>
        <v>175.45619482041545</v>
      </c>
      <c r="L15">
        <f>+K15-(K15-C$7-SUM($G$7:G15))*(G$5*G$6)</f>
        <v>166.81155949688747</v>
      </c>
      <c r="M15">
        <f>+K15-(K15-C$7-SUM(G$7:$G15))*(G$5)</f>
        <v>163.10671578680405</v>
      </c>
      <c r="N15" s="18">
        <f>1-(M15-C$7-SUM($G$7:G15))/(L15-C$7-SUM($G$7:G15))</f>
        <v>9.7041238693852616E-2</v>
      </c>
    </row>
    <row r="16" spans="1:14" x14ac:dyDescent="0.3">
      <c r="A16">
        <f t="shared" si="7"/>
        <v>1.4233118124214843</v>
      </c>
      <c r="B16">
        <f t="shared" si="8"/>
        <v>123.27319515595907</v>
      </c>
      <c r="C16">
        <f t="shared" si="9"/>
        <v>175.45619482041545</v>
      </c>
      <c r="D16">
        <f t="shared" si="0"/>
        <v>5.2636858446124632</v>
      </c>
      <c r="E16">
        <f t="shared" si="1"/>
        <v>12.281933637429082</v>
      </c>
      <c r="F16">
        <f t="shared" si="2"/>
        <v>1.4802442849183437</v>
      </c>
      <c r="G16">
        <f t="shared" si="3"/>
        <v>4.2918778455508866</v>
      </c>
      <c r="H16">
        <f t="shared" si="4"/>
        <v>2.8994388894314453</v>
      </c>
      <c r="I16">
        <f t="shared" si="5"/>
        <v>126.17263404539052</v>
      </c>
      <c r="J16">
        <f t="shared" si="10"/>
        <v>1.4802442849183437</v>
      </c>
      <c r="K16">
        <f t="shared" si="6"/>
        <v>186.76632045878296</v>
      </c>
      <c r="L16">
        <f>+K16-(K16-C$7-SUM($G$7:G16))*(G$5*G$6)</f>
        <v>176.8259411365062</v>
      </c>
      <c r="M16">
        <f>+K16-(K16-C$7-SUM(G$7:$G16))*(G$5)</f>
        <v>172.56577856981619</v>
      </c>
      <c r="N16" s="18">
        <f>1-(M16-C$7-SUM($G$7:G16))/(L16-C$7-SUM($G$7:G16))</f>
        <v>9.7041238693852061E-2</v>
      </c>
    </row>
    <row r="17" spans="1:14" x14ac:dyDescent="0.3">
      <c r="A17">
        <f t="shared" si="7"/>
        <v>1.4802442849183437</v>
      </c>
      <c r="B17">
        <f t="shared" si="8"/>
        <v>126.17263404539052</v>
      </c>
      <c r="C17">
        <f t="shared" si="9"/>
        <v>186.76632045878296</v>
      </c>
      <c r="D17">
        <f t="shared" ref="D17:D26" si="11">+C17*D$6</f>
        <v>5.6029896137634889</v>
      </c>
      <c r="E17">
        <f t="shared" ref="E17:E26" si="12">+C17*$E$6</f>
        <v>13.073642432114807</v>
      </c>
      <c r="F17">
        <f t="shared" si="2"/>
        <v>1.5394540563150774</v>
      </c>
      <c r="G17">
        <f t="shared" si="3"/>
        <v>4.5685376563224045</v>
      </c>
      <c r="H17">
        <f t="shared" si="4"/>
        <v>2.9676349466757777</v>
      </c>
      <c r="I17">
        <f t="shared" si="5"/>
        <v>129.1402689920663</v>
      </c>
      <c r="J17">
        <f t="shared" si="10"/>
        <v>1.5394540563150774</v>
      </c>
      <c r="K17">
        <f t="shared" si="6"/>
        <v>198.80551093345667</v>
      </c>
      <c r="L17">
        <f>+K17-(K17-C$7-SUM($G$7:G17))*(G$5*G$6)</f>
        <v>187.48586233459181</v>
      </c>
      <c r="M17">
        <f>+K17-(K17-C$7-SUM(G$7:$G17))*(G$5)</f>
        <v>182.63458436364974</v>
      </c>
      <c r="N17" s="18">
        <f>1-(M17-C$7-SUM($G$7:G17))/(L17-C$7-SUM($G$7:G17))</f>
        <v>9.7041238693852505E-2</v>
      </c>
    </row>
    <row r="18" spans="1:14" x14ac:dyDescent="0.3">
      <c r="A18">
        <f t="shared" si="7"/>
        <v>1.5394540563150774</v>
      </c>
      <c r="B18">
        <f t="shared" si="8"/>
        <v>129.1402689920663</v>
      </c>
      <c r="C18">
        <f t="shared" si="9"/>
        <v>198.80551093345667</v>
      </c>
      <c r="D18">
        <f t="shared" si="11"/>
        <v>5.9641653280037001</v>
      </c>
      <c r="E18">
        <f t="shared" si="12"/>
        <v>13.916385765341969</v>
      </c>
      <c r="F18">
        <f t="shared" si="2"/>
        <v>1.6010322185676806</v>
      </c>
      <c r="G18">
        <f t="shared" si="3"/>
        <v>4.8630313043210167</v>
      </c>
      <c r="H18">
        <f t="shared" si="4"/>
        <v>3.0374350046944052</v>
      </c>
      <c r="I18">
        <f t="shared" si="5"/>
        <v>132.1777039967607</v>
      </c>
      <c r="J18">
        <f t="shared" si="10"/>
        <v>1.6010322185676806</v>
      </c>
      <c r="K18">
        <f t="shared" si="6"/>
        <v>211.62076267511597</v>
      </c>
      <c r="L18">
        <f>+K18-(K18-C$7-SUM($G$7:G18))*(G$5*G$6)</f>
        <v>198.83293537800753</v>
      </c>
      <c r="M18">
        <f>+K18-(K18-C$7-SUM(G$7:$G18))*(G$5)</f>
        <v>193.35243796496107</v>
      </c>
      <c r="N18" s="18">
        <f>1-(M18-C$7-SUM($G$7:G18))/(L18-C$7-SUM($G$7:G18))</f>
        <v>9.7041238693852394E-2</v>
      </c>
    </row>
    <row r="19" spans="1:14" x14ac:dyDescent="0.3">
      <c r="A19">
        <f t="shared" si="7"/>
        <v>1.6010322185676806</v>
      </c>
      <c r="B19">
        <f t="shared" si="8"/>
        <v>132.1777039967607</v>
      </c>
      <c r="C19">
        <f t="shared" si="9"/>
        <v>211.62076267511597</v>
      </c>
      <c r="D19">
        <f t="shared" si="11"/>
        <v>6.3486228802534788</v>
      </c>
      <c r="E19">
        <f t="shared" si="12"/>
        <v>14.81345338725812</v>
      </c>
      <c r="F19">
        <f t="shared" si="2"/>
        <v>1.6650735073103877</v>
      </c>
      <c r="G19">
        <f t="shared" si="3"/>
        <v>5.1765083809866796</v>
      </c>
      <c r="H19">
        <f t="shared" si="4"/>
        <v>3.1088767902795791</v>
      </c>
      <c r="I19">
        <f t="shared" si="5"/>
        <v>135.28658078704026</v>
      </c>
      <c r="J19">
        <f t="shared" si="10"/>
        <v>1.6650735073103877</v>
      </c>
      <c r="K19">
        <f t="shared" si="6"/>
        <v>225.26210156310725</v>
      </c>
      <c r="L19">
        <f>+K19-(K19-C$7-SUM($G$7:G19))*(G$5*G$6)</f>
        <v>210.91145493364309</v>
      </c>
      <c r="M19">
        <f>+K19-(K19-C$7-SUM(G$7:$G19))*(G$5)</f>
        <v>204.76117780672988</v>
      </c>
      <c r="N19" s="18">
        <f>1-(M19-C$7-SUM($G$7:G19))/(L19-C$7-SUM($G$7:G19))</f>
        <v>9.7041238693852505E-2</v>
      </c>
    </row>
    <row r="20" spans="1:14" x14ac:dyDescent="0.3">
      <c r="A20">
        <f t="shared" si="7"/>
        <v>1.6650735073103877</v>
      </c>
      <c r="B20">
        <f t="shared" si="8"/>
        <v>135.28658078704026</v>
      </c>
      <c r="C20">
        <f t="shared" si="9"/>
        <v>225.26210156310725</v>
      </c>
      <c r="D20">
        <f t="shared" si="11"/>
        <v>6.7578630468932177</v>
      </c>
      <c r="E20">
        <f t="shared" si="12"/>
        <v>15.768347109417508</v>
      </c>
      <c r="F20">
        <f t="shared" si="2"/>
        <v>1.7316764476028033</v>
      </c>
      <c r="G20">
        <f t="shared" si="3"/>
        <v>5.510192581860557</v>
      </c>
      <c r="H20">
        <f t="shared" si="4"/>
        <v>3.1819989175740275</v>
      </c>
      <c r="I20">
        <f t="shared" si="5"/>
        <v>138.46857970461429</v>
      </c>
      <c r="J20">
        <f t="shared" si="10"/>
        <v>1.7316764476028033</v>
      </c>
      <c r="K20">
        <f t="shared" si="6"/>
        <v>239.78277820749207</v>
      </c>
      <c r="L20">
        <f>+K20-(K20-C$7-SUM($G$7:G20))*(G$5*G$6)</f>
        <v>223.76857095798437</v>
      </c>
      <c r="M20">
        <f>+K20-(K20-C$7-SUM(G$7:$G20))*(G$5)</f>
        <v>216.90533927962392</v>
      </c>
      <c r="N20" s="18">
        <f>1-(M20-C$7-SUM($G$7:G20))/(L20-C$7-SUM($G$7:G20))</f>
        <v>9.7041238693852616E-2</v>
      </c>
    </row>
    <row r="21" spans="1:14" x14ac:dyDescent="0.3">
      <c r="A21">
        <f t="shared" si="7"/>
        <v>1.7316764476028033</v>
      </c>
      <c r="B21">
        <f t="shared" si="8"/>
        <v>138.46857970461429</v>
      </c>
      <c r="C21">
        <f t="shared" si="9"/>
        <v>239.78277820749207</v>
      </c>
      <c r="D21">
        <f t="shared" si="11"/>
        <v>7.1934833462247623</v>
      </c>
      <c r="E21">
        <f t="shared" si="12"/>
        <v>16.784794474524446</v>
      </c>
      <c r="F21">
        <f t="shared" si="2"/>
        <v>1.8009435055069154</v>
      </c>
      <c r="G21">
        <f t="shared" si="3"/>
        <v>5.8653864834280149</v>
      </c>
      <c r="H21">
        <f t="shared" si="4"/>
        <v>3.2568409089418227</v>
      </c>
      <c r="I21">
        <f t="shared" si="5"/>
        <v>141.72542061355611</v>
      </c>
      <c r="J21">
        <f t="shared" si="10"/>
        <v>1.8009435055069154</v>
      </c>
      <c r="K21">
        <f t="shared" si="6"/>
        <v>255.23947581921979</v>
      </c>
      <c r="L21">
        <f>+K21-(K21-C$7-SUM($G$7:G21))*(G$5*G$6)</f>
        <v>237.45447275264976</v>
      </c>
      <c r="M21">
        <f>+K21-(K21-C$7-SUM(G$7:$G21))*(G$5)</f>
        <v>229.8323285812626</v>
      </c>
      <c r="N21" s="18">
        <f>1-(M21-C$7-SUM($G$7:G21))/(L21-C$7-SUM($G$7:G21))</f>
        <v>9.7041238693852616E-2</v>
      </c>
    </row>
    <row r="22" spans="1:14" x14ac:dyDescent="0.3">
      <c r="A22">
        <f t="shared" si="7"/>
        <v>1.8009435055069154</v>
      </c>
      <c r="B22">
        <f t="shared" si="8"/>
        <v>141.72542061355611</v>
      </c>
      <c r="C22">
        <f t="shared" si="9"/>
        <v>255.23947581921979</v>
      </c>
      <c r="D22">
        <f t="shared" si="11"/>
        <v>7.6571842745765935</v>
      </c>
      <c r="E22">
        <f t="shared" si="12"/>
        <v>17.866763307345387</v>
      </c>
      <c r="F22">
        <f t="shared" si="2"/>
        <v>1.8729812457271922</v>
      </c>
      <c r="G22">
        <f t="shared" si="3"/>
        <v>6.2434766278828899</v>
      </c>
      <c r="H22">
        <f t="shared" si="4"/>
        <v>3.3334432163301435</v>
      </c>
      <c r="I22">
        <f t="shared" si="5"/>
        <v>145.05886382988626</v>
      </c>
      <c r="J22">
        <f t="shared" si="10"/>
        <v>1.8729812457271922</v>
      </c>
      <c r="K22">
        <f t="shared" si="6"/>
        <v>271.69253147987149</v>
      </c>
      <c r="L22">
        <f>+K22-(K22-C$7-SUM($G$7:G22))*(G$5*G$6)</f>
        <v>252.0225848843765</v>
      </c>
      <c r="M22">
        <f>+K22-(K22-C$7-SUM(G$7:$G22))*(G$5)</f>
        <v>243.59260777202152</v>
      </c>
      <c r="N22" s="18">
        <f>1-(M22-C$7-SUM($G$7:G22))/(L22-C$7-SUM($G$7:G22))</f>
        <v>9.7041238693852394E-2</v>
      </c>
    </row>
    <row r="23" spans="1:14" x14ac:dyDescent="0.3">
      <c r="A23">
        <f t="shared" si="7"/>
        <v>1.8729812457271922</v>
      </c>
      <c r="B23">
        <f t="shared" si="8"/>
        <v>145.05886382988626</v>
      </c>
      <c r="C23">
        <f t="shared" si="9"/>
        <v>271.69253147987149</v>
      </c>
      <c r="D23">
        <f t="shared" si="11"/>
        <v>8.1507759443961447</v>
      </c>
      <c r="E23">
        <f t="shared" si="12"/>
        <v>19.018477203591008</v>
      </c>
      <c r="F23">
        <f t="shared" si="2"/>
        <v>1.9479004955562798</v>
      </c>
      <c r="G23">
        <f t="shared" si="3"/>
        <v>6.6459389356620058</v>
      </c>
      <c r="H23">
        <f t="shared" si="4"/>
        <v>3.4118472431334661</v>
      </c>
      <c r="I23">
        <f t="shared" si="5"/>
        <v>148.47071107301974</v>
      </c>
      <c r="J23">
        <f t="shared" si="10"/>
        <v>1.9479004955562798</v>
      </c>
      <c r="K23">
        <f t="shared" si="6"/>
        <v>289.20617167472841</v>
      </c>
      <c r="L23">
        <f>+K23-(K23-C$7-SUM($G$7:G23))*(G$5*G$6)</f>
        <v>267.5297757342546</v>
      </c>
      <c r="M23">
        <f>+K23-(K23-C$7-SUM(G$7:$G23))*(G$5)</f>
        <v>258.23989175976578</v>
      </c>
      <c r="N23" s="18">
        <f>1-(M23-C$7-SUM($G$7:G23))/(L23-C$7-SUM($G$7:G23))</f>
        <v>9.7041238693852838E-2</v>
      </c>
    </row>
    <row r="24" spans="1:14" x14ac:dyDescent="0.3">
      <c r="A24">
        <f t="shared" si="7"/>
        <v>1.9479004955562798</v>
      </c>
      <c r="B24">
        <f t="shared" si="8"/>
        <v>148.47071107301974</v>
      </c>
      <c r="C24">
        <f t="shared" si="9"/>
        <v>289.20617167472841</v>
      </c>
      <c r="D24">
        <f t="shared" si="11"/>
        <v>8.6761851502418512</v>
      </c>
      <c r="E24">
        <f t="shared" si="12"/>
        <v>20.244432017230992</v>
      </c>
      <c r="F24">
        <f t="shared" si="2"/>
        <v>2.0258165153785308</v>
      </c>
      <c r="G24">
        <f t="shared" si="3"/>
        <v>7.0743444668784488</v>
      </c>
      <c r="H24">
        <f t="shared" si="4"/>
        <v>3.4920953665720229</v>
      </c>
      <c r="I24">
        <f t="shared" si="5"/>
        <v>151.96280643959176</v>
      </c>
      <c r="J24">
        <f t="shared" si="10"/>
        <v>2.0258165153785308</v>
      </c>
      <c r="K24">
        <f t="shared" si="6"/>
        <v>307.84876300859594</v>
      </c>
      <c r="L24">
        <f>+K24-(K24-C$7-SUM($G$7:G24))*(G$5*G$6)</f>
        <v>284.03657949030423</v>
      </c>
      <c r="M24">
        <f>+K24-(K24-C$7-SUM(G$7:$G24))*(G$5)</f>
        <v>273.83135798246497</v>
      </c>
      <c r="N24" s="18">
        <f>1-(M24-C$7-SUM($G$7:G24))/(L24-C$7-SUM($G$7:G24))</f>
        <v>9.7041238693852283E-2</v>
      </c>
    </row>
    <row r="25" spans="1:14" x14ac:dyDescent="0.3">
      <c r="A25">
        <f t="shared" si="7"/>
        <v>2.0258165153785308</v>
      </c>
      <c r="B25">
        <f t="shared" si="8"/>
        <v>151.96280643959176</v>
      </c>
      <c r="C25">
        <f t="shared" si="9"/>
        <v>307.84876300859594</v>
      </c>
      <c r="D25">
        <f t="shared" si="11"/>
        <v>9.2354628902578781</v>
      </c>
      <c r="E25">
        <f t="shared" si="12"/>
        <v>21.549413410601719</v>
      </c>
      <c r="F25">
        <f t="shared" si="2"/>
        <v>2.1068491759936725</v>
      </c>
      <c r="G25">
        <f t="shared" si="3"/>
        <v>7.5303655541440166</v>
      </c>
      <c r="H25">
        <f t="shared" si="4"/>
        <v>3.5742309605965987</v>
      </c>
      <c r="I25">
        <f t="shared" si="5"/>
        <v>155.53703740018835</v>
      </c>
      <c r="J25">
        <f t="shared" si="10"/>
        <v>2.1068491759936725</v>
      </c>
      <c r="K25">
        <f t="shared" si="6"/>
        <v>327.69307908308383</v>
      </c>
      <c r="L25">
        <f>+K25-(K25-C$7-SUM($G$7:G25))*(G$5*G$6)</f>
        <v>301.60743244997366</v>
      </c>
      <c r="M25">
        <f>+K25-(K25-C$7-SUM(G$7:$G25))*(G$5)</f>
        <v>290.42786960721213</v>
      </c>
      <c r="N25" s="18">
        <f>1-(M25-C$7-SUM($G$7:G25))/(L25-C$7-SUM($G$7:G25))</f>
        <v>9.7041238693852616E-2</v>
      </c>
    </row>
    <row r="26" spans="1:14" x14ac:dyDescent="0.3">
      <c r="A26">
        <f t="shared" si="7"/>
        <v>2.1068491759936725</v>
      </c>
      <c r="B26">
        <f t="shared" si="8"/>
        <v>155.53703740018835</v>
      </c>
      <c r="C26">
        <f t="shared" si="9"/>
        <v>327.69307908308383</v>
      </c>
      <c r="D26">
        <f t="shared" si="11"/>
        <v>9.8307923724925139</v>
      </c>
      <c r="E26">
        <f t="shared" si="12"/>
        <v>22.938515535815871</v>
      </c>
      <c r="F26">
        <f t="shared" si="2"/>
        <v>2.1911231430334195</v>
      </c>
      <c r="G26">
        <f t="shared" si="3"/>
        <v>8.015782330721084</v>
      </c>
      <c r="H26">
        <f t="shared" si="4"/>
        <v>3.6582984193320738</v>
      </c>
      <c r="I26">
        <f t="shared" si="5"/>
        <v>159.19533581952044</v>
      </c>
      <c r="J26">
        <f t="shared" si="10"/>
        <v>2.1911231430334195</v>
      </c>
      <c r="K26">
        <f t="shared" si="6"/>
        <v>348.81658457712831</v>
      </c>
      <c r="L26">
        <f>+K26-(K26-C$7-SUM($G$7:G26))*(G$5*G$6)</f>
        <v>320.31092455498953</v>
      </c>
      <c r="M26">
        <f>+K26-(K26-C$7-SUM(G$7:$G26))*(G$5)</f>
        <v>308.09421311693006</v>
      </c>
      <c r="N26" s="18">
        <f>1-(M26-C$7-SUM($G$7:G26))/(L26-C$7-SUM($G$7:G26))</f>
        <v>9.7041238693852394E-2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ein Jahr</vt:lpstr>
      <vt:lpstr>10 Jahre</vt:lpstr>
      <vt:lpstr>mehrjährig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kleinerfisch</dc:creator>
  <cp:lastModifiedBy> </cp:lastModifiedBy>
  <dcterms:created xsi:type="dcterms:W3CDTF">2017-05-15T16:33:51Z</dcterms:created>
  <dcterms:modified xsi:type="dcterms:W3CDTF">2017-10-27T10:20:21Z</dcterms:modified>
</cp:coreProperties>
</file>