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672" yWindow="336" windowWidth="14316" windowHeight="7968" activeTab="1"/>
  </bookViews>
  <sheets>
    <sheet name="ein Jahr" sheetId="5" r:id="rId1"/>
    <sheet name="10 Jahre" sheetId="1" r:id="rId2"/>
    <sheet name="Mischfonds" sheetId="6" r:id="rId3"/>
  </sheets>
  <calcPr calcId="145621"/>
</workbook>
</file>

<file path=xl/calcChain.xml><?xml version="1.0" encoding="utf-8"?>
<calcChain xmlns="http://schemas.openxmlformats.org/spreadsheetml/2006/main">
  <c r="AQ19" i="1" l="1"/>
  <c r="AP19" i="1"/>
  <c r="AM19" i="1"/>
  <c r="AL19" i="1"/>
  <c r="AI19" i="1"/>
  <c r="AH19" i="1"/>
  <c r="AE19" i="1"/>
  <c r="AD19" i="1"/>
  <c r="AA19" i="1"/>
  <c r="Z19" i="1"/>
  <c r="W19" i="1"/>
  <c r="V19" i="1"/>
  <c r="S19" i="1"/>
  <c r="R19" i="1"/>
  <c r="O19" i="1"/>
  <c r="N19" i="1"/>
  <c r="K19" i="1"/>
  <c r="J19" i="1"/>
  <c r="F19" i="1"/>
  <c r="G19" i="1" l="1"/>
  <c r="F18" i="1"/>
  <c r="G17" i="1"/>
  <c r="G18" i="1" s="1"/>
  <c r="F17" i="1"/>
  <c r="E18" i="1"/>
  <c r="E17" i="1"/>
  <c r="AQ10" i="1" l="1"/>
  <c r="AP10" i="1"/>
  <c r="AO10" i="1"/>
  <c r="AM10" i="1"/>
  <c r="AL10" i="1"/>
  <c r="AK10" i="1"/>
  <c r="AI10" i="1"/>
  <c r="AH10" i="1"/>
  <c r="AG10" i="1"/>
  <c r="AE10" i="1"/>
  <c r="AD10" i="1"/>
  <c r="AC10" i="1"/>
  <c r="AA10" i="1"/>
  <c r="Z10" i="1"/>
  <c r="Y10" i="1"/>
  <c r="W10" i="1"/>
  <c r="V10" i="1"/>
  <c r="U10" i="1"/>
  <c r="S10" i="1"/>
  <c r="R10" i="1"/>
  <c r="Q10" i="1"/>
  <c r="O10" i="1"/>
  <c r="N10" i="1"/>
  <c r="M10" i="1"/>
  <c r="K10" i="1"/>
  <c r="J10" i="1"/>
  <c r="I10" i="1"/>
  <c r="D3" i="6" l="1"/>
  <c r="J3" i="6"/>
  <c r="K4" i="6" s="1"/>
  <c r="K7" i="6" s="1"/>
  <c r="E4" i="6"/>
  <c r="E5" i="6"/>
  <c r="K5" i="6"/>
  <c r="C6" i="6"/>
  <c r="C7" i="6" s="1"/>
  <c r="E6" i="6"/>
  <c r="D6" i="6" s="1"/>
  <c r="D7" i="6" s="1"/>
  <c r="I6" i="6"/>
  <c r="I7" i="6" s="1"/>
  <c r="J6" i="6"/>
  <c r="J7" i="6" s="1"/>
  <c r="K6" i="6"/>
  <c r="E7" i="6"/>
  <c r="E9" i="6" s="1"/>
  <c r="E10" i="6" s="1"/>
  <c r="D9" i="6" l="1"/>
  <c r="D10" i="6" s="1"/>
  <c r="D11" i="6"/>
  <c r="C9" i="6"/>
  <c r="C10" i="6" s="1"/>
  <c r="C11" i="6" s="1"/>
  <c r="K9" i="6"/>
  <c r="K10" i="6" s="1"/>
  <c r="K11" i="6"/>
  <c r="K12" i="6" s="1"/>
  <c r="J9" i="6"/>
  <c r="J10" i="6" s="1"/>
  <c r="J11" i="6" s="1"/>
  <c r="I12" i="6" s="1"/>
  <c r="I9" i="6"/>
  <c r="I10" i="6" s="1"/>
  <c r="I11" i="6"/>
  <c r="E11" i="6"/>
  <c r="E12" i="6" s="1"/>
  <c r="AO1" i="1"/>
  <c r="AK1" i="1"/>
  <c r="AG1" i="1"/>
  <c r="AC1" i="1"/>
  <c r="Y1" i="1"/>
  <c r="U1" i="1"/>
  <c r="Q1" i="1"/>
  <c r="M1" i="1"/>
  <c r="I1" i="1"/>
  <c r="E1" i="1"/>
  <c r="AQ5" i="1"/>
  <c r="AQ49" i="1" s="1"/>
  <c r="AP5" i="1"/>
  <c r="AP49" i="1" s="1"/>
  <c r="AO5" i="1"/>
  <c r="AM5" i="1"/>
  <c r="AM49" i="1" s="1"/>
  <c r="AL5" i="1"/>
  <c r="AL49" i="1" s="1"/>
  <c r="AK5" i="1"/>
  <c r="AI5" i="1"/>
  <c r="AI49" i="1" s="1"/>
  <c r="AH5" i="1"/>
  <c r="AH43" i="1" s="1"/>
  <c r="AG5" i="1"/>
  <c r="AE5" i="1"/>
  <c r="AE49" i="1" s="1"/>
  <c r="AD5" i="1"/>
  <c r="AD43" i="1" s="1"/>
  <c r="AC5" i="1"/>
  <c r="AC43" i="1" s="1"/>
  <c r="AA11" i="1"/>
  <c r="AA5" i="1"/>
  <c r="AA49" i="1" s="1"/>
  <c r="Z5" i="1"/>
  <c r="Z49" i="1" s="1"/>
  <c r="Y5" i="1"/>
  <c r="W43" i="1"/>
  <c r="W5" i="1"/>
  <c r="W49" i="1" s="1"/>
  <c r="V5" i="1"/>
  <c r="V49" i="1" s="1"/>
  <c r="U5" i="1"/>
  <c r="S11" i="1"/>
  <c r="S5" i="1"/>
  <c r="S49" i="1" s="1"/>
  <c r="R5" i="1"/>
  <c r="R49" i="1" s="1"/>
  <c r="Q5" i="1"/>
  <c r="Q43" i="1" s="1"/>
  <c r="N11" i="1"/>
  <c r="N13" i="1" s="1"/>
  <c r="O5" i="1"/>
  <c r="O43" i="1" s="1"/>
  <c r="N5" i="1"/>
  <c r="N49" i="1" s="1"/>
  <c r="M5" i="1"/>
  <c r="M43" i="1" s="1"/>
  <c r="I8" i="1"/>
  <c r="M8" i="1" s="1"/>
  <c r="Q8" i="1" s="1"/>
  <c r="U8" i="1" s="1"/>
  <c r="Y8" i="1" s="1"/>
  <c r="AC8" i="1" s="1"/>
  <c r="AG8" i="1" s="1"/>
  <c r="AK8" i="1" s="1"/>
  <c r="AO8" i="1" s="1"/>
  <c r="C12" i="6" l="1"/>
  <c r="S43" i="1"/>
  <c r="W11" i="1"/>
  <c r="M11" i="1"/>
  <c r="R11" i="1"/>
  <c r="R13" i="1" s="1"/>
  <c r="O49" i="1"/>
  <c r="O11" i="1"/>
  <c r="R43" i="1"/>
  <c r="V11" i="1"/>
  <c r="V13" i="1" s="1"/>
  <c r="AD11" i="1"/>
  <c r="AD13" i="1" s="1"/>
  <c r="AE43" i="1"/>
  <c r="AI11" i="1"/>
  <c r="AI43" i="1"/>
  <c r="AM11" i="1"/>
  <c r="AM43" i="1"/>
  <c r="AP11" i="1"/>
  <c r="AP13" i="1" s="1"/>
  <c r="AE11" i="1"/>
  <c r="AD49" i="1"/>
  <c r="AH49" i="1"/>
  <c r="AH11" i="1"/>
  <c r="AH13" i="1" s="1"/>
  <c r="AL11" i="1"/>
  <c r="AL13" i="1" s="1"/>
  <c r="AO11" i="1"/>
  <c r="AO43" i="1"/>
  <c r="AP43" i="1"/>
  <c r="AQ43" i="1"/>
  <c r="AQ11" i="1"/>
  <c r="AK11" i="1"/>
  <c r="AK43" i="1"/>
  <c r="AL43" i="1"/>
  <c r="AG11" i="1"/>
  <c r="AG43" i="1"/>
  <c r="AC11" i="1"/>
  <c r="Y11" i="1"/>
  <c r="Y43" i="1"/>
  <c r="Z43" i="1"/>
  <c r="Z11" i="1"/>
  <c r="Z13" i="1" s="1"/>
  <c r="AA43" i="1"/>
  <c r="U11" i="1"/>
  <c r="U43" i="1"/>
  <c r="V43" i="1"/>
  <c r="Q11" i="1"/>
  <c r="N43" i="1"/>
  <c r="K5" i="1"/>
  <c r="K49" i="1" s="1"/>
  <c r="J5" i="1"/>
  <c r="J11" i="1" s="1"/>
  <c r="J13" i="1" s="1"/>
  <c r="I5" i="1"/>
  <c r="I43" i="1" s="1"/>
  <c r="A46" i="1"/>
  <c r="A40" i="1"/>
  <c r="A29" i="1"/>
  <c r="A25" i="1"/>
  <c r="A21" i="1"/>
  <c r="A15" i="1"/>
  <c r="A9" i="1"/>
  <c r="A10" i="1" s="1"/>
  <c r="A11" i="1" s="1"/>
  <c r="G5" i="1"/>
  <c r="F5" i="1"/>
  <c r="E5" i="1"/>
  <c r="J49" i="1" l="1"/>
  <c r="G43" i="1"/>
  <c r="G7" i="1"/>
  <c r="E10" i="1"/>
  <c r="E7" i="1"/>
  <c r="I11" i="1"/>
  <c r="J43" i="1"/>
  <c r="F7" i="1"/>
  <c r="K11" i="1"/>
  <c r="K43" i="1"/>
  <c r="A12" i="1"/>
  <c r="G10" i="1"/>
  <c r="G11" i="1" s="1"/>
  <c r="E9" i="1"/>
  <c r="G49" i="1"/>
  <c r="G9" i="1"/>
  <c r="A13" i="1"/>
  <c r="A14" i="1" s="1"/>
  <c r="F49" i="1"/>
  <c r="F10" i="1"/>
  <c r="F11" i="1" s="1"/>
  <c r="F13" i="1" s="1"/>
  <c r="F9" i="1"/>
  <c r="F12" i="1" s="1"/>
  <c r="F14" i="1" s="1"/>
  <c r="F23" i="1" s="1"/>
  <c r="G53" i="1"/>
  <c r="E43" i="1"/>
  <c r="F43" i="1"/>
  <c r="E12" i="1" l="1"/>
  <c r="E14" i="1" s="1"/>
  <c r="E23" i="1" s="1"/>
  <c r="E27" i="1" s="1"/>
  <c r="E11" i="1"/>
  <c r="G12" i="1"/>
  <c r="G14" i="1" s="1"/>
  <c r="G23" i="1" s="1"/>
  <c r="F53" i="1"/>
  <c r="A16" i="1"/>
  <c r="A17" i="1" s="1"/>
  <c r="F50" i="1"/>
  <c r="F51" i="1" s="1"/>
  <c r="F52" i="1" s="1"/>
  <c r="F27" i="1"/>
  <c r="J9" i="1" l="1"/>
  <c r="J12" i="1" s="1"/>
  <c r="J14" i="1" s="1"/>
  <c r="J23" i="1" s="1"/>
  <c r="I9" i="1"/>
  <c r="I12" i="1" s="1"/>
  <c r="I14" i="1" s="1"/>
  <c r="I23" i="1" s="1"/>
  <c r="I27" i="1" s="1"/>
  <c r="E20" i="1"/>
  <c r="F54" i="1"/>
  <c r="F36" i="1" s="1"/>
  <c r="G27" i="1"/>
  <c r="G50" i="1"/>
  <c r="G51" i="1" s="1"/>
  <c r="G52" i="1" s="1"/>
  <c r="G54" i="1" s="1"/>
  <c r="K8" i="1" s="1"/>
  <c r="A18" i="1"/>
  <c r="A19" i="1" s="1"/>
  <c r="E8" i="5"/>
  <c r="E15" i="5"/>
  <c r="G38" i="5"/>
  <c r="G37" i="5"/>
  <c r="G33" i="5"/>
  <c r="H24" i="5"/>
  <c r="G24" i="5"/>
  <c r="H21" i="5"/>
  <c r="H25" i="5" s="1"/>
  <c r="H31" i="5" s="1"/>
  <c r="J20" i="5"/>
  <c r="J24" i="5" s="1"/>
  <c r="I20" i="5"/>
  <c r="I24" i="5" s="1"/>
  <c r="H20" i="5"/>
  <c r="G20" i="5"/>
  <c r="F20" i="5"/>
  <c r="F24" i="5" s="1"/>
  <c r="H17" i="5"/>
  <c r="G17" i="5"/>
  <c r="F17" i="5"/>
  <c r="F32" i="5" s="1"/>
  <c r="J15" i="5"/>
  <c r="I15" i="5"/>
  <c r="H15" i="5"/>
  <c r="G15" i="5"/>
  <c r="F15" i="5"/>
  <c r="M9" i="1" l="1"/>
  <c r="M12" i="1" s="1"/>
  <c r="M14" i="1" s="1"/>
  <c r="M23" i="1" s="1"/>
  <c r="J27" i="1"/>
  <c r="K9" i="1"/>
  <c r="K12" i="1" s="1"/>
  <c r="K14" i="1" s="1"/>
  <c r="K23" i="1" s="1"/>
  <c r="F55" i="1"/>
  <c r="E24" i="1"/>
  <c r="E28" i="1" s="1"/>
  <c r="G36" i="1"/>
  <c r="G55" i="1"/>
  <c r="G20" i="1" s="1"/>
  <c r="G24" i="1" s="1"/>
  <c r="G28" i="1" s="1"/>
  <c r="A20" i="1"/>
  <c r="H35" i="5"/>
  <c r="H36" i="5" s="1"/>
  <c r="H39" i="5" s="1"/>
  <c r="H32" i="5"/>
  <c r="F21" i="5"/>
  <c r="F25" i="5" s="1"/>
  <c r="F31" i="5" s="1"/>
  <c r="G21" i="5"/>
  <c r="G25" i="5" s="1"/>
  <c r="G31" i="5" s="1"/>
  <c r="A15" i="5"/>
  <c r="A17" i="5" s="1"/>
  <c r="A16" i="5"/>
  <c r="M27" i="1" l="1"/>
  <c r="N12" i="1"/>
  <c r="N14" i="1" s="1"/>
  <c r="N23" i="1" s="1"/>
  <c r="N9" i="1"/>
  <c r="K27" i="1"/>
  <c r="N27" i="1"/>
  <c r="E35" i="1"/>
  <c r="I7" i="1" s="1"/>
  <c r="E34" i="1"/>
  <c r="I6" i="1"/>
  <c r="F20" i="1"/>
  <c r="J8" i="1"/>
  <c r="G34" i="1"/>
  <c r="K6" i="1"/>
  <c r="K17" i="1" s="1"/>
  <c r="K50" i="1" s="1"/>
  <c r="K51" i="1" s="1"/>
  <c r="K52" i="1" s="1"/>
  <c r="G35" i="1"/>
  <c r="A22" i="1"/>
  <c r="A23" i="1" s="1"/>
  <c r="G32" i="5"/>
  <c r="G35" i="5" s="1"/>
  <c r="G36" i="5" s="1"/>
  <c r="G39" i="5" s="1"/>
  <c r="F35" i="5"/>
  <c r="F36" i="5" s="1"/>
  <c r="F39" i="5" s="1"/>
  <c r="K18" i="1" l="1"/>
  <c r="K53" i="1"/>
  <c r="K54" i="1" s="1"/>
  <c r="I18" i="1"/>
  <c r="I17" i="1"/>
  <c r="O9" i="1"/>
  <c r="O12" i="1" s="1"/>
  <c r="O14" i="1" s="1"/>
  <c r="O23" i="1" s="1"/>
  <c r="Q12" i="1"/>
  <c r="Q14" i="1" s="1"/>
  <c r="Q23" i="1" s="1"/>
  <c r="Q9" i="1"/>
  <c r="R9" i="1"/>
  <c r="R12" i="1" s="1"/>
  <c r="R14" i="1" s="1"/>
  <c r="R23" i="1" s="1"/>
  <c r="E37" i="1"/>
  <c r="E38" i="1" s="1"/>
  <c r="E41" i="1" s="1"/>
  <c r="G37" i="1"/>
  <c r="G38" i="1" s="1"/>
  <c r="G41" i="1" s="1"/>
  <c r="K7" i="1"/>
  <c r="F24" i="1"/>
  <c r="F28" i="1" s="1"/>
  <c r="A24" i="1"/>
  <c r="A26" i="1" s="1"/>
  <c r="E4" i="5"/>
  <c r="E6" i="5" s="1"/>
  <c r="F4" i="5"/>
  <c r="F6" i="5" s="1"/>
  <c r="G4" i="5"/>
  <c r="G6" i="5" s="1"/>
  <c r="H4" i="5"/>
  <c r="H6" i="5" s="1"/>
  <c r="I4" i="5"/>
  <c r="I6" i="5" s="1"/>
  <c r="J4" i="5"/>
  <c r="J6" i="5" s="1"/>
  <c r="A5" i="5"/>
  <c r="A6" i="5" s="1"/>
  <c r="H7" i="5"/>
  <c r="H8" i="5" s="1"/>
  <c r="A12" i="5"/>
  <c r="G14" i="5"/>
  <c r="H14" i="5"/>
  <c r="J14" i="5"/>
  <c r="A18" i="5"/>
  <c r="A22" i="5"/>
  <c r="A26" i="5"/>
  <c r="A40" i="5"/>
  <c r="E43" i="5"/>
  <c r="I43" i="5"/>
  <c r="A46" i="5"/>
  <c r="I49" i="5"/>
  <c r="O8" i="1" l="1"/>
  <c r="K36" i="1"/>
  <c r="K55" i="1"/>
  <c r="I20" i="1"/>
  <c r="O27" i="1"/>
  <c r="R27" i="1"/>
  <c r="Q27" i="1"/>
  <c r="F35" i="1"/>
  <c r="J7" i="1" s="1"/>
  <c r="E39" i="1"/>
  <c r="F34" i="1"/>
  <c r="J6" i="1"/>
  <c r="G39" i="1"/>
  <c r="G40" i="1" s="1"/>
  <c r="A27" i="1"/>
  <c r="G7" i="5"/>
  <c r="G43" i="5"/>
  <c r="J53" i="5"/>
  <c r="F7" i="5"/>
  <c r="H43" i="5"/>
  <c r="J49" i="5"/>
  <c r="J7" i="5"/>
  <c r="J8" i="5" s="1"/>
  <c r="J9" i="5" s="1"/>
  <c r="J11" i="5" s="1"/>
  <c r="J50" i="5" s="1"/>
  <c r="J51" i="5" s="1"/>
  <c r="J52" i="5" s="1"/>
  <c r="J54" i="5" s="1"/>
  <c r="J34" i="5" s="1"/>
  <c r="J43" i="5"/>
  <c r="F43" i="5"/>
  <c r="G8" i="5"/>
  <c r="F8" i="5"/>
  <c r="I7" i="5"/>
  <c r="I8" i="5" s="1"/>
  <c r="I10" i="5" s="1"/>
  <c r="I14" i="5" s="1"/>
  <c r="E7" i="5"/>
  <c r="E14" i="5" s="1"/>
  <c r="A7" i="5"/>
  <c r="A8" i="5" s="1"/>
  <c r="K20" i="1" l="1"/>
  <c r="J17" i="1"/>
  <c r="E42" i="1"/>
  <c r="E40" i="1"/>
  <c r="I24" i="1"/>
  <c r="I28" i="1" s="1"/>
  <c r="I35" i="1"/>
  <c r="M7" i="1" s="1"/>
  <c r="S12" i="1"/>
  <c r="S14" i="1" s="1"/>
  <c r="S23" i="1" s="1"/>
  <c r="S9" i="1"/>
  <c r="U9" i="1"/>
  <c r="U12" i="1" s="1"/>
  <c r="U14" i="1" s="1"/>
  <c r="U23" i="1" s="1"/>
  <c r="V9" i="1"/>
  <c r="V12" i="1" s="1"/>
  <c r="V14" i="1" s="1"/>
  <c r="V23" i="1" s="1"/>
  <c r="E44" i="1"/>
  <c r="E45" i="1" s="1"/>
  <c r="G42" i="1"/>
  <c r="G44" i="1"/>
  <c r="G45" i="1" s="1"/>
  <c r="F37" i="1"/>
  <c r="F38" i="1" s="1"/>
  <c r="F41" i="1" s="1"/>
  <c r="A28" i="1"/>
  <c r="A33" i="1" s="1"/>
  <c r="A9" i="5"/>
  <c r="A10" i="5" s="1"/>
  <c r="A11" i="5" s="1"/>
  <c r="I9" i="5"/>
  <c r="I11" i="5" s="1"/>
  <c r="I50" i="5" s="1"/>
  <c r="I51" i="5" s="1"/>
  <c r="I52" i="5" s="1"/>
  <c r="F10" i="5"/>
  <c r="F14" i="5" s="1"/>
  <c r="J55" i="5"/>
  <c r="J16" i="5" s="1"/>
  <c r="J17" i="5" s="1"/>
  <c r="E17" i="5"/>
  <c r="I53" i="5"/>
  <c r="E9" i="5"/>
  <c r="K24" i="1" l="1"/>
  <c r="K28" i="1" s="1"/>
  <c r="K35" i="1"/>
  <c r="O7" i="1" s="1"/>
  <c r="J18" i="1"/>
  <c r="J53" i="1"/>
  <c r="J50" i="1"/>
  <c r="J51" i="1" s="1"/>
  <c r="J52" i="1" s="1"/>
  <c r="J54" i="1" s="1"/>
  <c r="I34" i="1"/>
  <c r="M6" i="1"/>
  <c r="V27" i="1"/>
  <c r="U27" i="1"/>
  <c r="S27" i="1"/>
  <c r="F39" i="1"/>
  <c r="A34" i="1"/>
  <c r="A35" i="1" s="1"/>
  <c r="J21" i="5"/>
  <c r="J25" i="5" s="1"/>
  <c r="J31" i="5" s="1"/>
  <c r="E32" i="5"/>
  <c r="I54" i="5"/>
  <c r="I34" i="5" s="1"/>
  <c r="F9" i="5"/>
  <c r="F11" i="5" s="1"/>
  <c r="E11" i="5"/>
  <c r="E20" i="5" s="1"/>
  <c r="G9" i="5"/>
  <c r="G11" i="5" s="1"/>
  <c r="H9" i="5"/>
  <c r="H11" i="5" s="1"/>
  <c r="A13" i="5"/>
  <c r="A14" i="5" s="1"/>
  <c r="K34" i="1" l="1"/>
  <c r="O6" i="1"/>
  <c r="O17" i="1" s="1"/>
  <c r="J36" i="1"/>
  <c r="J55" i="1"/>
  <c r="F44" i="1"/>
  <c r="F45" i="1" s="1"/>
  <c r="F40" i="1"/>
  <c r="M18" i="1"/>
  <c r="M17" i="1"/>
  <c r="M20" i="1" s="1"/>
  <c r="I37" i="1"/>
  <c r="I38" i="1" s="1"/>
  <c r="I41" i="1" s="1"/>
  <c r="Z9" i="1"/>
  <c r="Z12" i="1" s="1"/>
  <c r="Z14" i="1" s="1"/>
  <c r="Z23" i="1" s="1"/>
  <c r="G46" i="1"/>
  <c r="F42" i="1"/>
  <c r="Y9" i="1"/>
  <c r="Y12" i="1" s="1"/>
  <c r="Y14" i="1" s="1"/>
  <c r="Y23" i="1" s="1"/>
  <c r="W9" i="1"/>
  <c r="W12" i="1" s="1"/>
  <c r="W14" i="1" s="1"/>
  <c r="W23" i="1" s="1"/>
  <c r="A36" i="1"/>
  <c r="A37" i="1" s="1"/>
  <c r="J32" i="5"/>
  <c r="J35" i="5" s="1"/>
  <c r="J36" i="5" s="1"/>
  <c r="J39" i="5" s="1"/>
  <c r="E24" i="5"/>
  <c r="E21" i="5"/>
  <c r="E25" i="5" s="1"/>
  <c r="I55" i="5"/>
  <c r="I16" i="5" s="1"/>
  <c r="I17" i="5" s="1"/>
  <c r="O50" i="1" l="1"/>
  <c r="O51" i="1" s="1"/>
  <c r="O52" i="1" s="1"/>
  <c r="O54" i="1" s="1"/>
  <c r="O18" i="1"/>
  <c r="O53" i="1"/>
  <c r="K37" i="1"/>
  <c r="K38" i="1" s="1"/>
  <c r="K41" i="1" s="1"/>
  <c r="J20" i="1"/>
  <c r="N8" i="1"/>
  <c r="M24" i="1"/>
  <c r="M28" i="1" s="1"/>
  <c r="M35" i="1"/>
  <c r="Q7" i="1" s="1"/>
  <c r="I39" i="1"/>
  <c r="Y27" i="1"/>
  <c r="Z27" i="1"/>
  <c r="W27" i="1"/>
  <c r="A38" i="1"/>
  <c r="I32" i="5"/>
  <c r="I21" i="5"/>
  <c r="I25" i="5" s="1"/>
  <c r="I31" i="5" s="1"/>
  <c r="E31" i="5"/>
  <c r="E35" i="5" s="1"/>
  <c r="E36" i="5" s="1"/>
  <c r="E41" i="5" s="1"/>
  <c r="J41" i="5"/>
  <c r="K39" i="1" l="1"/>
  <c r="O36" i="1"/>
  <c r="S8" i="1"/>
  <c r="O55" i="1"/>
  <c r="J24" i="1"/>
  <c r="J28" i="1" s="1"/>
  <c r="J35" i="1"/>
  <c r="N7" i="1" s="1"/>
  <c r="I40" i="1"/>
  <c r="I44" i="1"/>
  <c r="I45" i="1" s="1"/>
  <c r="I42" i="1"/>
  <c r="M34" i="1"/>
  <c r="Q6" i="1"/>
  <c r="AA9" i="1"/>
  <c r="AA12" i="1" s="1"/>
  <c r="AA14" i="1" s="1"/>
  <c r="AA23" i="1" s="1"/>
  <c r="AD9" i="1"/>
  <c r="AD12" i="1" s="1"/>
  <c r="AD14" i="1" s="1"/>
  <c r="AD23" i="1" s="1"/>
  <c r="AC9" i="1"/>
  <c r="AC12" i="1" s="1"/>
  <c r="AC14" i="1" s="1"/>
  <c r="AC23" i="1" s="1"/>
  <c r="A39" i="1"/>
  <c r="A41" i="1" s="1"/>
  <c r="I35" i="5"/>
  <c r="I36" i="5" s="1"/>
  <c r="I39" i="5" s="1"/>
  <c r="E39" i="5"/>
  <c r="E44" i="5" s="1"/>
  <c r="E45" i="5" s="1"/>
  <c r="J42" i="5"/>
  <c r="J44" i="5"/>
  <c r="J45" i="5" s="1"/>
  <c r="O20" i="1" l="1"/>
  <c r="K44" i="1"/>
  <c r="K45" i="1" s="1"/>
  <c r="K40" i="1"/>
  <c r="K42" i="1"/>
  <c r="N6" i="1"/>
  <c r="J34" i="1"/>
  <c r="Q18" i="1"/>
  <c r="Q17" i="1"/>
  <c r="Q20" i="1" s="1"/>
  <c r="M37" i="1"/>
  <c r="M38" i="1" s="1"/>
  <c r="M41" i="1" s="1"/>
  <c r="AD27" i="1"/>
  <c r="AA27" i="1"/>
  <c r="AC27" i="1"/>
  <c r="A42" i="1"/>
  <c r="A43" i="1" s="1"/>
  <c r="I41" i="5"/>
  <c r="E42" i="5"/>
  <c r="H41" i="5"/>
  <c r="F41" i="5"/>
  <c r="O35" i="1" l="1"/>
  <c r="S7" i="1" s="1"/>
  <c r="O24" i="1"/>
  <c r="O28" i="1" s="1"/>
  <c r="S6" i="1" s="1"/>
  <c r="S17" i="1" s="1"/>
  <c r="N17" i="1"/>
  <c r="J37" i="1"/>
  <c r="J38" i="1" s="1"/>
  <c r="J41" i="1" s="1"/>
  <c r="Q24" i="1"/>
  <c r="Q28" i="1" s="1"/>
  <c r="Q35" i="1"/>
  <c r="U7" i="1" s="1"/>
  <c r="M39" i="1"/>
  <c r="AE9" i="1"/>
  <c r="AE12" i="1" s="1"/>
  <c r="AE14" i="1" s="1"/>
  <c r="AE23" i="1" s="1"/>
  <c r="AG9" i="1"/>
  <c r="AG12" i="1" s="1"/>
  <c r="AG14" i="1" s="1"/>
  <c r="AG23" i="1" s="1"/>
  <c r="AH9" i="1"/>
  <c r="AH12" i="1" s="1"/>
  <c r="AH14" i="1" s="1"/>
  <c r="AH23" i="1" s="1"/>
  <c r="A44" i="1"/>
  <c r="H47" i="5"/>
  <c r="H44" i="5"/>
  <c r="H45" i="5" s="1"/>
  <c r="F42" i="5"/>
  <c r="G41" i="5"/>
  <c r="I42" i="5"/>
  <c r="I44" i="5"/>
  <c r="I45" i="5" s="1"/>
  <c r="J46" i="5"/>
  <c r="S53" i="1" l="1"/>
  <c r="S50" i="1"/>
  <c r="S51" i="1" s="1"/>
  <c r="S52" i="1" s="1"/>
  <c r="S54" i="1" s="1"/>
  <c r="W8" i="1" s="1"/>
  <c r="S18" i="1"/>
  <c r="O34" i="1"/>
  <c r="O37" i="1" s="1"/>
  <c r="O38" i="1" s="1"/>
  <c r="O41" i="1" s="1"/>
  <c r="J39" i="1"/>
  <c r="J40" i="1"/>
  <c r="J42" i="1"/>
  <c r="J44" i="1"/>
  <c r="J45" i="1" s="1"/>
  <c r="K46" i="1"/>
  <c r="N18" i="1"/>
  <c r="N53" i="1"/>
  <c r="N50" i="1"/>
  <c r="N51" i="1" s="1"/>
  <c r="N52" i="1" s="1"/>
  <c r="M40" i="1"/>
  <c r="M42" i="1"/>
  <c r="M44" i="1"/>
  <c r="M45" i="1" s="1"/>
  <c r="U6" i="1"/>
  <c r="Q34" i="1"/>
  <c r="AG27" i="1"/>
  <c r="AH27" i="1"/>
  <c r="AE27" i="1"/>
  <c r="A45" i="1"/>
  <c r="H42" i="5"/>
  <c r="F44" i="5"/>
  <c r="F45" i="5" s="1"/>
  <c r="G42" i="5"/>
  <c r="G44" i="5"/>
  <c r="G45" i="5" s="1"/>
  <c r="S55" i="1" l="1"/>
  <c r="S36" i="1"/>
  <c r="S20" i="1"/>
  <c r="N54" i="1"/>
  <c r="N36" i="1" s="1"/>
  <c r="O39" i="1"/>
  <c r="O42" i="1" s="1"/>
  <c r="O40" i="1"/>
  <c r="Q37" i="1"/>
  <c r="Q38" i="1" s="1"/>
  <c r="Q41" i="1" s="1"/>
  <c r="Q39" i="1"/>
  <c r="U17" i="1"/>
  <c r="U18" i="1"/>
  <c r="AL9" i="1"/>
  <c r="AL12" i="1" s="1"/>
  <c r="AL14" i="1" s="1"/>
  <c r="AL23" i="1" s="1"/>
  <c r="AI9" i="1"/>
  <c r="AI12" i="1" s="1"/>
  <c r="AI14" i="1" s="1"/>
  <c r="AI23" i="1" s="1"/>
  <c r="AK9" i="1"/>
  <c r="AK12" i="1" s="1"/>
  <c r="AK14" i="1" s="1"/>
  <c r="AK23" i="1" s="1"/>
  <c r="A47" i="1"/>
  <c r="S24" i="1" l="1"/>
  <c r="S28" i="1" s="1"/>
  <c r="S35" i="1"/>
  <c r="W7" i="1" s="1"/>
  <c r="N55" i="1"/>
  <c r="O44" i="1"/>
  <c r="O45" i="1" s="1"/>
  <c r="S34" i="1"/>
  <c r="W6" i="1"/>
  <c r="N20" i="1"/>
  <c r="R8" i="1"/>
  <c r="U20" i="1"/>
  <c r="U24" i="1"/>
  <c r="U28" i="1" s="1"/>
  <c r="U35" i="1"/>
  <c r="Y7" i="1" s="1"/>
  <c r="Q40" i="1"/>
  <c r="Q42" i="1"/>
  <c r="Q44" i="1"/>
  <c r="Q45" i="1" s="1"/>
  <c r="AK27" i="1"/>
  <c r="AI27" i="1"/>
  <c r="AL27" i="1"/>
  <c r="A48" i="1"/>
  <c r="A49" i="1" s="1"/>
  <c r="N24" i="1" l="1"/>
  <c r="N28" i="1" s="1"/>
  <c r="N35" i="1"/>
  <c r="R7" i="1" s="1"/>
  <c r="W17" i="1"/>
  <c r="S37" i="1"/>
  <c r="S38" i="1" s="1"/>
  <c r="S41" i="1" s="1"/>
  <c r="Y6" i="1"/>
  <c r="U34" i="1"/>
  <c r="AP9" i="1"/>
  <c r="AP12" i="1" s="1"/>
  <c r="AP14" i="1" s="1"/>
  <c r="AP23" i="1" s="1"/>
  <c r="AM9" i="1"/>
  <c r="AM12" i="1" s="1"/>
  <c r="AM14" i="1" s="1"/>
  <c r="AM23" i="1" s="1"/>
  <c r="AO9" i="1"/>
  <c r="AO12" i="1" s="1"/>
  <c r="AO14" i="1" s="1"/>
  <c r="AO23" i="1" s="1"/>
  <c r="A50" i="1"/>
  <c r="A51" i="1" s="1"/>
  <c r="S39" i="1" l="1"/>
  <c r="W18" i="1"/>
  <c r="W53" i="1"/>
  <c r="W50" i="1"/>
  <c r="W51" i="1" s="1"/>
  <c r="W52" i="1" s="1"/>
  <c r="W54" i="1" s="1"/>
  <c r="S40" i="1"/>
  <c r="S44" i="1"/>
  <c r="S45" i="1" s="1"/>
  <c r="S42" i="1"/>
  <c r="R6" i="1"/>
  <c r="N34" i="1"/>
  <c r="Y18" i="1"/>
  <c r="Y17" i="1"/>
  <c r="Y20" i="1" s="1"/>
  <c r="U37" i="1"/>
  <c r="U38" i="1" s="1"/>
  <c r="U41" i="1" s="1"/>
  <c r="AM27" i="1"/>
  <c r="AO27" i="1"/>
  <c r="AP27" i="1"/>
  <c r="A52" i="1"/>
  <c r="A53" i="1" s="1"/>
  <c r="AA8" i="1" l="1"/>
  <c r="W55" i="1"/>
  <c r="W36" i="1"/>
  <c r="N37" i="1"/>
  <c r="N38" i="1" s="1"/>
  <c r="N41" i="1" s="1"/>
  <c r="R17" i="1"/>
  <c r="U39" i="1"/>
  <c r="Y24" i="1"/>
  <c r="Y28" i="1" s="1"/>
  <c r="Y35" i="1"/>
  <c r="AC7" i="1" s="1"/>
  <c r="AQ9" i="1"/>
  <c r="AQ12" i="1" s="1"/>
  <c r="AQ14" i="1" s="1"/>
  <c r="AQ23" i="1" s="1"/>
  <c r="A54" i="1"/>
  <c r="A55" i="1" s="1"/>
  <c r="W20" i="1" l="1"/>
  <c r="R18" i="1"/>
  <c r="R53" i="1"/>
  <c r="R50" i="1"/>
  <c r="R51" i="1" s="1"/>
  <c r="R52" i="1" s="1"/>
  <c r="R54" i="1" s="1"/>
  <c r="N39" i="1"/>
  <c r="AC6" i="1"/>
  <c r="Y34" i="1"/>
  <c r="U42" i="1"/>
  <c r="U44" i="1"/>
  <c r="U45" i="1" s="1"/>
  <c r="U40" i="1"/>
  <c r="AQ27" i="1"/>
  <c r="W24" i="1" l="1"/>
  <c r="W28" i="1" s="1"/>
  <c r="AA6" i="1" s="1"/>
  <c r="W35" i="1"/>
  <c r="AA7" i="1" s="1"/>
  <c r="W34" i="1"/>
  <c r="R55" i="1"/>
  <c r="R36" i="1"/>
  <c r="N44" i="1"/>
  <c r="N45" i="1" s="1"/>
  <c r="N42" i="1"/>
  <c r="N40" i="1"/>
  <c r="O46" i="1"/>
  <c r="Y37" i="1"/>
  <c r="Y38" i="1" s="1"/>
  <c r="Y41" i="1" s="1"/>
  <c r="Y39" i="1"/>
  <c r="AC17" i="1"/>
  <c r="AC18" i="1"/>
  <c r="R20" i="1" l="1"/>
  <c r="V8" i="1"/>
  <c r="W37" i="1"/>
  <c r="W38" i="1" s="1"/>
  <c r="W41" i="1" s="1"/>
  <c r="AA17" i="1"/>
  <c r="AC20" i="1"/>
  <c r="AC24" i="1"/>
  <c r="AC28" i="1" s="1"/>
  <c r="AC35" i="1"/>
  <c r="AG7" i="1" s="1"/>
  <c r="Y42" i="1"/>
  <c r="Y40" i="1"/>
  <c r="Y44" i="1"/>
  <c r="Y45" i="1" s="1"/>
  <c r="W39" i="1" l="1"/>
  <c r="AA18" i="1"/>
  <c r="AA53" i="1"/>
  <c r="AA50" i="1"/>
  <c r="AA51" i="1" s="1"/>
  <c r="AA52" i="1" s="1"/>
  <c r="AA54" i="1" s="1"/>
  <c r="R24" i="1"/>
  <c r="R28" i="1" s="1"/>
  <c r="R35" i="1"/>
  <c r="V7" i="1" s="1"/>
  <c r="AG6" i="1"/>
  <c r="AC34" i="1"/>
  <c r="R34" i="1" l="1"/>
  <c r="V6" i="1"/>
  <c r="V17" i="1" s="1"/>
  <c r="AA36" i="1"/>
  <c r="AA55" i="1"/>
  <c r="AE8" i="1"/>
  <c r="W40" i="1"/>
  <c r="W44" i="1"/>
  <c r="W45" i="1" s="1"/>
  <c r="W42" i="1"/>
  <c r="AC37" i="1"/>
  <c r="AC38" i="1" s="1"/>
  <c r="AC41" i="1" s="1"/>
  <c r="AC39" i="1"/>
  <c r="AG17" i="1"/>
  <c r="AG18" i="1"/>
  <c r="AA20" i="1" l="1"/>
  <c r="V18" i="1"/>
  <c r="V53" i="1"/>
  <c r="V50" i="1"/>
  <c r="V51" i="1" s="1"/>
  <c r="V52" i="1" s="1"/>
  <c r="V54" i="1" s="1"/>
  <c r="R37" i="1"/>
  <c r="R38" i="1" s="1"/>
  <c r="R41" i="1" s="1"/>
  <c r="AG20" i="1"/>
  <c r="AC40" i="1"/>
  <c r="AC42" i="1"/>
  <c r="AC44" i="1"/>
  <c r="AC45" i="1" s="1"/>
  <c r="A19" i="5"/>
  <c r="AA24" i="1" l="1"/>
  <c r="AA28" i="1" s="1"/>
  <c r="AA35" i="1"/>
  <c r="AE7" i="1" s="1"/>
  <c r="V36" i="1"/>
  <c r="V55" i="1"/>
  <c r="AE6" i="1"/>
  <c r="AE17" i="1" s="1"/>
  <c r="AA34" i="1"/>
  <c r="R39" i="1"/>
  <c r="AG24" i="1"/>
  <c r="AG28" i="1" s="1"/>
  <c r="AG35" i="1"/>
  <c r="AK7" i="1" s="1"/>
  <c r="A20" i="5"/>
  <c r="AE18" i="1" l="1"/>
  <c r="AE53" i="1"/>
  <c r="AE50" i="1"/>
  <c r="AE51" i="1" s="1"/>
  <c r="AE52" i="1" s="1"/>
  <c r="AE54" i="1" s="1"/>
  <c r="V20" i="1"/>
  <c r="Z8" i="1"/>
  <c r="AA37" i="1"/>
  <c r="AA38" i="1" s="1"/>
  <c r="AA41" i="1" s="1"/>
  <c r="R40" i="1"/>
  <c r="R42" i="1"/>
  <c r="R44" i="1"/>
  <c r="R45" i="1" s="1"/>
  <c r="S46" i="1"/>
  <c r="AK6" i="1"/>
  <c r="AG34" i="1"/>
  <c r="A21" i="5"/>
  <c r="AA39" i="1" l="1"/>
  <c r="V24" i="1"/>
  <c r="V28" i="1" s="1"/>
  <c r="V35" i="1"/>
  <c r="Z7" i="1" s="1"/>
  <c r="AI8" i="1"/>
  <c r="AE36" i="1"/>
  <c r="AE55" i="1"/>
  <c r="AA40" i="1"/>
  <c r="AA42" i="1"/>
  <c r="AA44" i="1"/>
  <c r="AA45" i="1" s="1"/>
  <c r="AG37" i="1"/>
  <c r="AG38" i="1" s="1"/>
  <c r="AG41" i="1" s="1"/>
  <c r="AG39" i="1"/>
  <c r="AK17" i="1"/>
  <c r="AK18" i="1"/>
  <c r="A23" i="5"/>
  <c r="A24" i="5"/>
  <c r="AE20" i="1" l="1"/>
  <c r="V34" i="1"/>
  <c r="Z6" i="1"/>
  <c r="AK20" i="1"/>
  <c r="AG40" i="1"/>
  <c r="AG42" i="1"/>
  <c r="AG44" i="1"/>
  <c r="AG45" i="1" s="1"/>
  <c r="A25" i="5"/>
  <c r="A30" i="5" s="1"/>
  <c r="AE24" i="1" l="1"/>
  <c r="AE28" i="1" s="1"/>
  <c r="AI6" i="1" s="1"/>
  <c r="AI17" i="1" s="1"/>
  <c r="AE35" i="1"/>
  <c r="AI7" i="1" s="1"/>
  <c r="Z17" i="1"/>
  <c r="V37" i="1"/>
  <c r="V38" i="1" s="1"/>
  <c r="V41" i="1" s="1"/>
  <c r="AK24" i="1"/>
  <c r="AK28" i="1" s="1"/>
  <c r="AK35" i="1"/>
  <c r="AO7" i="1" s="1"/>
  <c r="A31" i="5"/>
  <c r="A32" i="5" s="1"/>
  <c r="AE34" i="1" l="1"/>
  <c r="V39" i="1"/>
  <c r="AI18" i="1"/>
  <c r="AI53" i="1"/>
  <c r="AI50" i="1"/>
  <c r="AI51" i="1" s="1"/>
  <c r="AI52" i="1" s="1"/>
  <c r="AI54" i="1" s="1"/>
  <c r="V40" i="1"/>
  <c r="V44" i="1"/>
  <c r="V45" i="1" s="1"/>
  <c r="V42" i="1"/>
  <c r="W46" i="1"/>
  <c r="AE37" i="1"/>
  <c r="AE38" i="1" s="1"/>
  <c r="AE41" i="1" s="1"/>
  <c r="Z18" i="1"/>
  <c r="Z53" i="1"/>
  <c r="Z50" i="1"/>
  <c r="Z51" i="1" s="1"/>
  <c r="Z52" i="1" s="1"/>
  <c r="Z54" i="1" s="1"/>
  <c r="AO6" i="1"/>
  <c r="AK34" i="1"/>
  <c r="A33" i="5"/>
  <c r="A34" i="5" s="1"/>
  <c r="AI36" i="1" l="1"/>
  <c r="AI55" i="1"/>
  <c r="AM8" i="1"/>
  <c r="Z36" i="1"/>
  <c r="Z55" i="1"/>
  <c r="AE39" i="1"/>
  <c r="AK37" i="1"/>
  <c r="AK38" i="1" s="1"/>
  <c r="AK41" i="1" s="1"/>
  <c r="AK39" i="1"/>
  <c r="AO17" i="1"/>
  <c r="AO20" i="1" s="1"/>
  <c r="AO18" i="1"/>
  <c r="A35" i="5"/>
  <c r="A37" i="5"/>
  <c r="A36" i="5"/>
  <c r="AI20" i="1" l="1"/>
  <c r="AE40" i="1"/>
  <c r="AE44" i="1"/>
  <c r="AE45" i="1" s="1"/>
  <c r="AE42" i="1"/>
  <c r="Z20" i="1"/>
  <c r="AD8" i="1"/>
  <c r="AO24" i="1"/>
  <c r="AO28" i="1" s="1"/>
  <c r="AO34" i="1" s="1"/>
  <c r="AO35" i="1"/>
  <c r="AK40" i="1"/>
  <c r="AK42" i="1"/>
  <c r="AK44" i="1"/>
  <c r="AK45" i="1" s="1"/>
  <c r="A38" i="5"/>
  <c r="A39" i="5" s="1"/>
  <c r="A41" i="5" s="1"/>
  <c r="AI24" i="1" l="1"/>
  <c r="AI28" i="1" s="1"/>
  <c r="AM6" i="1" s="1"/>
  <c r="AM17" i="1" s="1"/>
  <c r="AI35" i="1"/>
  <c r="AM7" i="1" s="1"/>
  <c r="Z24" i="1"/>
  <c r="Z28" i="1" s="1"/>
  <c r="Z35" i="1"/>
  <c r="AD7" i="1" s="1"/>
  <c r="AI34" i="1"/>
  <c r="AO37" i="1"/>
  <c r="AO38" i="1" s="1"/>
  <c r="AO41" i="1" s="1"/>
  <c r="AO39" i="1"/>
  <c r="A42" i="5"/>
  <c r="A43" i="5"/>
  <c r="AM18" i="1" l="1"/>
  <c r="AM53" i="1"/>
  <c r="AM50" i="1"/>
  <c r="AM51" i="1" s="1"/>
  <c r="AM52" i="1" s="1"/>
  <c r="AM54" i="1" s="1"/>
  <c r="AI37" i="1"/>
  <c r="AI38" i="1" s="1"/>
  <c r="AI41" i="1" s="1"/>
  <c r="Z34" i="1"/>
  <c r="AD6" i="1"/>
  <c r="AO40" i="1"/>
  <c r="AO42" i="1"/>
  <c r="AO44" i="1"/>
  <c r="AO45" i="1" s="1"/>
  <c r="A44" i="5"/>
  <c r="AI39" i="1" l="1"/>
  <c r="AM36" i="1"/>
  <c r="AM55" i="1"/>
  <c r="AQ8" i="1"/>
  <c r="AD17" i="1"/>
  <c r="Z37" i="1"/>
  <c r="Z38" i="1" s="1"/>
  <c r="Z41" i="1" s="1"/>
  <c r="AI40" i="1"/>
  <c r="AI42" i="1"/>
  <c r="AI44" i="1"/>
  <c r="AI45" i="1" s="1"/>
  <c r="A45" i="5"/>
  <c r="AM20" i="1" l="1"/>
  <c r="Z39" i="1"/>
  <c r="Z42" i="1" s="1"/>
  <c r="AD18" i="1"/>
  <c r="AD53" i="1"/>
  <c r="AD50" i="1"/>
  <c r="AD51" i="1" s="1"/>
  <c r="AD52" i="1" s="1"/>
  <c r="AD54" i="1" s="1"/>
  <c r="Z40" i="1"/>
  <c r="Z44" i="1"/>
  <c r="Z45" i="1" s="1"/>
  <c r="AA46" i="1"/>
  <c r="A47" i="5"/>
  <c r="AM24" i="1" l="1"/>
  <c r="AM28" i="1" s="1"/>
  <c r="AM34" i="1" s="1"/>
  <c r="AM35" i="1"/>
  <c r="AQ7" i="1" s="1"/>
  <c r="AD55" i="1"/>
  <c r="AD36" i="1"/>
  <c r="A48" i="5"/>
  <c r="AQ6" i="1" l="1"/>
  <c r="AM37" i="1"/>
  <c r="AM38" i="1" s="1"/>
  <c r="AM41" i="1" s="1"/>
  <c r="AQ17" i="1"/>
  <c r="AD20" i="1"/>
  <c r="AH8" i="1"/>
  <c r="A49" i="5"/>
  <c r="A50" i="5" s="1"/>
  <c r="AM39" i="1" l="1"/>
  <c r="AQ18" i="1"/>
  <c r="AQ53" i="1"/>
  <c r="AQ50" i="1"/>
  <c r="AQ51" i="1" s="1"/>
  <c r="AQ52" i="1" s="1"/>
  <c r="AQ54" i="1" s="1"/>
  <c r="AM40" i="1"/>
  <c r="AM42" i="1"/>
  <c r="AM44" i="1"/>
  <c r="AM45" i="1" s="1"/>
  <c r="AD24" i="1"/>
  <c r="AD28" i="1" s="1"/>
  <c r="AD35" i="1"/>
  <c r="AH7" i="1" s="1"/>
  <c r="A51" i="5"/>
  <c r="A52" i="5" s="1"/>
  <c r="AQ55" i="1" l="1"/>
  <c r="AQ36" i="1"/>
  <c r="AH6" i="1"/>
  <c r="AH17" i="1" s="1"/>
  <c r="AD34" i="1"/>
  <c r="A53" i="5"/>
  <c r="AQ20" i="1" l="1"/>
  <c r="AH18" i="1"/>
  <c r="AH53" i="1"/>
  <c r="AH50" i="1"/>
  <c r="AH51" i="1" s="1"/>
  <c r="AH52" i="1" s="1"/>
  <c r="AH54" i="1" s="1"/>
  <c r="AD37" i="1"/>
  <c r="AD38" i="1" s="1"/>
  <c r="AD41" i="1" s="1"/>
  <c r="A54" i="5"/>
  <c r="A55" i="5" s="1"/>
  <c r="AQ24" i="1" l="1"/>
  <c r="AQ28" i="1" s="1"/>
  <c r="AQ34" i="1" s="1"/>
  <c r="AQ37" i="1" s="1"/>
  <c r="AQ38" i="1" s="1"/>
  <c r="AQ41" i="1" s="1"/>
  <c r="AQ35" i="1"/>
  <c r="AH36" i="1"/>
  <c r="AH55" i="1"/>
  <c r="AD39" i="1"/>
  <c r="AQ39" i="1" l="1"/>
  <c r="AH20" i="1"/>
  <c r="AL8" i="1"/>
  <c r="AD40" i="1"/>
  <c r="AD42" i="1"/>
  <c r="AD44" i="1"/>
  <c r="AD45" i="1" s="1"/>
  <c r="AE46" i="1"/>
  <c r="AH24" i="1" l="1"/>
  <c r="AH28" i="1" s="1"/>
  <c r="AH35" i="1"/>
  <c r="AL7" i="1" s="1"/>
  <c r="AQ40" i="1"/>
  <c r="AQ42" i="1"/>
  <c r="AQ44" i="1"/>
  <c r="AQ45" i="1" s="1"/>
  <c r="AH34" i="1" l="1"/>
  <c r="AL6" i="1"/>
  <c r="AL17" i="1" s="1"/>
  <c r="AL18" i="1" l="1"/>
  <c r="AL53" i="1"/>
  <c r="AL50" i="1"/>
  <c r="AL51" i="1" s="1"/>
  <c r="AL52" i="1" s="1"/>
  <c r="AL54" i="1" s="1"/>
  <c r="AH37" i="1"/>
  <c r="AH38" i="1" s="1"/>
  <c r="AH41" i="1" s="1"/>
  <c r="AL36" i="1" l="1"/>
  <c r="AL55" i="1"/>
  <c r="AH39" i="1"/>
  <c r="AH40" i="1" l="1"/>
  <c r="AH42" i="1"/>
  <c r="AH44" i="1"/>
  <c r="AH45" i="1" s="1"/>
  <c r="AI46" i="1"/>
  <c r="AL20" i="1"/>
  <c r="AP8" i="1"/>
  <c r="AL24" i="1" l="1"/>
  <c r="AL28" i="1" s="1"/>
  <c r="AL35" i="1"/>
  <c r="AP7" i="1" s="1"/>
  <c r="AL34" i="1" l="1"/>
  <c r="AP6" i="1"/>
  <c r="AP17" i="1" s="1"/>
  <c r="AP18" i="1" l="1"/>
  <c r="AP53" i="1"/>
  <c r="AP50" i="1"/>
  <c r="AP51" i="1" s="1"/>
  <c r="AP52" i="1" s="1"/>
  <c r="AP54" i="1" s="1"/>
  <c r="AL37" i="1"/>
  <c r="AL38" i="1" s="1"/>
  <c r="AL41" i="1" s="1"/>
  <c r="AP36" i="1" l="1"/>
  <c r="AP55" i="1"/>
  <c r="AL39" i="1"/>
  <c r="AP20" i="1" l="1"/>
  <c r="AL40" i="1"/>
  <c r="AL42" i="1"/>
  <c r="AL44" i="1"/>
  <c r="AL45" i="1" s="1"/>
  <c r="AM46" i="1"/>
  <c r="AP24" i="1" l="1"/>
  <c r="AP28" i="1" s="1"/>
  <c r="AP34" i="1" s="1"/>
  <c r="AP35" i="1"/>
  <c r="AP37" i="1" s="1"/>
  <c r="AP38" i="1" s="1"/>
  <c r="AP41" i="1" s="1"/>
  <c r="AP39" i="1" l="1"/>
  <c r="AP40" i="1" s="1"/>
  <c r="AP42" i="1"/>
  <c r="AP44" i="1"/>
  <c r="AP45" i="1" s="1"/>
  <c r="AQ46" i="1"/>
</calcChain>
</file>

<file path=xl/sharedStrings.xml><?xml version="1.0" encoding="utf-8"?>
<sst xmlns="http://schemas.openxmlformats.org/spreadsheetml/2006/main" count="217" uniqueCount="64">
  <si>
    <t>Aktie</t>
  </si>
  <si>
    <t>altes Regime</t>
  </si>
  <si>
    <t>neues Regime</t>
  </si>
  <si>
    <t>Rendite p.a.</t>
  </si>
  <si>
    <t>replizierend</t>
  </si>
  <si>
    <t>Swapper</t>
  </si>
  <si>
    <t>Teilfreistellung</t>
  </si>
  <si>
    <t>ausschüttend</t>
  </si>
  <si>
    <t>thesaurierend</t>
  </si>
  <si>
    <t>kauft Anteile</t>
  </si>
  <si>
    <t>6 Monate später</t>
  </si>
  <si>
    <t>zahlt Dividende</t>
  </si>
  <si>
    <t>wird versteuert</t>
  </si>
  <si>
    <t>neuer Kurs</t>
  </si>
  <si>
    <t>Fonds A schüttet aus</t>
  </si>
  <si>
    <t>Anleger</t>
  </si>
  <si>
    <t>bekommt Dividende/Ausschüttung</t>
  </si>
  <si>
    <t>zahlt Steuern darauf</t>
  </si>
  <si>
    <t>Quellensteuer-Gutschrift</t>
  </si>
  <si>
    <t>Steuern auf thes. Erträge</t>
  </si>
  <si>
    <t>Steuern auf Vorabpauschale</t>
  </si>
  <si>
    <t>Zu-/Abfluß beim Anleger</t>
  </si>
  <si>
    <t>Wiederanlage bzw. Liquibeschaffung</t>
  </si>
  <si>
    <t>Kurs nach 1/2 Jahr und Ausschüttung</t>
  </si>
  <si>
    <t>neue Anteile</t>
  </si>
  <si>
    <t>Kurs nach 1 Jahr</t>
  </si>
  <si>
    <t>Anteile nach 1 Jahr</t>
  </si>
  <si>
    <t>verkauft Anteile</t>
  </si>
  <si>
    <t>abzgl. Kaufpreis</t>
  </si>
  <si>
    <t>abzgl. thes. Erträge</t>
  </si>
  <si>
    <t>abzgl. Vorabpauschalen</t>
  </si>
  <si>
    <t>zu versteuern</t>
  </si>
  <si>
    <t>versteuert Ergebnis</t>
  </si>
  <si>
    <t>Nettoergebnis</t>
  </si>
  <si>
    <t>Steuern</t>
  </si>
  <si>
    <t>Bruttoergebnis</t>
  </si>
  <si>
    <t>Soll-Bruttoergebnis</t>
  </si>
  <si>
    <t>(1+r/2)^2-1</t>
  </si>
  <si>
    <t>Steuereffekt</t>
  </si>
  <si>
    <t>Steuerbelastung</t>
  </si>
  <si>
    <t>Nebenrechnung Vorabpauschale</t>
  </si>
  <si>
    <t>Basiszins</t>
  </si>
  <si>
    <t>./. Kostenpauschale</t>
  </si>
  <si>
    <t>Kursänderung + Ausschüttung</t>
  </si>
  <si>
    <t>Basisertrag</t>
  </si>
  <si>
    <t>nicht negativ</t>
  </si>
  <si>
    <t>Ausschüttung</t>
  </si>
  <si>
    <t>Unterschreitung</t>
  </si>
  <si>
    <t>Anteile</t>
  </si>
  <si>
    <t>Steuersätze</t>
  </si>
  <si>
    <t>Anzahl Anteile</t>
  </si>
  <si>
    <t>kumulierter Kaufpreis</t>
  </si>
  <si>
    <t>kumulierte Vorabpauschalen</t>
  </si>
  <si>
    <t>Jahr</t>
  </si>
  <si>
    <t>Nettogewinn</t>
  </si>
  <si>
    <t>Gewinn</t>
  </si>
  <si>
    <t>Investition</t>
  </si>
  <si>
    <t>Gebühr</t>
  </si>
  <si>
    <t>Rendite</t>
  </si>
  <si>
    <t>Mischfonds</t>
  </si>
  <si>
    <t>sonstiges</t>
  </si>
  <si>
    <t>Aktien</t>
  </si>
  <si>
    <t>Mischfonds als steuerlicher Mischfonds</t>
  </si>
  <si>
    <t>Mischfonds als steuerlicher Aktienfonds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</si>
</sst>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€&quot;_-;\-* #,##0.00\ &quot;€&quot;_-;_-* &quot;-&quot;??\ &quot;€&quot;_-;_-@_-"/>
    <numFmt numFmtId="164" formatCode="0.000%"/>
    <numFmt numFmtId="165" formatCode="0.0%"/>
    <numFmt numFmtId="166" formatCode="0.0000"/>
    <numFmt numFmtId="167" formatCode="0.000"/>
    <numFmt numFmtId="168" formatCode="0.000000000"/>
    <numFmt numFmtId="169" formatCode="&quot;Jahr &quot;0"/>
    <numFmt numFmtId="170" formatCode="#,##0.00\ &quot;€&quot;"/>
    <numFmt numFmtId="171" formatCode="0.0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</cellStyleXfs>
  <cellXfs count="146">
    <xf numFmtId="0" fontId="0" fillId="0" borderId="0" xfId="0"/>
    <xf numFmtId="164" fontId="0" fillId="2" borderId="0" xfId="1" applyNumberFormat="1" applyFont="1" applyFill="1"/>
    <xf numFmtId="165" fontId="0" fillId="2" borderId="0" xfId="1" applyNumberFormat="1" applyFont="1" applyFill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2" xfId="1" applyNumberFormat="1" applyFont="1" applyBorder="1"/>
    <xf numFmtId="164" fontId="0" fillId="0" borderId="0" xfId="1" applyNumberFormat="1" applyFont="1" applyFill="1" applyBorder="1"/>
    <xf numFmtId="165" fontId="0" fillId="0" borderId="0" xfId="1" applyNumberFormat="1" applyFont="1" applyFill="1"/>
    <xf numFmtId="2" fontId="0" fillId="0" borderId="4" xfId="1" applyNumberFormat="1" applyFont="1" applyBorder="1"/>
    <xf numFmtId="2" fontId="0" fillId="0" borderId="3" xfId="1" applyNumberFormat="1" applyFont="1" applyBorder="1"/>
    <xf numFmtId="2" fontId="0" fillId="0" borderId="5" xfId="1" applyNumberFormat="1" applyFont="1" applyBorder="1"/>
    <xf numFmtId="164" fontId="0" fillId="0" borderId="0" xfId="1" applyNumberFormat="1" applyFont="1"/>
    <xf numFmtId="10" fontId="0" fillId="0" borderId="7" xfId="1" applyNumberFormat="1" applyFont="1" applyBorder="1"/>
    <xf numFmtId="10" fontId="0" fillId="0" borderId="6" xfId="1" applyNumberFormat="1" applyFont="1" applyBorder="1"/>
    <xf numFmtId="10" fontId="0" fillId="0" borderId="8" xfId="1" applyNumberFormat="1" applyFont="1" applyBorder="1"/>
    <xf numFmtId="10" fontId="0" fillId="2" borderId="0" xfId="1" applyNumberFormat="1" applyFont="1" applyFill="1"/>
    <xf numFmtId="10" fontId="0" fillId="0" borderId="0" xfId="1" applyNumberFormat="1" applyFont="1" applyBorder="1"/>
    <xf numFmtId="0" fontId="0" fillId="0" borderId="0" xfId="0" applyFont="1"/>
    <xf numFmtId="165" fontId="0" fillId="2" borderId="0" xfId="0" applyNumberFormat="1" applyFont="1" applyFill="1"/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0" fillId="0" borderId="2" xfId="0" applyFont="1" applyBorder="1" applyAlignment="1">
      <alignment horizontal="centerContinuous"/>
    </xf>
    <xf numFmtId="2" fontId="0" fillId="0" borderId="1" xfId="0" applyNumberFormat="1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9" fontId="0" fillId="2" borderId="0" xfId="0" applyNumberFormat="1" applyFont="1" applyFill="1"/>
    <xf numFmtId="0" fontId="0" fillId="0" borderId="3" xfId="0" applyFont="1" applyBorder="1"/>
    <xf numFmtId="2" fontId="0" fillId="2" borderId="3" xfId="0" applyNumberFormat="1" applyFont="1" applyFill="1" applyBorder="1"/>
    <xf numFmtId="16" fontId="0" fillId="0" borderId="3" xfId="0" applyNumberFormat="1" applyFont="1" applyBorder="1"/>
    <xf numFmtId="2" fontId="0" fillId="0" borderId="4" xfId="0" applyNumberFormat="1" applyFont="1" applyBorder="1"/>
    <xf numFmtId="2" fontId="0" fillId="0" borderId="3" xfId="0" applyNumberFormat="1" applyFont="1" applyBorder="1"/>
    <xf numFmtId="2" fontId="0" fillId="0" borderId="5" xfId="0" applyNumberFormat="1" applyFont="1" applyBorder="1"/>
    <xf numFmtId="2" fontId="0" fillId="0" borderId="0" xfId="0" applyNumberFormat="1" applyFont="1" applyBorder="1"/>
    <xf numFmtId="2" fontId="0" fillId="0" borderId="2" xfId="0" applyNumberFormat="1" applyFont="1" applyBorder="1"/>
    <xf numFmtId="16" fontId="0" fillId="0" borderId="0" xfId="0" applyNumberFormat="1" applyFont="1"/>
    <xf numFmtId="2" fontId="0" fillId="3" borderId="1" xfId="0" applyNumberFormat="1" applyFont="1" applyFill="1" applyBorder="1"/>
    <xf numFmtId="2" fontId="0" fillId="0" borderId="0" xfId="0" applyNumberFormat="1" applyFont="1" applyFill="1" applyBorder="1"/>
    <xf numFmtId="2" fontId="0" fillId="0" borderId="2" xfId="0" applyNumberFormat="1" applyFont="1" applyFill="1" applyBorder="1"/>
    <xf numFmtId="0" fontId="0" fillId="0" borderId="6" xfId="0" applyFont="1" applyBorder="1"/>
    <xf numFmtId="166" fontId="0" fillId="0" borderId="7" xfId="0" applyNumberFormat="1" applyFont="1" applyBorder="1"/>
    <xf numFmtId="166" fontId="0" fillId="0" borderId="6" xfId="0" applyNumberFormat="1" applyFont="1" applyBorder="1"/>
    <xf numFmtId="166" fontId="0" fillId="0" borderId="8" xfId="0" applyNumberFormat="1" applyFont="1" applyBorder="1"/>
    <xf numFmtId="16" fontId="0" fillId="0" borderId="0" xfId="0" applyNumberFormat="1" applyFont="1" applyBorder="1"/>
    <xf numFmtId="167" fontId="0" fillId="0" borderId="1" xfId="0" applyNumberFormat="1" applyFont="1" applyBorder="1"/>
    <xf numFmtId="167" fontId="0" fillId="0" borderId="0" xfId="0" applyNumberFormat="1" applyFont="1" applyBorder="1"/>
    <xf numFmtId="167" fontId="0" fillId="0" borderId="2" xfId="0" applyNumberFormat="1" applyFont="1" applyBorder="1"/>
    <xf numFmtId="0" fontId="0" fillId="0" borderId="0" xfId="0" applyFont="1" applyFill="1" applyBorder="1"/>
    <xf numFmtId="0" fontId="0" fillId="0" borderId="0" xfId="0" applyFont="1" applyFill="1"/>
    <xf numFmtId="9" fontId="0" fillId="0" borderId="0" xfId="0" applyNumberFormat="1" applyFont="1" applyFill="1"/>
    <xf numFmtId="9" fontId="0" fillId="0" borderId="0" xfId="0" applyNumberFormat="1" applyFont="1"/>
    <xf numFmtId="2" fontId="0" fillId="3" borderId="0" xfId="0" applyNumberFormat="1" applyFont="1" applyFill="1" applyBorder="1"/>
    <xf numFmtId="168" fontId="0" fillId="0" borderId="0" xfId="0" applyNumberFormat="1" applyFont="1"/>
    <xf numFmtId="0" fontId="4" fillId="0" borderId="0" xfId="0" applyFont="1"/>
    <xf numFmtId="2" fontId="5" fillId="0" borderId="2" xfId="0" applyNumberFormat="1" applyFont="1" applyBorder="1"/>
    <xf numFmtId="0" fontId="4" fillId="0" borderId="3" xfId="0" applyFont="1" applyBorder="1"/>
    <xf numFmtId="2" fontId="6" fillId="0" borderId="1" xfId="0" applyNumberFormat="1" applyFont="1" applyBorder="1"/>
    <xf numFmtId="2" fontId="6" fillId="0" borderId="0" xfId="0" applyNumberFormat="1" applyFont="1" applyBorder="1"/>
    <xf numFmtId="0" fontId="4" fillId="0" borderId="0" xfId="0" applyFont="1" applyBorder="1"/>
    <xf numFmtId="2" fontId="6" fillId="3" borderId="0" xfId="0" applyNumberFormat="1" applyFont="1" applyFill="1" applyBorder="1"/>
    <xf numFmtId="2" fontId="2" fillId="0" borderId="0" xfId="0" applyNumberFormat="1" applyFont="1" applyBorder="1"/>
    <xf numFmtId="0" fontId="7" fillId="0" borderId="6" xfId="0" applyFont="1" applyBorder="1"/>
    <xf numFmtId="0" fontId="8" fillId="0" borderId="6" xfId="0" applyFont="1" applyBorder="1"/>
    <xf numFmtId="0" fontId="9" fillId="0" borderId="6" xfId="0" applyFont="1" applyBorder="1"/>
    <xf numFmtId="2" fontId="9" fillId="0" borderId="7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166" fontId="9" fillId="0" borderId="7" xfId="0" applyNumberFormat="1" applyFont="1" applyBorder="1"/>
    <xf numFmtId="166" fontId="9" fillId="0" borderId="6" xfId="0" applyNumberFormat="1" applyFont="1" applyBorder="1"/>
    <xf numFmtId="0" fontId="10" fillId="0" borderId="0" xfId="0" applyFont="1"/>
    <xf numFmtId="0" fontId="3" fillId="0" borderId="0" xfId="0" applyFont="1"/>
    <xf numFmtId="2" fontId="3" fillId="0" borderId="1" xfId="0" applyNumberFormat="1" applyFont="1" applyBorder="1"/>
    <xf numFmtId="2" fontId="3" fillId="0" borderId="0" xfId="0" applyNumberFormat="1" applyFont="1" applyBorder="1"/>
    <xf numFmtId="2" fontId="3" fillId="0" borderId="2" xfId="0" applyNumberFormat="1" applyFont="1" applyBorder="1"/>
    <xf numFmtId="0" fontId="0" fillId="0" borderId="4" xfId="0" applyFont="1" applyBorder="1"/>
    <xf numFmtId="0" fontId="0" fillId="0" borderId="7" xfId="0" applyFont="1" applyBorder="1"/>
    <xf numFmtId="0" fontId="3" fillId="0" borderId="1" xfId="0" applyFont="1" applyBorder="1"/>
    <xf numFmtId="10" fontId="0" fillId="0" borderId="2" xfId="1" applyNumberFormat="1" applyFont="1" applyBorder="1"/>
    <xf numFmtId="2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/>
    <xf numFmtId="0" fontId="0" fillId="0" borderId="1" xfId="0" applyFont="1" applyFill="1" applyBorder="1"/>
    <xf numFmtId="2" fontId="0" fillId="0" borderId="4" xfId="0" applyNumberFormat="1" applyFont="1" applyFill="1" applyBorder="1"/>
    <xf numFmtId="166" fontId="0" fillId="0" borderId="7" xfId="0" applyNumberFormat="1" applyFont="1" applyFill="1" applyBorder="1"/>
    <xf numFmtId="167" fontId="0" fillId="0" borderId="1" xfId="0" applyNumberFormat="1" applyFont="1" applyFill="1" applyBorder="1"/>
    <xf numFmtId="2" fontId="0" fillId="0" borderId="1" xfId="1" applyNumberFormat="1" applyFont="1" applyFill="1" applyBorder="1"/>
    <xf numFmtId="2" fontId="0" fillId="0" borderId="4" xfId="1" applyNumberFormat="1" applyFont="1" applyFill="1" applyBorder="1"/>
    <xf numFmtId="2" fontId="9" fillId="0" borderId="7" xfId="0" applyNumberFormat="1" applyFont="1" applyFill="1" applyBorder="1"/>
    <xf numFmtId="10" fontId="0" fillId="0" borderId="7" xfId="1" applyNumberFormat="1" applyFont="1" applyFill="1" applyBorder="1"/>
    <xf numFmtId="166" fontId="0" fillId="0" borderId="1" xfId="0" applyNumberFormat="1" applyFont="1" applyFill="1" applyBorder="1"/>
    <xf numFmtId="10" fontId="3" fillId="0" borderId="1" xfId="1" applyNumberFormat="1" applyFont="1" applyFill="1" applyBorder="1"/>
    <xf numFmtId="9" fontId="0" fillId="2" borderId="0" xfId="1" applyNumberFormat="1" applyFont="1" applyFill="1"/>
    <xf numFmtId="2" fontId="0" fillId="0" borderId="0" xfId="0" applyNumberFormat="1" applyFont="1" applyFill="1" applyBorder="1" applyAlignment="1">
      <alignment horizontal="centerContinuous"/>
    </xf>
    <xf numFmtId="2" fontId="0" fillId="0" borderId="2" xfId="0" applyNumberFormat="1" applyFont="1" applyFill="1" applyBorder="1" applyAlignment="1">
      <alignment horizontal="centerContinuous"/>
    </xf>
    <xf numFmtId="169" fontId="0" fillId="0" borderId="1" xfId="0" applyNumberFormat="1" applyFont="1" applyFill="1" applyBorder="1" applyAlignment="1">
      <alignment horizontal="centerContinuous"/>
    </xf>
    <xf numFmtId="10" fontId="3" fillId="0" borderId="1" xfId="1" applyNumberFormat="1" applyFont="1" applyBorder="1"/>
    <xf numFmtId="10" fontId="3" fillId="0" borderId="0" xfId="1" applyNumberFormat="1" applyFont="1" applyBorder="1"/>
    <xf numFmtId="10" fontId="3" fillId="0" borderId="5" xfId="1" applyNumberFormat="1" applyFont="1" applyBorder="1"/>
    <xf numFmtId="0" fontId="1" fillId="0" borderId="0" xfId="3" applyFont="1" applyBorder="1"/>
    <xf numFmtId="0" fontId="3" fillId="0" borderId="0" xfId="3" applyFont="1" applyBorder="1"/>
    <xf numFmtId="0" fontId="11" fillId="0" borderId="0" xfId="4" applyBorder="1"/>
    <xf numFmtId="0" fontId="11" fillId="0" borderId="0" xfId="4" applyNumberFormat="1" applyBorder="1"/>
    <xf numFmtId="0" fontId="3" fillId="0" borderId="0" xfId="3" applyFont="1" applyBorder="1" applyAlignment="1">
      <alignment horizontal="centerContinuous"/>
    </xf>
    <xf numFmtId="10" fontId="1" fillId="0" borderId="0" xfId="5" applyNumberFormat="1" applyFont="1" applyBorder="1"/>
    <xf numFmtId="170" fontId="3" fillId="0" borderId="0" xfId="3" applyNumberFormat="1" applyFont="1" applyBorder="1"/>
    <xf numFmtId="0" fontId="1" fillId="0" borderId="0" xfId="3" applyFont="1"/>
    <xf numFmtId="44" fontId="9" fillId="0" borderId="4" xfId="2" applyFont="1" applyBorder="1"/>
    <xf numFmtId="0" fontId="9" fillId="0" borderId="5" xfId="3" applyFont="1" applyBorder="1"/>
    <xf numFmtId="0" fontId="9" fillId="0" borderId="0" xfId="3" applyFont="1" applyBorder="1"/>
    <xf numFmtId="44" fontId="1" fillId="0" borderId="4" xfId="2" applyFont="1" applyBorder="1"/>
    <xf numFmtId="44" fontId="1" fillId="0" borderId="3" xfId="2" applyFont="1" applyBorder="1"/>
    <xf numFmtId="44" fontId="3" fillId="0" borderId="1" xfId="2" applyFont="1" applyBorder="1"/>
    <xf numFmtId="44" fontId="3" fillId="0" borderId="0" xfId="2" applyFont="1"/>
    <xf numFmtId="0" fontId="3" fillId="0" borderId="0" xfId="3" applyFont="1"/>
    <xf numFmtId="164" fontId="1" fillId="2" borderId="0" xfId="3" applyNumberFormat="1" applyFont="1" applyFill="1"/>
    <xf numFmtId="44" fontId="1" fillId="0" borderId="1" xfId="2" applyFont="1" applyBorder="1"/>
    <xf numFmtId="44" fontId="1" fillId="0" borderId="0" xfId="2" applyFont="1"/>
    <xf numFmtId="9" fontId="12" fillId="0" borderId="1" xfId="3" applyNumberFormat="1" applyFont="1" applyBorder="1"/>
    <xf numFmtId="9" fontId="1" fillId="0" borderId="0" xfId="1" applyFont="1"/>
    <xf numFmtId="9" fontId="1" fillId="0" borderId="1" xfId="1" applyFont="1" applyBorder="1"/>
    <xf numFmtId="10" fontId="1" fillId="0" borderId="0" xfId="5" applyNumberFormat="1" applyFont="1"/>
    <xf numFmtId="10" fontId="3" fillId="0" borderId="0" xfId="5" applyNumberFormat="1" applyFont="1"/>
    <xf numFmtId="0" fontId="1" fillId="0" borderId="0" xfId="2" applyNumberFormat="1" applyFont="1"/>
    <xf numFmtId="44" fontId="1" fillId="2" borderId="0" xfId="2" applyFont="1" applyFill="1"/>
    <xf numFmtId="10" fontId="1" fillId="2" borderId="1" xfId="3" applyNumberFormat="1" applyFont="1" applyFill="1" applyBorder="1"/>
    <xf numFmtId="10" fontId="1" fillId="2" borderId="0" xfId="5" applyNumberFormat="1" applyFont="1" applyFill="1"/>
    <xf numFmtId="10" fontId="1" fillId="2" borderId="1" xfId="5" applyNumberFormat="1" applyFont="1" applyFill="1" applyBorder="1"/>
    <xf numFmtId="9" fontId="1" fillId="0" borderId="0" xfId="3" applyNumberFormat="1" applyFont="1"/>
    <xf numFmtId="165" fontId="1" fillId="0" borderId="1" xfId="3" applyNumberFormat="1" applyFont="1" applyBorder="1"/>
    <xf numFmtId="165" fontId="1" fillId="2" borderId="0" xfId="5" applyNumberFormat="1" applyFont="1" applyFill="1"/>
    <xf numFmtId="9" fontId="1" fillId="2" borderId="1" xfId="5" applyFont="1" applyFill="1" applyBorder="1"/>
    <xf numFmtId="0" fontId="1" fillId="0" borderId="3" xfId="3" applyFont="1" applyBorder="1" applyAlignment="1">
      <alignment vertical="center"/>
    </xf>
    <xf numFmtId="0" fontId="1" fillId="0" borderId="4" xfId="3" applyFont="1" applyBorder="1" applyAlignment="1">
      <alignment vertical="center"/>
    </xf>
    <xf numFmtId="9" fontId="1" fillId="0" borderId="3" xfId="5" applyFont="1" applyBorder="1" applyAlignment="1">
      <alignment vertical="center"/>
    </xf>
    <xf numFmtId="9" fontId="1" fillId="2" borderId="4" xfId="3" applyNumberFormat="1" applyFont="1" applyFill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1" fillId="0" borderId="1" xfId="3" applyFont="1" applyBorder="1" applyAlignment="1">
      <alignment horizontal="center"/>
    </xf>
    <xf numFmtId="0" fontId="1" fillId="0" borderId="0" xfId="3" applyFont="1" applyAlignment="1">
      <alignment horizontal="center"/>
    </xf>
    <xf numFmtId="2" fontId="14" fillId="0" borderId="1" xfId="0" applyNumberFormat="1" applyFont="1" applyBorder="1"/>
    <xf numFmtId="2" fontId="14" fillId="0" borderId="2" xfId="0" applyNumberFormat="1" applyFont="1" applyBorder="1"/>
    <xf numFmtId="171" fontId="3" fillId="0" borderId="5" xfId="1" applyNumberFormat="1" applyFont="1" applyBorder="1"/>
    <xf numFmtId="166" fontId="0" fillId="0" borderId="2" xfId="1" applyNumberFormat="1" applyFont="1" applyBorder="1"/>
    <xf numFmtId="166" fontId="0" fillId="0" borderId="0" xfId="0" applyNumberFormat="1" applyFont="1"/>
    <xf numFmtId="170" fontId="9" fillId="0" borderId="4" xfId="2" applyNumberFormat="1" applyFont="1" applyBorder="1" applyAlignment="1">
      <alignment horizontal="center"/>
    </xf>
    <xf numFmtId="170" fontId="9" fillId="0" borderId="5" xfId="2" applyNumberFormat="1" applyFont="1" applyBorder="1" applyAlignment="1">
      <alignment horizontal="center"/>
    </xf>
    <xf numFmtId="0" fontId="13" fillId="0" borderId="0" xfId="3" applyFont="1" applyBorder="1" applyAlignment="1">
      <alignment horizontal="center" vertical="center"/>
    </xf>
  </cellXfs>
  <cellStyles count="6">
    <cellStyle name="Normal 2" xfId="3"/>
    <cellStyle name="Percent 2" xfId="5"/>
    <cellStyle name="Prozent" xfId="1" builtinId="5"/>
    <cellStyle name="Standard" xfId="0" builtinId="0"/>
    <cellStyle name="Standard 2" xfId="4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236220472440947E-2"/>
          <c:y val="0.23658573928258966"/>
          <c:w val="0.87263888888888885"/>
          <c:h val="0.60018883056284633"/>
        </c:manualLayout>
      </c:layout>
      <c:scatterChart>
        <c:scatterStyle val="smoothMarker"/>
        <c:varyColors val="0"/>
        <c:ser>
          <c:idx val="0"/>
          <c:order val="0"/>
          <c:spPr>
            <a:ln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2"/>
                </a:solidFill>
              </a:ln>
            </c:spPr>
            <c:trendlineType val="linear"/>
            <c:forward val="0.13"/>
            <c:backward val="0.17"/>
            <c:dispRSqr val="0"/>
            <c:dispEq val="0"/>
          </c:trendline>
          <c:xVal>
            <c:numRef>
              <c:f>Mischfonds!$I$20:$I$25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0.05</c:v>
                </c:pt>
                <c:pt idx="2">
                  <c:v>0.03</c:v>
                </c:pt>
                <c:pt idx="3">
                  <c:v>0.01</c:v>
                </c:pt>
                <c:pt idx="4">
                  <c:v>-0.01</c:v>
                </c:pt>
                <c:pt idx="5">
                  <c:v>-0.03</c:v>
                </c:pt>
              </c:numCache>
            </c:numRef>
          </c:xVal>
          <c:yVal>
            <c:numRef>
              <c:f>Mischfonds!$J$20:$J$25</c:f>
              <c:numCache>
                <c:formatCode>General</c:formatCode>
                <c:ptCount val="6"/>
                <c:pt idx="0">
                  <c:v>9.0365982095840111E-2</c:v>
                </c:pt>
                <c:pt idx="1">
                  <c:v>8.3699315429175289E-2</c:v>
                </c:pt>
                <c:pt idx="2">
                  <c:v>7.7032648762506067E-2</c:v>
                </c:pt>
                <c:pt idx="3">
                  <c:v>7.036598209584001E-2</c:v>
                </c:pt>
                <c:pt idx="4">
                  <c:v>6.3699315429173037E-2</c:v>
                </c:pt>
                <c:pt idx="5">
                  <c:v>5.703264876250666E-2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17536"/>
        <c:axId val="188419456"/>
      </c:scatterChart>
      <c:valAx>
        <c:axId val="188417536"/>
        <c:scaling>
          <c:orientation val="minMax"/>
          <c:max val="0.2"/>
          <c:min val="-0.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Rendite des Aktienanteils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88419456"/>
        <c:crosses val="autoZero"/>
        <c:crossBetween val="midCat"/>
      </c:valAx>
      <c:valAx>
        <c:axId val="188419456"/>
        <c:scaling>
          <c:orientation val="minMax"/>
          <c:max val="0.1400000000000000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Rendite</a:t>
                </a:r>
                <a:r>
                  <a:rPr lang="de-DE" baseline="0"/>
                  <a:t> des Nicht-Aktienanteils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1.3888888888888888E-2"/>
              <c:y val="0.2009375911344415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884175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14</xdr:row>
      <xdr:rowOff>144780</xdr:rowOff>
    </xdr:from>
    <xdr:to>
      <xdr:col>11</xdr:col>
      <xdr:colOff>502920</xdr:colOff>
      <xdr:row>29</xdr:row>
      <xdr:rowOff>144780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0.17333</cdr:x>
      <cdr:y>0.31111</cdr:y>
    </cdr:from>
    <cdr:to>
      <cdr:x>0.83</cdr:x>
      <cdr:y>0.58333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792480" y="853440"/>
          <a:ext cx="3002280" cy="74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0.02167</cdr:x>
      <cdr:y>0.02222</cdr:y>
    </cdr:from>
    <cdr:to>
      <cdr:x>0.97833</cdr:x>
      <cdr:y>0.19167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99060" y="60960"/>
          <a:ext cx="4373880" cy="4648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 i="0" baseline="0">
              <a:effectLst/>
              <a:latin typeface="+mn-lt"/>
              <a:ea typeface="+mn-ea"/>
              <a:cs typeface="+mn-cs"/>
            </a:rPr>
            <a:t>Minimale steuerneutrale Rendite des Nicht-Aktienanteils in Abhängigkeit der Rendite des Aktienanteils</a:t>
          </a:r>
          <a:endParaRPr lang="de-DE" sz="1200">
            <a:effectLst/>
          </a:endParaRPr>
        </a:p>
        <a:p xmlns:a="http://schemas.openxmlformats.org/drawingml/2006/main">
          <a:pPr algn="ctr"/>
          <a:endParaRPr lang="de-DE" sz="1200"/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59"/>
  <sheetViews>
    <sheetView topLeftCell="D19" workbookViewId="0">
      <selection activeCell="E9" sqref="E9"/>
    </sheetView>
  </sheetViews>
  <sheetFormatPr baseColWidth="10" defaultColWidth="9.6640625" defaultRowHeight="14.4" outlineLevelRow="1" x14ac:dyDescent="0.3"/>
  <cols>
    <col min="1" max="1" width="3.44140625" style="17" bestFit="1" customWidth="1"/>
    <col min="2" max="2" width="11.33203125" style="17" customWidth="1"/>
    <col min="3" max="3" width="9.6640625" style="17"/>
    <col min="4" max="4" width="14.6640625" style="17" customWidth="1"/>
    <col min="5" max="5" width="10" style="23" customWidth="1"/>
    <col min="6" max="6" width="14" style="25" bestFit="1" customWidth="1"/>
    <col min="7" max="7" width="13.88671875" style="26" customWidth="1"/>
    <col min="8" max="8" width="13.88671875" style="24" customWidth="1"/>
    <col min="9" max="9" width="13.88671875" style="25" customWidth="1"/>
    <col min="10" max="10" width="13.88671875" style="26" customWidth="1"/>
    <col min="11" max="11" width="9.6640625" style="17"/>
    <col min="16" max="16384" width="9.6640625" style="17"/>
  </cols>
  <sheetData>
    <row r="1" spans="1:10" s="17" customFormat="1" x14ac:dyDescent="0.3">
      <c r="B1" s="17" t="s">
        <v>49</v>
      </c>
      <c r="C1" s="18">
        <v>5.5E-2</v>
      </c>
      <c r="D1" s="1">
        <v>0.25</v>
      </c>
      <c r="E1" s="19" t="s">
        <v>0</v>
      </c>
      <c r="F1" s="20" t="s">
        <v>1</v>
      </c>
      <c r="G1" s="21"/>
      <c r="H1" s="22"/>
      <c r="I1" s="20" t="s">
        <v>2</v>
      </c>
      <c r="J1" s="21"/>
    </row>
    <row r="2" spans="1:10" s="17" customFormat="1" ht="15" x14ac:dyDescent="0.25">
      <c r="B2" s="17" t="s">
        <v>3</v>
      </c>
      <c r="D2" s="2">
        <v>7.0000000000000007E-2</v>
      </c>
      <c r="E2" s="23"/>
      <c r="F2" s="20" t="s">
        <v>4</v>
      </c>
      <c r="G2" s="21"/>
      <c r="H2" s="24" t="s">
        <v>5</v>
      </c>
      <c r="I2" s="25"/>
      <c r="J2" s="26"/>
    </row>
    <row r="3" spans="1:10" s="17" customFormat="1" x14ac:dyDescent="0.3">
      <c r="B3" s="17" t="s">
        <v>6</v>
      </c>
      <c r="D3" s="27">
        <v>0.7</v>
      </c>
      <c r="E3" s="25"/>
      <c r="F3" s="25" t="s">
        <v>7</v>
      </c>
      <c r="G3" s="21" t="s">
        <v>8</v>
      </c>
      <c r="H3" s="22"/>
      <c r="I3" s="25" t="s">
        <v>7</v>
      </c>
      <c r="J3" s="21" t="s">
        <v>8</v>
      </c>
    </row>
    <row r="4" spans="1:10" s="28" customFormat="1" ht="15" x14ac:dyDescent="0.25">
      <c r="A4" s="28">
        <v>1</v>
      </c>
      <c r="B4" s="28" t="s">
        <v>9</v>
      </c>
      <c r="C4" s="29">
        <v>-1000</v>
      </c>
      <c r="D4" s="30">
        <v>42917</v>
      </c>
      <c r="E4" s="31">
        <f t="shared" ref="E4:J4" si="0">+$C$4</f>
        <v>-1000</v>
      </c>
      <c r="F4" s="31">
        <f t="shared" si="0"/>
        <v>-1000</v>
      </c>
      <c r="G4" s="32">
        <f t="shared" si="0"/>
        <v>-1000</v>
      </c>
      <c r="H4" s="33">
        <f t="shared" si="0"/>
        <v>-1000</v>
      </c>
      <c r="I4" s="31">
        <f t="shared" si="0"/>
        <v>-1000</v>
      </c>
      <c r="J4" s="32">
        <f t="shared" si="0"/>
        <v>-1000</v>
      </c>
    </row>
    <row r="5" spans="1:10" s="17" customFormat="1" ht="15" x14ac:dyDescent="0.25">
      <c r="A5" s="17" t="str">
        <f>IF(B5&lt;&gt;"",MAX(A1:A4)+1,"")</f>
        <v/>
      </c>
      <c r="E5" s="23"/>
      <c r="F5" s="23"/>
      <c r="G5" s="34"/>
      <c r="H5" s="35"/>
      <c r="I5" s="23"/>
      <c r="J5" s="34"/>
    </row>
    <row r="6" spans="1:10" s="17" customFormat="1" x14ac:dyDescent="0.3">
      <c r="A6" s="17">
        <f>IF(B6&lt;&gt;"",MAX(A2:A5)+1,"")</f>
        <v>2</v>
      </c>
      <c r="B6" s="54" t="s">
        <v>10</v>
      </c>
      <c r="D6" s="36">
        <v>42736</v>
      </c>
      <c r="E6" s="23">
        <f t="shared" ref="E6:J6" si="1">-E4*(1+$D2/2)</f>
        <v>1035</v>
      </c>
      <c r="F6" s="23">
        <f t="shared" si="1"/>
        <v>1035</v>
      </c>
      <c r="G6" s="34">
        <f t="shared" si="1"/>
        <v>1035</v>
      </c>
      <c r="H6" s="35">
        <f t="shared" si="1"/>
        <v>1035</v>
      </c>
      <c r="I6" s="23">
        <f t="shared" si="1"/>
        <v>1035</v>
      </c>
      <c r="J6" s="34">
        <f t="shared" si="1"/>
        <v>1035</v>
      </c>
    </row>
    <row r="7" spans="1:10" s="17" customFormat="1" ht="15" x14ac:dyDescent="0.25">
      <c r="A7" s="17">
        <f>IF(B7&lt;&gt;"",MAX(A3:A6)+1,"")</f>
        <v>3</v>
      </c>
      <c r="B7" s="17" t="s">
        <v>11</v>
      </c>
      <c r="D7" s="2">
        <v>2.7E-2</v>
      </c>
      <c r="E7" s="23">
        <f t="shared" ref="E7:J7" si="2">-E4*$D7</f>
        <v>27</v>
      </c>
      <c r="F7" s="23">
        <f t="shared" si="2"/>
        <v>27</v>
      </c>
      <c r="G7" s="34">
        <f t="shared" si="2"/>
        <v>27</v>
      </c>
      <c r="H7" s="55">
        <f t="shared" si="2"/>
        <v>27</v>
      </c>
      <c r="I7" s="23">
        <f t="shared" si="2"/>
        <v>27</v>
      </c>
      <c r="J7" s="34">
        <f t="shared" si="2"/>
        <v>27</v>
      </c>
    </row>
    <row r="8" spans="1:10" s="17" customFormat="1" ht="15" x14ac:dyDescent="0.25">
      <c r="A8" s="17">
        <f>IF(B8&lt;&gt;"",MAX(A5:A7)+1,"")</f>
        <v>4</v>
      </c>
      <c r="B8" s="17" t="s">
        <v>12</v>
      </c>
      <c r="D8" s="27">
        <v>0.15</v>
      </c>
      <c r="E8" s="37">
        <f>(-$D$8*E7)</f>
        <v>-4.05</v>
      </c>
      <c r="F8" s="23">
        <f>-$D8*F7</f>
        <v>-4.05</v>
      </c>
      <c r="G8" s="34">
        <f>-$D8*G7</f>
        <v>-4.05</v>
      </c>
      <c r="H8" s="55">
        <f>-$D8*H7</f>
        <v>-4.05</v>
      </c>
      <c r="I8" s="23">
        <f>-$D8*I7</f>
        <v>-4.05</v>
      </c>
      <c r="J8" s="34">
        <f>-$D8*J7</f>
        <v>-4.05</v>
      </c>
    </row>
    <row r="9" spans="1:10" s="17" customFormat="1" ht="15" x14ac:dyDescent="0.25">
      <c r="A9" s="17">
        <f>IF(B9&lt;&gt;"",MAX(A6:A8)+1,"")</f>
        <v>5</v>
      </c>
      <c r="B9" s="17" t="s">
        <v>13</v>
      </c>
      <c r="E9" s="23">
        <f>+E6-E7</f>
        <v>1008</v>
      </c>
      <c r="F9" s="23">
        <f>+$E9+F7+F8</f>
        <v>1030.95</v>
      </c>
      <c r="G9" s="34">
        <f>+$E9+G7+G8</f>
        <v>1030.95</v>
      </c>
      <c r="H9" s="35">
        <f>+$E9+H7+H8</f>
        <v>1030.95</v>
      </c>
      <c r="I9" s="23">
        <f>+I6+I8</f>
        <v>1030.95</v>
      </c>
      <c r="J9" s="34">
        <f>+J6+J8</f>
        <v>1030.95</v>
      </c>
    </row>
    <row r="10" spans="1:10" s="17" customFormat="1" x14ac:dyDescent="0.3">
      <c r="A10" s="17">
        <f>IF(B10&lt;&gt;"",MAX(A8:A9)+1,"")</f>
        <v>6</v>
      </c>
      <c r="B10" s="17" t="s">
        <v>14</v>
      </c>
      <c r="E10" s="23"/>
      <c r="F10" s="23">
        <f>+F8+F7</f>
        <v>22.95</v>
      </c>
      <c r="G10" s="38"/>
      <c r="H10" s="39"/>
      <c r="I10" s="23">
        <f>+I8+I7</f>
        <v>22.95</v>
      </c>
      <c r="J10" s="38"/>
    </row>
    <row r="11" spans="1:10" s="17" customFormat="1" ht="15" x14ac:dyDescent="0.25">
      <c r="A11" s="17">
        <f>IF(B11&lt;&gt;"",MAX(A8:A10)+1,"")</f>
        <v>7</v>
      </c>
      <c r="B11" s="17" t="s">
        <v>13</v>
      </c>
      <c r="E11" s="23">
        <f>+E9</f>
        <v>1008</v>
      </c>
      <c r="F11" s="23">
        <f>+F9-F10</f>
        <v>1008</v>
      </c>
      <c r="G11" s="34">
        <f>+G9-G10</f>
        <v>1030.95</v>
      </c>
      <c r="H11" s="35">
        <f>+H9-H10</f>
        <v>1030.95</v>
      </c>
      <c r="I11" s="23">
        <f>+I9-I10</f>
        <v>1008</v>
      </c>
      <c r="J11" s="34">
        <f>+J9-J10</f>
        <v>1030.95</v>
      </c>
    </row>
    <row r="12" spans="1:10" s="17" customFormat="1" ht="15" x14ac:dyDescent="0.25">
      <c r="A12" s="17" t="str">
        <f>IF(B12&lt;&gt;"",MAX(A9:A11)+1,"")</f>
        <v/>
      </c>
      <c r="E12" s="23"/>
      <c r="F12" s="23"/>
      <c r="G12" s="34"/>
      <c r="H12" s="35"/>
      <c r="I12" s="23"/>
      <c r="J12" s="34"/>
    </row>
    <row r="13" spans="1:10" s="28" customFormat="1" ht="15" x14ac:dyDescent="0.25">
      <c r="A13" s="28">
        <f>IF(B13&lt;&gt;"",MAX(A10:A12)+1,"")</f>
        <v>8</v>
      </c>
      <c r="B13" s="56" t="s">
        <v>15</v>
      </c>
      <c r="E13" s="31"/>
      <c r="F13" s="31"/>
      <c r="G13" s="32"/>
      <c r="H13" s="33"/>
      <c r="I13" s="31"/>
      <c r="J13" s="32"/>
    </row>
    <row r="14" spans="1:10" s="17" customFormat="1" x14ac:dyDescent="0.3">
      <c r="A14" s="17">
        <f>IF(B14&lt;&gt;"",MAX(A10:A13)+1,"")</f>
        <v>9</v>
      </c>
      <c r="B14" s="17" t="s">
        <v>16</v>
      </c>
      <c r="E14" s="23">
        <f>+E7+E8</f>
        <v>22.95</v>
      </c>
      <c r="F14" s="23">
        <f>+F10</f>
        <v>22.95</v>
      </c>
      <c r="G14" s="34">
        <f>+G10</f>
        <v>0</v>
      </c>
      <c r="H14" s="35">
        <f>+H10</f>
        <v>0</v>
      </c>
      <c r="I14" s="23">
        <f>+I10</f>
        <v>22.95</v>
      </c>
      <c r="J14" s="34">
        <f>+J10</f>
        <v>0</v>
      </c>
    </row>
    <row r="15" spans="1:10" s="17" customFormat="1" ht="15" x14ac:dyDescent="0.25">
      <c r="A15" s="17">
        <f t="shared" ref="A15:A17" si="3">IF(B15&lt;&gt;"",MAX(A11:A14)+1,"")</f>
        <v>10</v>
      </c>
      <c r="B15" s="17" t="s">
        <v>17</v>
      </c>
      <c r="E15" s="37">
        <f>(-$D$1*E7-E8)*(1+$C$1)</f>
        <v>-2.8485</v>
      </c>
      <c r="F15" s="37">
        <f>(-$D$1*F7-F8)*(1+$C$1)</f>
        <v>-2.8485</v>
      </c>
      <c r="G15" s="34">
        <f t="shared" ref="G15:H15" si="4">-$D$1*G14*(1+$C$1)</f>
        <v>0</v>
      </c>
      <c r="H15" s="35">
        <f t="shared" si="4"/>
        <v>0</v>
      </c>
      <c r="I15" s="57">
        <f>-$D$1*I14*$D$3*(1+$C$1)</f>
        <v>-4.2371437499999995</v>
      </c>
      <c r="J15" s="58">
        <f>-$D$1*J14*$D$3*(1+$C$1)</f>
        <v>0</v>
      </c>
    </row>
    <row r="16" spans="1:10" s="17" customFormat="1" ht="15" x14ac:dyDescent="0.25">
      <c r="A16" s="17">
        <f t="shared" si="3"/>
        <v>11</v>
      </c>
      <c r="B16" s="17" t="s">
        <v>20</v>
      </c>
      <c r="E16" s="23"/>
      <c r="F16" s="3"/>
      <c r="G16" s="4"/>
      <c r="H16" s="5"/>
      <c r="I16" s="3">
        <f>-I55*$D1*(1+$C$1)</f>
        <v>0</v>
      </c>
      <c r="J16" s="4">
        <f>-J55*$D1*(1+$C$1)</f>
        <v>-3.7478874999999992</v>
      </c>
    </row>
    <row r="17" spans="1:10" s="26" customFormat="1" x14ac:dyDescent="0.3">
      <c r="A17" s="17">
        <f t="shared" si="3"/>
        <v>12</v>
      </c>
      <c r="B17" s="26" t="s">
        <v>21</v>
      </c>
      <c r="E17" s="31">
        <f t="shared" ref="E17:J17" si="5">SUM(E14:E16)</f>
        <v>20.101499999999998</v>
      </c>
      <c r="F17" s="31">
        <f t="shared" si="5"/>
        <v>20.101499999999998</v>
      </c>
      <c r="G17" s="32">
        <f t="shared" si="5"/>
        <v>0</v>
      </c>
      <c r="H17" s="33">
        <f t="shared" si="5"/>
        <v>0</v>
      </c>
      <c r="I17" s="31">
        <f t="shared" si="5"/>
        <v>18.712856250000002</v>
      </c>
      <c r="J17" s="32">
        <f t="shared" si="5"/>
        <v>-3.7478874999999992</v>
      </c>
    </row>
    <row r="18" spans="1:10" s="17" customFormat="1" ht="15" x14ac:dyDescent="0.25">
      <c r="A18" s="17" t="str">
        <f>IF(B18&lt;&gt;"",MAX(A16:A17)+1,"")</f>
        <v/>
      </c>
      <c r="E18" s="23"/>
      <c r="F18" s="3"/>
      <c r="G18" s="4"/>
      <c r="H18" s="5"/>
      <c r="I18" s="3"/>
      <c r="J18" s="4"/>
    </row>
    <row r="19" spans="1:10" s="17" customFormat="1" ht="15" x14ac:dyDescent="0.25">
      <c r="A19" s="17">
        <f>IF(B19&lt;&gt;"",MAX(A16:A18)+1,"")</f>
        <v>13</v>
      </c>
      <c r="B19" s="54" t="s">
        <v>22</v>
      </c>
      <c r="E19" s="23"/>
      <c r="F19" s="23"/>
      <c r="G19" s="34"/>
      <c r="H19" s="35"/>
      <c r="I19" s="23"/>
      <c r="J19" s="34"/>
    </row>
    <row r="20" spans="1:10" s="17" customFormat="1" x14ac:dyDescent="0.3">
      <c r="A20" s="17">
        <f t="shared" ref="A20:A26" si="6">IF(B20&lt;&gt;"",MAX(A16:A19)+1,"")</f>
        <v>14</v>
      </c>
      <c r="B20" s="17" t="s">
        <v>23</v>
      </c>
      <c r="E20" s="23">
        <f t="shared" ref="E20:J20" si="7">+E11</f>
        <v>1008</v>
      </c>
      <c r="F20" s="3">
        <f t="shared" si="7"/>
        <v>1008</v>
      </c>
      <c r="G20" s="4">
        <f t="shared" si="7"/>
        <v>1030.95</v>
      </c>
      <c r="H20" s="5">
        <f t="shared" si="7"/>
        <v>1030.95</v>
      </c>
      <c r="I20" s="3">
        <f t="shared" si="7"/>
        <v>1008</v>
      </c>
      <c r="J20" s="4">
        <f t="shared" si="7"/>
        <v>1030.95</v>
      </c>
    </row>
    <row r="21" spans="1:10" s="40" customFormat="1" ht="15" x14ac:dyDescent="0.25">
      <c r="A21" s="40">
        <f t="shared" si="6"/>
        <v>15</v>
      </c>
      <c r="B21" s="40" t="s">
        <v>24</v>
      </c>
      <c r="E21" s="41">
        <f>IF(E17&lt;0,SUM(E15:E16)/(E20-(E20+E4)*($D1*(1+$C$1))),E17/E20)</f>
        <v>1.9941964285714285E-2</v>
      </c>
      <c r="F21" s="41">
        <f>IF(F17&lt;0,SUM(F15:F16)/(F20-(F20+F4)*($D1*(1+$C$1))),F17/F20)</f>
        <v>1.9941964285714285E-2</v>
      </c>
      <c r="G21" s="42">
        <f>IF(G17&lt;0,SUM(G15:G16)/(G20-(G20+G4)*($D1*(1+$C$1))),G17/G20)</f>
        <v>0</v>
      </c>
      <c r="H21" s="43">
        <f>IF(H17&lt;0,SUM(H15:H16)/(H20-(H20+H4)*($D1*(1+$C$1))),H17/H20)</f>
        <v>0</v>
      </c>
      <c r="I21" s="41">
        <f>IF(I17&lt;0,SUM(I15:I16)/(I20-(I20+I4)*($D1*(1+$C$1)*$D3)),I17/I20)</f>
        <v>1.8564341517857144E-2</v>
      </c>
      <c r="J21" s="42">
        <f>IF(J17&lt;0,SUM(J15:J16)/(J20-(J20+J4)*($D1*(1+$C$1)*$D3)),J17/J20)</f>
        <v>-3.6556344348983539E-3</v>
      </c>
    </row>
    <row r="22" spans="1:10" s="17" customFormat="1" ht="15" x14ac:dyDescent="0.25">
      <c r="A22" s="17" t="str">
        <f t="shared" si="6"/>
        <v/>
      </c>
      <c r="E22" s="23"/>
      <c r="F22" s="3"/>
      <c r="G22" s="4"/>
      <c r="H22" s="5"/>
      <c r="I22" s="3"/>
      <c r="J22" s="4"/>
    </row>
    <row r="23" spans="1:10" s="26" customFormat="1" x14ac:dyDescent="0.3">
      <c r="A23" s="26">
        <f t="shared" si="6"/>
        <v>16</v>
      </c>
      <c r="B23" s="59" t="s">
        <v>10</v>
      </c>
      <c r="D23" s="44">
        <v>42917</v>
      </c>
      <c r="E23" s="23"/>
      <c r="F23" s="3"/>
      <c r="G23" s="4"/>
      <c r="H23" s="5"/>
      <c r="I23" s="3"/>
      <c r="J23" s="4"/>
    </row>
    <row r="24" spans="1:10" s="17" customFormat="1" ht="15" x14ac:dyDescent="0.25">
      <c r="A24" s="17">
        <f t="shared" si="6"/>
        <v>17</v>
      </c>
      <c r="B24" s="17" t="s">
        <v>25</v>
      </c>
      <c r="E24" s="23">
        <f t="shared" ref="E24:J24" si="8">+E20*(1+$D2/2)</f>
        <v>1043.28</v>
      </c>
      <c r="F24" s="23">
        <f t="shared" si="8"/>
        <v>1043.28</v>
      </c>
      <c r="G24" s="34">
        <f t="shared" si="8"/>
        <v>1067.03325</v>
      </c>
      <c r="H24" s="35">
        <f t="shared" si="8"/>
        <v>1067.03325</v>
      </c>
      <c r="I24" s="23">
        <f t="shared" si="8"/>
        <v>1043.28</v>
      </c>
      <c r="J24" s="34">
        <f t="shared" si="8"/>
        <v>1067.03325</v>
      </c>
    </row>
    <row r="25" spans="1:10" s="17" customFormat="1" x14ac:dyDescent="0.3">
      <c r="A25" s="17">
        <f t="shared" si="6"/>
        <v>18</v>
      </c>
      <c r="B25" s="17" t="s">
        <v>26</v>
      </c>
      <c r="E25" s="45">
        <f t="shared" ref="E25:J25" si="9">1+E21</f>
        <v>1.0199419642857144</v>
      </c>
      <c r="F25" s="45">
        <f t="shared" si="9"/>
        <v>1.0199419642857144</v>
      </c>
      <c r="G25" s="46">
        <f t="shared" si="9"/>
        <v>1</v>
      </c>
      <c r="H25" s="47">
        <f t="shared" si="9"/>
        <v>1</v>
      </c>
      <c r="I25" s="45">
        <f t="shared" si="9"/>
        <v>1.0185643415178571</v>
      </c>
      <c r="J25" s="46">
        <f t="shared" si="9"/>
        <v>0.99634436556510164</v>
      </c>
    </row>
    <row r="26" spans="1:10" s="17" customFormat="1" x14ac:dyDescent="0.3">
      <c r="A26" s="17" t="str">
        <f t="shared" si="6"/>
        <v/>
      </c>
      <c r="E26" s="3"/>
      <c r="F26" s="3"/>
      <c r="G26" s="4"/>
      <c r="H26" s="5"/>
      <c r="I26" s="3"/>
      <c r="J26" s="4"/>
    </row>
    <row r="27" spans="1:10" s="26" customFormat="1" outlineLevel="1" x14ac:dyDescent="0.3">
      <c r="B27" s="48"/>
      <c r="C27" s="48"/>
      <c r="D27" s="6"/>
      <c r="E27" s="19" t="s">
        <v>0</v>
      </c>
      <c r="F27" s="20" t="s">
        <v>1</v>
      </c>
      <c r="G27" s="21"/>
      <c r="H27" s="22"/>
      <c r="I27" s="20" t="s">
        <v>2</v>
      </c>
      <c r="J27" s="21"/>
    </row>
    <row r="28" spans="1:10" s="17" customFormat="1" outlineLevel="1" x14ac:dyDescent="0.3">
      <c r="B28" s="49"/>
      <c r="C28" s="49"/>
      <c r="D28" s="7"/>
      <c r="E28" s="23"/>
      <c r="F28" s="20" t="s">
        <v>4</v>
      </c>
      <c r="G28" s="21"/>
      <c r="H28" s="24" t="s">
        <v>5</v>
      </c>
      <c r="I28" s="25"/>
      <c r="J28" s="26"/>
    </row>
    <row r="29" spans="1:10" s="17" customFormat="1" outlineLevel="1" x14ac:dyDescent="0.3">
      <c r="B29" s="49"/>
      <c r="C29" s="49"/>
      <c r="D29" s="50"/>
      <c r="E29" s="25"/>
      <c r="F29" s="25" t="s">
        <v>7</v>
      </c>
      <c r="G29" s="21" t="s">
        <v>8</v>
      </c>
      <c r="H29" s="22"/>
      <c r="I29" s="25" t="s">
        <v>7</v>
      </c>
      <c r="J29" s="21" t="s">
        <v>8</v>
      </c>
    </row>
    <row r="30" spans="1:10" s="28" customFormat="1" x14ac:dyDescent="0.3">
      <c r="A30" s="28">
        <f>IF(B30&lt;&gt;"",MAX(A23:A26)+1,"")</f>
        <v>19</v>
      </c>
      <c r="B30" s="56" t="s">
        <v>15</v>
      </c>
      <c r="E30" s="8"/>
      <c r="F30" s="8"/>
      <c r="G30" s="9"/>
      <c r="H30" s="10"/>
      <c r="I30" s="8"/>
      <c r="J30" s="9"/>
    </row>
    <row r="31" spans="1:10" s="17" customFormat="1" x14ac:dyDescent="0.3">
      <c r="A31" s="17">
        <f t="shared" ref="A31:A35" si="10">IF(B31&lt;&gt;"",MAX(A27:A30)+1,"")</f>
        <v>20</v>
      </c>
      <c r="B31" s="17" t="s">
        <v>27</v>
      </c>
      <c r="D31" s="36">
        <v>42736</v>
      </c>
      <c r="E31" s="23">
        <f t="shared" ref="E31:J31" si="11">+E25*E24</f>
        <v>1064.0850525000001</v>
      </c>
      <c r="F31" s="23">
        <f t="shared" si="11"/>
        <v>1064.0850525000001</v>
      </c>
      <c r="G31" s="34">
        <f t="shared" si="11"/>
        <v>1067.03325</v>
      </c>
      <c r="H31" s="35">
        <f t="shared" si="11"/>
        <v>1067.03325</v>
      </c>
      <c r="I31" s="23">
        <f t="shared" si="11"/>
        <v>1062.64780621875</v>
      </c>
      <c r="J31" s="34">
        <f t="shared" si="11"/>
        <v>1063.1325665081185</v>
      </c>
    </row>
    <row r="32" spans="1:10" s="17" customFormat="1" x14ac:dyDescent="0.3">
      <c r="A32" s="17">
        <f t="shared" si="10"/>
        <v>21</v>
      </c>
      <c r="B32" s="17" t="s">
        <v>28</v>
      </c>
      <c r="E32" s="23">
        <f t="shared" ref="E32:J32" si="12">IF(E17&gt;0,-E17+E4,E4+E21*E4)</f>
        <v>-1020.1015</v>
      </c>
      <c r="F32" s="23">
        <f t="shared" si="12"/>
        <v>-1020.1015</v>
      </c>
      <c r="G32" s="34">
        <f t="shared" si="12"/>
        <v>-1000</v>
      </c>
      <c r="H32" s="35">
        <f t="shared" si="12"/>
        <v>-1000</v>
      </c>
      <c r="I32" s="23">
        <f t="shared" si="12"/>
        <v>-1018.71285625</v>
      </c>
      <c r="J32" s="34">
        <f t="shared" si="12"/>
        <v>-996.34436556510161</v>
      </c>
    </row>
    <row r="33" spans="1:11" s="17" customFormat="1" x14ac:dyDescent="0.3">
      <c r="A33" s="17">
        <f t="shared" si="10"/>
        <v>22</v>
      </c>
      <c r="B33" s="17" t="s">
        <v>29</v>
      </c>
      <c r="E33" s="23"/>
      <c r="F33" s="23"/>
      <c r="G33" s="60">
        <f>-G7-G8</f>
        <v>-22.95</v>
      </c>
      <c r="H33" s="35"/>
      <c r="I33" s="23"/>
      <c r="J33" s="61"/>
    </row>
    <row r="34" spans="1:11" s="17" customFormat="1" x14ac:dyDescent="0.3">
      <c r="A34" s="17">
        <f t="shared" si="10"/>
        <v>23</v>
      </c>
      <c r="B34" s="17" t="s">
        <v>30</v>
      </c>
      <c r="E34" s="23"/>
      <c r="F34" s="23"/>
      <c r="G34" s="34"/>
      <c r="H34" s="35"/>
      <c r="I34" s="23">
        <f>-I54</f>
        <v>0</v>
      </c>
      <c r="J34" s="34">
        <f>-J54</f>
        <v>-20.299999999999997</v>
      </c>
    </row>
    <row r="35" spans="1:11" s="17" customFormat="1" x14ac:dyDescent="0.3">
      <c r="A35" s="17">
        <f t="shared" si="10"/>
        <v>24</v>
      </c>
      <c r="B35" s="17" t="s">
        <v>31</v>
      </c>
      <c r="E35" s="31">
        <f t="shared" ref="E35:J35" si="13">SUM(E31:E34)</f>
        <v>43.983552500000087</v>
      </c>
      <c r="F35" s="31">
        <f t="shared" si="13"/>
        <v>43.983552500000087</v>
      </c>
      <c r="G35" s="32">
        <f t="shared" si="13"/>
        <v>44.08324999999995</v>
      </c>
      <c r="H35" s="33">
        <f t="shared" si="13"/>
        <v>67.033249999999953</v>
      </c>
      <c r="I35" s="31">
        <f t="shared" si="13"/>
        <v>43.934949968750061</v>
      </c>
      <c r="J35" s="32">
        <f t="shared" si="13"/>
        <v>46.488200943016935</v>
      </c>
    </row>
    <row r="36" spans="1:11" s="17" customFormat="1" x14ac:dyDescent="0.3">
      <c r="A36" s="17">
        <f>IF(B36&lt;&gt;"",MAX(A32:A35)+1,"")</f>
        <v>25</v>
      </c>
      <c r="B36" s="17" t="s">
        <v>32</v>
      </c>
      <c r="D36" s="51"/>
      <c r="E36" s="23">
        <f>-E35*$D$1*(1+$C$1)</f>
        <v>-11.600661971875022</v>
      </c>
      <c r="F36" s="23">
        <f t="shared" ref="F36:H36" si="14">-F35*$D$1*(1+$C$1)</f>
        <v>-11.600661971875022</v>
      </c>
      <c r="G36" s="34">
        <f t="shared" si="14"/>
        <v>-11.626957187499986</v>
      </c>
      <c r="H36" s="35">
        <f t="shared" si="14"/>
        <v>-17.680019687499986</v>
      </c>
      <c r="I36" s="23">
        <f>-I35*$D$1*(1+$C$1)*$D$3</f>
        <v>-8.1114901379804785</v>
      </c>
      <c r="J36" s="34">
        <f>-J35*$D$1*(1+$C$1)*$D$3</f>
        <v>-8.5828840991045006</v>
      </c>
    </row>
    <row r="37" spans="1:11" s="17" customFormat="1" x14ac:dyDescent="0.3">
      <c r="A37" s="17">
        <f>IF(B37&lt;&gt;"",MAX(A33:A36)+1,"")</f>
        <v>26</v>
      </c>
      <c r="B37" s="17" t="s">
        <v>19</v>
      </c>
      <c r="E37" s="23"/>
      <c r="F37" s="23"/>
      <c r="G37" s="52">
        <f>(-$D$1*G7-G8)*(1+$C$1)+G8</f>
        <v>-6.8985000000000003</v>
      </c>
      <c r="H37" s="35"/>
      <c r="I37" s="23"/>
      <c r="J37" s="34"/>
    </row>
    <row r="38" spans="1:11" s="17" customFormat="1" x14ac:dyDescent="0.3">
      <c r="A38" s="17">
        <f>IF(B38&lt;&gt;"",MAX(A34:A37)+1,"")</f>
        <v>27</v>
      </c>
      <c r="B38" s="17" t="s">
        <v>18</v>
      </c>
      <c r="D38" s="50"/>
      <c r="E38" s="23"/>
      <c r="F38" s="23"/>
      <c r="G38" s="52">
        <f>-G8</f>
        <v>4.05</v>
      </c>
      <c r="H38" s="35"/>
      <c r="I38" s="23"/>
      <c r="J38" s="34"/>
    </row>
    <row r="39" spans="1:11" s="64" customFormat="1" ht="15.6" x14ac:dyDescent="0.3">
      <c r="A39" s="62">
        <f>IF(B39&lt;&gt;"",MAX(A31:A38)+1,"")</f>
        <v>28</v>
      </c>
      <c r="B39" s="63" t="s">
        <v>33</v>
      </c>
      <c r="E39" s="65">
        <f>+E31+E4+E36</f>
        <v>52.484390528125054</v>
      </c>
      <c r="F39" s="65">
        <f>+F31+F4+F36</f>
        <v>52.484390528125054</v>
      </c>
      <c r="G39" s="66">
        <f>+G31+G4+G36+G37+G38</f>
        <v>52.557792812499969</v>
      </c>
      <c r="H39" s="67">
        <f>+H31+H4+H36</f>
        <v>49.353230312499967</v>
      </c>
      <c r="I39" s="68">
        <f>+I31+I4+I36</f>
        <v>54.536316080769538</v>
      </c>
      <c r="J39" s="69">
        <f>+J31+J4+J36</f>
        <v>54.549682409014039</v>
      </c>
      <c r="K39" s="66"/>
    </row>
    <row r="40" spans="1:11" s="71" customFormat="1" ht="15" hidden="1" outlineLevel="1" x14ac:dyDescent="0.25">
      <c r="A40" s="17" t="str">
        <f>IF(B40&lt;&gt;"",MAX(A34:A39)+1,"")</f>
        <v/>
      </c>
      <c r="B40" s="70"/>
      <c r="E40" s="72"/>
      <c r="F40" s="72"/>
      <c r="G40" s="73"/>
      <c r="H40" s="74"/>
      <c r="I40" s="72"/>
      <c r="J40" s="73"/>
    </row>
    <row r="41" spans="1:11" s="28" customFormat="1" ht="15" hidden="1" outlineLevel="1" x14ac:dyDescent="0.25">
      <c r="A41" s="28">
        <f>IF(B41&lt;&gt;"",MAX(A35:A40)+1,"")</f>
        <v>29</v>
      </c>
      <c r="B41" s="28" t="s">
        <v>34</v>
      </c>
      <c r="E41" s="31">
        <f t="shared" ref="E41:J41" si="15">-(+E15+E36+E16+E8+E38+E37)</f>
        <v>18.499161971875022</v>
      </c>
      <c r="F41" s="31">
        <f t="shared" si="15"/>
        <v>18.499161971875022</v>
      </c>
      <c r="G41" s="32">
        <f t="shared" si="15"/>
        <v>18.525457187499988</v>
      </c>
      <c r="H41" s="33">
        <f t="shared" si="15"/>
        <v>21.730019687499986</v>
      </c>
      <c r="I41" s="31">
        <f t="shared" si="15"/>
        <v>16.398633887980477</v>
      </c>
      <c r="J41" s="32">
        <f t="shared" si="15"/>
        <v>16.380771599104499</v>
      </c>
    </row>
    <row r="42" spans="1:11" s="17" customFormat="1" ht="15" hidden="1" outlineLevel="1" x14ac:dyDescent="0.25">
      <c r="A42" s="17">
        <f>IF(B42&lt;&gt;"",MAX(A36:A41)+1,"")</f>
        <v>30</v>
      </c>
      <c r="B42" s="17" t="s">
        <v>35</v>
      </c>
      <c r="D42" s="11"/>
      <c r="E42" s="23">
        <f t="shared" ref="E42:J42" si="16">+E39+E41</f>
        <v>70.983552500000073</v>
      </c>
      <c r="F42" s="23">
        <f t="shared" si="16"/>
        <v>70.983552500000073</v>
      </c>
      <c r="G42" s="34">
        <f t="shared" si="16"/>
        <v>71.083249999999964</v>
      </c>
      <c r="H42" s="35">
        <f t="shared" si="16"/>
        <v>71.08324999999995</v>
      </c>
      <c r="I42" s="23">
        <f t="shared" si="16"/>
        <v>70.934949968750018</v>
      </c>
      <c r="J42" s="34">
        <f t="shared" si="16"/>
        <v>70.930454008118545</v>
      </c>
    </row>
    <row r="43" spans="1:11" s="17" customFormat="1" ht="15" hidden="1" outlineLevel="1" x14ac:dyDescent="0.25">
      <c r="A43" s="17">
        <f>IF(B43&lt;&gt;"",MAX(A39:A42)+1,"")</f>
        <v>31</v>
      </c>
      <c r="B43" s="17" t="s">
        <v>36</v>
      </c>
      <c r="D43" s="17" t="s">
        <v>37</v>
      </c>
      <c r="E43" s="23">
        <f t="shared" ref="E43:J43" si="17">-E4*((1+$D2/2)^2-1)</f>
        <v>71.224999999999866</v>
      </c>
      <c r="F43" s="23">
        <f t="shared" si="17"/>
        <v>71.224999999999866</v>
      </c>
      <c r="G43" s="34">
        <f t="shared" si="17"/>
        <v>71.224999999999866</v>
      </c>
      <c r="H43" s="35">
        <f t="shared" si="17"/>
        <v>71.224999999999866</v>
      </c>
      <c r="I43" s="23">
        <f t="shared" si="17"/>
        <v>71.224999999999866</v>
      </c>
      <c r="J43" s="34">
        <f t="shared" si="17"/>
        <v>71.224999999999866</v>
      </c>
    </row>
    <row r="44" spans="1:11" s="17" customFormat="1" ht="15" hidden="1" outlineLevel="1" x14ac:dyDescent="0.25">
      <c r="A44" s="17">
        <f>IF(B44&lt;&gt;"",MAX(A40:A43)+1,"")</f>
        <v>32</v>
      </c>
      <c r="B44" s="17" t="s">
        <v>38</v>
      </c>
      <c r="D44" s="53"/>
      <c r="E44" s="23">
        <f t="shared" ref="E44:J44" si="18">+E43-E39</f>
        <v>18.740609471874812</v>
      </c>
      <c r="F44" s="23">
        <f t="shared" si="18"/>
        <v>18.740609471874812</v>
      </c>
      <c r="G44" s="34">
        <f t="shared" si="18"/>
        <v>18.667207187499898</v>
      </c>
      <c r="H44" s="35">
        <f t="shared" si="18"/>
        <v>21.871769687499899</v>
      </c>
      <c r="I44" s="23">
        <f t="shared" si="18"/>
        <v>16.688683919230328</v>
      </c>
      <c r="J44" s="34">
        <f t="shared" si="18"/>
        <v>16.675317590985827</v>
      </c>
    </row>
    <row r="45" spans="1:11" s="40" customFormat="1" ht="15" hidden="1" outlineLevel="1" x14ac:dyDescent="0.25">
      <c r="A45" s="40">
        <f>IF(B45&lt;&gt;"",MAX(A41:A44)+1,"")</f>
        <v>33</v>
      </c>
      <c r="B45" s="40" t="s">
        <v>39</v>
      </c>
      <c r="E45" s="12">
        <f t="shared" ref="E45:J45" si="19">+E44/E43</f>
        <v>0.26311842010354297</v>
      </c>
      <c r="F45" s="12">
        <f t="shared" si="19"/>
        <v>0.26311842010354297</v>
      </c>
      <c r="G45" s="13">
        <f t="shared" si="19"/>
        <v>0.26208785100035004</v>
      </c>
      <c r="H45" s="14">
        <f t="shared" si="19"/>
        <v>0.30707995349245265</v>
      </c>
      <c r="I45" s="12">
        <f t="shared" si="19"/>
        <v>0.23430935653535079</v>
      </c>
      <c r="J45" s="13">
        <f t="shared" si="19"/>
        <v>0.23412169309913455</v>
      </c>
    </row>
    <row r="46" spans="1:11" s="17" customFormat="1" collapsed="1" x14ac:dyDescent="0.3">
      <c r="A46" s="17" t="str">
        <f>IF(B46&lt;&gt;"",MAX(A42:A45)+1,"")</f>
        <v/>
      </c>
      <c r="E46" s="23"/>
      <c r="F46" s="23"/>
      <c r="G46" s="34"/>
      <c r="H46" s="35"/>
      <c r="I46" s="23"/>
      <c r="J46" s="16">
        <f>+(J39-I39)/10</f>
        <v>1.3366328244501346E-3</v>
      </c>
    </row>
    <row r="47" spans="1:11" s="17" customFormat="1" x14ac:dyDescent="0.3">
      <c r="A47" s="17">
        <f t="shared" ref="A47:A55" si="20">IF(B47&lt;&gt;"",MAX(A44:A46)+1,"")</f>
        <v>34</v>
      </c>
      <c r="B47" s="54" t="s">
        <v>40</v>
      </c>
      <c r="E47" s="23"/>
      <c r="F47" s="25"/>
      <c r="G47" s="26"/>
      <c r="H47" s="35">
        <f>+H36-G36</f>
        <v>-6.0530624999999993</v>
      </c>
      <c r="I47" s="25"/>
      <c r="J47" s="26"/>
    </row>
    <row r="48" spans="1:11" s="17" customFormat="1" x14ac:dyDescent="0.3">
      <c r="A48" s="17">
        <f t="shared" si="20"/>
        <v>35</v>
      </c>
      <c r="B48" s="17" t="s">
        <v>41</v>
      </c>
      <c r="D48" s="15">
        <v>2.9000000000000001E-2</v>
      </c>
      <c r="E48" s="23"/>
      <c r="F48" s="25"/>
      <c r="G48" s="26"/>
      <c r="H48" s="24"/>
      <c r="I48" s="25"/>
      <c r="J48" s="26"/>
    </row>
    <row r="49" spans="1:10" s="17" customFormat="1" x14ac:dyDescent="0.3">
      <c r="A49" s="17">
        <f t="shared" si="20"/>
        <v>36</v>
      </c>
      <c r="B49" s="17" t="s">
        <v>42</v>
      </c>
      <c r="D49" s="50">
        <v>0.3</v>
      </c>
      <c r="E49" s="23"/>
      <c r="F49" s="25"/>
      <c r="G49" s="26"/>
      <c r="H49" s="24"/>
      <c r="I49" s="23">
        <f>-I4*$D48*(1-$D49)</f>
        <v>20.299999999999997</v>
      </c>
      <c r="J49" s="34">
        <f>-J4*$D48*(1-$D49)</f>
        <v>20.299999999999997</v>
      </c>
    </row>
    <row r="50" spans="1:10" s="17" customFormat="1" x14ac:dyDescent="0.3">
      <c r="A50" s="17">
        <f t="shared" si="20"/>
        <v>37</v>
      </c>
      <c r="B50" s="17" t="s">
        <v>43</v>
      </c>
      <c r="E50" s="23"/>
      <c r="F50" s="25"/>
      <c r="G50" s="26"/>
      <c r="H50" s="24"/>
      <c r="I50" s="23">
        <f>+I20+I4+I14</f>
        <v>30.95</v>
      </c>
      <c r="J50" s="34">
        <f>+J20+J4+J14</f>
        <v>30.950000000000045</v>
      </c>
    </row>
    <row r="51" spans="1:10" s="17" customFormat="1" x14ac:dyDescent="0.3">
      <c r="A51" s="17">
        <f t="shared" si="20"/>
        <v>38</v>
      </c>
      <c r="B51" s="17" t="s">
        <v>44</v>
      </c>
      <c r="E51" s="23"/>
      <c r="F51" s="25"/>
      <c r="G51" s="26"/>
      <c r="H51" s="24"/>
      <c r="I51" s="23">
        <f>MIN(I49:I50)</f>
        <v>20.299999999999997</v>
      </c>
      <c r="J51" s="34">
        <f>MIN(J49:J50)</f>
        <v>20.299999999999997</v>
      </c>
    </row>
    <row r="52" spans="1:10" s="17" customFormat="1" x14ac:dyDescent="0.3">
      <c r="A52" s="17">
        <f t="shared" si="20"/>
        <v>39</v>
      </c>
      <c r="B52" s="17" t="s">
        <v>45</v>
      </c>
      <c r="E52" s="23"/>
      <c r="F52" s="25"/>
      <c r="G52" s="26"/>
      <c r="H52" s="24"/>
      <c r="I52" s="23">
        <f>MAX(0,I51)</f>
        <v>20.299999999999997</v>
      </c>
      <c r="J52" s="34">
        <f>MAX(0,J51)</f>
        <v>20.299999999999997</v>
      </c>
    </row>
    <row r="53" spans="1:10" s="17" customFormat="1" x14ac:dyDescent="0.3">
      <c r="A53" s="17">
        <f t="shared" si="20"/>
        <v>40</v>
      </c>
      <c r="B53" s="17" t="s">
        <v>46</v>
      </c>
      <c r="E53" s="23"/>
      <c r="F53" s="25"/>
      <c r="G53" s="26"/>
      <c r="H53" s="24"/>
      <c r="I53" s="23">
        <f>+I14</f>
        <v>22.95</v>
      </c>
      <c r="J53" s="34">
        <f>+J14</f>
        <v>0</v>
      </c>
    </row>
    <row r="54" spans="1:10" s="17" customFormat="1" x14ac:dyDescent="0.3">
      <c r="A54" s="17">
        <f t="shared" si="20"/>
        <v>41</v>
      </c>
      <c r="B54" s="17" t="s">
        <v>47</v>
      </c>
      <c r="E54" s="23"/>
      <c r="F54" s="25"/>
      <c r="G54" s="26"/>
      <c r="H54" s="24"/>
      <c r="I54" s="23">
        <f>MAX(0,I52-I53)</f>
        <v>0</v>
      </c>
      <c r="J54" s="34">
        <f>MAX(0,J52-J53)</f>
        <v>20.299999999999997</v>
      </c>
    </row>
    <row r="55" spans="1:10" s="17" customFormat="1" x14ac:dyDescent="0.3">
      <c r="A55" s="17">
        <f t="shared" si="20"/>
        <v>42</v>
      </c>
      <c r="B55" s="17" t="s">
        <v>6</v>
      </c>
      <c r="D55" s="51"/>
      <c r="E55" s="23"/>
      <c r="F55" s="25"/>
      <c r="G55" s="26"/>
      <c r="H55" s="24"/>
      <c r="I55" s="23">
        <f>+I54*$D$3</f>
        <v>0</v>
      </c>
      <c r="J55" s="34">
        <f>+J54*$D$3</f>
        <v>14.209999999999997</v>
      </c>
    </row>
    <row r="56" spans="1:10" s="17" customFormat="1" x14ac:dyDescent="0.3">
      <c r="E56" s="23"/>
      <c r="F56" s="25"/>
      <c r="G56" s="26"/>
      <c r="H56" s="24"/>
      <c r="I56" s="25"/>
      <c r="J56" s="26"/>
    </row>
    <row r="57" spans="1:10" s="17" customFormat="1" x14ac:dyDescent="0.3">
      <c r="E57" s="23"/>
      <c r="F57" s="25"/>
      <c r="G57" s="26"/>
      <c r="H57" s="24"/>
      <c r="I57" s="25"/>
      <c r="J57" s="26"/>
    </row>
    <row r="58" spans="1:10" s="17" customFormat="1" x14ac:dyDescent="0.3">
      <c r="E58" s="23"/>
      <c r="F58" s="25"/>
      <c r="G58" s="26"/>
      <c r="H58" s="24"/>
      <c r="I58" s="25"/>
      <c r="J58" s="26"/>
    </row>
    <row r="59" spans="1:10" s="17" customFormat="1" x14ac:dyDescent="0.3">
      <c r="E59" s="23"/>
      <c r="F59" s="25"/>
      <c r="G59" s="26"/>
      <c r="H59" s="24"/>
      <c r="I59" s="25"/>
      <c r="J59" s="2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Q55"/>
  <sheetViews>
    <sheetView tabSelected="1" topLeftCell="A16" workbookViewId="0">
      <selection activeCell="AQ40" sqref="AQ40"/>
    </sheetView>
  </sheetViews>
  <sheetFormatPr baseColWidth="10" defaultColWidth="9.6640625" defaultRowHeight="14.4" outlineLevelRow="1" x14ac:dyDescent="0.3"/>
  <cols>
    <col min="1" max="1" width="3.44140625" style="17" bestFit="1" customWidth="1"/>
    <col min="2" max="2" width="14.5546875" style="17" customWidth="1"/>
    <col min="3" max="3" width="9.6640625" style="17"/>
    <col min="4" max="4" width="14.6640625" style="17" customWidth="1"/>
    <col min="5" max="5" width="10" style="80" customWidth="1"/>
    <col min="6" max="6" width="13.88671875" style="25" customWidth="1"/>
    <col min="7" max="7" width="13.88671875" style="26" customWidth="1"/>
    <col min="8" max="8" width="9.6640625" style="25"/>
    <col min="9" max="9" width="10" style="80" customWidth="1"/>
    <col min="10" max="10" width="13.88671875" style="25" customWidth="1"/>
    <col min="11" max="11" width="13.88671875" style="24" customWidth="1"/>
    <col min="13" max="13" width="10" style="80" customWidth="1"/>
    <col min="14" max="14" width="13.88671875" style="25" customWidth="1"/>
    <col min="15" max="15" width="13.88671875" style="24" customWidth="1"/>
    <col min="16" max="16" width="9.6640625" style="17"/>
    <col min="17" max="17" width="10" style="80" customWidth="1"/>
    <col min="18" max="18" width="13.88671875" style="25" customWidth="1"/>
    <col min="19" max="19" width="13.88671875" style="24" customWidth="1"/>
    <col min="20" max="20" width="9.6640625" style="17"/>
    <col min="21" max="21" width="10" style="80" customWidth="1"/>
    <col min="22" max="22" width="13.88671875" style="25" customWidth="1"/>
    <col min="23" max="23" width="13.88671875" style="24" customWidth="1"/>
    <col min="24" max="24" width="9.6640625" style="17"/>
    <col min="25" max="25" width="10" style="80" customWidth="1"/>
    <col min="26" max="26" width="13.88671875" style="25" customWidth="1"/>
    <col min="27" max="27" width="13.88671875" style="24" customWidth="1"/>
    <col min="28" max="28" width="9.6640625" style="17"/>
    <col min="29" max="29" width="10" style="80" customWidth="1"/>
    <col min="30" max="30" width="13.88671875" style="25" customWidth="1"/>
    <col min="31" max="31" width="13.88671875" style="24" customWidth="1"/>
    <col min="32" max="32" width="9.6640625" style="17"/>
    <col min="33" max="33" width="10" style="80" customWidth="1"/>
    <col min="34" max="34" width="13.88671875" style="25" customWidth="1"/>
    <col min="35" max="35" width="13.88671875" style="24" customWidth="1"/>
    <col min="36" max="36" width="9.6640625" style="17"/>
    <col min="37" max="37" width="10" style="80" customWidth="1"/>
    <col min="38" max="38" width="13.88671875" style="25" customWidth="1"/>
    <col min="39" max="39" width="13.88671875" style="24" customWidth="1"/>
    <col min="40" max="40" width="9.6640625" style="17"/>
    <col min="41" max="41" width="10" style="80" customWidth="1"/>
    <col min="42" max="42" width="13.88671875" style="25" customWidth="1"/>
    <col min="43" max="43" width="13.88671875" style="24" customWidth="1"/>
  </cols>
  <sheetData>
    <row r="1" spans="1:43" ht="15" x14ac:dyDescent="0.25">
      <c r="B1" s="17" t="s">
        <v>53</v>
      </c>
      <c r="E1" s="94">
        <f>COLUMN()/5</f>
        <v>1</v>
      </c>
      <c r="F1" s="92"/>
      <c r="G1" s="93"/>
      <c r="I1" s="94">
        <f>(COLUMN()-5)/4+1</f>
        <v>2</v>
      </c>
      <c r="J1" s="92"/>
      <c r="K1" s="93"/>
      <c r="M1" s="94">
        <f>(COLUMN()-5)/4+1</f>
        <v>3</v>
      </c>
      <c r="N1" s="92"/>
      <c r="O1" s="93"/>
      <c r="Q1" s="94">
        <f>(COLUMN()-5)/4+1</f>
        <v>4</v>
      </c>
      <c r="R1" s="92"/>
      <c r="S1" s="93"/>
      <c r="U1" s="94">
        <f>(COLUMN()-5)/4+1</f>
        <v>5</v>
      </c>
      <c r="V1" s="92"/>
      <c r="W1" s="93"/>
      <c r="Y1" s="94">
        <f>(COLUMN()-5)/4+1</f>
        <v>6</v>
      </c>
      <c r="Z1" s="92"/>
      <c r="AA1" s="93"/>
      <c r="AC1" s="94">
        <f>(COLUMN()-5)/4+1</f>
        <v>7</v>
      </c>
      <c r="AD1" s="92"/>
      <c r="AE1" s="93"/>
      <c r="AG1" s="94">
        <f>(COLUMN()-5)/4+1</f>
        <v>8</v>
      </c>
      <c r="AH1" s="92"/>
      <c r="AI1" s="93"/>
      <c r="AK1" s="94">
        <f>(COLUMN()-5)/4+1</f>
        <v>9</v>
      </c>
      <c r="AL1" s="92"/>
      <c r="AM1" s="93"/>
      <c r="AO1" s="94">
        <f>(COLUMN()-5)/4+1</f>
        <v>10</v>
      </c>
      <c r="AP1" s="92"/>
      <c r="AQ1" s="93"/>
    </row>
    <row r="2" spans="1:43" x14ac:dyDescent="0.3">
      <c r="B2" s="17" t="s">
        <v>49</v>
      </c>
      <c r="C2" s="18">
        <v>5.5E-2</v>
      </c>
      <c r="D2" s="91">
        <v>0.25</v>
      </c>
      <c r="E2" s="79" t="s">
        <v>0</v>
      </c>
      <c r="F2" s="20" t="s">
        <v>2</v>
      </c>
      <c r="G2" s="21"/>
      <c r="I2" s="79" t="s">
        <v>0</v>
      </c>
      <c r="J2" s="20" t="s">
        <v>2</v>
      </c>
      <c r="K2" s="22"/>
      <c r="L2" s="17"/>
      <c r="M2" s="79" t="s">
        <v>0</v>
      </c>
      <c r="N2" s="20" t="s">
        <v>2</v>
      </c>
      <c r="O2" s="22"/>
      <c r="Q2" s="79" t="s">
        <v>0</v>
      </c>
      <c r="R2" s="20" t="s">
        <v>2</v>
      </c>
      <c r="S2" s="22"/>
      <c r="U2" s="79" t="s">
        <v>0</v>
      </c>
      <c r="V2" s="20" t="s">
        <v>2</v>
      </c>
      <c r="W2" s="22"/>
      <c r="Y2" s="79" t="s">
        <v>0</v>
      </c>
      <c r="Z2" s="20" t="s">
        <v>2</v>
      </c>
      <c r="AA2" s="22"/>
      <c r="AC2" s="79" t="s">
        <v>0</v>
      </c>
      <c r="AD2" s="20" t="s">
        <v>2</v>
      </c>
      <c r="AE2" s="22"/>
      <c r="AG2" s="79" t="s">
        <v>0</v>
      </c>
      <c r="AH2" s="20" t="s">
        <v>2</v>
      </c>
      <c r="AI2" s="22"/>
      <c r="AK2" s="79" t="s">
        <v>0</v>
      </c>
      <c r="AL2" s="20" t="s">
        <v>2</v>
      </c>
      <c r="AM2" s="22"/>
      <c r="AO2" s="79" t="s">
        <v>0</v>
      </c>
      <c r="AP2" s="20" t="s">
        <v>2</v>
      </c>
      <c r="AQ2" s="22"/>
    </row>
    <row r="3" spans="1:43" ht="15" x14ac:dyDescent="0.25">
      <c r="B3" s="17" t="s">
        <v>3</v>
      </c>
      <c r="D3" s="2">
        <v>7.0000000000000007E-2</v>
      </c>
      <c r="L3" s="17"/>
    </row>
    <row r="4" spans="1:43" x14ac:dyDescent="0.3">
      <c r="B4" s="17" t="s">
        <v>6</v>
      </c>
      <c r="D4" s="27">
        <v>0.7</v>
      </c>
      <c r="E4" s="81"/>
      <c r="F4" s="25" t="s">
        <v>7</v>
      </c>
      <c r="G4" s="21" t="s">
        <v>8</v>
      </c>
      <c r="I4" s="81"/>
      <c r="J4" s="25" t="s">
        <v>7</v>
      </c>
      <c r="K4" s="22" t="s">
        <v>8</v>
      </c>
      <c r="L4" s="17"/>
      <c r="M4" s="81"/>
      <c r="N4" s="25" t="s">
        <v>7</v>
      </c>
      <c r="O4" s="22" t="s">
        <v>8</v>
      </c>
      <c r="Q4" s="81"/>
      <c r="R4" s="25" t="s">
        <v>7</v>
      </c>
      <c r="S4" s="22" t="s">
        <v>8</v>
      </c>
      <c r="U4" s="81"/>
      <c r="V4" s="25" t="s">
        <v>7</v>
      </c>
      <c r="W4" s="22" t="s">
        <v>8</v>
      </c>
      <c r="Y4" s="81"/>
      <c r="Z4" s="25" t="s">
        <v>7</v>
      </c>
      <c r="AA4" s="22" t="s">
        <v>8</v>
      </c>
      <c r="AC4" s="81"/>
      <c r="AD4" s="25" t="s">
        <v>7</v>
      </c>
      <c r="AE4" s="22" t="s">
        <v>8</v>
      </c>
      <c r="AG4" s="81"/>
      <c r="AH4" s="25" t="s">
        <v>7</v>
      </c>
      <c r="AI4" s="22" t="s">
        <v>8</v>
      </c>
      <c r="AK4" s="81"/>
      <c r="AL4" s="25" t="s">
        <v>7</v>
      </c>
      <c r="AM4" s="22" t="s">
        <v>8</v>
      </c>
      <c r="AO4" s="81"/>
      <c r="AP4" s="25" t="s">
        <v>7</v>
      </c>
      <c r="AQ4" s="22" t="s">
        <v>8</v>
      </c>
    </row>
    <row r="5" spans="1:43" ht="15" x14ac:dyDescent="0.25">
      <c r="A5" s="28">
        <v>1</v>
      </c>
      <c r="B5" s="28" t="s">
        <v>9</v>
      </c>
      <c r="C5" s="29">
        <v>-1000</v>
      </c>
      <c r="D5" s="30">
        <v>42917</v>
      </c>
      <c r="E5" s="82">
        <f>+$C$5</f>
        <v>-1000</v>
      </c>
      <c r="F5" s="31">
        <f>+$C$5</f>
        <v>-1000</v>
      </c>
      <c r="G5" s="32">
        <f>+$C$5</f>
        <v>-1000</v>
      </c>
      <c r="H5" s="75"/>
      <c r="I5" s="82">
        <f>+$C$5</f>
        <v>-1000</v>
      </c>
      <c r="J5" s="31">
        <f>+$C$5</f>
        <v>-1000</v>
      </c>
      <c r="K5" s="33">
        <f>+$C$5</f>
        <v>-1000</v>
      </c>
      <c r="L5" s="28"/>
      <c r="M5" s="82">
        <f>+$C$5</f>
        <v>-1000</v>
      </c>
      <c r="N5" s="31">
        <f>+$C$5</f>
        <v>-1000</v>
      </c>
      <c r="O5" s="33">
        <f>+$C$5</f>
        <v>-1000</v>
      </c>
      <c r="P5" s="28"/>
      <c r="Q5" s="82">
        <f>+$C$5</f>
        <v>-1000</v>
      </c>
      <c r="R5" s="31">
        <f>+$C$5</f>
        <v>-1000</v>
      </c>
      <c r="S5" s="33">
        <f>+$C$5</f>
        <v>-1000</v>
      </c>
      <c r="T5" s="28"/>
      <c r="U5" s="82">
        <f>+$C$5</f>
        <v>-1000</v>
      </c>
      <c r="V5" s="31">
        <f>+$C$5</f>
        <v>-1000</v>
      </c>
      <c r="W5" s="33">
        <f>+$C$5</f>
        <v>-1000</v>
      </c>
      <c r="X5" s="28"/>
      <c r="Y5" s="82">
        <f>+$C$5</f>
        <v>-1000</v>
      </c>
      <c r="Z5" s="31">
        <f>+$C$5</f>
        <v>-1000</v>
      </c>
      <c r="AA5" s="33">
        <f>+$C$5</f>
        <v>-1000</v>
      </c>
      <c r="AB5" s="28"/>
      <c r="AC5" s="82">
        <f>+$C$5</f>
        <v>-1000</v>
      </c>
      <c r="AD5" s="31">
        <f>+$C$5</f>
        <v>-1000</v>
      </c>
      <c r="AE5" s="33">
        <f>+$C$5</f>
        <v>-1000</v>
      </c>
      <c r="AF5" s="28"/>
      <c r="AG5" s="82">
        <f>+$C$5</f>
        <v>-1000</v>
      </c>
      <c r="AH5" s="31">
        <f>+$C$5</f>
        <v>-1000</v>
      </c>
      <c r="AI5" s="33">
        <f>+$C$5</f>
        <v>-1000</v>
      </c>
      <c r="AJ5" s="28"/>
      <c r="AK5" s="82">
        <f>+$C$5</f>
        <v>-1000</v>
      </c>
      <c r="AL5" s="31">
        <f>+$C$5</f>
        <v>-1000</v>
      </c>
      <c r="AM5" s="33">
        <f>+$C$5</f>
        <v>-1000</v>
      </c>
      <c r="AN5" s="28"/>
      <c r="AO5" s="82">
        <f>+$C$5</f>
        <v>-1000</v>
      </c>
      <c r="AP5" s="31">
        <f>+$C$5</f>
        <v>-1000</v>
      </c>
      <c r="AQ5" s="33">
        <f>+$C$5</f>
        <v>-1000</v>
      </c>
    </row>
    <row r="6" spans="1:43" ht="15" x14ac:dyDescent="0.25">
      <c r="A6" s="17">
        <v>2</v>
      </c>
      <c r="B6" s="48" t="s">
        <v>50</v>
      </c>
      <c r="E6" s="80">
        <v>1</v>
      </c>
      <c r="F6" s="23">
        <v>1</v>
      </c>
      <c r="G6" s="34">
        <v>1</v>
      </c>
      <c r="I6" s="89">
        <f>+E28</f>
        <v>1.0199419642857144</v>
      </c>
      <c r="J6" s="23">
        <f>+F28</f>
        <v>1.0185643415178571</v>
      </c>
      <c r="K6" s="35">
        <f>+G28</f>
        <v>0.99634436556510164</v>
      </c>
      <c r="L6" s="17"/>
      <c r="M6" s="89">
        <f>+I28</f>
        <v>1.0402816105110013</v>
      </c>
      <c r="N6" s="23">
        <f>+J28</f>
        <v>1.0374733178117059</v>
      </c>
      <c r="O6" s="35">
        <f>+K28</f>
        <v>0.99289185141965008</v>
      </c>
      <c r="Q6" s="89">
        <f>+M28</f>
        <v>1.061026869234897</v>
      </c>
      <c r="R6" s="23">
        <f>+N28</f>
        <v>1.0567333267992267</v>
      </c>
      <c r="S6" s="35">
        <f>+O28</f>
        <v>0.98963249120060004</v>
      </c>
      <c r="U6" s="89">
        <f>+Q28</f>
        <v>1.0821858291673625</v>
      </c>
      <c r="V6" s="23">
        <f>+R28</f>
        <v>1.0763508851712289</v>
      </c>
      <c r="W6" s="35">
        <f>+S28</f>
        <v>0.98655667114489998</v>
      </c>
      <c r="Y6" s="89">
        <f>+U28</f>
        <v>1.1037667403231242</v>
      </c>
      <c r="Z6" s="23">
        <f>+V28</f>
        <v>1.0963326305965955</v>
      </c>
      <c r="AA6" s="35">
        <f>+W28</f>
        <v>0.98365513152653328</v>
      </c>
      <c r="AC6" s="89">
        <f>+Y28</f>
        <v>1.1257780172384071</v>
      </c>
      <c r="AD6" s="23">
        <f>+Z28</f>
        <v>1.1166853239681613</v>
      </c>
      <c r="AE6" s="35">
        <f>+AA28</f>
        <v>0.98091896645093168</v>
      </c>
      <c r="AG6" s="89">
        <f>+AC28</f>
        <v>1.1482282422518177</v>
      </c>
      <c r="AH6" s="23">
        <f>+AD28</f>
        <v>1.1374158516902853</v>
      </c>
      <c r="AI6" s="35">
        <f>+AE28</f>
        <v>0.97833962213847714</v>
      </c>
      <c r="AK6" s="89">
        <f>+AG28</f>
        <v>1.171126168850652</v>
      </c>
      <c r="AL6" s="23">
        <f>+AH28</f>
        <v>1.158531228008888</v>
      </c>
      <c r="AM6" s="35">
        <f>+AI28</f>
        <v>0.97590889383290036</v>
      </c>
      <c r="AO6" s="89">
        <f>+AK28</f>
        <v>1.1944807250839371</v>
      </c>
      <c r="AP6" s="23">
        <f>+AL28</f>
        <v>1.1800385973847474</v>
      </c>
      <c r="AQ6" s="35">
        <f>+AM28</f>
        <v>0.97361892147187579</v>
      </c>
    </row>
    <row r="7" spans="1:43" ht="15" x14ac:dyDescent="0.25">
      <c r="B7" s="48" t="s">
        <v>51</v>
      </c>
      <c r="E7" s="80">
        <f>+E5</f>
        <v>-1000</v>
      </c>
      <c r="F7" s="23">
        <f t="shared" ref="F7:G7" si="0">+F5</f>
        <v>-1000</v>
      </c>
      <c r="G7" s="34">
        <f t="shared" si="0"/>
        <v>-1000</v>
      </c>
      <c r="I7" s="80">
        <f>+E35</f>
        <v>-1020.1015</v>
      </c>
      <c r="J7" s="23">
        <f t="shared" ref="J7:K7" si="1">+F35</f>
        <v>-1018.71285625</v>
      </c>
      <c r="K7" s="35">
        <f t="shared" si="1"/>
        <v>-996.34436556510161</v>
      </c>
      <c r="L7" s="17"/>
      <c r="M7" s="80">
        <f>+I35</f>
        <v>-1041.4912056828286</v>
      </c>
      <c r="N7" s="23">
        <f t="shared" ref="N7" si="2">+J35</f>
        <v>-1038.5980318921493</v>
      </c>
      <c r="O7" s="35">
        <f t="shared" ref="O7" si="3">+K35</f>
        <v>-992.61017897170473</v>
      </c>
      <c r="Q7" s="80">
        <f>+M35</f>
        <v>-1064.251671777301</v>
      </c>
      <c r="R7" s="23">
        <f t="shared" ref="R7" si="4">+N35</f>
        <v>-1059.7289701645539</v>
      </c>
      <c r="S7" s="35">
        <f t="shared" ref="S7" si="5">+O35</f>
        <v>-988.88893201291717</v>
      </c>
      <c r="U7" s="80">
        <f>+Q35</f>
        <v>-1088.4707435363621</v>
      </c>
      <c r="V7" s="23">
        <f t="shared" ref="V7" si="6">+R35</f>
        <v>-1082.1837153630684</v>
      </c>
      <c r="W7" s="35">
        <f t="shared" ref="W7" si="7">+S35</f>
        <v>-985.17990076955255</v>
      </c>
      <c r="Y7" s="80">
        <f>+U35</f>
        <v>-1114.241895780604</v>
      </c>
      <c r="Z7" s="23">
        <f t="shared" ref="Z7" si="8">+V35</f>
        <v>-1106.0452010874708</v>
      </c>
      <c r="AA7" s="35">
        <f t="shared" ref="AA7" si="9">+W35</f>
        <v>-981.48239735372692</v>
      </c>
      <c r="AC7" s="80">
        <f>+Y35</f>
        <v>-1141.6645936694035</v>
      </c>
      <c r="AD7" s="23">
        <f t="shared" ref="AD7" si="10">+Z35</f>
        <v>-1131.401556545627</v>
      </c>
      <c r="AE7" s="35">
        <f t="shared" ref="AE7" si="11">+AA35</f>
        <v>-977.79576858196776</v>
      </c>
      <c r="AG7" s="80">
        <f>+AC35</f>
        <v>-1170.8446765920985</v>
      </c>
      <c r="AH7" s="23">
        <f t="shared" ref="AH7" si="12">+AD35</f>
        <v>-1158.3464320469395</v>
      </c>
      <c r="AI7" s="35">
        <f t="shared" ref="AI7" si="13">+AE35</f>
        <v>-974.11939464909335</v>
      </c>
      <c r="AK7" s="80">
        <f>+AG35</f>
        <v>-1201.8947666608485</v>
      </c>
      <c r="AL7" s="23">
        <f t="shared" ref="AL7" si="14">+AH35</f>
        <v>-1186.9793448872467</v>
      </c>
      <c r="AM7" s="35">
        <f t="shared" ref="AM7" si="15">+AI35</f>
        <v>-970.45268780852587</v>
      </c>
      <c r="AO7" s="80">
        <f>+AK35</f>
        <v>-1234.9347033817842</v>
      </c>
      <c r="AP7" s="23">
        <f t="shared" ref="AP7" si="16">+AL35</f>
        <v>-1217.4060469026517</v>
      </c>
      <c r="AQ7" s="35">
        <f t="shared" ref="AQ7" si="17">+AM35</f>
        <v>-966.79509106419073</v>
      </c>
    </row>
    <row r="8" spans="1:43" ht="15" x14ac:dyDescent="0.25">
      <c r="B8" s="48" t="s">
        <v>52</v>
      </c>
      <c r="E8" s="80">
        <v>0</v>
      </c>
      <c r="F8" s="23">
        <v>0</v>
      </c>
      <c r="G8" s="34">
        <v>0</v>
      </c>
      <c r="I8" s="80">
        <f>+E8+E55</f>
        <v>0</v>
      </c>
      <c r="J8" s="23">
        <f>+F8+F55</f>
        <v>0</v>
      </c>
      <c r="K8" s="35">
        <f>+G8+G54</f>
        <v>20.299999999999997</v>
      </c>
      <c r="L8" s="17"/>
      <c r="M8" s="80">
        <f>+I8+I55</f>
        <v>0</v>
      </c>
      <c r="N8" s="23">
        <f>+J8+J55</f>
        <v>0</v>
      </c>
      <c r="O8" s="35">
        <f>+K8+K54</f>
        <v>40.599999999999994</v>
      </c>
      <c r="Q8" s="80">
        <f>+M8+M55</f>
        <v>0</v>
      </c>
      <c r="R8" s="23">
        <f>+N8+N55</f>
        <v>0</v>
      </c>
      <c r="S8" s="35">
        <f>+O8+O54</f>
        <v>60.899999999999991</v>
      </c>
      <c r="U8" s="80">
        <f>+Q8+Q55</f>
        <v>0</v>
      </c>
      <c r="V8" s="23">
        <f>+R8+R55</f>
        <v>0</v>
      </c>
      <c r="W8" s="35">
        <f>+S8+S54</f>
        <v>81.199999999999989</v>
      </c>
      <c r="Y8" s="80">
        <f>+U8+U55</f>
        <v>0</v>
      </c>
      <c r="Z8" s="23">
        <f>+V8+V55</f>
        <v>0</v>
      </c>
      <c r="AA8" s="35">
        <f>+W8+W54</f>
        <v>101.49999999999999</v>
      </c>
      <c r="AC8" s="80">
        <f>+Y8+Y55</f>
        <v>0</v>
      </c>
      <c r="AD8" s="23">
        <f>+Z8+Z55</f>
        <v>0</v>
      </c>
      <c r="AE8" s="35">
        <f>+AA8+AA54</f>
        <v>121.79999999999998</v>
      </c>
      <c r="AG8" s="80">
        <f>+AC8+AC55</f>
        <v>0</v>
      </c>
      <c r="AH8" s="23">
        <f>+AD8+AD55</f>
        <v>0</v>
      </c>
      <c r="AI8" s="35">
        <f>+AE8+AE54</f>
        <v>142.09999999999997</v>
      </c>
      <c r="AK8" s="80">
        <f>+AG8+AG55</f>
        <v>0</v>
      </c>
      <c r="AL8" s="23">
        <f>+AH8+AH55</f>
        <v>0</v>
      </c>
      <c r="AM8" s="35">
        <f>+AI8+AI54</f>
        <v>162.39999999999998</v>
      </c>
      <c r="AO8" s="80">
        <f>+AK8+AK55</f>
        <v>0</v>
      </c>
      <c r="AP8" s="23">
        <f>+AL8+AL55</f>
        <v>0</v>
      </c>
      <c r="AQ8" s="35">
        <f>+AM8+AM54</f>
        <v>182.7</v>
      </c>
    </row>
    <row r="9" spans="1:43" x14ac:dyDescent="0.3">
      <c r="A9" s="28">
        <f>IF(B9&lt;&gt;"",MAX(A3:A6)+1,"")</f>
        <v>3</v>
      </c>
      <c r="B9" s="56" t="s">
        <v>10</v>
      </c>
      <c r="C9" s="28"/>
      <c r="D9" s="30">
        <v>42736</v>
      </c>
      <c r="E9" s="82">
        <f t="shared" ref="E9:G9" si="18">-E5*(1+$D3/2)</f>
        <v>1035</v>
      </c>
      <c r="F9" s="31">
        <f t="shared" si="18"/>
        <v>1035</v>
      </c>
      <c r="G9" s="32">
        <f t="shared" si="18"/>
        <v>1035</v>
      </c>
      <c r="H9" s="75"/>
      <c r="I9" s="82">
        <f>E27*(1+$D3/2)</f>
        <v>1079.7947999999999</v>
      </c>
      <c r="J9" s="31">
        <f t="shared" ref="J9:K9" si="19">F27*(1+$D3/2)</f>
        <v>1079.7947999999999</v>
      </c>
      <c r="K9" s="33">
        <f t="shared" si="19"/>
        <v>1104.3794137499999</v>
      </c>
      <c r="L9" s="28"/>
      <c r="M9" s="82">
        <f>I27*(1+$D3/2)</f>
        <v>1126.5283189439997</v>
      </c>
      <c r="N9" s="31">
        <f t="shared" ref="N9" si="20">J27*(1+$D3/2)</f>
        <v>1126.5283189439997</v>
      </c>
      <c r="O9" s="33">
        <f t="shared" ref="O9" si="21">K27*(1+$D3/2)</f>
        <v>1178.4095550867569</v>
      </c>
      <c r="P9" s="28"/>
      <c r="Q9" s="82">
        <f>M27*(1+$D3/2)</f>
        <v>1175.2844645878956</v>
      </c>
      <c r="R9" s="31">
        <f t="shared" ref="R9" si="22">N27*(1+$D3/2)</f>
        <v>1175.2844645878956</v>
      </c>
      <c r="S9" s="33">
        <f t="shared" ref="S9" si="23">O27*(1+$D3/2)</f>
        <v>1257.4021773952759</v>
      </c>
      <c r="T9" s="28"/>
      <c r="U9" s="82">
        <f>Q27*(1+$D3/2)</f>
        <v>1226.1507762152596</v>
      </c>
      <c r="V9" s="31">
        <f t="shared" ref="V9" si="24">R27*(1+$D3/2)</f>
        <v>1226.1507762152596</v>
      </c>
      <c r="W9" s="33">
        <f t="shared" ref="W9" si="25">S27*(1+$D3/2)</f>
        <v>1341.6899319031575</v>
      </c>
      <c r="X9" s="28"/>
      <c r="Y9" s="82">
        <f>U27*(1+$D3/2)</f>
        <v>1279.2185818098558</v>
      </c>
      <c r="Z9" s="31">
        <f t="shared" ref="Z9" si="26">V27*(1+$D3/2)</f>
        <v>1279.2185818098558</v>
      </c>
      <c r="AA9" s="33">
        <f t="shared" ref="AA9" si="27">W27*(1+$D3/2)</f>
        <v>1431.6277685309044</v>
      </c>
      <c r="AB9" s="28"/>
      <c r="AC9" s="82">
        <f>Y27*(1+$D3/2)</f>
        <v>1334.5831620305862</v>
      </c>
      <c r="AD9" s="31">
        <f t="shared" ref="AD9" si="28">Z27*(1+$D3/2)</f>
        <v>1334.583162030586</v>
      </c>
      <c r="AE9" s="33">
        <f t="shared" ref="AE9" si="29">AA27*(1+$D3/2)</f>
        <v>1527.5944306457786</v>
      </c>
      <c r="AF9" s="28"/>
      <c r="AG9" s="82">
        <f>AC27*(1+$D3/2)</f>
        <v>1392.3439212832698</v>
      </c>
      <c r="AH9" s="31">
        <f t="shared" ref="AH9" si="30">AD27*(1+$D3/2)</f>
        <v>1392.3439212832695</v>
      </c>
      <c r="AI9" s="33">
        <f t="shared" ref="AI9" si="31">AE27*(1+$D3/2)</f>
        <v>1629.9940500138646</v>
      </c>
      <c r="AJ9" s="28"/>
      <c r="AK9" s="82">
        <f>AG27*(1+$D3/2)</f>
        <v>1452.6045661964095</v>
      </c>
      <c r="AL9" s="31">
        <f t="shared" ref="AL9" si="32">AH27*(1+$D3/2)</f>
        <v>1452.604566196409</v>
      </c>
      <c r="AM9" s="33">
        <f t="shared" ref="AM9" si="33">AI27*(1+$D3/2)</f>
        <v>1739.2578486669563</v>
      </c>
      <c r="AN9" s="28"/>
      <c r="AO9" s="82">
        <f>AK27*(1+$D3/2)</f>
        <v>1515.4732918213897</v>
      </c>
      <c r="AP9" s="31">
        <f t="shared" ref="AP9" si="34">AL27*(1+$D3/2)</f>
        <v>1515.4732918213895</v>
      </c>
      <c r="AQ9" s="33">
        <f t="shared" ref="AQ9" si="35">AM27*(1+$D3/2)</f>
        <v>1855.8459548511103</v>
      </c>
    </row>
    <row r="10" spans="1:43" ht="15" x14ac:dyDescent="0.25">
      <c r="A10" s="17">
        <f>IF(B10&lt;&gt;"",MAX(A4:A9)+1,"")</f>
        <v>4</v>
      </c>
      <c r="B10" s="17" t="s">
        <v>11</v>
      </c>
      <c r="D10" s="2">
        <v>2.7E-2</v>
      </c>
      <c r="E10" s="80">
        <f t="shared" ref="E10:G10" si="36">-E5*$D10</f>
        <v>27</v>
      </c>
      <c r="F10" s="23">
        <f t="shared" si="36"/>
        <v>27</v>
      </c>
      <c r="G10" s="34">
        <f t="shared" si="36"/>
        <v>27</v>
      </c>
      <c r="I10" s="80">
        <f>E27*$D10</f>
        <v>28.168559999999999</v>
      </c>
      <c r="J10" s="23">
        <f>F27*$D10</f>
        <v>28.168559999999999</v>
      </c>
      <c r="K10" s="35">
        <f>G27*$D10</f>
        <v>28.809897749999998</v>
      </c>
      <c r="L10" s="17"/>
      <c r="M10" s="80">
        <f>I27*$D10</f>
        <v>29.387695276799992</v>
      </c>
      <c r="N10" s="23">
        <f>J27*$D10</f>
        <v>29.387695276799992</v>
      </c>
      <c r="O10" s="35">
        <f>K27*$D10</f>
        <v>30.741118828350182</v>
      </c>
      <c r="Q10" s="80">
        <f>M27*$D10</f>
        <v>30.65959472837989</v>
      </c>
      <c r="R10" s="23">
        <f>N27*$D10</f>
        <v>30.65959472837989</v>
      </c>
      <c r="S10" s="35">
        <f>O27*$D10</f>
        <v>32.80179593205068</v>
      </c>
      <c r="U10" s="80">
        <f>Q27*$D10</f>
        <v>31.986541988224165</v>
      </c>
      <c r="V10" s="23">
        <f>R27*$D10</f>
        <v>31.986541988224165</v>
      </c>
      <c r="W10" s="35">
        <f>S27*$D10</f>
        <v>35.000606919212807</v>
      </c>
      <c r="Y10" s="80">
        <f>U27*$D10</f>
        <v>33.370919525474498</v>
      </c>
      <c r="Z10" s="23">
        <f>V27*$D10</f>
        <v>33.370919525474498</v>
      </c>
      <c r="AA10" s="35">
        <f>W27*$D10</f>
        <v>37.346811352980119</v>
      </c>
      <c r="AC10" s="80">
        <f>Y27*$D10</f>
        <v>34.815212922537036</v>
      </c>
      <c r="AD10" s="23">
        <f>Z27*$D10</f>
        <v>34.815212922537029</v>
      </c>
      <c r="AE10" s="35">
        <f>AA27*$D10</f>
        <v>39.850289495107269</v>
      </c>
      <c r="AG10" s="80">
        <f>AC27*$D10</f>
        <v>36.322015337824432</v>
      </c>
      <c r="AH10" s="23">
        <f>AD27*$D10</f>
        <v>36.322015337824425</v>
      </c>
      <c r="AI10" s="35">
        <f>AE27*$D10</f>
        <v>42.521583913405166</v>
      </c>
      <c r="AK10" s="80">
        <f>AG27*$D10</f>
        <v>37.894032161645463</v>
      </c>
      <c r="AL10" s="23">
        <f>AH27*$D10</f>
        <v>37.894032161645455</v>
      </c>
      <c r="AM10" s="35">
        <f>AI27*$D10</f>
        <v>45.371943878268425</v>
      </c>
      <c r="AO10" s="80">
        <f>AK27*$D10</f>
        <v>39.534085873601477</v>
      </c>
      <c r="AP10" s="23">
        <f>AL27*$D10</f>
        <v>39.53408587360147</v>
      </c>
      <c r="AQ10" s="35">
        <f>AM27*$D10</f>
        <v>48.413372735246355</v>
      </c>
    </row>
    <row r="11" spans="1:43" ht="15" x14ac:dyDescent="0.25">
      <c r="A11" s="17">
        <f>IF(B11&lt;&gt;"",MAX(A6:A10)+1,"")</f>
        <v>5</v>
      </c>
      <c r="B11" s="17" t="s">
        <v>12</v>
      </c>
      <c r="D11" s="27">
        <v>0.15</v>
      </c>
      <c r="E11" s="80">
        <f>(-$D$11*E10)</f>
        <v>-4.05</v>
      </c>
      <c r="F11" s="23">
        <f>-$D11*F10</f>
        <v>-4.05</v>
      </c>
      <c r="G11" s="34">
        <f>-$D11*G10</f>
        <v>-4.05</v>
      </c>
      <c r="I11" s="80">
        <f>(-$D$11*I10)</f>
        <v>-4.2252839999999994</v>
      </c>
      <c r="J11" s="23">
        <f>-$D11*J10</f>
        <v>-4.2252839999999994</v>
      </c>
      <c r="K11" s="35">
        <f>-$D11*K10</f>
        <v>-4.3214846624999996</v>
      </c>
      <c r="L11" s="17"/>
      <c r="M11" s="80">
        <f>(-$D$11*M10)</f>
        <v>-4.4081542915199989</v>
      </c>
      <c r="N11" s="23">
        <f>-$D11*N10</f>
        <v>-4.4081542915199989</v>
      </c>
      <c r="O11" s="35">
        <f>-$D11*O10</f>
        <v>-4.6111678242525267</v>
      </c>
      <c r="Q11" s="80">
        <f>(-$D$11*Q10)</f>
        <v>-4.598939209256983</v>
      </c>
      <c r="R11" s="23">
        <f>-$D11*R10</f>
        <v>-4.598939209256983</v>
      </c>
      <c r="S11" s="35">
        <f>-$D11*S10</f>
        <v>-4.9202693898076015</v>
      </c>
      <c r="U11" s="80">
        <f>(-$D$11*U10)</f>
        <v>-4.7979812982336245</v>
      </c>
      <c r="V11" s="23">
        <f>-$D11*V10</f>
        <v>-4.7979812982336245</v>
      </c>
      <c r="W11" s="35">
        <f>-$D11*W10</f>
        <v>-5.250091037881921</v>
      </c>
      <c r="Y11" s="80">
        <f>(-$D$11*Y10)</f>
        <v>-5.0056379288211748</v>
      </c>
      <c r="Z11" s="23">
        <f>-$D11*Z10</f>
        <v>-5.0056379288211748</v>
      </c>
      <c r="AA11" s="35">
        <f>-$D11*AA10</f>
        <v>-5.6020217029470176</v>
      </c>
      <c r="AC11" s="80">
        <f>(-$D$11*AC10)</f>
        <v>-5.2222819383805552</v>
      </c>
      <c r="AD11" s="23">
        <f>-$D11*AD10</f>
        <v>-5.2222819383805543</v>
      </c>
      <c r="AE11" s="35">
        <f>-$D11*AE10</f>
        <v>-5.9775434242660905</v>
      </c>
      <c r="AG11" s="80">
        <f>(-$D$11*AG10)</f>
        <v>-5.4483023006736646</v>
      </c>
      <c r="AH11" s="23">
        <f>-$D11*AH10</f>
        <v>-5.4483023006736637</v>
      </c>
      <c r="AI11" s="35">
        <f>-$D11*AI10</f>
        <v>-6.3782375870107746</v>
      </c>
      <c r="AK11" s="80">
        <f>(-$D$11*AK10)</f>
        <v>-5.6841048242468188</v>
      </c>
      <c r="AL11" s="23">
        <f>-$D11*AL10</f>
        <v>-5.684104824246818</v>
      </c>
      <c r="AM11" s="35">
        <f>-$D11*AM10</f>
        <v>-6.8057915817402632</v>
      </c>
      <c r="AO11" s="80">
        <f>(-$D$11*AO10)</f>
        <v>-5.9301128810402215</v>
      </c>
      <c r="AP11" s="23">
        <f>-$D11*AP10</f>
        <v>-5.9301128810402206</v>
      </c>
      <c r="AQ11" s="35">
        <f>-$D11*AQ10</f>
        <v>-7.2620059102869527</v>
      </c>
    </row>
    <row r="12" spans="1:43" ht="15" x14ac:dyDescent="0.25">
      <c r="A12" s="17">
        <f>IF(B12&lt;&gt;"",MAX(A9:A11)+1,"")</f>
        <v>6</v>
      </c>
      <c r="B12" s="17" t="s">
        <v>13</v>
      </c>
      <c r="E12" s="80">
        <f>+E9-E10</f>
        <v>1008</v>
      </c>
      <c r="F12" s="23">
        <f>+F9+F11</f>
        <v>1030.95</v>
      </c>
      <c r="G12" s="34">
        <f>+G9+G11</f>
        <v>1030.95</v>
      </c>
      <c r="I12" s="80">
        <f>+I9-I10</f>
        <v>1051.6262399999998</v>
      </c>
      <c r="J12" s="23">
        <f>+J9+J11</f>
        <v>1075.5695159999998</v>
      </c>
      <c r="K12" s="35">
        <f>+K9+K11</f>
        <v>1100.0579290874998</v>
      </c>
      <c r="L12" s="17"/>
      <c r="M12" s="80">
        <f>+M9-M10</f>
        <v>1097.1406236671996</v>
      </c>
      <c r="N12" s="23">
        <f>+N9+N11</f>
        <v>1122.1201646524796</v>
      </c>
      <c r="O12" s="35">
        <f>+O9+O11</f>
        <v>1173.7983872625043</v>
      </c>
      <c r="Q12" s="80">
        <f>+Q9-Q10</f>
        <v>1144.6248698595157</v>
      </c>
      <c r="R12" s="23">
        <f>+R9+R11</f>
        <v>1170.6855253786387</v>
      </c>
      <c r="S12" s="35">
        <f>+S9+S11</f>
        <v>1252.4819080054683</v>
      </c>
      <c r="U12" s="80">
        <f>+U9-U10</f>
        <v>1194.1642342270354</v>
      </c>
      <c r="V12" s="23">
        <f>+V9+V11</f>
        <v>1221.3527949170259</v>
      </c>
      <c r="W12" s="35">
        <f>+W9+W11</f>
        <v>1336.4398408652755</v>
      </c>
      <c r="Y12" s="80">
        <f>+Y9-Y10</f>
        <v>1245.8476622843814</v>
      </c>
      <c r="Z12" s="23">
        <f>+Z9+Z11</f>
        <v>1274.2129438810346</v>
      </c>
      <c r="AA12" s="35">
        <f>+AA9+AA11</f>
        <v>1426.0257468279574</v>
      </c>
      <c r="AC12" s="80">
        <f>+AC9-AC10</f>
        <v>1299.7679491080492</v>
      </c>
      <c r="AD12" s="23">
        <f>+AD9+AD11</f>
        <v>1329.3608800922054</v>
      </c>
      <c r="AE12" s="35">
        <f>+AE9+AE11</f>
        <v>1521.6168872215126</v>
      </c>
      <c r="AG12" s="80">
        <f>+AG9-AG10</f>
        <v>1356.0219059454453</v>
      </c>
      <c r="AH12" s="23">
        <f>+AH9+AH11</f>
        <v>1386.8956189825958</v>
      </c>
      <c r="AI12" s="35">
        <f>+AI9+AI11</f>
        <v>1623.6158124268538</v>
      </c>
      <c r="AK12" s="80">
        <f>+AK9-AK10</f>
        <v>1414.7105340347639</v>
      </c>
      <c r="AL12" s="23">
        <f>+AL9+AL11</f>
        <v>1446.9204613721622</v>
      </c>
      <c r="AM12" s="35">
        <f>+AM9+AM11</f>
        <v>1732.452057085216</v>
      </c>
      <c r="AO12" s="80">
        <f>+AO9-AO10</f>
        <v>1475.9392059477882</v>
      </c>
      <c r="AP12" s="23">
        <f>+AP9+AP11</f>
        <v>1509.5431789403492</v>
      </c>
      <c r="AQ12" s="35">
        <f>+AQ9+AQ11</f>
        <v>1848.5839489408233</v>
      </c>
    </row>
    <row r="13" spans="1:43" x14ac:dyDescent="0.3">
      <c r="A13" s="17">
        <f>IF(B13&lt;&gt;"",MAX(A11:A12)+1,"")</f>
        <v>7</v>
      </c>
      <c r="B13" s="17" t="s">
        <v>14</v>
      </c>
      <c r="F13" s="23">
        <f>+F11+F10</f>
        <v>22.95</v>
      </c>
      <c r="G13" s="38"/>
      <c r="J13" s="23">
        <f>+J11+J10</f>
        <v>23.943276000000001</v>
      </c>
      <c r="K13" s="39"/>
      <c r="L13" s="17"/>
      <c r="N13" s="23">
        <f>+N11+N10</f>
        <v>24.979540985279993</v>
      </c>
      <c r="O13" s="39"/>
      <c r="R13" s="23">
        <f>+R11+R10</f>
        <v>26.060655519122907</v>
      </c>
      <c r="S13" s="39"/>
      <c r="V13" s="23">
        <f>+V11+V10</f>
        <v>27.188560689990538</v>
      </c>
      <c r="W13" s="39"/>
      <c r="Z13" s="23">
        <f>+Z11+Z10</f>
        <v>28.365281596653325</v>
      </c>
      <c r="AA13" s="39"/>
      <c r="AD13" s="23">
        <f>+AD11+AD10</f>
        <v>29.592930984156474</v>
      </c>
      <c r="AE13" s="39"/>
      <c r="AH13" s="23">
        <f>+AH11+AH10</f>
        <v>30.873713037150761</v>
      </c>
      <c r="AI13" s="39"/>
      <c r="AL13" s="23">
        <f>+AL11+AL10</f>
        <v>32.209927337398639</v>
      </c>
      <c r="AM13" s="39"/>
      <c r="AP13" s="23">
        <f>+AP11+AP10</f>
        <v>33.603972992561246</v>
      </c>
      <c r="AQ13" s="39"/>
    </row>
    <row r="14" spans="1:43" ht="15" x14ac:dyDescent="0.25">
      <c r="A14" s="17">
        <f>IF(B14&lt;&gt;"",MAX(A11:A13)+1,"")</f>
        <v>8</v>
      </c>
      <c r="B14" s="17" t="s">
        <v>13</v>
      </c>
      <c r="E14" s="80">
        <f>+E12</f>
        <v>1008</v>
      </c>
      <c r="F14" s="23">
        <f>+F12-F13</f>
        <v>1008</v>
      </c>
      <c r="G14" s="34">
        <f>+G12-G13</f>
        <v>1030.95</v>
      </c>
      <c r="I14" s="80">
        <f>+I12</f>
        <v>1051.6262399999998</v>
      </c>
      <c r="J14" s="23">
        <f>+J12-J13</f>
        <v>1051.6262399999998</v>
      </c>
      <c r="K14" s="35">
        <f>+K12-K13</f>
        <v>1100.0579290874998</v>
      </c>
      <c r="L14" s="17"/>
      <c r="M14" s="80">
        <f>+M12</f>
        <v>1097.1406236671996</v>
      </c>
      <c r="N14" s="23">
        <f>+N12-N13</f>
        <v>1097.1406236671996</v>
      </c>
      <c r="O14" s="35">
        <f>+O12-O13</f>
        <v>1173.7983872625043</v>
      </c>
      <c r="Q14" s="80">
        <f>+Q12</f>
        <v>1144.6248698595157</v>
      </c>
      <c r="R14" s="23">
        <f>+R12-R13</f>
        <v>1144.6248698595157</v>
      </c>
      <c r="S14" s="35">
        <f>+S12-S13</f>
        <v>1252.4819080054683</v>
      </c>
      <c r="U14" s="80">
        <f>+U12</f>
        <v>1194.1642342270354</v>
      </c>
      <c r="V14" s="23">
        <f>+V12-V13</f>
        <v>1194.1642342270354</v>
      </c>
      <c r="W14" s="35">
        <f>+W12-W13</f>
        <v>1336.4398408652755</v>
      </c>
      <c r="Y14" s="80">
        <f>+Y12</f>
        <v>1245.8476622843814</v>
      </c>
      <c r="Z14" s="23">
        <f>+Z12-Z13</f>
        <v>1245.8476622843812</v>
      </c>
      <c r="AA14" s="35">
        <f>+AA12-AA13</f>
        <v>1426.0257468279574</v>
      </c>
      <c r="AC14" s="80">
        <f>+AC12</f>
        <v>1299.7679491080492</v>
      </c>
      <c r="AD14" s="23">
        <f>+AD12-AD13</f>
        <v>1299.7679491080489</v>
      </c>
      <c r="AE14" s="35">
        <f>+AE12-AE13</f>
        <v>1521.6168872215126</v>
      </c>
      <c r="AG14" s="80">
        <f>+AG12</f>
        <v>1356.0219059454453</v>
      </c>
      <c r="AH14" s="23">
        <f>+AH12-AH13</f>
        <v>1356.021905945445</v>
      </c>
      <c r="AI14" s="35">
        <f>+AI12-AI13</f>
        <v>1623.6158124268538</v>
      </c>
      <c r="AK14" s="80">
        <f>+AK12</f>
        <v>1414.7105340347639</v>
      </c>
      <c r="AL14" s="23">
        <f>+AL12-AL13</f>
        <v>1414.7105340347637</v>
      </c>
      <c r="AM14" s="35">
        <f>+AM12-AM13</f>
        <v>1732.452057085216</v>
      </c>
      <c r="AO14" s="80">
        <f>+AO12</f>
        <v>1475.9392059477882</v>
      </c>
      <c r="AP14" s="23">
        <f>+AP12-AP13</f>
        <v>1475.939205947788</v>
      </c>
      <c r="AQ14" s="35">
        <f>+AQ12-AQ13</f>
        <v>1848.5839489408233</v>
      </c>
    </row>
    <row r="15" spans="1:43" ht="15" x14ac:dyDescent="0.25">
      <c r="A15" s="17" t="str">
        <f>IF(B15&lt;&gt;"",MAX(A12:A14)+1,"")</f>
        <v/>
      </c>
      <c r="F15" s="23"/>
      <c r="G15" s="34"/>
      <c r="J15" s="23"/>
      <c r="K15" s="35"/>
      <c r="L15" s="17"/>
      <c r="N15" s="23"/>
      <c r="O15" s="35"/>
      <c r="R15" s="23"/>
      <c r="S15" s="35"/>
      <c r="V15" s="23"/>
      <c r="W15" s="35"/>
      <c r="Z15" s="23"/>
      <c r="AA15" s="35"/>
      <c r="AD15" s="23"/>
      <c r="AE15" s="35"/>
      <c r="AH15" s="23"/>
      <c r="AI15" s="35"/>
      <c r="AL15" s="23"/>
      <c r="AM15" s="35"/>
      <c r="AP15" s="23"/>
      <c r="AQ15" s="35"/>
    </row>
    <row r="16" spans="1:43" ht="15" x14ac:dyDescent="0.25">
      <c r="A16" s="28">
        <f>IF(B16&lt;&gt;"",MAX(A13:A15)+1,"")</f>
        <v>9</v>
      </c>
      <c r="B16" s="56" t="s">
        <v>15</v>
      </c>
      <c r="C16" s="28"/>
      <c r="D16" s="28"/>
      <c r="E16" s="82"/>
      <c r="F16" s="31"/>
      <c r="G16" s="32"/>
      <c r="H16" s="75"/>
      <c r="I16" s="82"/>
      <c r="J16" s="31"/>
      <c r="K16" s="33"/>
      <c r="L16" s="28"/>
      <c r="M16" s="82"/>
      <c r="N16" s="31"/>
      <c r="O16" s="33"/>
      <c r="P16" s="28"/>
      <c r="Q16" s="82"/>
      <c r="R16" s="31"/>
      <c r="S16" s="33"/>
      <c r="T16" s="28"/>
      <c r="U16" s="82"/>
      <c r="V16" s="31"/>
      <c r="W16" s="33"/>
      <c r="X16" s="28"/>
      <c r="Y16" s="82"/>
      <c r="Z16" s="31"/>
      <c r="AA16" s="33"/>
      <c r="AB16" s="28"/>
      <c r="AC16" s="82"/>
      <c r="AD16" s="31"/>
      <c r="AE16" s="33"/>
      <c r="AF16" s="28"/>
      <c r="AG16" s="82"/>
      <c r="AH16" s="31"/>
      <c r="AI16" s="33"/>
      <c r="AJ16" s="28"/>
      <c r="AK16" s="82"/>
      <c r="AL16" s="31"/>
      <c r="AM16" s="33"/>
      <c r="AN16" s="28"/>
      <c r="AO16" s="82"/>
      <c r="AP16" s="31"/>
      <c r="AQ16" s="33"/>
    </row>
    <row r="17" spans="1:43" x14ac:dyDescent="0.3">
      <c r="A17" s="17">
        <f>IF(B17&lt;&gt;"",MAX(A13:A16)+1,"")</f>
        <v>10</v>
      </c>
      <c r="B17" s="17" t="s">
        <v>16</v>
      </c>
      <c r="E17" s="80">
        <f>+(E10+E11)*E6</f>
        <v>22.95</v>
      </c>
      <c r="F17" s="23">
        <f>+F13*F6</f>
        <v>22.95</v>
      </c>
      <c r="G17" s="35">
        <f>+G13*G6</f>
        <v>0</v>
      </c>
      <c r="I17" s="80">
        <f>+(I10+I11)*I6</f>
        <v>24.420751954875001</v>
      </c>
      <c r="J17" s="23">
        <f>+J13*J6</f>
        <v>24.387767152720315</v>
      </c>
      <c r="K17" s="35">
        <f>+K13*K6</f>
        <v>0</v>
      </c>
      <c r="L17" s="17"/>
      <c r="M17" s="80">
        <f>+(M10+M11)*M6</f>
        <v>25.985757125992635</v>
      </c>
      <c r="N17" s="23">
        <f>+N13*N6</f>
        <v>25.915607263411925</v>
      </c>
      <c r="O17" s="35">
        <f>+O13*O6</f>
        <v>0</v>
      </c>
      <c r="Q17" s="80">
        <f>+(Q10+Q11)*Q6</f>
        <v>27.651055735664116</v>
      </c>
      <c r="R17" s="23">
        <f>+R13*R6</f>
        <v>27.539163205291377</v>
      </c>
      <c r="S17" s="35">
        <f>+S13*S6</f>
        <v>0</v>
      </c>
      <c r="U17" s="80">
        <f>+(U10+U11)*U6</f>
        <v>29.423075094164567</v>
      </c>
      <c r="V17" s="23">
        <f>+V13*V6</f>
        <v>29.264431365202995</v>
      </c>
      <c r="W17" s="35">
        <f>+W13*W6</f>
        <v>0</v>
      </c>
      <c r="Y17" s="80">
        <f>+(Y10+Y11)*Y6</f>
        <v>31.308654406285545</v>
      </c>
      <c r="Z17" s="23">
        <f>+Z13*Z6</f>
        <v>31.097783790472139</v>
      </c>
      <c r="AA17" s="35">
        <f>+AA13*AA6</f>
        <v>0</v>
      </c>
      <c r="AC17" s="80">
        <f>+(AC10+AC11)*AC6</f>
        <v>33.315071167616708</v>
      </c>
      <c r="AD17" s="23">
        <f>+AD13*AD6</f>
        <v>33.045991723210214</v>
      </c>
      <c r="AE17" s="35">
        <f>+AE13*AE6</f>
        <v>0</v>
      </c>
      <c r="AG17" s="80">
        <f>+(AG10+AG11)*AG6</f>
        <v>35.450069252434659</v>
      </c>
      <c r="AH17" s="23">
        <f>+AH13*AH6</f>
        <v>35.116250608992296</v>
      </c>
      <c r="AI17" s="35">
        <f>+AI13*AI6</f>
        <v>0</v>
      </c>
      <c r="AK17" s="80">
        <f>+(AK10+AK11)*AK6</f>
        <v>37.721888801605559</v>
      </c>
      <c r="AL17" s="23">
        <f>+AL13*AL6</f>
        <v>37.316206672273495</v>
      </c>
      <c r="AM17" s="35">
        <f>+AM13*AM6</f>
        <v>0</v>
      </c>
      <c r="AO17" s="80">
        <f>+(AO10+AO11)*AO6</f>
        <v>40.139298025855602</v>
      </c>
      <c r="AP17" s="23">
        <f>+AP13*AP6</f>
        <v>39.653985156696905</v>
      </c>
      <c r="AQ17" s="35">
        <f>+AQ13*AQ6</f>
        <v>0</v>
      </c>
    </row>
    <row r="18" spans="1:43" ht="15" x14ac:dyDescent="0.25">
      <c r="A18" s="17">
        <f t="shared" ref="A18:A20" si="37">IF(B18&lt;&gt;"",MAX(A14:A17)+1,"")</f>
        <v>11</v>
      </c>
      <c r="B18" s="17" t="s">
        <v>17</v>
      </c>
      <c r="E18" s="80">
        <f>E6*(-$D$2*E10-E11)*(1+$C$2)</f>
        <v>-2.8485</v>
      </c>
      <c r="F18" s="138">
        <f>-$D$2*F17*$D$4*(1+$C$2)</f>
        <v>-4.2371437499999995</v>
      </c>
      <c r="G18" s="139">
        <f>-$D$2*G17*$D$4*(1+$C$2)</f>
        <v>0</v>
      </c>
      <c r="I18" s="80">
        <f>I6*(-$D$2*I10-I11)*(1+$C$2)</f>
        <v>-3.0310462720462503</v>
      </c>
      <c r="J18" s="138">
        <f>-$D$2*J17*$D$4*(1+$C$2)</f>
        <v>-4.5025915105709871</v>
      </c>
      <c r="K18" s="139">
        <f>-$D$2*K17*$D$4*(1+$C$2)</f>
        <v>0</v>
      </c>
      <c r="L18" s="17"/>
      <c r="M18" s="80">
        <f>M6*(-$D$2*M10-M11)*(1+$C$2)</f>
        <v>-3.2252910315202623</v>
      </c>
      <c r="N18" s="138">
        <f>-$D$2*N17*$D$4*(1+$C$2)</f>
        <v>-4.7846689910074263</v>
      </c>
      <c r="O18" s="139">
        <f>-$D$2*O17*$D$4*(1+$C$2)</f>
        <v>0</v>
      </c>
      <c r="Q18" s="80">
        <f>Q6*(-$D$2*Q10-Q11)*(1+$C$2)</f>
        <v>-3.4319839766030174</v>
      </c>
      <c r="R18" s="138">
        <f>-$D$2*R17*$D$4*(1+$C$2)</f>
        <v>-5.0844180067769198</v>
      </c>
      <c r="S18" s="139">
        <f>-$D$2*S17*$D$4*(1+$C$2)</f>
        <v>0</v>
      </c>
      <c r="U18" s="80">
        <f>U6*(-$D$2*U10-U11)*(1+$C$2)</f>
        <v>-3.6519228499227792</v>
      </c>
      <c r="V18" s="138">
        <f>-$D$2*V17*$D$4*(1+$C$2)</f>
        <v>-5.4029456408006018</v>
      </c>
      <c r="W18" s="139">
        <f>-$D$2*W17*$D$4*(1+$C$2)</f>
        <v>0</v>
      </c>
      <c r="Y18" s="80">
        <f>Y6*(-$D$2*Y10-Y11)*(1+$C$2)</f>
        <v>-3.8859565174860289</v>
      </c>
      <c r="Z18" s="138">
        <f>-$D$2*Z17*$D$4*(1+$C$2)</f>
        <v>-5.7414283323159179</v>
      </c>
      <c r="AA18" s="139">
        <f>-$D$2*AA17*$D$4*(1+$C$2)</f>
        <v>0</v>
      </c>
      <c r="AC18" s="80">
        <f>AC6*(-$D$2*AC10-AC11)*(1+$C$2)</f>
        <v>-4.1349882449218383</v>
      </c>
      <c r="AD18" s="138">
        <f>-$D$2*AD17*$D$4*(1+$C$2)</f>
        <v>-6.1011162218976853</v>
      </c>
      <c r="AE18" s="139">
        <f>-$D$2*AE17*$D$4*(1+$C$2)</f>
        <v>0</v>
      </c>
      <c r="AG18" s="80">
        <f>AG6*(-$D$2*AG10-AG11)*(1+$C$2)</f>
        <v>-4.399979183684537</v>
      </c>
      <c r="AH18" s="138">
        <f>-$D$2*AH17*$D$4*(1+$C$2)</f>
        <v>-6.4833377686852023</v>
      </c>
      <c r="AI18" s="139">
        <f>-$D$2*AI17*$D$4*(1+$C$2)</f>
        <v>0</v>
      </c>
      <c r="AK18" s="80">
        <f>AK6*(-$D$2*AK10-AK11)*(1+$C$2)</f>
        <v>-4.6819520806698671</v>
      </c>
      <c r="AL18" s="138">
        <f>-$D$2*AL17*$D$4*(1+$C$2)</f>
        <v>-6.8895046568684934</v>
      </c>
      <c r="AM18" s="139">
        <f>-$D$2*AM17*$D$4*(1+$C$2)</f>
        <v>0</v>
      </c>
      <c r="AO18" s="80">
        <f>AO6*(-$D$2*AO10-AO11)*(1+$C$2)</f>
        <v>-4.9819952255620779</v>
      </c>
      <c r="AP18" s="138">
        <f>-$D$2*AP17*$D$4*(1+$C$2)</f>
        <v>-7.3211170095551656</v>
      </c>
      <c r="AQ18" s="139">
        <f>-$D$2*AQ17*$D$4*(1+$C$2)</f>
        <v>0</v>
      </c>
    </row>
    <row r="19" spans="1:43" ht="15" x14ac:dyDescent="0.25">
      <c r="A19" s="17">
        <f t="shared" si="37"/>
        <v>12</v>
      </c>
      <c r="B19" s="17" t="s">
        <v>20</v>
      </c>
      <c r="F19" s="3">
        <f>-F55*F6*$D2*(1+$C$2)</f>
        <v>0</v>
      </c>
      <c r="G19" s="141">
        <f>-G55*G6*$D2*(1+$C$2)</f>
        <v>-3.7478874999999992</v>
      </c>
      <c r="J19" s="3">
        <f>-J55*J6*$D2*(1+$C$2)</f>
        <v>0</v>
      </c>
      <c r="K19" s="141">
        <f>-K55*K6*$D2*(1+$C$2)</f>
        <v>-3.7341865933968741</v>
      </c>
      <c r="L19" s="142"/>
      <c r="N19" s="3">
        <f>-N55*N6*$D2*(1+$C$2)</f>
        <v>0</v>
      </c>
      <c r="O19" s="141">
        <f>-O55*O6*$D2*(1+$C$2)</f>
        <v>-3.7212469587875625</v>
      </c>
      <c r="P19" s="142"/>
      <c r="R19" s="3">
        <f>-R55*R6*$D2*(1+$C$2)</f>
        <v>0</v>
      </c>
      <c r="S19" s="141">
        <f>-S55*S6*$D2*(1+$C$2)</f>
        <v>-3.709031243364588</v>
      </c>
      <c r="T19" s="142"/>
      <c r="V19" s="3">
        <f>-V55*V6*$D2*(1+$C$2)</f>
        <v>0</v>
      </c>
      <c r="W19" s="141">
        <f>-W55*W6*$D2*(1+$C$2)</f>
        <v>-3.6975034158255804</v>
      </c>
      <c r="Z19" s="3">
        <f>-Z55*Z6*$D2*(1+$C$2)</f>
        <v>0</v>
      </c>
      <c r="AA19" s="141">
        <f>-AA55*AA6*$D2*(1+$C$2)</f>
        <v>-3.6866287717591493</v>
      </c>
      <c r="AD19" s="3">
        <f>-AD55*AD6*$D2*(1+$C$2)</f>
        <v>0</v>
      </c>
      <c r="AE19" s="141">
        <f>-AE55*AE6*$D2*(1+$C$2)</f>
        <v>-3.6763739328743656</v>
      </c>
      <c r="AH19" s="3">
        <f>-AH55*AH6*$D2*(1+$C$2)</f>
        <v>0</v>
      </c>
      <c r="AI19" s="141">
        <f>-AI55*AI6*$D2*(1+$C$2)</f>
        <v>-3.6667068405675209</v>
      </c>
      <c r="AL19" s="3">
        <f>-AL55*AL6*$D2*(1+$C$2)</f>
        <v>0</v>
      </c>
      <c r="AM19" s="141">
        <f>-AM55*AM6*$D2*(1+$C$2)</f>
        <v>-3.6575967443351538</v>
      </c>
      <c r="AP19" s="3">
        <f>-AP55*AP6*$D2*(1+$C$2)</f>
        <v>0</v>
      </c>
      <c r="AQ19" s="141">
        <f>-AQ55*AQ6*$D2*(1+$C$2)</f>
        <v>-3.6490141855479243</v>
      </c>
    </row>
    <row r="20" spans="1:43" x14ac:dyDescent="0.3">
      <c r="A20" s="17">
        <f t="shared" si="37"/>
        <v>13</v>
      </c>
      <c r="B20" s="26" t="s">
        <v>21</v>
      </c>
      <c r="C20" s="26"/>
      <c r="D20" s="26"/>
      <c r="E20" s="82">
        <f t="shared" ref="E20:G20" si="38">SUM(E17:E19)</f>
        <v>20.101499999999998</v>
      </c>
      <c r="F20" s="31">
        <f t="shared" si="38"/>
        <v>18.712856250000002</v>
      </c>
      <c r="G20" s="32">
        <f t="shared" si="38"/>
        <v>-3.7478874999999992</v>
      </c>
      <c r="I20" s="82">
        <f t="shared" ref="I20" si="39">SUM(I17:I19)</f>
        <v>21.389705682828751</v>
      </c>
      <c r="J20" s="31">
        <f t="shared" ref="J20" si="40">SUM(J17:J19)</f>
        <v>19.885175642149328</v>
      </c>
      <c r="K20" s="33">
        <f t="shared" ref="K20" si="41">SUM(K17:K19)</f>
        <v>-3.7341865933968741</v>
      </c>
      <c r="L20" s="26"/>
      <c r="M20" s="82">
        <f t="shared" ref="M20" si="42">SUM(M17:M19)</f>
        <v>22.76046609447237</v>
      </c>
      <c r="N20" s="31">
        <f t="shared" ref="N20" si="43">SUM(N17:N19)</f>
        <v>21.130938272404499</v>
      </c>
      <c r="O20" s="33">
        <f t="shared" ref="O20" si="44">SUM(O17:O19)</f>
        <v>-3.7212469587875625</v>
      </c>
      <c r="P20" s="26"/>
      <c r="Q20" s="82">
        <f t="shared" ref="Q20" si="45">SUM(Q17:Q19)</f>
        <v>24.219071759061098</v>
      </c>
      <c r="R20" s="31">
        <f t="shared" ref="R20" si="46">SUM(R17:R19)</f>
        <v>22.454745198514459</v>
      </c>
      <c r="S20" s="33">
        <f t="shared" ref="S20" si="47">SUM(S17:S19)</f>
        <v>-3.709031243364588</v>
      </c>
      <c r="T20" s="26"/>
      <c r="U20" s="82">
        <f t="shared" ref="U20" si="48">SUM(U17:U19)</f>
        <v>25.771152244241787</v>
      </c>
      <c r="V20" s="31">
        <f t="shared" ref="V20" si="49">SUM(V17:V19)</f>
        <v>23.861485724402392</v>
      </c>
      <c r="W20" s="33">
        <f t="shared" ref="W20" si="50">SUM(W17:W19)</f>
        <v>-3.6975034158255804</v>
      </c>
      <c r="X20" s="26"/>
      <c r="Y20" s="82">
        <f t="shared" ref="Y20" si="51">SUM(Y17:Y19)</f>
        <v>27.422697888799515</v>
      </c>
      <c r="Z20" s="31">
        <f t="shared" ref="Z20" si="52">SUM(Z17:Z19)</f>
        <v>25.356355458156223</v>
      </c>
      <c r="AA20" s="33">
        <f t="shared" ref="AA20" si="53">SUM(AA17:AA19)</f>
        <v>-3.6866287717591493</v>
      </c>
      <c r="AB20" s="26"/>
      <c r="AC20" s="82">
        <f t="shared" ref="AC20" si="54">SUM(AC17:AC19)</f>
        <v>29.180082922694869</v>
      </c>
      <c r="AD20" s="31">
        <f t="shared" ref="AD20" si="55">SUM(AD17:AD19)</f>
        <v>26.944875501312531</v>
      </c>
      <c r="AE20" s="33">
        <f t="shared" ref="AE20" si="56">SUM(AE17:AE19)</f>
        <v>-3.6763739328743656</v>
      </c>
      <c r="AF20" s="26"/>
      <c r="AG20" s="82">
        <f t="shared" ref="AG20" si="57">SUM(AG17:AG19)</f>
        <v>31.050090068750123</v>
      </c>
      <c r="AH20" s="31">
        <f t="shared" ref="AH20" si="58">SUM(AH17:AH19)</f>
        <v>28.632912840307092</v>
      </c>
      <c r="AI20" s="33">
        <f t="shared" ref="AI20" si="59">SUM(AI17:AI19)</f>
        <v>-3.6667068405675209</v>
      </c>
      <c r="AJ20" s="26"/>
      <c r="AK20" s="82">
        <f t="shared" ref="AK20" si="60">SUM(AK17:AK19)</f>
        <v>33.039936720935692</v>
      </c>
      <c r="AL20" s="31">
        <f t="shared" ref="AL20" si="61">SUM(AL17:AL19)</f>
        <v>30.426702015405002</v>
      </c>
      <c r="AM20" s="33">
        <f t="shared" ref="AM20" si="62">SUM(AM17:AM19)</f>
        <v>-3.6575967443351538</v>
      </c>
      <c r="AN20" s="26"/>
      <c r="AO20" s="82">
        <f t="shared" ref="AO20" si="63">SUM(AO17:AO19)</f>
        <v>35.157302800293522</v>
      </c>
      <c r="AP20" s="31">
        <f t="shared" ref="AP20" si="64">SUM(AP17:AP19)</f>
        <v>32.332868147141738</v>
      </c>
      <c r="AQ20" s="33">
        <f t="shared" ref="AQ20" si="65">SUM(AQ17:AQ19)</f>
        <v>-3.6490141855479243</v>
      </c>
    </row>
    <row r="21" spans="1:43" ht="15" x14ac:dyDescent="0.25">
      <c r="A21" s="17" t="str">
        <f>IF(B21&lt;&gt;"",MAX(A19:A20)+1,"")</f>
        <v/>
      </c>
      <c r="F21" s="3"/>
      <c r="G21" s="4"/>
      <c r="J21" s="3"/>
      <c r="K21" s="5"/>
      <c r="L21" s="17"/>
      <c r="N21" s="3"/>
      <c r="O21" s="5"/>
      <c r="R21" s="3"/>
      <c r="S21" s="5"/>
      <c r="V21" s="3"/>
      <c r="W21" s="5"/>
      <c r="Z21" s="3"/>
      <c r="AA21" s="5"/>
      <c r="AD21" s="3"/>
      <c r="AE21" s="5"/>
      <c r="AH21" s="3"/>
      <c r="AI21" s="5"/>
      <c r="AL21" s="3"/>
      <c r="AM21" s="5"/>
      <c r="AP21" s="3"/>
      <c r="AQ21" s="5"/>
    </row>
    <row r="22" spans="1:43" ht="15" x14ac:dyDescent="0.25">
      <c r="A22" s="17">
        <f>IF(B22&lt;&gt;"",MAX(A19:A21)+1,"")</f>
        <v>14</v>
      </c>
      <c r="B22" s="54" t="s">
        <v>22</v>
      </c>
      <c r="F22" s="23"/>
      <c r="G22" s="34"/>
      <c r="J22" s="23"/>
      <c r="K22" s="35"/>
      <c r="L22" s="17"/>
      <c r="N22" s="23"/>
      <c r="O22" s="35"/>
      <c r="R22" s="23"/>
      <c r="S22" s="35"/>
      <c r="V22" s="23"/>
      <c r="W22" s="35"/>
      <c r="Z22" s="23"/>
      <c r="AA22" s="35"/>
      <c r="AD22" s="23"/>
      <c r="AE22" s="35"/>
      <c r="AH22" s="23"/>
      <c r="AI22" s="35"/>
      <c r="AL22" s="23"/>
      <c r="AM22" s="35"/>
      <c r="AP22" s="23"/>
      <c r="AQ22" s="35"/>
    </row>
    <row r="23" spans="1:43" x14ac:dyDescent="0.3">
      <c r="A23" s="17">
        <f t="shared" ref="A23:A29" si="66">IF(B23&lt;&gt;"",MAX(A19:A22)+1,"")</f>
        <v>15</v>
      </c>
      <c r="B23" s="17" t="s">
        <v>23</v>
      </c>
      <c r="E23" s="80">
        <f t="shared" ref="E23:G23" si="67">+E14</f>
        <v>1008</v>
      </c>
      <c r="F23" s="3">
        <f t="shared" si="67"/>
        <v>1008</v>
      </c>
      <c r="G23" s="4">
        <f t="shared" si="67"/>
        <v>1030.95</v>
      </c>
      <c r="I23" s="80">
        <f t="shared" ref="I23:K23" si="68">+I14</f>
        <v>1051.6262399999998</v>
      </c>
      <c r="J23" s="3">
        <f t="shared" si="68"/>
        <v>1051.6262399999998</v>
      </c>
      <c r="K23" s="5">
        <f t="shared" si="68"/>
        <v>1100.0579290874998</v>
      </c>
      <c r="L23" s="17"/>
      <c r="M23" s="80">
        <f t="shared" ref="M23:O23" si="69">+M14</f>
        <v>1097.1406236671996</v>
      </c>
      <c r="N23" s="3">
        <f t="shared" si="69"/>
        <v>1097.1406236671996</v>
      </c>
      <c r="O23" s="5">
        <f t="shared" si="69"/>
        <v>1173.7983872625043</v>
      </c>
      <c r="Q23" s="80">
        <f t="shared" ref="Q23:S23" si="70">+Q14</f>
        <v>1144.6248698595157</v>
      </c>
      <c r="R23" s="3">
        <f t="shared" si="70"/>
        <v>1144.6248698595157</v>
      </c>
      <c r="S23" s="5">
        <f t="shared" si="70"/>
        <v>1252.4819080054683</v>
      </c>
      <c r="U23" s="80">
        <f t="shared" ref="U23:W23" si="71">+U14</f>
        <v>1194.1642342270354</v>
      </c>
      <c r="V23" s="3">
        <f t="shared" si="71"/>
        <v>1194.1642342270354</v>
      </c>
      <c r="W23" s="5">
        <f t="shared" si="71"/>
        <v>1336.4398408652755</v>
      </c>
      <c r="Y23" s="80">
        <f t="shared" ref="Y23:AA23" si="72">+Y14</f>
        <v>1245.8476622843814</v>
      </c>
      <c r="Z23" s="3">
        <f t="shared" si="72"/>
        <v>1245.8476622843812</v>
      </c>
      <c r="AA23" s="5">
        <f t="shared" si="72"/>
        <v>1426.0257468279574</v>
      </c>
      <c r="AC23" s="80">
        <f t="shared" ref="AC23:AE23" si="73">+AC14</f>
        <v>1299.7679491080492</v>
      </c>
      <c r="AD23" s="3">
        <f t="shared" si="73"/>
        <v>1299.7679491080489</v>
      </c>
      <c r="AE23" s="5">
        <f t="shared" si="73"/>
        <v>1521.6168872215126</v>
      </c>
      <c r="AG23" s="80">
        <f t="shared" ref="AG23:AI23" si="74">+AG14</f>
        <v>1356.0219059454453</v>
      </c>
      <c r="AH23" s="3">
        <f t="shared" si="74"/>
        <v>1356.021905945445</v>
      </c>
      <c r="AI23" s="5">
        <f t="shared" si="74"/>
        <v>1623.6158124268538</v>
      </c>
      <c r="AK23" s="80">
        <f t="shared" ref="AK23:AM23" si="75">+AK14</f>
        <v>1414.7105340347639</v>
      </c>
      <c r="AL23" s="3">
        <f t="shared" si="75"/>
        <v>1414.7105340347637</v>
      </c>
      <c r="AM23" s="5">
        <f t="shared" si="75"/>
        <v>1732.452057085216</v>
      </c>
      <c r="AO23" s="80">
        <f t="shared" ref="AO23:AQ23" si="76">+AO14</f>
        <v>1475.9392059477882</v>
      </c>
      <c r="AP23" s="3">
        <f t="shared" si="76"/>
        <v>1475.939205947788</v>
      </c>
      <c r="AQ23" s="5">
        <f t="shared" si="76"/>
        <v>1848.5839489408233</v>
      </c>
    </row>
    <row r="24" spans="1:43" ht="15" x14ac:dyDescent="0.25">
      <c r="A24" s="40">
        <f t="shared" si="66"/>
        <v>16</v>
      </c>
      <c r="B24" s="40" t="s">
        <v>24</v>
      </c>
      <c r="C24" s="40"/>
      <c r="D24" s="40"/>
      <c r="E24" s="83">
        <f>IF(E20&lt;0,SUM(E18:E19)/(E23-(E23+E5)*($D2*(1+$C$2))),E20/E23)</f>
        <v>1.9941964285714285E-2</v>
      </c>
      <c r="F24" s="41">
        <f>IF(F20&lt;0,SUM(F18:F19)/(F23-(F23+F5)*($D2*(1+$C$2)*$D4)),F20/F23)</f>
        <v>1.8564341517857144E-2</v>
      </c>
      <c r="G24" s="42">
        <f>IF(G20&lt;0,SUM(G18:G19)/(G23-(G23+G5)*($D2*(1+$C$2)*$D4)),G20/G23)</f>
        <v>-3.6556344348983539E-3</v>
      </c>
      <c r="H24" s="76"/>
      <c r="I24" s="83">
        <f>IF(I20&lt;0,SUM(I18:I19)/(I23-(I23+I5)*($D2*(1+$C$2))),I20/I23)</f>
        <v>2.0339646225286993E-2</v>
      </c>
      <c r="J24" s="41">
        <f>IF(J20&lt;0,SUM(J18:J19)/(J23-(J23+J5)*($D2*(1+$C$2)*$D4)),J20/J23)</f>
        <v>1.8908976293848783E-2</v>
      </c>
      <c r="K24" s="43">
        <f>IF(K20&lt;0,SUM(K18:K19)/(K23-(K23+K5)*($D2*(1+$C$2)*$D4)),K20/K23)</f>
        <v>-3.4525141454516094E-3</v>
      </c>
      <c r="L24" s="40"/>
      <c r="M24" s="83">
        <f>IF(M20&lt;0,SUM(M18:M19)/(M23-(M23+M5)*($D2*(1+$C$2))),M20/M23)</f>
        <v>2.0745258723895727E-2</v>
      </c>
      <c r="N24" s="41">
        <f>IF(N20&lt;0,SUM(N18:N19)/(N23-(N23+N5)*($D2*(1+$C$2)*$D4)),N20/N23)</f>
        <v>1.9260008987520852E-2</v>
      </c>
      <c r="O24" s="43">
        <f>IF(O20&lt;0,SUM(O18:O19)/(O23-(O23+O5)*($D2*(1+$C$2)*$D4)),O20/O23)</f>
        <v>-3.2593602190500279E-3</v>
      </c>
      <c r="P24" s="40"/>
      <c r="Q24" s="83">
        <f>IF(Q20&lt;0,SUM(Q18:Q19)/(Q23-(Q23+Q5)*($D2*(1+$C$2))),Q20/Q23)</f>
        <v>2.1158959932465561E-2</v>
      </c>
      <c r="R24" s="41">
        <f>IF(R20&lt;0,SUM(R18:R19)/(R23-(R23+R5)*($D2*(1+$C$2)*$D4)),R20/R23)</f>
        <v>1.961755837200219E-2</v>
      </c>
      <c r="S24" s="43">
        <f>IF(S20&lt;0,SUM(S18:S19)/(S23-(S23+S5)*($D2*(1+$C$2)*$D4)),S20/S23)</f>
        <v>-3.0758200557000764E-3</v>
      </c>
      <c r="T24" s="40"/>
      <c r="U24" s="83">
        <f>IF(U20&lt;0,SUM(U18:U19)/(U23-(U23+U5)*($D2*(1+$C$2))),U20/U23)</f>
        <v>2.1580911155761641E-2</v>
      </c>
      <c r="V24" s="41">
        <f>IF(V20&lt;0,SUM(V18:V19)/(V23-(V23+V5)*($D2*(1+$C$2)*$D4)),V20/V23)</f>
        <v>1.9981745425366532E-2</v>
      </c>
      <c r="W24" s="43">
        <f>IF(W20&lt;0,SUM(W18:W19)/(W23-(W23+W5)*($D2*(1+$C$2)*$D4)),W20/W23)</f>
        <v>-2.9015396183666988E-3</v>
      </c>
      <c r="X24" s="40"/>
      <c r="Y24" s="83">
        <f>IF(Y20&lt;0,SUM(Y18:Y19)/(Y23-(Y23+Y5)*($D2*(1+$C$2))),Y20/Y23)</f>
        <v>2.2011276915283016E-2</v>
      </c>
      <c r="Z24" s="41">
        <f>IF(Z20&lt;0,SUM(Z18:Z19)/(Z23-(Z23+Z5)*($D2*(1+$C$2)*$D4)),Z20/Z23)</f>
        <v>2.0352693371565922E-2</v>
      </c>
      <c r="AA24" s="43">
        <f>IF(AA20&lt;0,SUM(AA18:AA19)/(AA23-(AA23+AA5)*($D2*(1+$C$2)*$D4)),AA20/AA23)</f>
        <v>-2.7361650756016144E-3</v>
      </c>
      <c r="AB24" s="40"/>
      <c r="AC24" s="83">
        <f>IF(AC20&lt;0,SUM(AC18:AC19)/(AC23-(AC23+AC5)*($D2*(1+$C$2))),AC20/AC23)</f>
        <v>2.2450225013410558E-2</v>
      </c>
      <c r="AD24" s="41">
        <f>IF(AD20&lt;0,SUM(AD18:AD19)/(AD23-(AD23+AD5)*($D2*(1+$C$2)*$D4)),AD20/AD23)</f>
        <v>2.0730527722123897E-2</v>
      </c>
      <c r="AE24" s="43">
        <f>IF(AE20&lt;0,SUM(AE18:AE19)/(AE23-(AE23+AE5)*($D2*(1+$C$2)*$D4)),AE20/AE23)</f>
        <v>-2.5793443124545465E-3</v>
      </c>
      <c r="AF24" s="40"/>
      <c r="AG24" s="83">
        <f>IF(AG20&lt;0,SUM(AG18:AG19)/(AG23-(AG23+AG5)*($D2*(1+$C$2))),AG20/AG23)</f>
        <v>2.2897926598834249E-2</v>
      </c>
      <c r="AH24" s="41">
        <f>IF(AH20&lt;0,SUM(AH18:AH19)/(AH23-(AH23+AH5)*($D2*(1+$C$2)*$D4)),AH20/AH23)</f>
        <v>2.1115376318602806E-2</v>
      </c>
      <c r="AI24" s="43">
        <f>IF(AI20&lt;0,SUM(AI18:AI19)/(AI23-(AI23+AI5)*($D2*(1+$C$2)*$D4)),AI20/AI23)</f>
        <v>-2.4307283055768135E-3</v>
      </c>
      <c r="AJ24" s="40"/>
      <c r="AK24" s="83">
        <f>IF(AK20&lt;0,SUM(AK18:AK19)/(AK23-(AK23+AK5)*($D2*(1+$C$2))),AK20/AK23)</f>
        <v>2.3354556233285105E-2</v>
      </c>
      <c r="AL24" s="41">
        <f>IF(AL20&lt;0,SUM(AL18:AL19)/(AL23-(AL23+AL5)*($D2*(1+$C$2)*$D4)),AL20/AL23)</f>
        <v>2.1507369375859422E-2</v>
      </c>
      <c r="AM24" s="43">
        <f>IF(AM20&lt;0,SUM(AM18:AM19)/(AM23-(AM23+AM5)*($D2*(1+$C$2)*$D4)),AM20/AM23)</f>
        <v>-2.2899723610245995E-3</v>
      </c>
      <c r="AN24" s="40"/>
      <c r="AO24" s="83">
        <f>IF(AO20&lt;0,SUM(AO18:AO19)/(AO23-(AO23+AO5)*($D2*(1+$C$2))),AO20/AO23)</f>
        <v>2.3820291959597978E-2</v>
      </c>
      <c r="AP24" s="41">
        <f>IF(AP20&lt;0,SUM(AP18:AP19)/(AP23-(AP23+AP5)*($D2*(1+$C$2)*$D4)),AP20/AP23)</f>
        <v>2.1906639526103576E-2</v>
      </c>
      <c r="AQ24" s="43">
        <f>IF(AQ20&lt;0,SUM(AQ18:AQ19)/(AQ23-(AQ23+AQ5)*($D2*(1+$C$2)*$D4)),AQ20/AQ23)</f>
        <v>-2.1567372155334476E-3</v>
      </c>
    </row>
    <row r="25" spans="1:43" x14ac:dyDescent="0.3">
      <c r="A25" s="17" t="str">
        <f t="shared" si="66"/>
        <v/>
      </c>
      <c r="F25" s="3"/>
      <c r="G25" s="4"/>
      <c r="J25" s="3"/>
      <c r="K25" s="5"/>
      <c r="L25" s="17"/>
      <c r="N25" s="3"/>
      <c r="O25" s="5"/>
      <c r="R25" s="3"/>
      <c r="S25" s="5"/>
      <c r="V25" s="3"/>
      <c r="W25" s="5"/>
      <c r="Z25" s="3"/>
      <c r="AA25" s="5"/>
      <c r="AD25" s="3"/>
      <c r="AE25" s="5"/>
      <c r="AH25" s="3"/>
      <c r="AI25" s="5"/>
      <c r="AL25" s="3"/>
      <c r="AM25" s="5"/>
      <c r="AP25" s="3"/>
      <c r="AQ25" s="5"/>
    </row>
    <row r="26" spans="1:43" x14ac:dyDescent="0.3">
      <c r="A26" s="26">
        <f t="shared" si="66"/>
        <v>17</v>
      </c>
      <c r="B26" s="59" t="s">
        <v>10</v>
      </c>
      <c r="C26" s="26"/>
      <c r="D26" s="44">
        <v>42917</v>
      </c>
      <c r="F26" s="3"/>
      <c r="G26" s="4"/>
      <c r="J26" s="3"/>
      <c r="K26" s="5"/>
      <c r="L26" s="26"/>
      <c r="N26" s="3"/>
      <c r="O26" s="5"/>
      <c r="P26" s="26"/>
      <c r="R26" s="3"/>
      <c r="S26" s="5"/>
      <c r="T26" s="26"/>
      <c r="V26" s="3"/>
      <c r="W26" s="5"/>
      <c r="X26" s="26"/>
      <c r="Z26" s="3"/>
      <c r="AA26" s="5"/>
      <c r="AB26" s="26"/>
      <c r="AD26" s="3"/>
      <c r="AE26" s="5"/>
      <c r="AF26" s="26"/>
      <c r="AH26" s="3"/>
      <c r="AI26" s="5"/>
      <c r="AJ26" s="26"/>
      <c r="AL26" s="3"/>
      <c r="AM26" s="5"/>
      <c r="AN26" s="26"/>
      <c r="AP26" s="3"/>
      <c r="AQ26" s="5"/>
    </row>
    <row r="27" spans="1:43" x14ac:dyDescent="0.3">
      <c r="A27" s="17">
        <f t="shared" si="66"/>
        <v>18</v>
      </c>
      <c r="B27" s="17" t="s">
        <v>25</v>
      </c>
      <c r="E27" s="80">
        <f t="shared" ref="E27:G27" si="77">+E23*(1+$D3/2)</f>
        <v>1043.28</v>
      </c>
      <c r="F27" s="23">
        <f t="shared" si="77"/>
        <v>1043.28</v>
      </c>
      <c r="G27" s="34">
        <f t="shared" si="77"/>
        <v>1067.03325</v>
      </c>
      <c r="I27" s="80">
        <f t="shared" ref="I27:K27" si="78">+I23*(1+$D3/2)</f>
        <v>1088.4331583999997</v>
      </c>
      <c r="J27" s="23">
        <f t="shared" si="78"/>
        <v>1088.4331583999997</v>
      </c>
      <c r="K27" s="35">
        <f t="shared" si="78"/>
        <v>1138.5599566055623</v>
      </c>
      <c r="L27" s="17"/>
      <c r="M27" s="80">
        <f t="shared" ref="M27:O27" si="79">+M23*(1+$D3/2)</f>
        <v>1135.5405454955514</v>
      </c>
      <c r="N27" s="23">
        <f t="shared" si="79"/>
        <v>1135.5405454955514</v>
      </c>
      <c r="O27" s="35">
        <f t="shared" si="79"/>
        <v>1214.8813308166918</v>
      </c>
      <c r="Q27" s="80">
        <f t="shared" ref="Q27:S27" si="80">+Q23*(1+$D3/2)</f>
        <v>1184.6867403045987</v>
      </c>
      <c r="R27" s="23">
        <f t="shared" si="80"/>
        <v>1184.6867403045987</v>
      </c>
      <c r="S27" s="35">
        <f t="shared" si="80"/>
        <v>1296.3187747856596</v>
      </c>
      <c r="U27" s="80">
        <f t="shared" ref="U27:W27" si="81">+U23*(1+$D3/2)</f>
        <v>1235.9599824249815</v>
      </c>
      <c r="V27" s="23">
        <f t="shared" si="81"/>
        <v>1235.9599824249815</v>
      </c>
      <c r="W27" s="35">
        <f t="shared" si="81"/>
        <v>1383.21523529556</v>
      </c>
      <c r="Y27" s="80">
        <f t="shared" ref="Y27:AA27" si="82">+Y23*(1+$D3/2)</f>
        <v>1289.4523304643346</v>
      </c>
      <c r="Z27" s="23">
        <f t="shared" si="82"/>
        <v>1289.4523304643344</v>
      </c>
      <c r="AA27" s="35">
        <f t="shared" si="82"/>
        <v>1475.9366479669359</v>
      </c>
      <c r="AC27" s="80">
        <f t="shared" ref="AC27:AE27" si="83">+AC23*(1+$D3/2)</f>
        <v>1345.2598273268309</v>
      </c>
      <c r="AD27" s="23">
        <f t="shared" si="83"/>
        <v>1345.2598273268306</v>
      </c>
      <c r="AE27" s="35">
        <f t="shared" si="83"/>
        <v>1574.8734782742654</v>
      </c>
      <c r="AG27" s="80">
        <f t="shared" ref="AG27:AI27" si="84">+AG23*(1+$D3/2)</f>
        <v>1403.4826726535357</v>
      </c>
      <c r="AH27" s="23">
        <f t="shared" si="84"/>
        <v>1403.4826726535355</v>
      </c>
      <c r="AI27" s="35">
        <f t="shared" si="84"/>
        <v>1680.4423658617936</v>
      </c>
      <c r="AK27" s="80">
        <f t="shared" ref="AK27:AM27" si="85">+AK23*(1+$D3/2)</f>
        <v>1464.2254027259805</v>
      </c>
      <c r="AL27" s="23">
        <f t="shared" si="85"/>
        <v>1464.2254027259803</v>
      </c>
      <c r="AM27" s="35">
        <f t="shared" si="85"/>
        <v>1793.0878790831985</v>
      </c>
      <c r="AO27" s="80">
        <f t="shared" ref="AO27:AQ27" si="86">+AO23*(1+$D3/2)</f>
        <v>1527.5970781559606</v>
      </c>
      <c r="AP27" s="23">
        <f t="shared" si="86"/>
        <v>1527.5970781559604</v>
      </c>
      <c r="AQ27" s="35">
        <f t="shared" si="86"/>
        <v>1913.284387153752</v>
      </c>
    </row>
    <row r="28" spans="1:43" x14ac:dyDescent="0.3">
      <c r="A28" s="17">
        <f t="shared" si="66"/>
        <v>19</v>
      </c>
      <c r="B28" s="17" t="s">
        <v>26</v>
      </c>
      <c r="E28" s="84">
        <f t="shared" ref="E28:G28" si="87">1+E24</f>
        <v>1.0199419642857144</v>
      </c>
      <c r="F28" s="45">
        <f t="shared" si="87"/>
        <v>1.0185643415178571</v>
      </c>
      <c r="G28" s="46">
        <f t="shared" si="87"/>
        <v>0.99634436556510164</v>
      </c>
      <c r="I28" s="84">
        <f>I6+I24</f>
        <v>1.0402816105110013</v>
      </c>
      <c r="J28" s="45">
        <f t="shared" ref="J28:K28" si="88">J6+J24</f>
        <v>1.0374733178117059</v>
      </c>
      <c r="K28" s="47">
        <f t="shared" si="88"/>
        <v>0.99289185141965008</v>
      </c>
      <c r="L28" s="17"/>
      <c r="M28" s="84">
        <f>M6+M24</f>
        <v>1.061026869234897</v>
      </c>
      <c r="N28" s="45">
        <f t="shared" ref="N28:O28" si="89">N6+N24</f>
        <v>1.0567333267992267</v>
      </c>
      <c r="O28" s="47">
        <f t="shared" si="89"/>
        <v>0.98963249120060004</v>
      </c>
      <c r="Q28" s="84">
        <f>Q6+Q24</f>
        <v>1.0821858291673625</v>
      </c>
      <c r="R28" s="45">
        <f t="shared" ref="R28:S28" si="90">R6+R24</f>
        <v>1.0763508851712289</v>
      </c>
      <c r="S28" s="47">
        <f t="shared" si="90"/>
        <v>0.98655667114489998</v>
      </c>
      <c r="U28" s="84">
        <f>U6+U24</f>
        <v>1.1037667403231242</v>
      </c>
      <c r="V28" s="45">
        <f t="shared" ref="V28:W28" si="91">V6+V24</f>
        <v>1.0963326305965955</v>
      </c>
      <c r="W28" s="47">
        <f t="shared" si="91"/>
        <v>0.98365513152653328</v>
      </c>
      <c r="Y28" s="84">
        <f>Y6+Y24</f>
        <v>1.1257780172384071</v>
      </c>
      <c r="Z28" s="45">
        <f t="shared" ref="Z28:AA28" si="92">Z6+Z24</f>
        <v>1.1166853239681613</v>
      </c>
      <c r="AA28" s="47">
        <f t="shared" si="92"/>
        <v>0.98091896645093168</v>
      </c>
      <c r="AC28" s="84">
        <f>AC6+AC24</f>
        <v>1.1482282422518177</v>
      </c>
      <c r="AD28" s="45">
        <f t="shared" ref="AD28:AE28" si="93">AD6+AD24</f>
        <v>1.1374158516902853</v>
      </c>
      <c r="AE28" s="47">
        <f t="shared" si="93"/>
        <v>0.97833962213847714</v>
      </c>
      <c r="AG28" s="84">
        <f>AG6+AG24</f>
        <v>1.171126168850652</v>
      </c>
      <c r="AH28" s="45">
        <f t="shared" ref="AH28:AI28" si="94">AH6+AH24</f>
        <v>1.158531228008888</v>
      </c>
      <c r="AI28" s="47">
        <f t="shared" si="94"/>
        <v>0.97590889383290036</v>
      </c>
      <c r="AK28" s="84">
        <f>AK6+AK24</f>
        <v>1.1944807250839371</v>
      </c>
      <c r="AL28" s="45">
        <f t="shared" ref="AL28:AM28" si="95">AL6+AL24</f>
        <v>1.1800385973847474</v>
      </c>
      <c r="AM28" s="47">
        <f t="shared" si="95"/>
        <v>0.97361892147187579</v>
      </c>
      <c r="AO28" s="84">
        <f>AO6+AO24</f>
        <v>1.2183010170435351</v>
      </c>
      <c r="AP28" s="45">
        <f t="shared" ref="AP28:AQ28" si="96">AP6+AP24</f>
        <v>1.201945236910851</v>
      </c>
      <c r="AQ28" s="47">
        <f t="shared" si="96"/>
        <v>0.97146218425634234</v>
      </c>
    </row>
    <row r="29" spans="1:43" x14ac:dyDescent="0.3">
      <c r="A29" s="17" t="str">
        <f t="shared" si="66"/>
        <v/>
      </c>
      <c r="E29" s="85"/>
      <c r="F29" s="3"/>
      <c r="G29" s="4"/>
      <c r="I29" s="85"/>
      <c r="J29" s="3"/>
      <c r="K29" s="5"/>
      <c r="L29" s="17"/>
      <c r="M29" s="85"/>
      <c r="N29" s="3"/>
      <c r="O29" s="5"/>
      <c r="Q29" s="85"/>
      <c r="R29" s="3"/>
      <c r="S29" s="5"/>
      <c r="U29" s="85"/>
      <c r="V29" s="3"/>
      <c r="W29" s="5"/>
      <c r="Y29" s="85"/>
      <c r="Z29" s="3"/>
      <c r="AA29" s="5"/>
      <c r="AC29" s="85"/>
      <c r="AD29" s="3"/>
      <c r="AE29" s="5"/>
      <c r="AG29" s="85"/>
      <c r="AH29" s="3"/>
      <c r="AI29" s="5"/>
      <c r="AK29" s="85"/>
      <c r="AL29" s="3"/>
      <c r="AM29" s="5"/>
      <c r="AO29" s="85"/>
      <c r="AP29" s="3"/>
      <c r="AQ29" s="5"/>
    </row>
    <row r="30" spans="1:43" x14ac:dyDescent="0.3">
      <c r="A30" s="26"/>
      <c r="B30" s="48"/>
      <c r="C30" s="48"/>
      <c r="D30" s="6"/>
      <c r="E30" s="79" t="s">
        <v>0</v>
      </c>
      <c r="F30" s="20" t="s">
        <v>2</v>
      </c>
      <c r="G30" s="21"/>
      <c r="I30" s="79" t="s">
        <v>0</v>
      </c>
      <c r="J30" s="20" t="s">
        <v>2</v>
      </c>
      <c r="K30" s="22"/>
      <c r="L30" s="26"/>
      <c r="M30" s="79" t="s">
        <v>0</v>
      </c>
      <c r="N30" s="20" t="s">
        <v>2</v>
      </c>
      <c r="O30" s="22"/>
      <c r="P30" s="26"/>
      <c r="Q30" s="79" t="s">
        <v>0</v>
      </c>
      <c r="R30" s="20" t="s">
        <v>2</v>
      </c>
      <c r="S30" s="22"/>
      <c r="T30" s="26"/>
      <c r="U30" s="79" t="s">
        <v>0</v>
      </c>
      <c r="V30" s="20" t="s">
        <v>2</v>
      </c>
      <c r="W30" s="22"/>
      <c r="X30" s="26"/>
      <c r="Y30" s="79" t="s">
        <v>0</v>
      </c>
      <c r="Z30" s="20" t="s">
        <v>2</v>
      </c>
      <c r="AA30" s="22"/>
      <c r="AB30" s="26"/>
      <c r="AC30" s="79" t="s">
        <v>0</v>
      </c>
      <c r="AD30" s="20" t="s">
        <v>2</v>
      </c>
      <c r="AE30" s="22"/>
      <c r="AF30" s="26"/>
      <c r="AG30" s="79" t="s">
        <v>0</v>
      </c>
      <c r="AH30" s="20" t="s">
        <v>2</v>
      </c>
      <c r="AI30" s="22"/>
      <c r="AJ30" s="26"/>
      <c r="AK30" s="79" t="s">
        <v>0</v>
      </c>
      <c r="AL30" s="20" t="s">
        <v>2</v>
      </c>
      <c r="AM30" s="22"/>
      <c r="AN30" s="26"/>
      <c r="AO30" s="79" t="s">
        <v>0</v>
      </c>
      <c r="AP30" s="20" t="s">
        <v>2</v>
      </c>
      <c r="AQ30" s="22"/>
    </row>
    <row r="31" spans="1:43" x14ac:dyDescent="0.3">
      <c r="B31" s="49"/>
      <c r="C31" s="49"/>
      <c r="D31" s="7"/>
      <c r="L31" s="17"/>
    </row>
    <row r="32" spans="1:43" x14ac:dyDescent="0.3">
      <c r="B32" s="49"/>
      <c r="C32" s="49"/>
      <c r="D32" s="50"/>
      <c r="E32" s="81"/>
      <c r="F32" s="25" t="s">
        <v>7</v>
      </c>
      <c r="G32" s="21" t="s">
        <v>8</v>
      </c>
      <c r="I32" s="81"/>
      <c r="J32" s="25" t="s">
        <v>7</v>
      </c>
      <c r="K32" s="22" t="s">
        <v>8</v>
      </c>
      <c r="L32" s="17"/>
      <c r="M32" s="81"/>
      <c r="N32" s="25" t="s">
        <v>7</v>
      </c>
      <c r="O32" s="22" t="s">
        <v>8</v>
      </c>
      <c r="Q32" s="81"/>
      <c r="R32" s="25" t="s">
        <v>7</v>
      </c>
      <c r="S32" s="22" t="s">
        <v>8</v>
      </c>
      <c r="U32" s="81"/>
      <c r="V32" s="25" t="s">
        <v>7</v>
      </c>
      <c r="W32" s="22" t="s">
        <v>8</v>
      </c>
      <c r="Y32" s="81"/>
      <c r="Z32" s="25" t="s">
        <v>7</v>
      </c>
      <c r="AA32" s="22" t="s">
        <v>8</v>
      </c>
      <c r="AC32" s="81"/>
      <c r="AD32" s="25" t="s">
        <v>7</v>
      </c>
      <c r="AE32" s="22" t="s">
        <v>8</v>
      </c>
      <c r="AG32" s="81"/>
      <c r="AH32" s="25" t="s">
        <v>7</v>
      </c>
      <c r="AI32" s="22" t="s">
        <v>8</v>
      </c>
      <c r="AK32" s="81"/>
      <c r="AL32" s="25" t="s">
        <v>7</v>
      </c>
      <c r="AM32" s="22" t="s">
        <v>8</v>
      </c>
      <c r="AO32" s="81"/>
      <c r="AP32" s="25" t="s">
        <v>7</v>
      </c>
      <c r="AQ32" s="22" t="s">
        <v>8</v>
      </c>
    </row>
    <row r="33" spans="1:43" x14ac:dyDescent="0.3">
      <c r="A33" s="28">
        <f>IF(B33&lt;&gt;"",MAX(A26:A29)+1,"")</f>
        <v>20</v>
      </c>
      <c r="B33" s="56" t="s">
        <v>15</v>
      </c>
      <c r="C33" s="28"/>
      <c r="D33" s="28"/>
      <c r="E33" s="86"/>
      <c r="F33" s="8"/>
      <c r="G33" s="9"/>
      <c r="H33" s="75"/>
      <c r="I33" s="86"/>
      <c r="J33" s="8"/>
      <c r="K33" s="10"/>
      <c r="L33" s="28"/>
      <c r="M33" s="86"/>
      <c r="N33" s="8"/>
      <c r="O33" s="10"/>
      <c r="P33" s="28"/>
      <c r="Q33" s="86"/>
      <c r="R33" s="8"/>
      <c r="S33" s="10"/>
      <c r="T33" s="28"/>
      <c r="U33" s="86"/>
      <c r="V33" s="8"/>
      <c r="W33" s="10"/>
      <c r="X33" s="28"/>
      <c r="Y33" s="86"/>
      <c r="Z33" s="8"/>
      <c r="AA33" s="10"/>
      <c r="AB33" s="28"/>
      <c r="AC33" s="86"/>
      <c r="AD33" s="8"/>
      <c r="AE33" s="10"/>
      <c r="AF33" s="28"/>
      <c r="AG33" s="86"/>
      <c r="AH33" s="8"/>
      <c r="AI33" s="10"/>
      <c r="AJ33" s="28"/>
      <c r="AK33" s="86"/>
      <c r="AL33" s="8"/>
      <c r="AM33" s="10"/>
      <c r="AN33" s="28"/>
      <c r="AO33" s="86"/>
      <c r="AP33" s="8"/>
      <c r="AQ33" s="10"/>
    </row>
    <row r="34" spans="1:43" x14ac:dyDescent="0.3">
      <c r="A34" s="17">
        <f t="shared" ref="A34:A35" si="97">IF(B34&lt;&gt;"",MAX(A30:A33)+1,"")</f>
        <v>21</v>
      </c>
      <c r="B34" s="17" t="s">
        <v>27</v>
      </c>
      <c r="E34" s="80">
        <f t="shared" ref="E34:G34" si="98">+E28*E27</f>
        <v>1064.0850525000001</v>
      </c>
      <c r="F34" s="23">
        <f t="shared" si="98"/>
        <v>1062.64780621875</v>
      </c>
      <c r="G34" s="34">
        <f t="shared" si="98"/>
        <v>1063.1325665081185</v>
      </c>
      <c r="I34" s="80">
        <f>+I28*I27</f>
        <v>1132.2769989539274</v>
      </c>
      <c r="J34" s="23">
        <f t="shared" ref="J34:K34" si="99">+J28*J27</f>
        <v>1129.2203600615217</v>
      </c>
      <c r="K34" s="35">
        <f t="shared" si="99"/>
        <v>1130.4669032663733</v>
      </c>
      <c r="L34" s="17"/>
      <c r="M34" s="80">
        <f t="shared" ref="M34:O34" si="100">+M28*M27</f>
        <v>1204.8390298764321</v>
      </c>
      <c r="N34" s="23">
        <f t="shared" si="100"/>
        <v>1199.9635383569228</v>
      </c>
      <c r="O34" s="35">
        <f t="shared" si="100"/>
        <v>1202.2860379292231</v>
      </c>
      <c r="Q34" s="80">
        <f t="shared" ref="Q34:S34" si="101">+Q28*Q27</f>
        <v>1282.051202360112</v>
      </c>
      <c r="R34" s="23">
        <f t="shared" si="101"/>
        <v>1275.1386215774726</v>
      </c>
      <c r="S34" s="35">
        <f t="shared" si="101"/>
        <v>1278.8919351951756</v>
      </c>
      <c r="U34" s="80">
        <f t="shared" ref="U34:W34" si="102">+U28*U27</f>
        <v>1364.2115209710475</v>
      </c>
      <c r="V34" s="23">
        <f t="shared" si="102"/>
        <v>1355.023258844102</v>
      </c>
      <c r="W34" s="35">
        <f t="shared" si="102"/>
        <v>1360.6067642041587</v>
      </c>
      <c r="Y34" s="80">
        <f t="shared" ref="Y34:AA34" si="103">+Y28*Y27</f>
        <v>1451.6370879135818</v>
      </c>
      <c r="Z34" s="23">
        <f t="shared" si="103"/>
        <v>1439.912493386066</v>
      </c>
      <c r="AA34" s="35">
        <f t="shared" si="103"/>
        <v>1447.7742512707794</v>
      </c>
      <c r="AC34" s="80">
        <f t="shared" ref="AC34:AE34" si="104">+AC28*AC27</f>
        <v>1544.6653269034709</v>
      </c>
      <c r="AD34" s="23">
        <f t="shared" si="104"/>
        <v>1530.1198522436732</v>
      </c>
      <c r="AE34" s="35">
        <f t="shared" si="104"/>
        <v>1540.7611236507539</v>
      </c>
      <c r="AG34" s="80">
        <f t="shared" ref="AG34:AI34" si="105">+AG28*AG27</f>
        <v>1643.6552854730089</v>
      </c>
      <c r="AH34" s="23">
        <f t="shared" si="105"/>
        <v>1625.9785042384965</v>
      </c>
      <c r="AI34" s="35">
        <f t="shared" si="105"/>
        <v>1639.958650418125</v>
      </c>
      <c r="AK34" s="80">
        <f t="shared" ref="AK34:AM34" si="106">+AK28*AK27</f>
        <v>1748.989020734449</v>
      </c>
      <c r="AL34" s="23">
        <f t="shared" si="106"/>
        <v>1727.8424904878827</v>
      </c>
      <c r="AM34" s="35">
        <f t="shared" si="106"/>
        <v>1745.7842869372769</v>
      </c>
      <c r="AO34" s="80">
        <f t="shared" ref="AO34:AQ34" si="107">+AO28*AO27</f>
        <v>1861.0730739501394</v>
      </c>
      <c r="AP34" s="23">
        <f t="shared" si="107"/>
        <v>1836.0880320084896</v>
      </c>
      <c r="AQ34" s="35">
        <f t="shared" si="107"/>
        <v>1858.6834298479414</v>
      </c>
    </row>
    <row r="35" spans="1:43" x14ac:dyDescent="0.3">
      <c r="A35" s="17">
        <f t="shared" si="97"/>
        <v>22</v>
      </c>
      <c r="B35" s="17" t="s">
        <v>28</v>
      </c>
      <c r="E35" s="80">
        <f t="shared" ref="E35:G35" si="108">IF(E20&gt;0,-E20+E5,E5+E24*E5)</f>
        <v>-1020.1015</v>
      </c>
      <c r="F35" s="23">
        <f t="shared" si="108"/>
        <v>-1018.71285625</v>
      </c>
      <c r="G35" s="34">
        <f t="shared" si="108"/>
        <v>-996.34436556510161</v>
      </c>
      <c r="I35" s="80">
        <f>+I7-I20</f>
        <v>-1041.4912056828286</v>
      </c>
      <c r="J35" s="23">
        <f t="shared" ref="J35:K35" si="109">+J7-J20</f>
        <v>-1038.5980318921493</v>
      </c>
      <c r="K35" s="35">
        <f t="shared" si="109"/>
        <v>-992.61017897170473</v>
      </c>
      <c r="L35" s="17"/>
      <c r="M35" s="80">
        <f>+M7-M20</f>
        <v>-1064.251671777301</v>
      </c>
      <c r="N35" s="23">
        <f t="shared" ref="N35:O35" si="110">+N7-N20</f>
        <v>-1059.7289701645539</v>
      </c>
      <c r="O35" s="35">
        <f t="shared" si="110"/>
        <v>-988.88893201291717</v>
      </c>
      <c r="Q35" s="80">
        <f>+Q7-Q20</f>
        <v>-1088.4707435363621</v>
      </c>
      <c r="R35" s="23">
        <f t="shared" ref="R35:S35" si="111">+R7-R20</f>
        <v>-1082.1837153630684</v>
      </c>
      <c r="S35" s="35">
        <f t="shared" si="111"/>
        <v>-985.17990076955255</v>
      </c>
      <c r="U35" s="80">
        <f>+U7-U20</f>
        <v>-1114.241895780604</v>
      </c>
      <c r="V35" s="23">
        <f t="shared" ref="V35:W35" si="112">+V7-V20</f>
        <v>-1106.0452010874708</v>
      </c>
      <c r="W35" s="35">
        <f t="shared" si="112"/>
        <v>-981.48239735372692</v>
      </c>
      <c r="Y35" s="80">
        <f>+Y7-Y20</f>
        <v>-1141.6645936694035</v>
      </c>
      <c r="Z35" s="23">
        <f t="shared" ref="Z35:AA35" si="113">+Z7-Z20</f>
        <v>-1131.401556545627</v>
      </c>
      <c r="AA35" s="35">
        <f t="shared" si="113"/>
        <v>-977.79576858196776</v>
      </c>
      <c r="AC35" s="80">
        <f>+AC7-AC20</f>
        <v>-1170.8446765920985</v>
      </c>
      <c r="AD35" s="23">
        <f t="shared" ref="AD35:AE35" si="114">+AD7-AD20</f>
        <v>-1158.3464320469395</v>
      </c>
      <c r="AE35" s="35">
        <f t="shared" si="114"/>
        <v>-974.11939464909335</v>
      </c>
      <c r="AG35" s="80">
        <f>+AG7-AG20</f>
        <v>-1201.8947666608485</v>
      </c>
      <c r="AH35" s="23">
        <f t="shared" ref="AH35:AI35" si="115">+AH7-AH20</f>
        <v>-1186.9793448872467</v>
      </c>
      <c r="AI35" s="35">
        <f t="shared" si="115"/>
        <v>-970.45268780852587</v>
      </c>
      <c r="AK35" s="80">
        <f>+AK7-AK20</f>
        <v>-1234.9347033817842</v>
      </c>
      <c r="AL35" s="23">
        <f t="shared" ref="AL35:AM35" si="116">+AL7-AL20</f>
        <v>-1217.4060469026517</v>
      </c>
      <c r="AM35" s="35">
        <f t="shared" si="116"/>
        <v>-966.79509106419073</v>
      </c>
      <c r="AO35" s="80">
        <f>+AO7-AO20</f>
        <v>-1270.0920061820777</v>
      </c>
      <c r="AP35" s="23">
        <f t="shared" ref="AP35:AQ35" si="117">+AP7-AP20</f>
        <v>-1249.7389150497934</v>
      </c>
      <c r="AQ35" s="35">
        <f t="shared" si="117"/>
        <v>-963.14607687864282</v>
      </c>
    </row>
    <row r="36" spans="1:43" outlineLevel="1" x14ac:dyDescent="0.3">
      <c r="A36" s="17">
        <f>IF(B36&lt;&gt;"",MAX(A33:A35)+1,"")</f>
        <v>23</v>
      </c>
      <c r="B36" s="17" t="s">
        <v>30</v>
      </c>
      <c r="F36" s="23">
        <f>-F54</f>
        <v>0</v>
      </c>
      <c r="G36" s="34">
        <f>-G54</f>
        <v>-20.299999999999997</v>
      </c>
      <c r="J36" s="23">
        <f>-J54</f>
        <v>0</v>
      </c>
      <c r="K36" s="35">
        <f>-K54-K8</f>
        <v>-40.599999999999994</v>
      </c>
      <c r="L36" s="17"/>
      <c r="N36" s="23">
        <f>-N54</f>
        <v>0</v>
      </c>
      <c r="O36" s="35">
        <f>-O54-O8</f>
        <v>-60.899999999999991</v>
      </c>
      <c r="R36" s="23">
        <f>-R54</f>
        <v>0</v>
      </c>
      <c r="S36" s="35">
        <f>-S54-S8</f>
        <v>-81.199999999999989</v>
      </c>
      <c r="V36" s="23">
        <f>-V54</f>
        <v>0</v>
      </c>
      <c r="W36" s="35">
        <f>-W54-W8</f>
        <v>-101.49999999999999</v>
      </c>
      <c r="Z36" s="23">
        <f>-Z54</f>
        <v>0</v>
      </c>
      <c r="AA36" s="35">
        <f>-AA54-AA8</f>
        <v>-121.79999999999998</v>
      </c>
      <c r="AD36" s="23">
        <f>-AD54</f>
        <v>0</v>
      </c>
      <c r="AE36" s="35">
        <f>-AE54-AE8</f>
        <v>-142.09999999999997</v>
      </c>
      <c r="AH36" s="23">
        <f>-AH54</f>
        <v>0</v>
      </c>
      <c r="AI36" s="35">
        <f>-AI54-AI8</f>
        <v>-162.39999999999998</v>
      </c>
      <c r="AL36" s="23">
        <f>-AL54</f>
        <v>0</v>
      </c>
      <c r="AM36" s="35">
        <f>-AM54-AM8</f>
        <v>-182.7</v>
      </c>
      <c r="AP36" s="23">
        <f>-AP54</f>
        <v>0</v>
      </c>
      <c r="AQ36" s="35">
        <f>-AQ54-AQ8</f>
        <v>-203</v>
      </c>
    </row>
    <row r="37" spans="1:43" outlineLevel="1" x14ac:dyDescent="0.3">
      <c r="A37" s="17">
        <f>IF(B37&lt;&gt;"",MAX(A34:A36)+1,"")</f>
        <v>24</v>
      </c>
      <c r="B37" s="17" t="s">
        <v>31</v>
      </c>
      <c r="E37" s="82">
        <f>SUM(E34:E36)</f>
        <v>43.983552500000087</v>
      </c>
      <c r="F37" s="31">
        <f>SUM(F34:F36)</f>
        <v>43.934949968750061</v>
      </c>
      <c r="G37" s="32">
        <f>SUM(G34:G36)</f>
        <v>46.488200943016935</v>
      </c>
      <c r="I37" s="82">
        <f>SUM(I34:I36)</f>
        <v>90.785793271098782</v>
      </c>
      <c r="J37" s="31">
        <f>SUM(J34:J36)</f>
        <v>90.622328169372395</v>
      </c>
      <c r="K37" s="33">
        <f>SUM(K34:K36)</f>
        <v>97.256724294668544</v>
      </c>
      <c r="L37" s="17"/>
      <c r="M37" s="82">
        <f>SUM(M34:M36)</f>
        <v>140.58735809913105</v>
      </c>
      <c r="N37" s="31">
        <f>SUM(N34:N36)</f>
        <v>140.2345681923689</v>
      </c>
      <c r="O37" s="33">
        <f>SUM(O34:O36)</f>
        <v>152.49710591630594</v>
      </c>
      <c r="Q37" s="82">
        <f>SUM(Q34:Q36)</f>
        <v>193.58045882374995</v>
      </c>
      <c r="R37" s="31">
        <f>SUM(R34:R36)</f>
        <v>192.95490621440422</v>
      </c>
      <c r="S37" s="33">
        <f>SUM(S34:S36)</f>
        <v>212.51203442562309</v>
      </c>
      <c r="U37" s="82">
        <f>SUM(U34:U36)</f>
        <v>249.96962519044359</v>
      </c>
      <c r="V37" s="31">
        <f>SUM(V34:V36)</f>
        <v>248.97805775663119</v>
      </c>
      <c r="W37" s="33">
        <f>SUM(W34:W36)</f>
        <v>277.62436685043178</v>
      </c>
      <c r="Y37" s="82">
        <f>SUM(Y34:Y36)</f>
        <v>309.97249424417828</v>
      </c>
      <c r="Z37" s="31">
        <f>SUM(Z34:Z36)</f>
        <v>308.51093684043894</v>
      </c>
      <c r="AA37" s="33">
        <f>SUM(AA34:AA36)</f>
        <v>348.17848268881164</v>
      </c>
      <c r="AC37" s="82">
        <f>SUM(AC34:AC36)</f>
        <v>373.82065031137245</v>
      </c>
      <c r="AD37" s="31">
        <f>SUM(AD34:AD36)</f>
        <v>371.7734201967337</v>
      </c>
      <c r="AE37" s="33">
        <f>SUM(AE34:AE36)</f>
        <v>424.5417290016606</v>
      </c>
      <c r="AG37" s="82">
        <f>SUM(AG34:AG36)</f>
        <v>441.7605188121604</v>
      </c>
      <c r="AH37" s="31">
        <f>SUM(AH34:AH36)</f>
        <v>438.99915935124977</v>
      </c>
      <c r="AI37" s="33">
        <f>SUM(AI34:AI36)</f>
        <v>507.10596260959915</v>
      </c>
      <c r="AK37" s="82">
        <f>SUM(AK34:AK36)</f>
        <v>514.05431735266484</v>
      </c>
      <c r="AL37" s="31">
        <f>SUM(AL34:AL36)</f>
        <v>510.43644358523102</v>
      </c>
      <c r="AM37" s="33">
        <f>SUM(AM34:AM36)</f>
        <v>596.2891958730861</v>
      </c>
      <c r="AO37" s="82">
        <f>SUM(AO34:AO36)</f>
        <v>590.98106776806162</v>
      </c>
      <c r="AP37" s="31">
        <f>SUM(AP34:AP36)</f>
        <v>586.34911695869619</v>
      </c>
      <c r="AQ37" s="33">
        <f>SUM(AQ34:AQ36)</f>
        <v>692.53735296929858</v>
      </c>
    </row>
    <row r="38" spans="1:43" x14ac:dyDescent="0.3">
      <c r="A38" s="17">
        <f>IF(B38&lt;&gt;"",MAX(A35:A37)+1,"")</f>
        <v>25</v>
      </c>
      <c r="B38" s="17" t="s">
        <v>32</v>
      </c>
      <c r="D38" s="51"/>
      <c r="E38" s="80">
        <f>-E37*$D$2*(1+$C$2)</f>
        <v>-11.600661971875022</v>
      </c>
      <c r="F38" s="23">
        <f>-F37*$D$2*(1+$C$2)*$D$4</f>
        <v>-8.1114901379804785</v>
      </c>
      <c r="G38" s="34">
        <f>-G37*$D$2*(1+$C$2)*$D$4</f>
        <v>-8.5828840991045006</v>
      </c>
      <c r="I38" s="80">
        <f>-I37*$D$2*(1+$C$2)</f>
        <v>-23.944752975252303</v>
      </c>
      <c r="J38" s="23">
        <f>-J37*$D$2*(1+$C$2)*$D$4</f>
        <v>-16.731147338270375</v>
      </c>
      <c r="K38" s="35">
        <f>-K37*$D$2*(1+$C$2)*$D$4</f>
        <v>-17.956022722903178</v>
      </c>
      <c r="L38" s="17"/>
      <c r="M38" s="80">
        <f>-M37*$D$2*(1+$C$2)</f>
        <v>-37.079915698645813</v>
      </c>
      <c r="N38" s="23">
        <f>-N37*$D$2*(1+$C$2)*$D$4</f>
        <v>-25.890807152516103</v>
      </c>
      <c r="O38" s="35">
        <f>-O37*$D$2*(1+$C$2)*$D$4</f>
        <v>-28.154778179797979</v>
      </c>
      <c r="Q38" s="80">
        <f>-Q37*$D$2*(1+$C$2)</f>
        <v>-51.056846014764048</v>
      </c>
      <c r="R38" s="23">
        <f>-R37*$D$2*(1+$C$2)*$D$4</f>
        <v>-35.624299559834377</v>
      </c>
      <c r="S38" s="35">
        <f>-S37*$D$2*(1+$C$2)*$D$4</f>
        <v>-39.235034355830656</v>
      </c>
      <c r="U38" s="80">
        <f>-U37*$D$2*(1+$C$2)</f>
        <v>-65.929488643979496</v>
      </c>
      <c r="V38" s="23">
        <f>-V37*$D$2*(1+$C$2)*$D$4</f>
        <v>-45.967573913318027</v>
      </c>
      <c r="W38" s="35">
        <f>-W37*$D$2*(1+$C$2)*$D$4</f>
        <v>-51.25639872976096</v>
      </c>
      <c r="Y38" s="80">
        <f>-Y37*$D$2*(1+$C$2)</f>
        <v>-81.755245356902023</v>
      </c>
      <c r="Z38" s="23">
        <f>-Z37*$D$2*(1+$C$2)*$D$4</f>
        <v>-56.958831714166031</v>
      </c>
      <c r="AA38" s="35">
        <f>-AA37*$D$2*(1+$C$2)*$D$4</f>
        <v>-64.282452366421836</v>
      </c>
      <c r="AC38" s="80">
        <f>-AC37*$D$2*(1+$C$2)</f>
        <v>-98.59519651962448</v>
      </c>
      <c r="AD38" s="23">
        <f>-AD37*$D$2*(1+$C$2)*$D$4</f>
        <v>-68.638667703821952</v>
      </c>
      <c r="AE38" s="35">
        <f>-AE37*$D$2*(1+$C$2)*$D$4</f>
        <v>-78.381016716931569</v>
      </c>
      <c r="AG38" s="80">
        <f>-AG37*$D$2*(1+$C$2)</f>
        <v>-116.5143368367073</v>
      </c>
      <c r="AH38" s="23">
        <f>-AH37*$D$2*(1+$C$2)*$D$4</f>
        <v>-81.050219795224479</v>
      </c>
      <c r="AI38" s="35">
        <f>-AI37*$D$2*(1+$C$2)*$D$4</f>
        <v>-93.624438346797234</v>
      </c>
      <c r="AK38" s="80">
        <f>-AK37*$D$2*(1+$C$2)</f>
        <v>-135.58182620176535</v>
      </c>
      <c r="AL38" s="23">
        <f>-AL37*$D$2*(1+$C$2)*$D$4</f>
        <v>-94.239328396923256</v>
      </c>
      <c r="AM38" s="35">
        <f>-AM37*$D$2*(1+$C$2)*$D$4</f>
        <v>-110.08989278806851</v>
      </c>
      <c r="AO38" s="80">
        <f>-AO37*$D$2*(1+$C$2)</f>
        <v>-155.87125662382624</v>
      </c>
      <c r="AP38" s="23">
        <f>-AP37*$D$2*(1+$C$2)*$D$4</f>
        <v>-108.25470571849927</v>
      </c>
      <c r="AQ38" s="35">
        <f>-AQ37*$D$2*(1+$C$2)*$D$4</f>
        <v>-127.85970879195673</v>
      </c>
    </row>
    <row r="39" spans="1:43" ht="15.6" x14ac:dyDescent="0.3">
      <c r="A39" s="62">
        <f>IF(B39&lt;&gt;"",MAX(A34:A38)+1,"")</f>
        <v>26</v>
      </c>
      <c r="B39" s="63" t="s">
        <v>33</v>
      </c>
      <c r="C39" s="64"/>
      <c r="D39" s="64"/>
      <c r="E39" s="87">
        <f>+E34+E5+E38</f>
        <v>52.484390528125054</v>
      </c>
      <c r="F39" s="65">
        <f>+F34+F5+F38</f>
        <v>54.536316080769538</v>
      </c>
      <c r="G39" s="66">
        <f>+G34+G5+G38</f>
        <v>54.549682409014039</v>
      </c>
      <c r="H39" s="65"/>
      <c r="I39" s="87">
        <f>+I34+I5+I38</f>
        <v>108.33224597867513</v>
      </c>
      <c r="J39" s="65">
        <f>+J34+J5+J38</f>
        <v>112.48921272325128</v>
      </c>
      <c r="K39" s="67">
        <f>+K34+K5+K38</f>
        <v>112.51088054347008</v>
      </c>
      <c r="L39" s="64"/>
      <c r="M39" s="87">
        <f>+M34+M5+M38</f>
        <v>167.75911417778624</v>
      </c>
      <c r="N39" s="65">
        <f>+N34+N5+N38</f>
        <v>174.07273120440664</v>
      </c>
      <c r="O39" s="67">
        <f>+O34+O5+O38</f>
        <v>174.13125974942511</v>
      </c>
      <c r="P39" s="64"/>
      <c r="Q39" s="87">
        <f>+Q34+Q5+Q38</f>
        <v>230.99435634534797</v>
      </c>
      <c r="R39" s="65">
        <f>+R34+R5+R38</f>
        <v>239.51432201763819</v>
      </c>
      <c r="S39" s="67">
        <f>+S34+S5+S38</f>
        <v>239.65690083934496</v>
      </c>
      <c r="T39" s="64"/>
      <c r="U39" s="87">
        <f>+U34+U5+U38</f>
        <v>298.28203232706807</v>
      </c>
      <c r="V39" s="65">
        <f>+V34+V5+V38</f>
        <v>309.05568493078397</v>
      </c>
      <c r="W39" s="67">
        <f>+W34+W5+W38</f>
        <v>309.35036547439773</v>
      </c>
      <c r="X39" s="64"/>
      <c r="Y39" s="87">
        <f>+Y34+Y5+Y38</f>
        <v>369.88184255667977</v>
      </c>
      <c r="Z39" s="65">
        <f>+Z34+Z5+Z38</f>
        <v>382.95366167189997</v>
      </c>
      <c r="AA39" s="67">
        <f>+AA34+AA5+AA38</f>
        <v>383.49179890435755</v>
      </c>
      <c r="AB39" s="64"/>
      <c r="AC39" s="87">
        <f>+AC34+AC5+AC38</f>
        <v>446.07013038384645</v>
      </c>
      <c r="AD39" s="65">
        <f>+AD34+AD5+AD38</f>
        <v>461.48118453985126</v>
      </c>
      <c r="AE39" s="67">
        <f>+AE34+AE5+AE38</f>
        <v>462.38010693382233</v>
      </c>
      <c r="AF39" s="64"/>
      <c r="AG39" s="87">
        <f>+AG34+AG5+AG38</f>
        <v>527.14094863630157</v>
      </c>
      <c r="AH39" s="65">
        <f>+AH34+AH5+AH38</f>
        <v>544.92828444327199</v>
      </c>
      <c r="AI39" s="67">
        <f>+AI34+AI5+AI38</f>
        <v>546.33421207132778</v>
      </c>
      <c r="AJ39" s="64"/>
      <c r="AK39" s="87">
        <f>+AK34+AK5+AK38</f>
        <v>613.40719453268366</v>
      </c>
      <c r="AL39" s="65">
        <f>+AL34+AL5+AL38</f>
        <v>633.60316209095947</v>
      </c>
      <c r="AM39" s="67">
        <f>+AM34+AM5+AM38</f>
        <v>635.69439414920839</v>
      </c>
      <c r="AN39" s="64"/>
      <c r="AO39" s="87">
        <f>+AO34+AO5+AO38</f>
        <v>705.20181732631318</v>
      </c>
      <c r="AP39" s="65">
        <f>+AP34+AP5+AP38</f>
        <v>727.83332628999028</v>
      </c>
      <c r="AQ39" s="67">
        <f>+AQ34+AQ5+AQ38</f>
        <v>730.82372105598461</v>
      </c>
    </row>
    <row r="40" spans="1:43" x14ac:dyDescent="0.3">
      <c r="A40" s="17" t="str">
        <f t="shared" ref="A40:A46" si="118">IF(B40&lt;&gt;"",MAX(A36:A39)+1,"")</f>
        <v/>
      </c>
      <c r="B40" s="70"/>
      <c r="C40" s="71"/>
      <c r="D40" s="71"/>
      <c r="E40" s="90">
        <f>+(1+E39/-$E$5)^(1/E1)-1</f>
        <v>5.2484390528125147E-2</v>
      </c>
      <c r="F40" s="95">
        <f>+(1+F39/-$F$5)^(1/E1)-1</f>
        <v>5.4536316080769476E-2</v>
      </c>
      <c r="G40" s="96">
        <f>+(1+G39/-$G$5)^(1/E1)-1</f>
        <v>5.4549682409014144E-2</v>
      </c>
      <c r="H40" s="77"/>
      <c r="I40" s="90">
        <f>+(1+I39/-$E$5)^(1/I1)-1</f>
        <v>5.2773596733255435E-2</v>
      </c>
      <c r="J40" s="95">
        <f>+(1+J39/-$F$5)^(1/I1)-1</f>
        <v>5.4746041814450752E-2</v>
      </c>
      <c r="K40" s="97">
        <f>+(1+K39/-$G$5)^(1/I1)-1</f>
        <v>5.4756313346106422E-2</v>
      </c>
      <c r="L40" s="71"/>
      <c r="M40" s="90">
        <f>+(1+M39/-$E$5)^(1/M1)-1</f>
        <v>5.3055082403127507E-2</v>
      </c>
      <c r="N40" s="95">
        <f>+(1+N39/-$F$5)^(1/M1)-1</f>
        <v>5.4949491440071663E-2</v>
      </c>
      <c r="O40" s="97">
        <f>+(1+O39/-$G$5)^(1/M1)-1</f>
        <v>5.4967021198147004E-2</v>
      </c>
      <c r="P40" s="71"/>
      <c r="Q40" s="90">
        <f>+(1+Q39/-$E$5)^(1/Q1)-1</f>
        <v>5.3328937482088001E-2</v>
      </c>
      <c r="R40" s="95">
        <f>+(1+R39/-$F$5)^(1/Q1)-1</f>
        <v>5.5146802751299129E-2</v>
      </c>
      <c r="S40" s="97">
        <f>+(1+S39/-$G$5)^(1/Q1)-1</f>
        <v>5.517714429238807E-2</v>
      </c>
      <c r="T40" s="71"/>
      <c r="U40" s="90">
        <f>+(1+U39/-$E$5)^(1/U1)-1</f>
        <v>5.3595262955323353E-2</v>
      </c>
      <c r="V40" s="95">
        <f>+(1+V39/-$F$5)^(1/U1)-1</f>
        <v>5.5338116563035999E-2</v>
      </c>
      <c r="W40" s="97">
        <f>+(1+W39/-$G$5)^(1/U1)-1</f>
        <v>5.5385625559753349E-2</v>
      </c>
      <c r="X40" s="71"/>
      <c r="Y40" s="90">
        <f>+(1+Y39/-$E$5)^(1/Y1)-1</f>
        <v>5.3854169707358679E-2</v>
      </c>
      <c r="Z40" s="95">
        <f>+(1+Z39/-$F$5)^(1/Y1)-1</f>
        <v>5.5523576021004661E-2</v>
      </c>
      <c r="AA40" s="97">
        <f>+(1+AA39/-$G$5)^(1/Y1)-1</f>
        <v>5.559201944019021E-2</v>
      </c>
      <c r="AB40" s="71"/>
      <c r="AC40" s="90">
        <f>+(1+AC39/-$E$5)^(1/AC1)-1</f>
        <v>5.4105777414656053E-2</v>
      </c>
      <c r="AD40" s="95">
        <f>+(1+AD39/-$F$5)^(1/AC1)-1</f>
        <v>5.5703325960493766E-2</v>
      </c>
      <c r="AE40" s="97">
        <f>+(1+AE39/-$G$5)^(1/AC1)-1</f>
        <v>5.5796064097593412E-2</v>
      </c>
      <c r="AF40" s="71"/>
      <c r="AG40" s="90">
        <f>+(1+AG39/-$E$5)^(1/AG1)-1</f>
        <v>5.4350213478761233E-2</v>
      </c>
      <c r="AH40" s="95">
        <f>+(1+AH39/-$F$5)^(1/AG1)-1</f>
        <v>5.587751231396676E-2</v>
      </c>
      <c r="AI40" s="97">
        <f>+(1+AI39/-$G$5)^(1/AG1)-1</f>
        <v>5.5997574252093729E-2</v>
      </c>
      <c r="AJ40" s="71"/>
      <c r="AK40" s="90">
        <f>+(1+AK39/-$E$5)^(1/AK1)-1</f>
        <v>5.458761200522666E-2</v>
      </c>
      <c r="AL40" s="95">
        <f>+(1+AL39/-$F$5)^(1/AK1)-1</f>
        <v>5.6046281566761502E-2</v>
      </c>
      <c r="AM40" s="97">
        <f>+(1+AM39/-$G$5)^(1/AK1)-1</f>
        <v>5.6196405226200508E-2</v>
      </c>
      <c r="AN40" s="71"/>
      <c r="AO40" s="90">
        <f>+(1+AO39/-$E$5)^(1/AO1)-1</f>
        <v>5.4818112832388577E-2</v>
      </c>
      <c r="AP40" s="95">
        <f>+(1+AP39/-$F$5)^(1/AO1)-1</f>
        <v>5.6209780259725894E-2</v>
      </c>
      <c r="AQ40" s="140">
        <f>+(1+AQ39/-$G$5)^(1/AO1)-1</f>
        <v>5.6392438328713324E-2</v>
      </c>
    </row>
    <row r="41" spans="1:43" x14ac:dyDescent="0.3">
      <c r="A41" s="28">
        <f t="shared" si="118"/>
        <v>27</v>
      </c>
      <c r="B41" s="28" t="s">
        <v>34</v>
      </c>
      <c r="C41" s="28"/>
      <c r="D41" s="28"/>
      <c r="E41" s="82">
        <f>-(+E18+E38+E19+E11)</f>
        <v>18.499161971875022</v>
      </c>
      <c r="F41" s="31">
        <f t="shared" ref="F41:G41" si="119">-(+F18+F38+F19+F11)</f>
        <v>16.398633887980477</v>
      </c>
      <c r="G41" s="32">
        <f t="shared" si="119"/>
        <v>16.380771599104499</v>
      </c>
      <c r="H41" s="75"/>
      <c r="I41" s="82">
        <f>-(+I18+I38+I19+I11)</f>
        <v>31.201083247298552</v>
      </c>
      <c r="J41" s="31">
        <f t="shared" ref="J41:K41" si="120">-(+J18+J38+J19+J11)</f>
        <v>25.459022848841361</v>
      </c>
      <c r="K41" s="33">
        <f t="shared" si="120"/>
        <v>26.011693978800054</v>
      </c>
      <c r="L41" s="28"/>
      <c r="M41" s="82">
        <f>-(+M18+M38+M19+M11)</f>
        <v>44.713361021686076</v>
      </c>
      <c r="N41" s="31">
        <f t="shared" ref="N41:O41" si="121">-(+N18+N38+N19+N11)</f>
        <v>35.083630435043531</v>
      </c>
      <c r="O41" s="33">
        <f t="shared" si="121"/>
        <v>36.487192962838073</v>
      </c>
      <c r="P41" s="28"/>
      <c r="Q41" s="82">
        <f>-(+Q18+Q38+Q19+Q11)</f>
        <v>59.087769200624045</v>
      </c>
      <c r="R41" s="31">
        <f t="shared" ref="R41:S41" si="122">-(+R18+R38+R19+R11)</f>
        <v>45.307656775868281</v>
      </c>
      <c r="S41" s="33">
        <f t="shared" si="122"/>
        <v>47.864334989002842</v>
      </c>
      <c r="T41" s="28"/>
      <c r="U41" s="82">
        <f>-(+U18+U38+U19+U11)</f>
        <v>74.379392792135903</v>
      </c>
      <c r="V41" s="31">
        <f t="shared" ref="V41:W41" si="123">-(+V18+V38+V19+V11)</f>
        <v>56.168500852352253</v>
      </c>
      <c r="W41" s="33">
        <f t="shared" si="123"/>
        <v>60.203993183468462</v>
      </c>
      <c r="X41" s="28"/>
      <c r="Y41" s="82">
        <f>-(+Y18+Y38+Y19+Y11)</f>
        <v>90.646839803209218</v>
      </c>
      <c r="Z41" s="31">
        <f t="shared" ref="Z41:AA41" si="124">-(+Z18+Z38+Z19+Z11)</f>
        <v>67.705897975303131</v>
      </c>
      <c r="AA41" s="33">
        <f t="shared" si="124"/>
        <v>73.571102841127995</v>
      </c>
      <c r="AB41" s="28"/>
      <c r="AC41" s="82">
        <f>-(+AC18+AC38+AC19+AC11)</f>
        <v>107.95246670292688</v>
      </c>
      <c r="AD41" s="31">
        <f t="shared" ref="AD41:AE41" si="125">-(+AD18+AD38+AD19+AD11)</f>
        <v>79.962065864100197</v>
      </c>
      <c r="AE41" s="33">
        <f t="shared" si="125"/>
        <v>88.034934074072027</v>
      </c>
      <c r="AF41" s="28"/>
      <c r="AG41" s="82">
        <f>-(+AG18+AG38+AG19+AG11)</f>
        <v>126.3626183210655</v>
      </c>
      <c r="AH41" s="31">
        <f t="shared" ref="AH41:AI41" si="126">-(+AH18+AH38+AH19+AH11)</f>
        <v>92.981859864583342</v>
      </c>
      <c r="AI41" s="33">
        <f t="shared" si="126"/>
        <v>103.66938277437552</v>
      </c>
      <c r="AJ41" s="28"/>
      <c r="AK41" s="82">
        <f>-(+AK18+AK38+AK19+AK11)</f>
        <v>145.94788310668204</v>
      </c>
      <c r="AL41" s="31">
        <f t="shared" ref="AL41:AM41" si="127">-(+AL18+AL38+AL19+AL11)</f>
        <v>106.81293787803857</v>
      </c>
      <c r="AM41" s="33">
        <f t="shared" si="127"/>
        <v>120.55328111414393</v>
      </c>
      <c r="AN41" s="28"/>
      <c r="AO41" s="82">
        <f>-(+AO18+AO38+AO19+AO11)</f>
        <v>166.78336473042856</v>
      </c>
      <c r="AP41" s="31">
        <f t="shared" ref="AP41:AQ41" si="128">-(+AP18+AP38+AP19+AP11)</f>
        <v>121.50593560909465</v>
      </c>
      <c r="AQ41" s="33">
        <f t="shared" si="128"/>
        <v>138.77072888779159</v>
      </c>
    </row>
    <row r="42" spans="1:43" x14ac:dyDescent="0.3">
      <c r="A42" s="17">
        <f t="shared" si="118"/>
        <v>28</v>
      </c>
      <c r="B42" s="17" t="s">
        <v>35</v>
      </c>
      <c r="D42" s="11"/>
      <c r="E42" s="80">
        <f t="shared" ref="E42:G42" si="129">+E39+E41</f>
        <v>70.983552500000073</v>
      </c>
      <c r="F42" s="23">
        <f t="shared" si="129"/>
        <v>70.934949968750018</v>
      </c>
      <c r="G42" s="34">
        <f t="shared" si="129"/>
        <v>70.930454008118545</v>
      </c>
      <c r="I42" s="80">
        <f t="shared" ref="I42" si="130">+I39+I41</f>
        <v>139.53332922597369</v>
      </c>
      <c r="J42" s="23">
        <f t="shared" ref="J42" si="131">+J39+J41</f>
        <v>137.94823557209264</v>
      </c>
      <c r="K42" s="35">
        <f t="shared" ref="K42" si="132">+K39+K41</f>
        <v>138.52257452227013</v>
      </c>
      <c r="L42" s="17"/>
      <c r="M42" s="80">
        <f t="shared" ref="M42" si="133">+M39+M41</f>
        <v>212.47247519947231</v>
      </c>
      <c r="N42" s="23">
        <f t="shared" ref="N42" si="134">+N39+N41</f>
        <v>209.15636163945015</v>
      </c>
      <c r="O42" s="35">
        <f t="shared" ref="O42" si="135">+O39+O41</f>
        <v>210.61845271226318</v>
      </c>
      <c r="Q42" s="80">
        <f t="shared" ref="Q42" si="136">+Q39+Q41</f>
        <v>290.08212554597202</v>
      </c>
      <c r="R42" s="23">
        <f t="shared" ref="R42" si="137">+R39+R41</f>
        <v>284.82197879350645</v>
      </c>
      <c r="S42" s="35">
        <f t="shared" ref="S42" si="138">+S39+S41</f>
        <v>287.52123582834781</v>
      </c>
      <c r="U42" s="80">
        <f t="shared" ref="U42" si="139">+U39+U41</f>
        <v>372.66142511920395</v>
      </c>
      <c r="V42" s="23">
        <f t="shared" ref="V42" si="140">+V39+V41</f>
        <v>365.22418578313625</v>
      </c>
      <c r="W42" s="35">
        <f t="shared" ref="W42" si="141">+W39+W41</f>
        <v>369.5543586578662</v>
      </c>
      <c r="Y42" s="80">
        <f t="shared" ref="Y42" si="142">+Y39+Y41</f>
        <v>460.52868235988899</v>
      </c>
      <c r="Z42" s="23">
        <f t="shared" ref="Z42" si="143">+Z39+Z41</f>
        <v>450.65955964720308</v>
      </c>
      <c r="AA42" s="35">
        <f t="shared" ref="AA42" si="144">+AA39+AA41</f>
        <v>457.06290174548553</v>
      </c>
      <c r="AC42" s="80">
        <f t="shared" ref="AC42" si="145">+AC39+AC41</f>
        <v>554.02259708677332</v>
      </c>
      <c r="AD42" s="23">
        <f t="shared" ref="AD42" si="146">+AD39+AD41</f>
        <v>541.44325040395142</v>
      </c>
      <c r="AE42" s="35">
        <f t="shared" ref="AE42" si="147">+AE39+AE41</f>
        <v>550.41504100789439</v>
      </c>
      <c r="AG42" s="80">
        <f t="shared" ref="AG42" si="148">+AG39+AG41</f>
        <v>653.50356695736707</v>
      </c>
      <c r="AH42" s="23">
        <f t="shared" ref="AH42" si="149">+AH39+AH41</f>
        <v>637.91014430785538</v>
      </c>
      <c r="AI42" s="35">
        <f t="shared" ref="AI42" si="150">+AI39+AI41</f>
        <v>650.00359484570333</v>
      </c>
      <c r="AK42" s="80">
        <f t="shared" ref="AK42" si="151">+AK39+AK41</f>
        <v>759.35507763936573</v>
      </c>
      <c r="AL42" s="23">
        <f t="shared" ref="AL42" si="152">+AL39+AL41</f>
        <v>740.41609996899808</v>
      </c>
      <c r="AM42" s="35">
        <f t="shared" ref="AM42" si="153">+AM39+AM41</f>
        <v>756.24767526335233</v>
      </c>
      <c r="AO42" s="80">
        <f t="shared" ref="AO42" si="154">+AO39+AO41</f>
        <v>871.98518205674168</v>
      </c>
      <c r="AP42" s="23">
        <f t="shared" ref="AP42" si="155">+AP39+AP41</f>
        <v>849.33926189908493</v>
      </c>
      <c r="AQ42" s="35">
        <f t="shared" ref="AQ42" si="156">+AQ39+AQ41</f>
        <v>869.59444994377623</v>
      </c>
    </row>
    <row r="43" spans="1:43" x14ac:dyDescent="0.3">
      <c r="A43" s="17">
        <f t="shared" si="118"/>
        <v>29</v>
      </c>
      <c r="B43" s="17" t="s">
        <v>36</v>
      </c>
      <c r="D43" s="17" t="s">
        <v>37</v>
      </c>
      <c r="E43" s="80">
        <f>-E5*((1+$D3/2)^2-1)</f>
        <v>71.224999999999866</v>
      </c>
      <c r="F43" s="23">
        <f>-F5*((1+$D3/2)^2-1)</f>
        <v>71.224999999999866</v>
      </c>
      <c r="G43" s="34">
        <f>-G5*((1+$D3/2)^2-1)</f>
        <v>71.224999999999866</v>
      </c>
      <c r="I43" s="80">
        <f>-I5*((1+$D3/2)^2-1)</f>
        <v>71.224999999999866</v>
      </c>
      <c r="J43" s="23">
        <f>-J5*((1+$D3/2)^2-1)</f>
        <v>71.224999999999866</v>
      </c>
      <c r="K43" s="35">
        <f>-K5*((1+$D3/2)^2-1)</f>
        <v>71.224999999999866</v>
      </c>
      <c r="L43" s="17"/>
      <c r="M43" s="80">
        <f>-M5*((1+$D3/2)^2-1)</f>
        <v>71.224999999999866</v>
      </c>
      <c r="N43" s="23">
        <f>-N5*((1+$D3/2)^2-1)</f>
        <v>71.224999999999866</v>
      </c>
      <c r="O43" s="35">
        <f>-O5*((1+$D3/2)^2-1)</f>
        <v>71.224999999999866</v>
      </c>
      <c r="Q43" s="80">
        <f>-Q5*((1+$D3/2)^2-1)</f>
        <v>71.224999999999866</v>
      </c>
      <c r="R43" s="23">
        <f>-R5*((1+$D3/2)^2-1)</f>
        <v>71.224999999999866</v>
      </c>
      <c r="S43" s="35">
        <f>-S5*((1+$D3/2)^2-1)</f>
        <v>71.224999999999866</v>
      </c>
      <c r="U43" s="80">
        <f>-U5*((1+$D3/2)^2-1)</f>
        <v>71.224999999999866</v>
      </c>
      <c r="V43" s="23">
        <f>-V5*((1+$D3/2)^2-1)</f>
        <v>71.224999999999866</v>
      </c>
      <c r="W43" s="35">
        <f>-W5*((1+$D3/2)^2-1)</f>
        <v>71.224999999999866</v>
      </c>
      <c r="Y43" s="80">
        <f>-Y5*((1+$D3/2)^2-1)</f>
        <v>71.224999999999866</v>
      </c>
      <c r="Z43" s="23">
        <f>-Z5*((1+$D3/2)^2-1)</f>
        <v>71.224999999999866</v>
      </c>
      <c r="AA43" s="35">
        <f>-AA5*((1+$D3/2)^2-1)</f>
        <v>71.224999999999866</v>
      </c>
      <c r="AC43" s="80">
        <f>-AC5*((1+$D3/2)^2-1)</f>
        <v>71.224999999999866</v>
      </c>
      <c r="AD43" s="23">
        <f>-AD5*((1+$D3/2)^2-1)</f>
        <v>71.224999999999866</v>
      </c>
      <c r="AE43" s="35">
        <f>-AE5*((1+$D3/2)^2-1)</f>
        <v>71.224999999999866</v>
      </c>
      <c r="AG43" s="80">
        <f>-AG5*((1+$D3/2)^2-1)</f>
        <v>71.224999999999866</v>
      </c>
      <c r="AH43" s="23">
        <f>-AH5*((1+$D3/2)^2-1)</f>
        <v>71.224999999999866</v>
      </c>
      <c r="AI43" s="35">
        <f>-AI5*((1+$D3/2)^2-1)</f>
        <v>71.224999999999866</v>
      </c>
      <c r="AK43" s="80">
        <f>-AK5*((1+$D3/2)^2-1)</f>
        <v>71.224999999999866</v>
      </c>
      <c r="AL43" s="23">
        <f>-AL5*((1+$D3/2)^2-1)</f>
        <v>71.224999999999866</v>
      </c>
      <c r="AM43" s="35">
        <f>-AM5*((1+$D3/2)^2-1)</f>
        <v>71.224999999999866</v>
      </c>
      <c r="AO43" s="80">
        <f>-AO5*((1+$D3/2)^2-1)</f>
        <v>71.224999999999866</v>
      </c>
      <c r="AP43" s="23">
        <f>-AP5*((1+$D3/2)^2-1)</f>
        <v>71.224999999999866</v>
      </c>
      <c r="AQ43" s="35">
        <f>-AQ5*((1+$D3/2)^2-1)</f>
        <v>71.224999999999866</v>
      </c>
    </row>
    <row r="44" spans="1:43" ht="15" hidden="1" outlineLevel="1" x14ac:dyDescent="0.25">
      <c r="A44" s="17">
        <f t="shared" si="118"/>
        <v>30</v>
      </c>
      <c r="B44" s="17" t="s">
        <v>38</v>
      </c>
      <c r="D44" s="53"/>
      <c r="E44" s="80">
        <f t="shared" ref="E44:G44" si="157">+E43-E39</f>
        <v>18.740609471874812</v>
      </c>
      <c r="F44" s="23">
        <f t="shared" si="157"/>
        <v>16.688683919230328</v>
      </c>
      <c r="G44" s="34">
        <f t="shared" si="157"/>
        <v>16.675317590985827</v>
      </c>
      <c r="I44" s="80">
        <f t="shared" ref="I44" si="158">+I43-I39</f>
        <v>-37.107245978675266</v>
      </c>
      <c r="J44" s="23">
        <f t="shared" ref="J44" si="159">+J43-J39</f>
        <v>-41.264212723251418</v>
      </c>
      <c r="K44" s="35">
        <f t="shared" ref="K44" si="160">+K43-K39</f>
        <v>-41.285880543470213</v>
      </c>
      <c r="L44" s="17"/>
      <c r="M44" s="80">
        <f t="shared" ref="M44" si="161">+M43-M39</f>
        <v>-96.534114177786378</v>
      </c>
      <c r="N44" s="23">
        <f t="shared" ref="N44" si="162">+N43-N39</f>
        <v>-102.84773120440677</v>
      </c>
      <c r="O44" s="35">
        <f t="shared" ref="O44" si="163">+O43-O39</f>
        <v>-102.90625974942525</v>
      </c>
      <c r="Q44" s="80">
        <f t="shared" ref="Q44" si="164">+Q43-Q39</f>
        <v>-159.76935634534811</v>
      </c>
      <c r="R44" s="23">
        <f t="shared" ref="R44" si="165">+R43-R39</f>
        <v>-168.28932201763831</v>
      </c>
      <c r="S44" s="35">
        <f t="shared" ref="S44" si="166">+S43-S39</f>
        <v>-168.43190083934508</v>
      </c>
      <c r="U44" s="80">
        <f t="shared" ref="U44" si="167">+U43-U39</f>
        <v>-227.05703232706821</v>
      </c>
      <c r="V44" s="23">
        <f t="shared" ref="V44" si="168">+V43-V39</f>
        <v>-237.83068493078412</v>
      </c>
      <c r="W44" s="35">
        <f t="shared" ref="W44" si="169">+W43-W39</f>
        <v>-238.12536547439788</v>
      </c>
      <c r="Y44" s="80">
        <f t="shared" ref="Y44" si="170">+Y43-Y39</f>
        <v>-298.65684255667992</v>
      </c>
      <c r="Z44" s="23">
        <f t="shared" ref="Z44" si="171">+Z43-Z39</f>
        <v>-311.72866167190011</v>
      </c>
      <c r="AA44" s="35">
        <f t="shared" ref="AA44" si="172">+AA43-AA39</f>
        <v>-312.2667989043577</v>
      </c>
      <c r="AC44" s="80">
        <f t="shared" ref="AC44" si="173">+AC43-AC39</f>
        <v>-374.84513038384659</v>
      </c>
      <c r="AD44" s="23">
        <f t="shared" ref="AD44" si="174">+AD43-AD39</f>
        <v>-390.2561845398514</v>
      </c>
      <c r="AE44" s="35">
        <f t="shared" ref="AE44" si="175">+AE43-AE39</f>
        <v>-391.15510693382248</v>
      </c>
      <c r="AG44" s="80">
        <f t="shared" ref="AG44" si="176">+AG43-AG39</f>
        <v>-455.91594863630172</v>
      </c>
      <c r="AH44" s="23">
        <f t="shared" ref="AH44" si="177">+AH43-AH39</f>
        <v>-473.70328444327214</v>
      </c>
      <c r="AI44" s="35">
        <f t="shared" ref="AI44" si="178">+AI43-AI39</f>
        <v>-475.10921207132793</v>
      </c>
      <c r="AK44" s="80">
        <f t="shared" ref="AK44" si="179">+AK43-AK39</f>
        <v>-542.18219453268375</v>
      </c>
      <c r="AL44" s="23">
        <f t="shared" ref="AL44" si="180">+AL43-AL39</f>
        <v>-562.37816209095956</v>
      </c>
      <c r="AM44" s="35">
        <f t="shared" ref="AM44" si="181">+AM43-AM39</f>
        <v>-564.46939414920848</v>
      </c>
      <c r="AO44" s="80">
        <f t="shared" ref="AO44" si="182">+AO43-AO39</f>
        <v>-633.97681732631327</v>
      </c>
      <c r="AP44" s="23">
        <f t="shared" ref="AP44" si="183">+AP43-AP39</f>
        <v>-656.60832628999037</v>
      </c>
      <c r="AQ44" s="35">
        <f t="shared" ref="AQ44" si="184">+AQ43-AQ39</f>
        <v>-659.5987210559847</v>
      </c>
    </row>
    <row r="45" spans="1:43" ht="15" hidden="1" outlineLevel="1" x14ac:dyDescent="0.25">
      <c r="A45" s="40">
        <f t="shared" si="118"/>
        <v>31</v>
      </c>
      <c r="B45" s="40" t="s">
        <v>39</v>
      </c>
      <c r="C45" s="40"/>
      <c r="D45" s="40"/>
      <c r="E45" s="88">
        <f t="shared" ref="E45:G45" si="185">+E44/E43</f>
        <v>0.26311842010354297</v>
      </c>
      <c r="F45" s="12">
        <f t="shared" si="185"/>
        <v>0.23430935653535079</v>
      </c>
      <c r="G45" s="13">
        <f t="shared" si="185"/>
        <v>0.23412169309913455</v>
      </c>
      <c r="H45" s="76"/>
      <c r="I45" s="88">
        <f t="shared" ref="I45" si="186">+I44/I43</f>
        <v>-0.52098625452685621</v>
      </c>
      <c r="J45" s="12">
        <f t="shared" ref="J45" si="187">+J44/J43</f>
        <v>-0.57935012598457702</v>
      </c>
      <c r="K45" s="14">
        <f t="shared" ref="K45" si="188">+K44/K43</f>
        <v>-0.57965434248466541</v>
      </c>
      <c r="L45" s="40"/>
      <c r="M45" s="88">
        <f t="shared" ref="M45" si="189">+M44/M43</f>
        <v>-1.3553403183964416</v>
      </c>
      <c r="N45" s="12">
        <f t="shared" ref="N45" si="190">+N44/N43</f>
        <v>-1.4439835900934639</v>
      </c>
      <c r="O45" s="14">
        <f t="shared" ref="O45" si="191">+O44/O43</f>
        <v>-1.4448053316872649</v>
      </c>
      <c r="P45" s="40"/>
      <c r="Q45" s="88">
        <f t="shared" ref="Q45" si="192">+Q44/Q43</f>
        <v>-2.2431640062526981</v>
      </c>
      <c r="R45" s="12">
        <f t="shared" ref="R45" si="193">+R44/R43</f>
        <v>-2.3627844439120902</v>
      </c>
      <c r="S45" s="14">
        <f t="shared" ref="S45" si="194">+S44/S43</f>
        <v>-2.3647862525706618</v>
      </c>
      <c r="T45" s="40"/>
      <c r="U45" s="88">
        <f t="shared" ref="U45" si="195">+U44/U43</f>
        <v>-3.1878839217559656</v>
      </c>
      <c r="V45" s="12">
        <f t="shared" ref="V45" si="196">+V44/V43</f>
        <v>-3.3391461555743707</v>
      </c>
      <c r="W45" s="14">
        <f t="shared" ref="W45" si="197">+W44/W43</f>
        <v>-3.3432834745440272</v>
      </c>
      <c r="X45" s="40"/>
      <c r="Y45" s="88">
        <f t="shared" ref="Y45" si="198">+Y44/Y43</f>
        <v>-4.1931462626420561</v>
      </c>
      <c r="Z45" s="12">
        <f t="shared" ref="Z45" si="199">+Z44/Z43</f>
        <v>-4.3766747865482722</v>
      </c>
      <c r="AA45" s="14">
        <f t="shared" ref="AA45" si="200">+AA44/AA43</f>
        <v>-4.3842302408474314</v>
      </c>
      <c r="AB45" s="40"/>
      <c r="AC45" s="88">
        <f t="shared" ref="AC45" si="201">+AC44/AC43</f>
        <v>-5.2628308934201096</v>
      </c>
      <c r="AD45" s="12">
        <f t="shared" ref="AD45" si="202">+AD44/AD43</f>
        <v>-5.4792023101418339</v>
      </c>
      <c r="AE45" s="14">
        <f t="shared" ref="AE45" si="203">+AE44/AE43</f>
        <v>-5.4918231931740715</v>
      </c>
      <c r="AF45" s="40"/>
      <c r="AG45" s="88">
        <f t="shared" ref="AG45" si="204">+AG44/AG43</f>
        <v>-6.401066319920008</v>
      </c>
      <c r="AH45" s="12">
        <f t="shared" ref="AH45" si="205">+AH44/AH43</f>
        <v>-6.6508007643843179</v>
      </c>
      <c r="AI45" s="14">
        <f t="shared" ref="AI45" si="206">+AI44/AI43</f>
        <v>-6.6705400080214643</v>
      </c>
      <c r="AJ45" s="40"/>
      <c r="AK45" s="88">
        <f t="shared" ref="AK45" si="207">+AK44/AK43</f>
        <v>-7.6122456234845179</v>
      </c>
      <c r="AL45" s="12">
        <f t="shared" ref="AL45" si="208">+AL44/AL43</f>
        <v>-7.8957972915543788</v>
      </c>
      <c r="AM45" s="14">
        <f t="shared" ref="AM45" si="209">+AM44/AM43</f>
        <v>-7.9251582190131211</v>
      </c>
      <c r="AN45" s="40"/>
      <c r="AO45" s="88">
        <f t="shared" ref="AO45" si="210">+AO44/AO43</f>
        <v>-8.9010434163048711</v>
      </c>
      <c r="AP45" s="12">
        <f t="shared" ref="AP45" si="211">+AP44/AP43</f>
        <v>-9.2187901199016018</v>
      </c>
      <c r="AQ45" s="14">
        <f t="shared" ref="AQ45" si="212">+AQ44/AQ43</f>
        <v>-9.2607753044013474</v>
      </c>
    </row>
    <row r="46" spans="1:43" ht="15" hidden="1" outlineLevel="1" x14ac:dyDescent="0.25">
      <c r="A46" s="17" t="str">
        <f t="shared" si="118"/>
        <v/>
      </c>
      <c r="F46" s="23"/>
      <c r="G46" s="16">
        <f>+(G39-F39)/10</f>
        <v>1.3366328244501346E-3</v>
      </c>
      <c r="J46" s="23"/>
      <c r="K46" s="78">
        <f>+(K39-J39)/10</f>
        <v>2.1667820218794986E-3</v>
      </c>
      <c r="L46" s="17"/>
      <c r="N46" s="23"/>
      <c r="O46" s="78">
        <f>+(O39-N39)/10</f>
        <v>5.8528545018475594E-3</v>
      </c>
      <c r="R46" s="23"/>
      <c r="S46" s="78">
        <f>+(S39-R39)/10</f>
        <v>1.4257882170676339E-2</v>
      </c>
      <c r="V46" s="23"/>
      <c r="W46" s="78">
        <f>+(W39-V39)/10</f>
        <v>2.9468054361376516E-2</v>
      </c>
      <c r="Z46" s="23"/>
      <c r="AA46" s="78">
        <f>+(AA39-Z39)/10</f>
        <v>5.3813723245758636E-2</v>
      </c>
      <c r="AD46" s="23"/>
      <c r="AE46" s="78">
        <f>+(AE39-AD39)/10</f>
        <v>8.9892239397107693E-2</v>
      </c>
      <c r="AH46" s="23"/>
      <c r="AI46" s="78">
        <f>+(AI39-AH39)/10</f>
        <v>0.14059276280557925</v>
      </c>
      <c r="AL46" s="23"/>
      <c r="AM46" s="78">
        <f>+(AM39-AL39)/10</f>
        <v>0.20912320582489202</v>
      </c>
      <c r="AP46" s="23"/>
      <c r="AQ46" s="78">
        <f>+(AQ39-AP39)/10</f>
        <v>0.29903947659943242</v>
      </c>
    </row>
    <row r="47" spans="1:43" ht="15" hidden="1" outlineLevel="1" x14ac:dyDescent="0.25">
      <c r="A47" s="17">
        <f t="shared" ref="A47:A55" si="213">IF(B47&lt;&gt;"",MAX(A44:A46)+1,"")</f>
        <v>32</v>
      </c>
      <c r="B47" s="54" t="s">
        <v>40</v>
      </c>
      <c r="L47" s="17"/>
    </row>
    <row r="48" spans="1:43" ht="15" hidden="1" outlineLevel="1" x14ac:dyDescent="0.25">
      <c r="A48" s="17">
        <f t="shared" si="213"/>
        <v>33</v>
      </c>
      <c r="B48" s="17" t="s">
        <v>41</v>
      </c>
      <c r="D48" s="15">
        <v>2.9000000000000001E-2</v>
      </c>
      <c r="L48" s="17"/>
    </row>
    <row r="49" spans="1:43" ht="15" hidden="1" outlineLevel="1" x14ac:dyDescent="0.25">
      <c r="A49" s="17">
        <f t="shared" si="213"/>
        <v>34</v>
      </c>
      <c r="B49" s="17" t="s">
        <v>42</v>
      </c>
      <c r="D49" s="50">
        <v>0.3</v>
      </c>
      <c r="F49" s="23">
        <f>-F5*$D48*(1-$D49)</f>
        <v>20.299999999999997</v>
      </c>
      <c r="G49" s="34">
        <f>-G5*$D48*(1-$D49)</f>
        <v>20.299999999999997</v>
      </c>
      <c r="J49" s="23">
        <f>-J5*$D48*(1-$D49)</f>
        <v>20.299999999999997</v>
      </c>
      <c r="K49" s="35">
        <f>-K5*$D48*(1-$D49)</f>
        <v>20.299999999999997</v>
      </c>
      <c r="L49" s="17"/>
      <c r="N49" s="23">
        <f>-N5*$D48*(1-$D49)</f>
        <v>20.299999999999997</v>
      </c>
      <c r="O49" s="35">
        <f>-O5*$D48*(1-$D49)</f>
        <v>20.299999999999997</v>
      </c>
      <c r="R49" s="23">
        <f>-R5*$D48*(1-$D49)</f>
        <v>20.299999999999997</v>
      </c>
      <c r="S49" s="35">
        <f>-S5*$D48*(1-$D49)</f>
        <v>20.299999999999997</v>
      </c>
      <c r="V49" s="23">
        <f>-V5*$D48*(1-$D49)</f>
        <v>20.299999999999997</v>
      </c>
      <c r="W49" s="35">
        <f>-W5*$D48*(1-$D49)</f>
        <v>20.299999999999997</v>
      </c>
      <c r="Z49" s="23">
        <f>-Z5*$D48*(1-$D49)</f>
        <v>20.299999999999997</v>
      </c>
      <c r="AA49" s="35">
        <f>-AA5*$D48*(1-$D49)</f>
        <v>20.299999999999997</v>
      </c>
      <c r="AD49" s="23">
        <f>-AD5*$D48*(1-$D49)</f>
        <v>20.299999999999997</v>
      </c>
      <c r="AE49" s="35">
        <f>-AE5*$D48*(1-$D49)</f>
        <v>20.299999999999997</v>
      </c>
      <c r="AH49" s="23">
        <f>-AH5*$D48*(1-$D49)</f>
        <v>20.299999999999997</v>
      </c>
      <c r="AI49" s="35">
        <f>-AI5*$D48*(1-$D49)</f>
        <v>20.299999999999997</v>
      </c>
      <c r="AL49" s="23">
        <f>-AL5*$D48*(1-$D49)</f>
        <v>20.299999999999997</v>
      </c>
      <c r="AM49" s="35">
        <f>-AM5*$D48*(1-$D49)</f>
        <v>20.299999999999997</v>
      </c>
      <c r="AP49" s="23">
        <f>-AP5*$D48*(1-$D49)</f>
        <v>20.299999999999997</v>
      </c>
      <c r="AQ49" s="35">
        <f>-AQ5*$D48*(1-$D49)</f>
        <v>20.299999999999997</v>
      </c>
    </row>
    <row r="50" spans="1:43" collapsed="1" x14ac:dyDescent="0.3">
      <c r="A50" s="17">
        <f t="shared" si="213"/>
        <v>35</v>
      </c>
      <c r="B50" s="17" t="s">
        <v>43</v>
      </c>
      <c r="F50" s="23">
        <f>+F23+F5+F17</f>
        <v>30.95</v>
      </c>
      <c r="G50" s="34">
        <f>+G23+G5+G17</f>
        <v>30.950000000000045</v>
      </c>
      <c r="J50" s="23">
        <f>+J23+J5+J17</f>
        <v>76.01400715272014</v>
      </c>
      <c r="K50" s="35">
        <f>+K23+K5+K17</f>
        <v>100.05792908749982</v>
      </c>
      <c r="L50" s="17"/>
      <c r="N50" s="23">
        <f>+N23+N5+N17</f>
        <v>123.05623093061156</v>
      </c>
      <c r="O50" s="35">
        <f>+O23+O5+O17</f>
        <v>173.79838726250432</v>
      </c>
      <c r="R50" s="23">
        <f>+R23+R5+R17</f>
        <v>172.16403306480706</v>
      </c>
      <c r="S50" s="35">
        <f>+S23+S5+S17</f>
        <v>252.48190800546831</v>
      </c>
      <c r="V50" s="23">
        <f>+V23+V5+V17</f>
        <v>223.42866559223842</v>
      </c>
      <c r="W50" s="35">
        <f>+W23+W5+W17</f>
        <v>336.43984086527553</v>
      </c>
      <c r="Z50" s="23">
        <f>+Z23+Z5+Z17</f>
        <v>276.94544607485329</v>
      </c>
      <c r="AA50" s="35">
        <f>+AA23+AA5+AA17</f>
        <v>426.02574682795739</v>
      </c>
      <c r="AD50" s="23">
        <f>+AD23+AD5+AD17</f>
        <v>332.81394083125912</v>
      </c>
      <c r="AE50" s="35">
        <f>+AE23+AE5+AE17</f>
        <v>521.61688722151257</v>
      </c>
      <c r="AH50" s="23">
        <f>+AH23+AH5+AH17</f>
        <v>391.13815655443733</v>
      </c>
      <c r="AI50" s="35">
        <f>+AI23+AI5+AI17</f>
        <v>623.61581242685384</v>
      </c>
      <c r="AL50" s="23">
        <f>+AL23+AL5+AL17</f>
        <v>452.02674070703716</v>
      </c>
      <c r="AM50" s="35">
        <f>+AM23+AM5+AM17</f>
        <v>732.45205708521598</v>
      </c>
      <c r="AP50" s="23">
        <f>+AP23+AP5+AP17</f>
        <v>515.59319110448484</v>
      </c>
      <c r="AQ50" s="35">
        <f>+AQ23+AQ5+AQ17</f>
        <v>848.58394894082335</v>
      </c>
    </row>
    <row r="51" spans="1:43" x14ac:dyDescent="0.3">
      <c r="A51" s="17">
        <f t="shared" si="213"/>
        <v>36</v>
      </c>
      <c r="B51" s="17" t="s">
        <v>44</v>
      </c>
      <c r="F51" s="23">
        <f>MIN(F49:F50)</f>
        <v>20.299999999999997</v>
      </c>
      <c r="G51" s="34">
        <f>MIN(G49:G50)</f>
        <v>20.299999999999997</v>
      </c>
      <c r="J51" s="23">
        <f>MIN(J49:J50)</f>
        <v>20.299999999999997</v>
      </c>
      <c r="K51" s="35">
        <f>MIN(K49:K50)</f>
        <v>20.299999999999997</v>
      </c>
      <c r="L51" s="17"/>
      <c r="N51" s="23">
        <f>MIN(N49:N50)</f>
        <v>20.299999999999997</v>
      </c>
      <c r="O51" s="35">
        <f>MIN(O49:O50)</f>
        <v>20.299999999999997</v>
      </c>
      <c r="R51" s="23">
        <f>MIN(R49:R50)</f>
        <v>20.299999999999997</v>
      </c>
      <c r="S51" s="35">
        <f>MIN(S49:S50)</f>
        <v>20.299999999999997</v>
      </c>
      <c r="V51" s="23">
        <f>MIN(V49:V50)</f>
        <v>20.299999999999997</v>
      </c>
      <c r="W51" s="35">
        <f>MIN(W49:W50)</f>
        <v>20.299999999999997</v>
      </c>
      <c r="Z51" s="23">
        <f>MIN(Z49:Z50)</f>
        <v>20.299999999999997</v>
      </c>
      <c r="AA51" s="35">
        <f>MIN(AA49:AA50)</f>
        <v>20.299999999999997</v>
      </c>
      <c r="AD51" s="23">
        <f>MIN(AD49:AD50)</f>
        <v>20.299999999999997</v>
      </c>
      <c r="AE51" s="35">
        <f>MIN(AE49:AE50)</f>
        <v>20.299999999999997</v>
      </c>
      <c r="AH51" s="23">
        <f>MIN(AH49:AH50)</f>
        <v>20.299999999999997</v>
      </c>
      <c r="AI51" s="35">
        <f>MIN(AI49:AI50)</f>
        <v>20.299999999999997</v>
      </c>
      <c r="AL51" s="23">
        <f>MIN(AL49:AL50)</f>
        <v>20.299999999999997</v>
      </c>
      <c r="AM51" s="35">
        <f>MIN(AM49:AM50)</f>
        <v>20.299999999999997</v>
      </c>
      <c r="AP51" s="23">
        <f>MIN(AP49:AP50)</f>
        <v>20.299999999999997</v>
      </c>
      <c r="AQ51" s="35">
        <f>MIN(AQ49:AQ50)</f>
        <v>20.299999999999997</v>
      </c>
    </row>
    <row r="52" spans="1:43" x14ac:dyDescent="0.3">
      <c r="A52" s="17">
        <f t="shared" si="213"/>
        <v>37</v>
      </c>
      <c r="B52" s="17" t="s">
        <v>45</v>
      </c>
      <c r="F52" s="23">
        <f>MAX(0,F51)</f>
        <v>20.299999999999997</v>
      </c>
      <c r="G52" s="34">
        <f>MAX(0,G51)</f>
        <v>20.299999999999997</v>
      </c>
      <c r="J52" s="23">
        <f>MAX(0,J51)</f>
        <v>20.299999999999997</v>
      </c>
      <c r="K52" s="35">
        <f>MAX(0,K51)</f>
        <v>20.299999999999997</v>
      </c>
      <c r="L52" s="17"/>
      <c r="N52" s="23">
        <f>MAX(0,N51)</f>
        <v>20.299999999999997</v>
      </c>
      <c r="O52" s="35">
        <f>MAX(0,O51)</f>
        <v>20.299999999999997</v>
      </c>
      <c r="R52" s="23">
        <f>MAX(0,R51)</f>
        <v>20.299999999999997</v>
      </c>
      <c r="S52" s="35">
        <f>MAX(0,S51)</f>
        <v>20.299999999999997</v>
      </c>
      <c r="V52" s="23">
        <f>MAX(0,V51)</f>
        <v>20.299999999999997</v>
      </c>
      <c r="W52" s="35">
        <f>MAX(0,W51)</f>
        <v>20.299999999999997</v>
      </c>
      <c r="Z52" s="23">
        <f>MAX(0,Z51)</f>
        <v>20.299999999999997</v>
      </c>
      <c r="AA52" s="35">
        <f>MAX(0,AA51)</f>
        <v>20.299999999999997</v>
      </c>
      <c r="AD52" s="23">
        <f>MAX(0,AD51)</f>
        <v>20.299999999999997</v>
      </c>
      <c r="AE52" s="35">
        <f>MAX(0,AE51)</f>
        <v>20.299999999999997</v>
      </c>
      <c r="AH52" s="23">
        <f>MAX(0,AH51)</f>
        <v>20.299999999999997</v>
      </c>
      <c r="AI52" s="35">
        <f>MAX(0,AI51)</f>
        <v>20.299999999999997</v>
      </c>
      <c r="AL52" s="23">
        <f>MAX(0,AL51)</f>
        <v>20.299999999999997</v>
      </c>
      <c r="AM52" s="35">
        <f>MAX(0,AM51)</f>
        <v>20.299999999999997</v>
      </c>
      <c r="AP52" s="23">
        <f>MAX(0,AP51)</f>
        <v>20.299999999999997</v>
      </c>
      <c r="AQ52" s="35">
        <f>MAX(0,AQ51)</f>
        <v>20.299999999999997</v>
      </c>
    </row>
    <row r="53" spans="1:43" x14ac:dyDescent="0.3">
      <c r="A53" s="17">
        <f t="shared" si="213"/>
        <v>38</v>
      </c>
      <c r="B53" s="17" t="s">
        <v>46</v>
      </c>
      <c r="F53" s="23">
        <f>+F17</f>
        <v>22.95</v>
      </c>
      <c r="G53" s="34">
        <f>+G17</f>
        <v>0</v>
      </c>
      <c r="J53" s="23">
        <f>+J17</f>
        <v>24.387767152720315</v>
      </c>
      <c r="K53" s="35">
        <f>+K17</f>
        <v>0</v>
      </c>
      <c r="L53" s="17"/>
      <c r="N53" s="23">
        <f>+N17</f>
        <v>25.915607263411925</v>
      </c>
      <c r="O53" s="35">
        <f>+O17</f>
        <v>0</v>
      </c>
      <c r="R53" s="23">
        <f>+R17</f>
        <v>27.539163205291377</v>
      </c>
      <c r="S53" s="35">
        <f>+S17</f>
        <v>0</v>
      </c>
      <c r="V53" s="23">
        <f>+V17</f>
        <v>29.264431365202995</v>
      </c>
      <c r="W53" s="35">
        <f>+W17</f>
        <v>0</v>
      </c>
      <c r="Z53" s="23">
        <f>+Z17</f>
        <v>31.097783790472139</v>
      </c>
      <c r="AA53" s="35">
        <f>+AA17</f>
        <v>0</v>
      </c>
      <c r="AD53" s="23">
        <f>+AD17</f>
        <v>33.045991723210214</v>
      </c>
      <c r="AE53" s="35">
        <f>+AE17</f>
        <v>0</v>
      </c>
      <c r="AH53" s="23">
        <f>+AH17</f>
        <v>35.116250608992296</v>
      </c>
      <c r="AI53" s="35">
        <f>+AI17</f>
        <v>0</v>
      </c>
      <c r="AL53" s="23">
        <f>+AL17</f>
        <v>37.316206672273495</v>
      </c>
      <c r="AM53" s="35">
        <f>+AM17</f>
        <v>0</v>
      </c>
      <c r="AP53" s="23">
        <f>+AP17</f>
        <v>39.653985156696905</v>
      </c>
      <c r="AQ53" s="35">
        <f>+AQ17</f>
        <v>0</v>
      </c>
    </row>
    <row r="54" spans="1:43" x14ac:dyDescent="0.3">
      <c r="A54" s="17">
        <f t="shared" si="213"/>
        <v>39</v>
      </c>
      <c r="B54" s="17" t="s">
        <v>47</v>
      </c>
      <c r="F54" s="23">
        <f>MAX(0,F52-F53)</f>
        <v>0</v>
      </c>
      <c r="G54" s="34">
        <f>MAX(0,G52-G53)</f>
        <v>20.299999999999997</v>
      </c>
      <c r="J54" s="23">
        <f>MAX(0,J52-J53)</f>
        <v>0</v>
      </c>
      <c r="K54" s="35">
        <f>MAX(0,K52-K53)</f>
        <v>20.299999999999997</v>
      </c>
      <c r="L54" s="17"/>
      <c r="N54" s="23">
        <f>MAX(0,N52-N53)</f>
        <v>0</v>
      </c>
      <c r="O54" s="35">
        <f>MAX(0,O52-O53)</f>
        <v>20.299999999999997</v>
      </c>
      <c r="R54" s="23">
        <f>MAX(0,R52-R53)</f>
        <v>0</v>
      </c>
      <c r="S54" s="35">
        <f>MAX(0,S52-S53)</f>
        <v>20.299999999999997</v>
      </c>
      <c r="V54" s="23">
        <f>MAX(0,V52-V53)</f>
        <v>0</v>
      </c>
      <c r="W54" s="35">
        <f>MAX(0,W52-W53)</f>
        <v>20.299999999999997</v>
      </c>
      <c r="Z54" s="23">
        <f>MAX(0,Z52-Z53)</f>
        <v>0</v>
      </c>
      <c r="AA54" s="35">
        <f>MAX(0,AA52-AA53)</f>
        <v>20.299999999999997</v>
      </c>
      <c r="AD54" s="23">
        <f>MAX(0,AD52-AD53)</f>
        <v>0</v>
      </c>
      <c r="AE54" s="35">
        <f>MAX(0,AE52-AE53)</f>
        <v>20.299999999999997</v>
      </c>
      <c r="AH54" s="23">
        <f>MAX(0,AH52-AH53)</f>
        <v>0</v>
      </c>
      <c r="AI54" s="35">
        <f>MAX(0,AI52-AI53)</f>
        <v>20.299999999999997</v>
      </c>
      <c r="AL54" s="23">
        <f>MAX(0,AL52-AL53)</f>
        <v>0</v>
      </c>
      <c r="AM54" s="35">
        <f>MAX(0,AM52-AM53)</f>
        <v>20.299999999999997</v>
      </c>
      <c r="AP54" s="23">
        <f>MAX(0,AP52-AP53)</f>
        <v>0</v>
      </c>
      <c r="AQ54" s="35">
        <f>MAX(0,AQ52-AQ53)</f>
        <v>20.299999999999997</v>
      </c>
    </row>
    <row r="55" spans="1:43" x14ac:dyDescent="0.3">
      <c r="A55" s="17">
        <f t="shared" si="213"/>
        <v>40</v>
      </c>
      <c r="B55" s="17" t="s">
        <v>6</v>
      </c>
      <c r="D55" s="51"/>
      <c r="F55" s="23">
        <f>+F54*$D$4</f>
        <v>0</v>
      </c>
      <c r="G55" s="34">
        <f>+G54*$D$4</f>
        <v>14.209999999999997</v>
      </c>
      <c r="J55" s="23">
        <f>+J54*$D$4</f>
        <v>0</v>
      </c>
      <c r="K55" s="35">
        <f>+K54*$D$4</f>
        <v>14.209999999999997</v>
      </c>
      <c r="L55" s="17"/>
      <c r="N55" s="23">
        <f>+N54*$D$4</f>
        <v>0</v>
      </c>
      <c r="O55" s="35">
        <f>+O54*$D$4</f>
        <v>14.209999999999997</v>
      </c>
      <c r="R55" s="23">
        <f>+R54*$D$4</f>
        <v>0</v>
      </c>
      <c r="S55" s="35">
        <f>+S54*$D$4</f>
        <v>14.209999999999997</v>
      </c>
      <c r="V55" s="23">
        <f>+V54*$D$4</f>
        <v>0</v>
      </c>
      <c r="W55" s="35">
        <f>+W54*$D$4</f>
        <v>14.209999999999997</v>
      </c>
      <c r="Z55" s="23">
        <f>+Z54*$D$4</f>
        <v>0</v>
      </c>
      <c r="AA55" s="35">
        <f>+AA54*$D$4</f>
        <v>14.209999999999997</v>
      </c>
      <c r="AD55" s="23">
        <f>+AD54*$D$4</f>
        <v>0</v>
      </c>
      <c r="AE55" s="35">
        <f>+AE54*$D$4</f>
        <v>14.209999999999997</v>
      </c>
      <c r="AH55" s="23">
        <f>+AH54*$D$4</f>
        <v>0</v>
      </c>
      <c r="AI55" s="35">
        <f>+AI54*$D$4</f>
        <v>14.209999999999997</v>
      </c>
      <c r="AL55" s="23">
        <f>+AL54*$D$4</f>
        <v>0</v>
      </c>
      <c r="AM55" s="35">
        <f>+AM54*$D$4</f>
        <v>14.209999999999997</v>
      </c>
      <c r="AP55" s="23">
        <f>+AP54*$D$4</f>
        <v>0</v>
      </c>
      <c r="AQ55" s="35">
        <f>+AQ54*$D$4</f>
        <v>14.209999999999997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26"/>
  <sheetViews>
    <sheetView workbookViewId="0">
      <selection activeCell="F1" sqref="F1"/>
    </sheetView>
  </sheetViews>
  <sheetFormatPr baseColWidth="10" defaultColWidth="10" defaultRowHeight="14.4" x14ac:dyDescent="0.3"/>
  <cols>
    <col min="1" max="1" width="13" style="98" bestFit="1" customWidth="1"/>
    <col min="2" max="2" width="14" style="98" bestFit="1" customWidth="1"/>
    <col min="3" max="4" width="11.6640625" style="99" bestFit="1" customWidth="1"/>
    <col min="5" max="5" width="13" style="99" bestFit="1" customWidth="1"/>
    <col min="6" max="6" width="14" style="98" bestFit="1" customWidth="1"/>
    <col min="7" max="7" width="13" style="98" bestFit="1" customWidth="1"/>
    <col min="8" max="8" width="14" style="98" bestFit="1" customWidth="1"/>
    <col min="9" max="10" width="11.6640625" style="99" bestFit="1" customWidth="1"/>
    <col min="11" max="11" width="13" style="98" bestFit="1" customWidth="1"/>
    <col min="12" max="16384" width="10" style="98"/>
  </cols>
  <sheetData>
    <row r="1" spans="1:12" ht="28.95" customHeight="1" x14ac:dyDescent="0.25">
      <c r="B1" s="145" t="s">
        <v>63</v>
      </c>
      <c r="C1" s="145"/>
      <c r="D1" s="145"/>
      <c r="E1" s="145"/>
      <c r="H1" s="145" t="s">
        <v>62</v>
      </c>
      <c r="I1" s="145"/>
      <c r="J1" s="145"/>
      <c r="K1" s="145"/>
    </row>
    <row r="2" spans="1:12" s="105" customFormat="1" ht="15" x14ac:dyDescent="0.25">
      <c r="C2" s="136" t="s">
        <v>61</v>
      </c>
      <c r="D2" s="137" t="s">
        <v>60</v>
      </c>
      <c r="E2" s="136" t="s">
        <v>59</v>
      </c>
      <c r="I2" s="136" t="s">
        <v>61</v>
      </c>
      <c r="J2" s="137" t="s">
        <v>60</v>
      </c>
      <c r="K2" s="136" t="s">
        <v>59</v>
      </c>
    </row>
    <row r="3" spans="1:12" s="131" customFormat="1" ht="15" x14ac:dyDescent="0.25">
      <c r="A3" s="135"/>
      <c r="B3" s="131" t="s">
        <v>48</v>
      </c>
      <c r="C3" s="134">
        <v>0.51</v>
      </c>
      <c r="D3" s="133">
        <f>1-C3</f>
        <v>0.49</v>
      </c>
      <c r="E3" s="132"/>
      <c r="G3" s="135"/>
      <c r="H3" s="131" t="s">
        <v>48</v>
      </c>
      <c r="I3" s="134">
        <v>0.25</v>
      </c>
      <c r="J3" s="133">
        <f>1-I3</f>
        <v>0.75</v>
      </c>
      <c r="K3" s="132"/>
    </row>
    <row r="4" spans="1:12" s="105" customFormat="1" ht="15" x14ac:dyDescent="0.25">
      <c r="A4" s="127"/>
      <c r="B4" s="105" t="s">
        <v>58</v>
      </c>
      <c r="C4" s="130">
        <v>7.0000000000000007E-2</v>
      </c>
      <c r="D4" s="129">
        <v>5.5076006706000318E-2</v>
      </c>
      <c r="E4" s="128">
        <f>+C4*C3+D4*D3</f>
        <v>6.2687243285940164E-2</v>
      </c>
      <c r="G4" s="127"/>
      <c r="H4" s="105" t="s">
        <v>58</v>
      </c>
      <c r="I4" s="130">
        <v>7.0000000000000007E-2</v>
      </c>
      <c r="J4" s="129">
        <v>9.0365982095840111E-2</v>
      </c>
      <c r="K4" s="128">
        <f>+I4*I3+J4*J3</f>
        <v>8.5274486571880082E-2</v>
      </c>
    </row>
    <row r="5" spans="1:12" s="105" customFormat="1" x14ac:dyDescent="0.3">
      <c r="A5" s="127"/>
      <c r="B5" s="105" t="s">
        <v>57</v>
      </c>
      <c r="C5" s="126">
        <v>2.5000000000000001E-3</v>
      </c>
      <c r="D5" s="125">
        <v>2.5000000000000001E-3</v>
      </c>
      <c r="E5" s="124">
        <f>+D5+0.0025</f>
        <v>5.0000000000000001E-3</v>
      </c>
      <c r="G5" s="127"/>
      <c r="H5" s="105" t="s">
        <v>57</v>
      </c>
      <c r="I5" s="126">
        <v>2.5000000000000001E-3</v>
      </c>
      <c r="J5" s="125">
        <v>2.5000000000000001E-3</v>
      </c>
      <c r="K5" s="124">
        <f>+J5+0.0025</f>
        <v>5.0000000000000001E-3</v>
      </c>
    </row>
    <row r="6" spans="1:12" s="116" customFormat="1" ht="15" x14ac:dyDescent="0.25">
      <c r="A6" s="123">
        <v>10000</v>
      </c>
      <c r="B6" s="122" t="s">
        <v>56</v>
      </c>
      <c r="C6" s="115">
        <f>+E6*C3</f>
        <v>5100</v>
      </c>
      <c r="D6" s="116">
        <f>+E6*D3</f>
        <v>4900</v>
      </c>
      <c r="E6" s="115">
        <f>+A6</f>
        <v>10000</v>
      </c>
      <c r="F6" s="122"/>
      <c r="G6" s="123">
        <v>10000</v>
      </c>
      <c r="H6" s="122" t="s">
        <v>56</v>
      </c>
      <c r="I6" s="115">
        <f>+K6*I3</f>
        <v>2500</v>
      </c>
      <c r="J6" s="116">
        <f>+K6*J3</f>
        <v>7500</v>
      </c>
      <c r="K6" s="115">
        <f>+$G$6</f>
        <v>10000</v>
      </c>
    </row>
    <row r="7" spans="1:12" s="113" customFormat="1" ht="15" x14ac:dyDescent="0.25">
      <c r="A7" s="121"/>
      <c r="B7" s="113" t="s">
        <v>55</v>
      </c>
      <c r="C7" s="111">
        <f>+C6*(C4-C5)</f>
        <v>344.25</v>
      </c>
      <c r="D7" s="112">
        <f>+D6*(D4-D5)</f>
        <v>257.62243285940156</v>
      </c>
      <c r="E7" s="111">
        <f>+E6*(E4-E5)</f>
        <v>576.87243285940167</v>
      </c>
      <c r="G7" s="121"/>
      <c r="H7" s="113" t="s">
        <v>55</v>
      </c>
      <c r="I7" s="111">
        <f>+I6*(I4-I5)</f>
        <v>168.75</v>
      </c>
      <c r="J7" s="112">
        <f>+J6*(J4-J5)</f>
        <v>658.99486571880084</v>
      </c>
      <c r="K7" s="111">
        <f>+K6*(K4-K5)</f>
        <v>802.74486571880072</v>
      </c>
    </row>
    <row r="8" spans="1:12" s="105" customFormat="1" ht="15" x14ac:dyDescent="0.25">
      <c r="A8" s="120"/>
      <c r="B8" s="105" t="s">
        <v>6</v>
      </c>
      <c r="C8" s="119">
        <v>0.3</v>
      </c>
      <c r="D8" s="118">
        <v>0</v>
      </c>
      <c r="E8" s="117">
        <v>0.3</v>
      </c>
      <c r="G8" s="120"/>
      <c r="H8" s="105" t="s">
        <v>6</v>
      </c>
      <c r="I8" s="119">
        <v>0.3</v>
      </c>
      <c r="J8" s="118">
        <v>0</v>
      </c>
      <c r="K8" s="117">
        <v>0.15</v>
      </c>
    </row>
    <row r="9" spans="1:12" s="105" customFormat="1" ht="15" x14ac:dyDescent="0.25">
      <c r="B9" s="105" t="s">
        <v>31</v>
      </c>
      <c r="C9" s="115">
        <f>(1-C8)*C7</f>
        <v>240.97499999999999</v>
      </c>
      <c r="D9" s="116">
        <f>(1-D8)*D7</f>
        <v>257.62243285940156</v>
      </c>
      <c r="E9" s="115">
        <f>(1-E8)*E7</f>
        <v>403.81070300158115</v>
      </c>
      <c r="H9" s="105" t="s">
        <v>31</v>
      </c>
      <c r="I9" s="115">
        <f>(1-I8)*I7</f>
        <v>118.12499999999999</v>
      </c>
      <c r="J9" s="116">
        <f>(1-J8)*J7</f>
        <v>658.99486571880084</v>
      </c>
      <c r="K9" s="115">
        <f>(1-K8)*K7</f>
        <v>682.33313586098063</v>
      </c>
    </row>
    <row r="10" spans="1:12" s="105" customFormat="1" ht="15" x14ac:dyDescent="0.25">
      <c r="A10" s="114">
        <v>0.26374999999999998</v>
      </c>
      <c r="B10" s="113" t="s">
        <v>34</v>
      </c>
      <c r="C10" s="111">
        <f>-C9*$A$10</f>
        <v>-63.557156249999991</v>
      </c>
      <c r="D10" s="112">
        <f>-D9*$A$10</f>
        <v>-67.947916666667155</v>
      </c>
      <c r="E10" s="111">
        <f>-E9*$A$10</f>
        <v>-106.50507291666702</v>
      </c>
      <c r="F10" s="99"/>
      <c r="G10" s="114">
        <v>0.26374999999999998</v>
      </c>
      <c r="H10" s="113" t="s">
        <v>34</v>
      </c>
      <c r="I10" s="111">
        <f>-I9*$G$10</f>
        <v>-31.155468749999994</v>
      </c>
      <c r="J10" s="112">
        <f>-J9*$G$10</f>
        <v>-173.80989583333371</v>
      </c>
      <c r="K10" s="111">
        <f>-K9*$G$10</f>
        <v>-179.96536458333364</v>
      </c>
    </row>
    <row r="11" spans="1:12" s="105" customFormat="1" ht="14.4" hidden="1" customHeight="1" x14ac:dyDescent="0.25">
      <c r="C11" s="109">
        <f>+C7+C10</f>
        <v>280.69284375000001</v>
      </c>
      <c r="D11" s="110">
        <f>+D7+D10</f>
        <v>189.67451619273442</v>
      </c>
      <c r="E11" s="109">
        <f>+E7+E10</f>
        <v>470.36735994273465</v>
      </c>
      <c r="F11" s="98"/>
      <c r="I11" s="109">
        <f>+I7+I10</f>
        <v>137.59453125000002</v>
      </c>
      <c r="J11" s="110">
        <f>+J7+J10</f>
        <v>485.18496988546713</v>
      </c>
      <c r="K11" s="109">
        <f>+K7+K10</f>
        <v>622.77950113546706</v>
      </c>
    </row>
    <row r="12" spans="1:12" s="105" customFormat="1" ht="15.75" x14ac:dyDescent="0.25">
      <c r="B12" s="107" t="s">
        <v>54</v>
      </c>
      <c r="C12" s="143">
        <f>+D11+C11</f>
        <v>470.36735994273442</v>
      </c>
      <c r="D12" s="144"/>
      <c r="E12" s="106">
        <f>+E11</f>
        <v>470.36735994273465</v>
      </c>
      <c r="F12" s="108"/>
      <c r="G12" s="98"/>
      <c r="H12" s="107" t="s">
        <v>54</v>
      </c>
      <c r="I12" s="143">
        <f>+J11+I11</f>
        <v>622.77950113546717</v>
      </c>
      <c r="J12" s="144"/>
      <c r="K12" s="106">
        <f>+K11</f>
        <v>622.77950113546706</v>
      </c>
    </row>
    <row r="13" spans="1:12" ht="15" x14ac:dyDescent="0.25">
      <c r="E13" s="104"/>
      <c r="K13" s="100"/>
      <c r="L13" s="103"/>
    </row>
    <row r="14" spans="1:12" ht="15" x14ac:dyDescent="0.25">
      <c r="K14" s="100"/>
    </row>
    <row r="15" spans="1:12" ht="15" x14ac:dyDescent="0.25">
      <c r="D15" s="102"/>
      <c r="E15" s="102"/>
      <c r="J15" s="102"/>
      <c r="K15" s="100"/>
    </row>
    <row r="16" spans="1:12" ht="15" x14ac:dyDescent="0.25">
      <c r="K16" s="100"/>
    </row>
    <row r="17" spans="9:11" ht="15" x14ac:dyDescent="0.25">
      <c r="K17" s="100"/>
    </row>
    <row r="18" spans="9:11" ht="15" x14ac:dyDescent="0.25">
      <c r="K18" s="100"/>
    </row>
    <row r="19" spans="9:11" ht="15" x14ac:dyDescent="0.25">
      <c r="K19" s="100"/>
    </row>
    <row r="20" spans="9:11" ht="15" x14ac:dyDescent="0.25">
      <c r="I20" s="99">
        <v>7.0000000000000007E-2</v>
      </c>
      <c r="J20" s="99">
        <v>9.0365982095840111E-2</v>
      </c>
      <c r="K20" s="100"/>
    </row>
    <row r="21" spans="9:11" ht="15" x14ac:dyDescent="0.25">
      <c r="I21" s="99">
        <v>0.05</v>
      </c>
      <c r="J21" s="99">
        <v>8.3699315429175289E-2</v>
      </c>
      <c r="K21" s="101"/>
    </row>
    <row r="22" spans="9:11" ht="15" x14ac:dyDescent="0.25">
      <c r="I22" s="99">
        <v>0.03</v>
      </c>
      <c r="J22" s="99">
        <v>7.7032648762506067E-2</v>
      </c>
      <c r="K22" s="101"/>
    </row>
    <row r="23" spans="9:11" ht="15" x14ac:dyDescent="0.25">
      <c r="I23" s="99">
        <v>0.01</v>
      </c>
      <c r="J23" s="99">
        <v>7.036598209584001E-2</v>
      </c>
      <c r="K23" s="101"/>
    </row>
    <row r="24" spans="9:11" ht="15" x14ac:dyDescent="0.25">
      <c r="I24" s="99">
        <v>-0.01</v>
      </c>
      <c r="J24" s="99">
        <v>6.3699315429173037E-2</v>
      </c>
      <c r="K24" s="101"/>
    </row>
    <row r="25" spans="9:11" x14ac:dyDescent="0.3">
      <c r="I25" s="99">
        <v>-0.03</v>
      </c>
      <c r="J25" s="99">
        <v>5.703264876250666E-2</v>
      </c>
      <c r="K25" s="101"/>
    </row>
    <row r="26" spans="9:11" x14ac:dyDescent="0.3">
      <c r="K26" s="100"/>
    </row>
  </sheetData>
  <mergeCells count="4">
    <mergeCell ref="C12:D12"/>
    <mergeCell ref="I12:J12"/>
    <mergeCell ref="B1:E1"/>
    <mergeCell ref="H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 Jahr</vt:lpstr>
      <vt:lpstr>10 Jahre</vt:lpstr>
      <vt:lpstr>Mischfonds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kleinerfisch</dc:creator>
  <cp:lastModifiedBy> </cp:lastModifiedBy>
  <dcterms:created xsi:type="dcterms:W3CDTF">2017-05-15T16:33:51Z</dcterms:created>
  <dcterms:modified xsi:type="dcterms:W3CDTF">2017-12-14T20:20:19Z</dcterms:modified>
</cp:coreProperties>
</file>