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9"/>
  <workbookPr filterPrivacy="1"/>
  <xr:revisionPtr revIDLastSave="0" documentId="8_{34EB3D85-7A7D-2341-AB38-5C386D4E2B4D}" xr6:coauthVersionLast="25" xr6:coauthVersionMax="25" xr10:uidLastSave="{00000000-0000-0000-0000-000000000000}"/>
  <bookViews>
    <workbookView xWindow="0" yWindow="0" windowWidth="19200" windowHeight="7890" xr2:uid="{00000000-000D-0000-FFFF-FFFF00000000}"/>
  </bookViews>
  <sheets>
    <sheet name="Priv vs. VM (CD)" sheetId="9" r:id="rId1"/>
  </sheets>
  <calcPr calcId="171026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5" i="9" l="1"/>
  <c r="K25" i="9"/>
  <c r="I7" i="9"/>
  <c r="J7" i="9"/>
  <c r="K7" i="9"/>
  <c r="L7" i="9"/>
  <c r="H8" i="9"/>
  <c r="I8" i="9"/>
  <c r="J8" i="9"/>
  <c r="K8" i="9"/>
  <c r="L8" i="9"/>
  <c r="H9" i="9"/>
  <c r="I9" i="9"/>
  <c r="J9" i="9"/>
  <c r="K9" i="9"/>
  <c r="L9" i="9"/>
  <c r="H10" i="9"/>
  <c r="I10" i="9"/>
  <c r="J10" i="9"/>
  <c r="K10" i="9"/>
  <c r="L10" i="9"/>
  <c r="H11" i="9"/>
  <c r="I11" i="9"/>
  <c r="J11" i="9"/>
  <c r="K11" i="9"/>
  <c r="L11" i="9"/>
  <c r="H12" i="9"/>
  <c r="I12" i="9"/>
  <c r="J12" i="9"/>
  <c r="K12" i="9"/>
  <c r="L12" i="9"/>
  <c r="H13" i="9"/>
  <c r="I13" i="9"/>
  <c r="J13" i="9"/>
  <c r="K13" i="9"/>
  <c r="L13" i="9"/>
  <c r="H14" i="9"/>
  <c r="I14" i="9"/>
  <c r="J14" i="9"/>
  <c r="K14" i="9"/>
  <c r="L14" i="9"/>
  <c r="H15" i="9"/>
  <c r="I15" i="9"/>
  <c r="J15" i="9"/>
  <c r="K15" i="9"/>
  <c r="L15" i="9"/>
  <c r="H16" i="9"/>
  <c r="I16" i="9"/>
  <c r="J16" i="9"/>
  <c r="K16" i="9"/>
  <c r="L16" i="9"/>
  <c r="H17" i="9"/>
  <c r="I17" i="9"/>
  <c r="J17" i="9"/>
  <c r="K17" i="9"/>
  <c r="L17" i="9"/>
  <c r="H18" i="9"/>
  <c r="I18" i="9"/>
  <c r="J18" i="9"/>
  <c r="K18" i="9"/>
  <c r="L18" i="9"/>
  <c r="H19" i="9"/>
  <c r="I19" i="9"/>
  <c r="J19" i="9"/>
  <c r="K19" i="9"/>
  <c r="L19" i="9"/>
  <c r="H20" i="9"/>
  <c r="I20" i="9"/>
  <c r="J20" i="9"/>
  <c r="K20" i="9"/>
  <c r="L20" i="9"/>
  <c r="H21" i="9"/>
  <c r="I21" i="9"/>
  <c r="J21" i="9"/>
  <c r="K21" i="9"/>
  <c r="L21" i="9"/>
  <c r="L22" i="9"/>
  <c r="K24" i="9"/>
  <c r="B2" i="9"/>
  <c r="C2" i="9"/>
  <c r="B7" i="9"/>
  <c r="C7" i="9"/>
  <c r="D6" i="9"/>
  <c r="D7" i="9"/>
  <c r="D2" i="9"/>
  <c r="E7" i="9"/>
  <c r="F7" i="9"/>
  <c r="G7" i="9"/>
  <c r="B8" i="9"/>
  <c r="C8" i="9"/>
  <c r="D8" i="9"/>
  <c r="E8" i="9"/>
  <c r="F8" i="9"/>
  <c r="G8" i="9"/>
  <c r="B9" i="9"/>
  <c r="C9" i="9"/>
  <c r="D9" i="9"/>
  <c r="E9" i="9"/>
  <c r="F9" i="9"/>
  <c r="G9" i="9"/>
  <c r="B10" i="9"/>
  <c r="C10" i="9"/>
  <c r="D10" i="9"/>
  <c r="E10" i="9"/>
  <c r="F10" i="9"/>
  <c r="G10" i="9"/>
  <c r="B11" i="9"/>
  <c r="C11" i="9"/>
  <c r="D11" i="9"/>
  <c r="E11" i="9"/>
  <c r="F11" i="9"/>
  <c r="G11" i="9"/>
  <c r="B12" i="9"/>
  <c r="C12" i="9"/>
  <c r="D12" i="9"/>
  <c r="E12" i="9"/>
  <c r="F12" i="9"/>
  <c r="G12" i="9"/>
  <c r="B13" i="9"/>
  <c r="C13" i="9"/>
  <c r="D13" i="9"/>
  <c r="E13" i="9"/>
  <c r="F13" i="9"/>
  <c r="G13" i="9"/>
  <c r="B14" i="9"/>
  <c r="C14" i="9"/>
  <c r="D14" i="9"/>
  <c r="E14" i="9"/>
  <c r="F14" i="9"/>
  <c r="G14" i="9"/>
  <c r="B15" i="9"/>
  <c r="C15" i="9"/>
  <c r="D15" i="9"/>
  <c r="E15" i="9"/>
  <c r="F15" i="9"/>
  <c r="G15" i="9"/>
  <c r="B16" i="9"/>
  <c r="C16" i="9"/>
  <c r="D16" i="9"/>
  <c r="E16" i="9"/>
  <c r="F16" i="9"/>
  <c r="G16" i="9"/>
  <c r="B17" i="9"/>
  <c r="C17" i="9"/>
  <c r="D17" i="9"/>
  <c r="E17" i="9"/>
  <c r="F17" i="9"/>
  <c r="G17" i="9"/>
  <c r="B18" i="9"/>
  <c r="C18" i="9"/>
  <c r="D18" i="9"/>
  <c r="E18" i="9"/>
  <c r="F18" i="9"/>
  <c r="G18" i="9"/>
  <c r="B19" i="9"/>
  <c r="C19" i="9"/>
  <c r="D19" i="9"/>
  <c r="E19" i="9"/>
  <c r="F19" i="9"/>
  <c r="G19" i="9"/>
  <c r="B20" i="9"/>
  <c r="C20" i="9"/>
  <c r="D20" i="9"/>
  <c r="E20" i="9"/>
  <c r="F20" i="9"/>
  <c r="G20" i="9"/>
  <c r="B21" i="9"/>
  <c r="C21" i="9"/>
  <c r="D21" i="9"/>
  <c r="E21" i="9"/>
  <c r="F21" i="9"/>
  <c r="C24" i="9"/>
  <c r="C25" i="9"/>
  <c r="E24" i="9"/>
  <c r="H7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I24" i="9"/>
  <c r="L23" i="9"/>
  <c r="I25" i="9"/>
  <c r="F23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" authorId="0" shapeId="0" xr:uid="{00000000-0006-0000-0200-000001000000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ca. 0,3% Handelskosten</t>
        </r>
      </text>
    </comment>
    <comment ref="L22" authorId="0" shapeId="0" xr:uid="{00000000-0006-0000-0200-000002000000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ca. 0,3% Handelskosten
auch bei Verkauf
</t>
        </r>
      </text>
    </comment>
  </commentList>
</comments>
</file>

<file path=xl/sharedStrings.xml><?xml version="1.0" encoding="utf-8"?>
<sst xmlns="http://schemas.openxmlformats.org/spreadsheetml/2006/main" count="36" uniqueCount="33">
  <si>
    <t>Betrag</t>
  </si>
  <si>
    <t>Wertsteigerung</t>
  </si>
  <si>
    <t>Anlagejahr</t>
  </si>
  <si>
    <t>Privat</t>
  </si>
  <si>
    <t>Abgeltung St.</t>
  </si>
  <si>
    <t>verst. Ergebnis
bei Ausschüttung</t>
  </si>
  <si>
    <t>Versicherungsmantel</t>
  </si>
  <si>
    <t>Grenzsteuersatz</t>
  </si>
  <si>
    <t>Summe
Beiträge</t>
  </si>
  <si>
    <t>Unterschieds-
betrag</t>
  </si>
  <si>
    <t>angenommeme
Wertsteigerung</t>
  </si>
  <si>
    <t>Anteil UB</t>
  </si>
  <si>
    <t>Anlage-vertriebskosten</t>
  </si>
  <si>
    <t>Anlage-
steigerung</t>
  </si>
  <si>
    <t>Stand Ende AJ</t>
  </si>
  <si>
    <t>Betrag p.a.</t>
  </si>
  <si>
    <t>verst. Betrag p.a.</t>
  </si>
  <si>
    <t>Extra
Einmal-Kapital</t>
  </si>
  <si>
    <t>Neuanlage</t>
  </si>
  <si>
    <t>Basiszinssatz</t>
  </si>
  <si>
    <t>Kostenabschlag</t>
  </si>
  <si>
    <t>Veräußerungsgewinn</t>
  </si>
  <si>
    <t>Teilfreistellung bei Aktienfonds</t>
  </si>
  <si>
    <t>Stand Ende AJ
(inkl. Steuerabzug, obwohl der aus Barmitteln kommt)</t>
  </si>
  <si>
    <t>Abschluss
rechnung:</t>
  </si>
  <si>
    <t>Summe
Fondseinlagen</t>
  </si>
  <si>
    <t>Summe
Vorabpauschale</t>
  </si>
  <si>
    <t>Steuerbetrag</t>
  </si>
  <si>
    <t>Basisertrag zu versteuern nach InvSt 2018 (Annahme rein thesaur. Fonds)
Vorabpauschale</t>
  </si>
  <si>
    <t>Verwaltungskosten</t>
  </si>
  <si>
    <t>Abgeltungssteuer auf (Gewinn - VorabPauschale) (teilfreigestellt)</t>
  </si>
  <si>
    <t>hälftige ESt bei
vollst. Ausz. (15% teilfreigestellt)</t>
  </si>
  <si>
    <t>Kosten
Makler,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</si>
</sst>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&quot;€&quot;"/>
    <numFmt numFmtId="165" formatCode="0.000%"/>
    <numFmt numFmtId="166" formatCode="0.0%"/>
    <numFmt numFmtId="167" formatCode="#,##0.0\ &quot;€&quot;"/>
    <numFmt numFmtId="168" formatCode="#,##0.000\ &quot;€&quot;"/>
  </numFmts>
  <fonts count="9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2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3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9" fontId="0" fillId="0" borderId="0" xfId="0" applyNumberFormat="1"/>
    <xf numFmtId="0" fontId="2" fillId="3" borderId="1" xfId="2"/>
    <xf numFmtId="9" fontId="2" fillId="3" borderId="1" xfId="2" applyNumberFormat="1"/>
    <xf numFmtId="164" fontId="2" fillId="3" borderId="1" xfId="2" applyNumberFormat="1"/>
    <xf numFmtId="165" fontId="0" fillId="0" borderId="0" xfId="0" applyNumberFormat="1"/>
    <xf numFmtId="0" fontId="2" fillId="3" borderId="1" xfId="2" applyAlignment="1">
      <alignment wrapText="1"/>
    </xf>
    <xf numFmtId="0" fontId="1" fillId="2" borderId="0" xfId="1"/>
    <xf numFmtId="0" fontId="1" fillId="2" borderId="0" xfId="1" applyAlignment="1">
      <alignment wrapText="1"/>
    </xf>
    <xf numFmtId="165" fontId="2" fillId="3" borderId="1" xfId="2" applyNumberFormat="1"/>
    <xf numFmtId="0" fontId="0" fillId="5" borderId="0" xfId="0" applyFill="1"/>
    <xf numFmtId="0" fontId="0" fillId="5" borderId="0" xfId="0" applyFill="1" applyAlignment="1">
      <alignment wrapText="1"/>
    </xf>
    <xf numFmtId="9" fontId="0" fillId="5" borderId="0" xfId="0" applyNumberFormat="1" applyFill="1"/>
    <xf numFmtId="164" fontId="0" fillId="5" borderId="0" xfId="0" applyNumberFormat="1" applyFill="1"/>
    <xf numFmtId="166" fontId="0" fillId="5" borderId="0" xfId="0" applyNumberFormat="1" applyFill="1"/>
    <xf numFmtId="164" fontId="4" fillId="5" borderId="0" xfId="0" applyNumberFormat="1" applyFont="1" applyFill="1"/>
    <xf numFmtId="164" fontId="4" fillId="0" borderId="0" xfId="0" applyNumberFormat="1" applyFont="1"/>
    <xf numFmtId="0" fontId="1" fillId="2" borderId="2" xfId="1" applyBorder="1"/>
    <xf numFmtId="0" fontId="0" fillId="5" borderId="2" xfId="0" applyFill="1" applyBorder="1"/>
    <xf numFmtId="164" fontId="0" fillId="5" borderId="2" xfId="0" applyNumberFormat="1" applyFill="1" applyBorder="1"/>
    <xf numFmtId="0" fontId="0" fillId="0" borderId="2" xfId="0" applyBorder="1"/>
    <xf numFmtId="164" fontId="0" fillId="0" borderId="2" xfId="0" applyNumberFormat="1" applyBorder="1"/>
    <xf numFmtId="165" fontId="0" fillId="5" borderId="0" xfId="0" applyNumberFormat="1" applyFill="1"/>
    <xf numFmtId="166" fontId="2" fillId="3" borderId="1" xfId="2" applyNumberFormat="1"/>
    <xf numFmtId="0" fontId="0" fillId="0" borderId="0" xfId="0" applyFill="1" applyAlignment="1">
      <alignment wrapText="1"/>
    </xf>
    <xf numFmtId="164" fontId="0" fillId="0" borderId="0" xfId="0" applyNumberFormat="1" applyFill="1"/>
    <xf numFmtId="0" fontId="0" fillId="0" borderId="0" xfId="0" applyFill="1"/>
    <xf numFmtId="167" fontId="0" fillId="0" borderId="0" xfId="0" applyNumberFormat="1" applyFill="1"/>
    <xf numFmtId="166" fontId="0" fillId="0" borderId="0" xfId="0" applyNumberFormat="1" applyFill="1"/>
    <xf numFmtId="0" fontId="0" fillId="0" borderId="0" xfId="0" applyNumberFormat="1" applyAlignment="1">
      <alignment wrapText="1"/>
    </xf>
    <xf numFmtId="164" fontId="3" fillId="0" borderId="4" xfId="3" applyNumberFormat="1" applyFill="1" applyBorder="1"/>
    <xf numFmtId="164" fontId="3" fillId="5" borderId="4" xfId="3" applyNumberFormat="1" applyFill="1" applyBorder="1"/>
    <xf numFmtId="0" fontId="0" fillId="0" borderId="3" xfId="0" applyBorder="1"/>
    <xf numFmtId="0" fontId="0" fillId="0" borderId="3" xfId="0" applyFill="1" applyBorder="1" applyAlignment="1">
      <alignment wrapText="1"/>
    </xf>
    <xf numFmtId="164" fontId="0" fillId="0" borderId="3" xfId="0" applyNumberFormat="1" applyFill="1" applyBorder="1"/>
    <xf numFmtId="0" fontId="0" fillId="0" borderId="3" xfId="0" applyFill="1" applyBorder="1"/>
    <xf numFmtId="0" fontId="0" fillId="0" borderId="3" xfId="0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2" xfId="0" applyFill="1" applyBorder="1"/>
    <xf numFmtId="10" fontId="2" fillId="3" borderId="1" xfId="2" applyNumberFormat="1"/>
    <xf numFmtId="168" fontId="0" fillId="0" borderId="0" xfId="0" applyNumberFormat="1"/>
  </cellXfs>
  <cellStyles count="32">
    <cellStyle name="Berechnung" xfId="3" builtinId="22"/>
    <cellStyle name="Besuchter Link" xfId="30" builtinId="9" hidden="1"/>
    <cellStyle name="Besuchter Link" xfId="24" builtinId="9" hidden="1"/>
    <cellStyle name="Besuchter Link" xfId="26" builtinId="9" hidden="1"/>
    <cellStyle name="Besuchter Link" xfId="16" builtinId="9" hidden="1"/>
    <cellStyle name="Besuchter Link" xfId="28" builtinId="9" hidden="1"/>
    <cellStyle name="Besuchter Link" xfId="18" builtinId="9" hidden="1"/>
    <cellStyle name="Besuchter Link" xfId="20" builtinId="9" hidden="1"/>
    <cellStyle name="Besuchter Link" xfId="22" builtinId="9" hidden="1"/>
    <cellStyle name="Besuchter Link" xfId="14" builtinId="9" hidden="1"/>
    <cellStyle name="Besuchter Link" xfId="4" builtinId="9" hidden="1"/>
    <cellStyle name="Besuchter Link" xfId="12" builtinId="9" hidden="1"/>
    <cellStyle name="Besuchter Link" xfId="6" builtinId="9" hidden="1"/>
    <cellStyle name="Besuchter Link" xfId="8" builtinId="9" hidden="1"/>
    <cellStyle name="Besuchter Link" xfId="10" builtinId="9" hidden="1"/>
    <cellStyle name="Eingabe" xfId="2" builtinId="20"/>
    <cellStyle name="Gut" xfId="1" builtinId="26"/>
    <cellStyle name="Hyperlink" xfId="17" builtinId="8" hidden="1"/>
    <cellStyle name="Hyperlink" xfId="9" builtinId="8" hidden="1"/>
    <cellStyle name="Hyperlink" xfId="11" builtinId="8" hidden="1"/>
    <cellStyle name="Hyperlink" xfId="27" builtinId="8" hidden="1"/>
    <cellStyle name="Hyperlink" xfId="15" builtinId="8" hidden="1"/>
    <cellStyle name="Hyperlink" xfId="19" builtinId="8" hidden="1"/>
    <cellStyle name="Hyperlink" xfId="31" builtinId="8" hidden="1"/>
    <cellStyle name="Hyperlink" xfId="23" builtinId="8" hidden="1"/>
    <cellStyle name="Hyperlink" xfId="13" builtinId="8" hidden="1"/>
    <cellStyle name="Hyperlink" xfId="25" builtinId="8" hidden="1"/>
    <cellStyle name="Hyperlink" xfId="7" builtinId="8" hidden="1"/>
    <cellStyle name="Hyperlink" xfId="29" builtinId="8" hidden="1"/>
    <cellStyle name="Hyperlink" xfId="21" builtinId="8" hidden="1"/>
    <cellStyle name="Hyperlink" xfId="5" builtinId="8" hidden="1"/>
    <cellStyle name="Stand.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M26"/>
  <sheetViews>
    <sheetView tabSelected="1" zoomScale="110" zoomScaleNormal="110" zoomScalePageLayoutView="110" workbookViewId="0" xr3:uid="{842E5F09-E766-5B8D-85AF-A39847EA96FD}">
      <selection activeCell="D32" sqref="D32"/>
    </sheetView>
  </sheetViews>
  <sheetFormatPr defaultColWidth="10.76171875" defaultRowHeight="15"/>
  <cols>
    <col min="1" max="3" width="14.390625" bestFit="1" customWidth="1"/>
    <col min="4" max="4" width="14.796875" bestFit="1" customWidth="1"/>
    <col min="5" max="5" width="15.6015625" bestFit="1" customWidth="1"/>
    <col min="6" max="6" width="14.796875" bestFit="1" customWidth="1"/>
    <col min="7" max="7" width="14.796875" customWidth="1"/>
    <col min="8" max="8" width="14.796875" bestFit="1" customWidth="1"/>
    <col min="9" max="9" width="11.97265625" bestFit="1" customWidth="1"/>
    <col min="10" max="10" width="14.796875" bestFit="1" customWidth="1"/>
    <col min="11" max="11" width="14.390625" customWidth="1"/>
    <col min="12" max="12" width="14.796875" bestFit="1" customWidth="1"/>
    <col min="13" max="13" width="14.796875" customWidth="1"/>
    <col min="15" max="15" width="14.9296875" customWidth="1"/>
    <col min="16" max="16" width="13.85546875" customWidth="1"/>
    <col min="17" max="17" width="16.27734375" customWidth="1"/>
  </cols>
  <sheetData>
    <row r="1" spans="1:13" ht="27.75">
      <c r="A1" s="4" t="s">
        <v>15</v>
      </c>
      <c r="B1" s="4" t="s">
        <v>7</v>
      </c>
      <c r="C1" s="4" t="s">
        <v>16</v>
      </c>
      <c r="D1" s="4" t="s">
        <v>4</v>
      </c>
      <c r="E1" s="8" t="s">
        <v>10</v>
      </c>
      <c r="F1" s="8" t="s">
        <v>13</v>
      </c>
      <c r="G1" s="8" t="s">
        <v>17</v>
      </c>
      <c r="H1" s="8" t="s">
        <v>22</v>
      </c>
      <c r="I1" s="8" t="s">
        <v>19</v>
      </c>
      <c r="J1" s="8" t="s">
        <v>20</v>
      </c>
      <c r="K1" s="8" t="s">
        <v>29</v>
      </c>
    </row>
    <row r="2" spans="1:13">
      <c r="A2" s="6">
        <v>53870</v>
      </c>
      <c r="B2" s="41">
        <f>42%*1.055</f>
        <v>0.44309999999999994</v>
      </c>
      <c r="C2" s="6">
        <f>A2*(1-B2)</f>
        <v>30000.203000000005</v>
      </c>
      <c r="D2" s="11">
        <f>25%*105.5%</f>
        <v>0.26374999999999998</v>
      </c>
      <c r="E2" s="5">
        <v>0.06</v>
      </c>
      <c r="F2" s="5">
        <v>0</v>
      </c>
      <c r="G2" s="6">
        <v>0</v>
      </c>
      <c r="H2" s="5">
        <v>0.3</v>
      </c>
      <c r="I2" s="25">
        <v>1.0999999999999999E-2</v>
      </c>
      <c r="J2" s="5">
        <v>0.3</v>
      </c>
      <c r="K2" s="6">
        <v>24</v>
      </c>
    </row>
    <row r="4" spans="1:13">
      <c r="A4" s="10"/>
      <c r="B4" s="19" t="s">
        <v>3</v>
      </c>
      <c r="C4" s="9"/>
      <c r="D4" s="9"/>
      <c r="E4" s="9"/>
      <c r="F4" s="9"/>
      <c r="G4" s="9"/>
      <c r="H4" s="19" t="s">
        <v>6</v>
      </c>
      <c r="I4" s="9"/>
      <c r="J4" s="9"/>
      <c r="K4" s="9"/>
      <c r="L4" s="9"/>
      <c r="M4" s="9"/>
    </row>
    <row r="5" spans="1:13" ht="94.5">
      <c r="A5" s="12" t="s">
        <v>2</v>
      </c>
      <c r="B5" s="22" t="s">
        <v>0</v>
      </c>
      <c r="C5" s="2" t="s">
        <v>1</v>
      </c>
      <c r="D5" s="2" t="s">
        <v>28</v>
      </c>
      <c r="E5" s="31" t="s">
        <v>27</v>
      </c>
      <c r="F5" s="2" t="s">
        <v>23</v>
      </c>
      <c r="G5" t="s">
        <v>18</v>
      </c>
      <c r="H5" s="20" t="s">
        <v>0</v>
      </c>
      <c r="I5" s="13" t="s">
        <v>12</v>
      </c>
      <c r="J5" s="13" t="s">
        <v>1</v>
      </c>
      <c r="K5" s="13" t="s">
        <v>32</v>
      </c>
      <c r="L5" s="12" t="s">
        <v>14</v>
      </c>
      <c r="M5" s="12" t="s">
        <v>18</v>
      </c>
    </row>
    <row r="6" spans="1:13">
      <c r="A6" s="12"/>
      <c r="B6" s="22"/>
      <c r="C6" s="3"/>
      <c r="D6" s="7">
        <f>(1-H2)*I2*(1-J2)</f>
        <v>5.389999999999999E-3</v>
      </c>
      <c r="E6" s="7"/>
      <c r="F6" s="7"/>
      <c r="H6" s="20"/>
      <c r="I6" s="16">
        <v>3.0000000000000001E-3</v>
      </c>
      <c r="J6" s="14"/>
      <c r="K6" s="24"/>
      <c r="L6" s="24"/>
      <c r="M6" s="12"/>
    </row>
    <row r="7" spans="1:13">
      <c r="A7" s="12">
        <v>1</v>
      </c>
      <c r="B7" s="23">
        <f>C2+G2</f>
        <v>30000.203000000005</v>
      </c>
      <c r="C7" s="1">
        <f t="shared" ref="C7:C21" si="0">B7*$E$2</f>
        <v>1800.0121800000002</v>
      </c>
      <c r="D7" s="1">
        <f>B7*$D$6</f>
        <v>161.70109417</v>
      </c>
      <c r="E7" s="1">
        <f>D7*$D$2</f>
        <v>42.648663587337502</v>
      </c>
      <c r="F7" s="1">
        <f>B7+C7-E7</f>
        <v>31757.566516412669</v>
      </c>
      <c r="G7" s="1">
        <f>$C$2*(1+$F$2)</f>
        <v>30000.203000000005</v>
      </c>
      <c r="H7" s="21">
        <f>(C2+G2)</f>
        <v>30000.203000000005</v>
      </c>
      <c r="I7" s="15">
        <f>H7*$I$6+$K$2</f>
        <v>114.00060900000001</v>
      </c>
      <c r="J7" s="15">
        <f>(H7-I7)*$E$2</f>
        <v>1793.1721434600004</v>
      </c>
      <c r="K7" s="15">
        <f>(H7-I7+J7)*0</f>
        <v>0</v>
      </c>
      <c r="L7" s="15">
        <f t="shared" ref="L7:L21" si="1">H7+J7-I7-K7</f>
        <v>31679.374534460007</v>
      </c>
      <c r="M7" s="15">
        <f>$C$2*(1+$F$2)</f>
        <v>30000.203000000005</v>
      </c>
    </row>
    <row r="8" spans="1:13">
      <c r="A8" s="12">
        <v>2</v>
      </c>
      <c r="B8" s="21">
        <f>F7+G7</f>
        <v>61757.769516412678</v>
      </c>
      <c r="C8" s="1">
        <f t="shared" si="0"/>
        <v>3705.4661709847605</v>
      </c>
      <c r="D8" s="1">
        <f t="shared" ref="D8:D21" si="2">B8*$D$6</f>
        <v>332.87437769346428</v>
      </c>
      <c r="E8" s="1">
        <f t="shared" ref="E8:E21" si="3">D8*$D$2</f>
        <v>87.795617116651201</v>
      </c>
      <c r="F8" s="1">
        <f>B8+C8-E8</f>
        <v>65375.440070280783</v>
      </c>
      <c r="G8" s="1">
        <f>$C$2*(1+$F$2)</f>
        <v>30000.203000000005</v>
      </c>
      <c r="H8" s="21">
        <f>L7+M7</f>
        <v>61679.577534460012</v>
      </c>
      <c r="I8" s="15">
        <f>M7*$I$6+$K$2</f>
        <v>114.00060900000001</v>
      </c>
      <c r="J8" s="15">
        <f t="shared" ref="J8:J21" si="4">(H8-I8)*$E$2</f>
        <v>3693.9346155276003</v>
      </c>
      <c r="K8" s="15">
        <f t="shared" ref="K8:K21" si="5">(H8-I8+J8)*0</f>
        <v>0</v>
      </c>
      <c r="L8" s="15">
        <f t="shared" si="1"/>
        <v>65259.511540987609</v>
      </c>
      <c r="M8" s="15">
        <f>$C$2*(1+$F$2)</f>
        <v>30000.203000000005</v>
      </c>
    </row>
    <row r="9" spans="1:13">
      <c r="A9" s="12">
        <v>3</v>
      </c>
      <c r="B9" s="21">
        <f t="shared" ref="B9:B21" si="6">F8+G8</f>
        <v>95375.643070280785</v>
      </c>
      <c r="C9" s="1">
        <f t="shared" si="0"/>
        <v>5722.5385842168471</v>
      </c>
      <c r="D9" s="1">
        <f t="shared" si="2"/>
        <v>514.07471614881331</v>
      </c>
      <c r="E9" s="1">
        <f t="shared" si="3"/>
        <v>135.5872063842495</v>
      </c>
      <c r="F9" s="1">
        <f t="shared" ref="F9:F21" si="7">B9+C9-E9</f>
        <v>100962.59444811338</v>
      </c>
      <c r="G9" s="1">
        <f>G8*(1+$F$2)</f>
        <v>30000.203000000005</v>
      </c>
      <c r="H9" s="21">
        <f t="shared" ref="H9:H21" si="8">L8+M8</f>
        <v>95259.71454098761</v>
      </c>
      <c r="I9" s="15">
        <f t="shared" ref="I9:I21" si="9">M8*$I$6+$K$2</f>
        <v>114.00060900000001</v>
      </c>
      <c r="J9" s="15">
        <f t="shared" si="4"/>
        <v>5708.7428359192563</v>
      </c>
      <c r="K9" s="15">
        <f t="shared" si="5"/>
        <v>0</v>
      </c>
      <c r="L9" s="15">
        <f t="shared" si="1"/>
        <v>100854.45676790687</v>
      </c>
      <c r="M9" s="15">
        <f>M8*(1+$F$2)</f>
        <v>30000.203000000005</v>
      </c>
    </row>
    <row r="10" spans="1:13">
      <c r="A10" s="12">
        <v>4</v>
      </c>
      <c r="B10" s="21">
        <f t="shared" si="6"/>
        <v>130962.79744811339</v>
      </c>
      <c r="C10" s="1">
        <f t="shared" si="0"/>
        <v>7857.7678468868025</v>
      </c>
      <c r="D10" s="1">
        <f t="shared" si="2"/>
        <v>705.88947824533102</v>
      </c>
      <c r="E10" s="1">
        <f t="shared" si="3"/>
        <v>186.17834988720605</v>
      </c>
      <c r="F10" s="1">
        <f t="shared" si="7"/>
        <v>138634.38694511299</v>
      </c>
      <c r="G10" s="1">
        <f t="shared" ref="G10:G20" si="10">G9*(1+$F$2)</f>
        <v>30000.203000000005</v>
      </c>
      <c r="H10" s="21">
        <f t="shared" si="8"/>
        <v>130854.65976790688</v>
      </c>
      <c r="I10" s="15">
        <f t="shared" si="9"/>
        <v>114.00060900000001</v>
      </c>
      <c r="J10" s="15">
        <f t="shared" si="4"/>
        <v>7844.4395495344124</v>
      </c>
      <c r="K10" s="15">
        <f t="shared" si="5"/>
        <v>0</v>
      </c>
      <c r="L10" s="15">
        <f t="shared" si="1"/>
        <v>138585.09870844128</v>
      </c>
      <c r="M10" s="15">
        <f t="shared" ref="M10:M20" si="11">M9*(1+$F$2)</f>
        <v>30000.203000000005</v>
      </c>
    </row>
    <row r="11" spans="1:13">
      <c r="A11" s="12">
        <v>5</v>
      </c>
      <c r="B11" s="21">
        <f t="shared" si="6"/>
        <v>168634.589945113</v>
      </c>
      <c r="C11" s="1">
        <f t="shared" si="0"/>
        <v>10118.075396706779</v>
      </c>
      <c r="D11" s="1">
        <f t="shared" si="2"/>
        <v>908.94043980415881</v>
      </c>
      <c r="E11" s="1">
        <f t="shared" si="3"/>
        <v>239.73304099834687</v>
      </c>
      <c r="F11" s="1">
        <f t="shared" si="7"/>
        <v>178512.93230082144</v>
      </c>
      <c r="G11" s="1">
        <f t="shared" si="10"/>
        <v>30000.203000000005</v>
      </c>
      <c r="H11" s="21">
        <f t="shared" si="8"/>
        <v>168585.30170844129</v>
      </c>
      <c r="I11" s="15">
        <f t="shared" si="9"/>
        <v>114.00060900000001</v>
      </c>
      <c r="J11" s="15">
        <f t="shared" si="4"/>
        <v>10108.278065966477</v>
      </c>
      <c r="K11" s="15">
        <f t="shared" si="5"/>
        <v>0</v>
      </c>
      <c r="L11" s="15">
        <f t="shared" si="1"/>
        <v>178579.57916540775</v>
      </c>
      <c r="M11" s="15">
        <f t="shared" si="11"/>
        <v>30000.203000000005</v>
      </c>
    </row>
    <row r="12" spans="1:13">
      <c r="A12" s="12">
        <v>6</v>
      </c>
      <c r="B12" s="21">
        <f t="shared" si="6"/>
        <v>208513.13530082145</v>
      </c>
      <c r="C12" s="1">
        <f t="shared" si="0"/>
        <v>12510.788118049286</v>
      </c>
      <c r="D12" s="1">
        <f t="shared" si="2"/>
        <v>1123.8857992714275</v>
      </c>
      <c r="E12" s="1">
        <f t="shared" si="3"/>
        <v>296.42487955783895</v>
      </c>
      <c r="F12" s="1">
        <f t="shared" si="7"/>
        <v>220727.49853931292</v>
      </c>
      <c r="G12" s="1">
        <f t="shared" si="10"/>
        <v>30000.203000000005</v>
      </c>
      <c r="H12" s="21">
        <f t="shared" si="8"/>
        <v>208579.78216540776</v>
      </c>
      <c r="I12" s="15">
        <f t="shared" si="9"/>
        <v>114.00060900000001</v>
      </c>
      <c r="J12" s="15">
        <f t="shared" si="4"/>
        <v>12507.946893384464</v>
      </c>
      <c r="K12" s="15">
        <f t="shared" si="5"/>
        <v>0</v>
      </c>
      <c r="L12" s="15">
        <f t="shared" si="1"/>
        <v>220973.72844979222</v>
      </c>
      <c r="M12" s="15">
        <f t="shared" si="11"/>
        <v>30000.203000000005</v>
      </c>
    </row>
    <row r="13" spans="1:13">
      <c r="A13" s="12">
        <v>7</v>
      </c>
      <c r="B13" s="21">
        <f t="shared" si="6"/>
        <v>250727.70153931293</v>
      </c>
      <c r="C13" s="1">
        <f t="shared" si="0"/>
        <v>15043.662092358774</v>
      </c>
      <c r="D13" s="1">
        <f t="shared" si="2"/>
        <v>1351.4223112968964</v>
      </c>
      <c r="E13" s="1">
        <f t="shared" si="3"/>
        <v>356.43763460455642</v>
      </c>
      <c r="F13" s="1">
        <f t="shared" si="7"/>
        <v>265414.92599706713</v>
      </c>
      <c r="G13" s="1">
        <f t="shared" si="10"/>
        <v>30000.203000000005</v>
      </c>
      <c r="H13" s="21">
        <f t="shared" si="8"/>
        <v>250973.93144979223</v>
      </c>
      <c r="I13" s="15">
        <f t="shared" si="9"/>
        <v>114.00060900000001</v>
      </c>
      <c r="J13" s="15">
        <f t="shared" si="4"/>
        <v>15051.595850447533</v>
      </c>
      <c r="K13" s="15">
        <f t="shared" si="5"/>
        <v>0</v>
      </c>
      <c r="L13" s="15">
        <f t="shared" si="1"/>
        <v>265911.52669123979</v>
      </c>
      <c r="M13" s="15">
        <f t="shared" si="11"/>
        <v>30000.203000000005</v>
      </c>
    </row>
    <row r="14" spans="1:13">
      <c r="A14" s="12">
        <v>8</v>
      </c>
      <c r="B14" s="21">
        <f t="shared" si="6"/>
        <v>295415.12899706711</v>
      </c>
      <c r="C14" s="1">
        <f t="shared" si="0"/>
        <v>17724.907739824026</v>
      </c>
      <c r="D14" s="1">
        <f t="shared" si="2"/>
        <v>1592.2875452941914</v>
      </c>
      <c r="E14" s="1">
        <f t="shared" si="3"/>
        <v>419.96584007134294</v>
      </c>
      <c r="F14" s="1">
        <f t="shared" si="7"/>
        <v>312720.07089681982</v>
      </c>
      <c r="G14" s="1">
        <f t="shared" si="10"/>
        <v>30000.203000000005</v>
      </c>
      <c r="H14" s="21">
        <f t="shared" si="8"/>
        <v>295911.72969123977</v>
      </c>
      <c r="I14" s="15">
        <f t="shared" si="9"/>
        <v>114.00060900000001</v>
      </c>
      <c r="J14" s="15">
        <f t="shared" si="4"/>
        <v>17747.863744934388</v>
      </c>
      <c r="K14" s="15">
        <f t="shared" si="5"/>
        <v>0</v>
      </c>
      <c r="L14" s="15">
        <f t="shared" si="1"/>
        <v>313545.59282717417</v>
      </c>
      <c r="M14" s="15">
        <f t="shared" si="11"/>
        <v>30000.203000000005</v>
      </c>
    </row>
    <row r="15" spans="1:13">
      <c r="A15" s="12">
        <v>9</v>
      </c>
      <c r="B15" s="21">
        <f t="shared" si="6"/>
        <v>342720.2738968198</v>
      </c>
      <c r="C15" s="1">
        <f t="shared" si="0"/>
        <v>20563.216433809186</v>
      </c>
      <c r="D15" s="1">
        <f t="shared" si="2"/>
        <v>1847.2622763038582</v>
      </c>
      <c r="E15" s="1">
        <f t="shared" si="3"/>
        <v>487.21542537514256</v>
      </c>
      <c r="F15" s="1">
        <f t="shared" si="7"/>
        <v>362796.27490525384</v>
      </c>
      <c r="G15" s="1">
        <f t="shared" si="10"/>
        <v>30000.203000000005</v>
      </c>
      <c r="H15" s="21">
        <f t="shared" si="8"/>
        <v>343545.79582717415</v>
      </c>
      <c r="I15" s="15">
        <f t="shared" si="9"/>
        <v>114.00060900000001</v>
      </c>
      <c r="J15" s="15">
        <f t="shared" si="4"/>
        <v>20605.907713090448</v>
      </c>
      <c r="K15" s="15">
        <f t="shared" si="5"/>
        <v>0</v>
      </c>
      <c r="L15" s="15">
        <f t="shared" si="1"/>
        <v>364037.70293126465</v>
      </c>
      <c r="M15" s="15">
        <f t="shared" si="11"/>
        <v>30000.203000000005</v>
      </c>
    </row>
    <row r="16" spans="1:13">
      <c r="A16" s="12">
        <v>10</v>
      </c>
      <c r="B16" s="21">
        <f t="shared" si="6"/>
        <v>392796.47790525382</v>
      </c>
      <c r="C16" s="1">
        <f t="shared" si="0"/>
        <v>23567.788674315227</v>
      </c>
      <c r="D16" s="1">
        <f t="shared" si="2"/>
        <v>2117.1730159093177</v>
      </c>
      <c r="E16" s="1">
        <f t="shared" si="3"/>
        <v>558.40438294608248</v>
      </c>
      <c r="F16" s="1">
        <f t="shared" si="7"/>
        <v>415805.86219662294</v>
      </c>
      <c r="G16" s="1">
        <f t="shared" si="10"/>
        <v>30000.203000000005</v>
      </c>
      <c r="H16" s="21">
        <f t="shared" si="8"/>
        <v>394037.90593126463</v>
      </c>
      <c r="I16" s="15">
        <f t="shared" si="9"/>
        <v>114.00060900000001</v>
      </c>
      <c r="J16" s="15">
        <f t="shared" si="4"/>
        <v>23635.434319335876</v>
      </c>
      <c r="K16" s="15">
        <f t="shared" si="5"/>
        <v>0</v>
      </c>
      <c r="L16" s="15">
        <f t="shared" si="1"/>
        <v>417559.3396416005</v>
      </c>
      <c r="M16" s="15">
        <f t="shared" si="11"/>
        <v>30000.203000000005</v>
      </c>
    </row>
    <row r="17" spans="1:13">
      <c r="A17" s="12">
        <v>11</v>
      </c>
      <c r="B17" s="21">
        <f t="shared" si="6"/>
        <v>445806.06519662292</v>
      </c>
      <c r="C17" s="1">
        <f t="shared" si="0"/>
        <v>26748.363911797373</v>
      </c>
      <c r="D17" s="1">
        <f t="shared" si="2"/>
        <v>2402.8946914097969</v>
      </c>
      <c r="E17" s="1">
        <f t="shared" si="3"/>
        <v>633.76347485933388</v>
      </c>
      <c r="F17" s="1">
        <f t="shared" si="7"/>
        <v>471920.66563356092</v>
      </c>
      <c r="G17" s="1">
        <f t="shared" si="10"/>
        <v>30000.203000000005</v>
      </c>
      <c r="H17" s="21">
        <f t="shared" si="8"/>
        <v>447559.54264160048</v>
      </c>
      <c r="I17" s="15">
        <f t="shared" si="9"/>
        <v>114.00060900000001</v>
      </c>
      <c r="J17" s="15">
        <f t="shared" si="4"/>
        <v>26846.73252195603</v>
      </c>
      <c r="K17" s="15">
        <f t="shared" si="5"/>
        <v>0</v>
      </c>
      <c r="L17" s="15">
        <f t="shared" si="1"/>
        <v>474292.27455455653</v>
      </c>
      <c r="M17" s="15">
        <f t="shared" si="11"/>
        <v>30000.203000000005</v>
      </c>
    </row>
    <row r="18" spans="1:13">
      <c r="A18" s="12">
        <v>12</v>
      </c>
      <c r="B18" s="21">
        <f t="shared" si="6"/>
        <v>501920.86863356089</v>
      </c>
      <c r="C18" s="1">
        <f t="shared" si="0"/>
        <v>30115.252118013654</v>
      </c>
      <c r="D18" s="1">
        <f t="shared" si="2"/>
        <v>2705.3534819348929</v>
      </c>
      <c r="E18" s="1">
        <f t="shared" si="3"/>
        <v>713.53698086032796</v>
      </c>
      <c r="F18" s="1">
        <f t="shared" si="7"/>
        <v>531322.58377071423</v>
      </c>
      <c r="G18" s="1">
        <f t="shared" si="10"/>
        <v>30000.203000000005</v>
      </c>
      <c r="H18" s="21">
        <f t="shared" si="8"/>
        <v>504292.47755455651</v>
      </c>
      <c r="I18" s="15">
        <f t="shared" si="9"/>
        <v>114.00060900000001</v>
      </c>
      <c r="J18" s="15">
        <f t="shared" si="4"/>
        <v>30250.708616733391</v>
      </c>
      <c r="K18" s="15">
        <f t="shared" si="5"/>
        <v>0</v>
      </c>
      <c r="L18" s="15">
        <f t="shared" si="1"/>
        <v>534429.1855622899</v>
      </c>
      <c r="M18" s="15">
        <f t="shared" si="11"/>
        <v>30000.203000000005</v>
      </c>
    </row>
    <row r="19" spans="1:13">
      <c r="A19" s="12">
        <v>13</v>
      </c>
      <c r="B19" s="21">
        <f t="shared" si="6"/>
        <v>561322.78677071421</v>
      </c>
      <c r="C19" s="1">
        <f t="shared" si="0"/>
        <v>33679.367206242852</v>
      </c>
      <c r="D19" s="1">
        <f t="shared" si="2"/>
        <v>3025.5298206941488</v>
      </c>
      <c r="E19" s="1">
        <f t="shared" si="3"/>
        <v>797.98349020808166</v>
      </c>
      <c r="F19" s="1">
        <f t="shared" si="7"/>
        <v>594204.17048674903</v>
      </c>
      <c r="G19" s="1">
        <f t="shared" si="10"/>
        <v>30000.203000000005</v>
      </c>
      <c r="H19" s="21">
        <f t="shared" si="8"/>
        <v>564429.38856228988</v>
      </c>
      <c r="I19" s="15">
        <f t="shared" si="9"/>
        <v>114.00060900000001</v>
      </c>
      <c r="J19" s="15">
        <f t="shared" si="4"/>
        <v>33858.923277197391</v>
      </c>
      <c r="K19" s="15">
        <f t="shared" si="5"/>
        <v>0</v>
      </c>
      <c r="L19" s="15">
        <f t="shared" si="1"/>
        <v>598174.31123048731</v>
      </c>
      <c r="M19" s="15">
        <f t="shared" si="11"/>
        <v>30000.203000000005</v>
      </c>
    </row>
    <row r="20" spans="1:13">
      <c r="A20" s="12">
        <v>14</v>
      </c>
      <c r="B20" s="21">
        <f t="shared" si="6"/>
        <v>624204.37348674901</v>
      </c>
      <c r="C20" s="1">
        <f t="shared" si="0"/>
        <v>37452.262409204937</v>
      </c>
      <c r="D20" s="1">
        <f t="shared" si="2"/>
        <v>3364.4615730935766</v>
      </c>
      <c r="E20" s="1">
        <f t="shared" si="3"/>
        <v>887.3767399034308</v>
      </c>
      <c r="F20" s="1">
        <f t="shared" si="7"/>
        <v>660769.25915605051</v>
      </c>
      <c r="G20" s="1">
        <f t="shared" si="10"/>
        <v>30000.203000000005</v>
      </c>
      <c r="H20" s="21">
        <f t="shared" si="8"/>
        <v>628174.51423048729</v>
      </c>
      <c r="I20" s="15">
        <f t="shared" si="9"/>
        <v>114.00060900000001</v>
      </c>
      <c r="J20" s="15">
        <f t="shared" si="4"/>
        <v>37683.630817289239</v>
      </c>
      <c r="K20" s="15">
        <f t="shared" si="5"/>
        <v>0</v>
      </c>
      <c r="L20" s="15">
        <f t="shared" si="1"/>
        <v>665744.14443877654</v>
      </c>
      <c r="M20" s="15">
        <f t="shared" si="11"/>
        <v>30000.203000000005</v>
      </c>
    </row>
    <row r="21" spans="1:13">
      <c r="A21" s="12">
        <v>15</v>
      </c>
      <c r="B21" s="21">
        <f t="shared" si="6"/>
        <v>690769.46215605049</v>
      </c>
      <c r="C21" s="1">
        <f t="shared" si="0"/>
        <v>41446.167729363027</v>
      </c>
      <c r="D21" s="1">
        <f t="shared" si="2"/>
        <v>3723.2474010211113</v>
      </c>
      <c r="E21" s="1">
        <f t="shared" si="3"/>
        <v>982.00650201931808</v>
      </c>
      <c r="F21" s="18">
        <f t="shared" si="7"/>
        <v>731233.62338339421</v>
      </c>
      <c r="G21" s="1"/>
      <c r="H21" s="21">
        <f t="shared" si="8"/>
        <v>695744.34743877652</v>
      </c>
      <c r="I21" s="15">
        <f t="shared" si="9"/>
        <v>114.00060900000001</v>
      </c>
      <c r="J21" s="15">
        <f t="shared" si="4"/>
        <v>41737.820809786594</v>
      </c>
      <c r="K21" s="15">
        <f t="shared" si="5"/>
        <v>0</v>
      </c>
      <c r="L21" s="17">
        <f t="shared" si="1"/>
        <v>737368.16763956309</v>
      </c>
      <c r="M21" s="15"/>
    </row>
    <row r="22" spans="1:13">
      <c r="A22" s="12"/>
      <c r="H22" s="20"/>
      <c r="I22" s="12"/>
      <c r="J22" s="12"/>
      <c r="K22" s="12"/>
      <c r="L22" s="15">
        <f>(1-I6)*L21</f>
        <v>735156.06313664443</v>
      </c>
      <c r="M22" s="12"/>
    </row>
    <row r="23" spans="1:13" ht="41.25">
      <c r="A23" s="13" t="s">
        <v>5</v>
      </c>
      <c r="F23" s="32">
        <f>F21-E25</f>
        <v>684088.96860922547</v>
      </c>
      <c r="H23" s="22"/>
      <c r="L23" s="33">
        <f>L22-K25-K26</f>
        <v>681456.75964369695</v>
      </c>
    </row>
    <row r="24" spans="1:13" ht="27.75">
      <c r="A24" s="38" t="s">
        <v>24</v>
      </c>
      <c r="B24" s="35" t="s">
        <v>25</v>
      </c>
      <c r="C24" s="36">
        <f>SUM(G7:G21,B7)</f>
        <v>450003.04499999993</v>
      </c>
      <c r="D24" s="35" t="s">
        <v>26</v>
      </c>
      <c r="E24" s="36">
        <f>SUM(D7:D22)</f>
        <v>25876.998022290987</v>
      </c>
      <c r="F24" s="37"/>
      <c r="G24" s="37"/>
      <c r="H24" s="39" t="s">
        <v>8</v>
      </c>
      <c r="I24" s="36">
        <f>SUM(M7:M21,H7)</f>
        <v>450003.04499999993</v>
      </c>
      <c r="J24" s="35" t="s">
        <v>9</v>
      </c>
      <c r="K24" s="36">
        <f>L22-I24</f>
        <v>285153.0181366445</v>
      </c>
      <c r="L24" s="34"/>
      <c r="M24" s="34"/>
    </row>
    <row r="25" spans="1:13" ht="54.75">
      <c r="B25" s="26" t="s">
        <v>21</v>
      </c>
      <c r="C25" s="27">
        <f>F21-C24</f>
        <v>281230.57838339428</v>
      </c>
      <c r="D25" s="26" t="s">
        <v>30</v>
      </c>
      <c r="E25" s="29">
        <f>(1-H2)*(C25-E24)*D2</f>
        <v>47144.654774168688</v>
      </c>
      <c r="F25" s="28"/>
      <c r="G25" s="28"/>
      <c r="H25" s="40" t="s">
        <v>11</v>
      </c>
      <c r="I25" s="30">
        <f>K24/L22</f>
        <v>0.38788093091417886</v>
      </c>
      <c r="J25" s="26" t="s">
        <v>31</v>
      </c>
      <c r="K25" s="29">
        <f>0.5*B2*(1-0.5*H2)*K24</f>
        <v>53699.30349294754</v>
      </c>
    </row>
    <row r="26" spans="1:13">
      <c r="E26" s="42"/>
      <c r="K26" s="1"/>
    </row>
  </sheetData>
  <pageMargins left="0.7" right="0.7" top="0.78740157499999996" bottom="0.78740157499999996" header="0.3" footer="0.3"/>
  <pageSetup paperSize="9" scale="6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iOS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Priv vs. VM (CD)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2017-10-31T23:19:23Z</dcterms:modified>
</cp:coreProperties>
</file>