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Catzchen/Downloads/"/>
    </mc:Choice>
  </mc:AlternateContent>
  <workbookProtection workbookPassword="8397" lockStructure="1"/>
  <bookViews>
    <workbookView xWindow="120" yWindow="460" windowWidth="19940" windowHeight="14660"/>
  </bookViews>
  <sheets>
    <sheet name="Tabelle1" sheetId="1" r:id="rId1"/>
    <sheet name="Tabelle2" sheetId="2" r:id="rId2"/>
    <sheet name="Tabelle3" sheetId="3" r:id="rId3"/>
  </sheets>
  <calcPr calcId="150001" concurrentCalc="0"/>
  <customWorkbookViews>
    <customWorkbookView name="Jk - Persönliche Ansicht" guid="{E00D3F16-8BB9-413C-A063-A54DC56F5919}" mergeInterval="0" personalView="1" maximized="1" xWindow="1" yWindow="1" windowWidth="1916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E4" i="1"/>
  <c r="F4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C14" i="1"/>
  <c r="E23" i="1"/>
  <c r="F23" i="1"/>
  <c r="C15" i="1"/>
  <c r="E24" i="1"/>
  <c r="F24" i="1"/>
  <c r="C16" i="1"/>
  <c r="E25" i="1"/>
  <c r="F25" i="1"/>
  <c r="C17" i="1"/>
  <c r="E26" i="1"/>
  <c r="F26" i="1"/>
  <c r="C18" i="1"/>
  <c r="E27" i="1"/>
  <c r="F27" i="1"/>
  <c r="C19" i="1"/>
  <c r="E28" i="1"/>
  <c r="F28" i="1"/>
  <c r="C20" i="1"/>
  <c r="E29" i="1"/>
  <c r="F29" i="1"/>
  <c r="C21" i="1"/>
  <c r="E30" i="1"/>
  <c r="F30" i="1"/>
  <c r="C22" i="1"/>
  <c r="E31" i="1"/>
  <c r="F31" i="1"/>
  <c r="C23" i="1"/>
  <c r="E32" i="1"/>
  <c r="F32" i="1"/>
  <c r="C24" i="1"/>
  <c r="E33" i="1"/>
  <c r="F33" i="1"/>
  <c r="C25" i="1"/>
  <c r="E34" i="1"/>
  <c r="F34" i="1"/>
  <c r="C26" i="1"/>
  <c r="E35" i="1"/>
  <c r="F35" i="1"/>
  <c r="C27" i="1"/>
  <c r="E36" i="1"/>
  <c r="F36" i="1"/>
  <c r="C28" i="1"/>
  <c r="E37" i="1"/>
  <c r="F37" i="1"/>
  <c r="C29" i="1"/>
  <c r="E38" i="1"/>
  <c r="F38" i="1"/>
  <c r="C30" i="1"/>
  <c r="E39" i="1"/>
  <c r="F39" i="1"/>
  <c r="C31" i="1"/>
  <c r="E40" i="1"/>
  <c r="F40" i="1"/>
  <c r="C32" i="1"/>
  <c r="E41" i="1"/>
  <c r="F41" i="1"/>
  <c r="C33" i="1"/>
  <c r="E42" i="1"/>
  <c r="F42" i="1"/>
  <c r="C34" i="1"/>
  <c r="E43" i="1"/>
  <c r="F43" i="1"/>
  <c r="E13" i="1"/>
  <c r="F13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G4" i="1"/>
  <c r="G33" i="1"/>
  <c r="G34" i="1"/>
  <c r="G35" i="1"/>
  <c r="G36" i="1"/>
  <c r="G37" i="1"/>
  <c r="G38" i="1"/>
  <c r="G39" i="1"/>
  <c r="G40" i="1"/>
  <c r="G41" i="1"/>
  <c r="G42" i="1"/>
  <c r="G4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3" i="1"/>
  <c r="G5" i="1"/>
  <c r="G6" i="1"/>
  <c r="G7" i="1"/>
  <c r="G8" i="1"/>
  <c r="G9" i="1"/>
  <c r="G10" i="1"/>
  <c r="G11" i="1"/>
  <c r="G12" i="1"/>
  <c r="F45" i="1"/>
  <c r="I4" i="1"/>
  <c r="J4" i="1"/>
  <c r="I5" i="1"/>
  <c r="J5" i="1"/>
  <c r="I6" i="1"/>
  <c r="J6" i="1"/>
  <c r="I7" i="1"/>
  <c r="J7" i="1"/>
  <c r="I8" i="1"/>
  <c r="J8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M4" i="1"/>
  <c r="M5" i="1"/>
  <c r="M6" i="1"/>
  <c r="M7" i="1"/>
  <c r="M8" i="1"/>
  <c r="M9" i="1"/>
  <c r="M10" i="1"/>
  <c r="M11" i="1"/>
  <c r="K3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K17" i="1"/>
  <c r="C35" i="1"/>
  <c r="C36" i="1"/>
  <c r="C37" i="1"/>
  <c r="C38" i="1"/>
  <c r="C39" i="1"/>
  <c r="C40" i="1"/>
  <c r="C41" i="1"/>
  <c r="C42" i="1"/>
  <c r="C43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D5" i="1"/>
  <c r="D6" i="1"/>
  <c r="D7" i="1"/>
  <c r="D4" i="1"/>
  <c r="K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D8" i="1"/>
  <c r="D9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K8" i="1"/>
  <c r="K5" i="1"/>
  <c r="K6" i="1"/>
  <c r="K9" i="1"/>
  <c r="K4" i="1"/>
  <c r="D10" i="1"/>
  <c r="K10" i="1"/>
  <c r="N4" i="1"/>
  <c r="N5" i="1"/>
  <c r="N6" i="1"/>
  <c r="N7" i="1"/>
  <c r="N8" i="1"/>
  <c r="N9" i="1"/>
  <c r="D11" i="1"/>
  <c r="N10" i="1"/>
  <c r="N11" i="1"/>
  <c r="N12" i="1"/>
  <c r="K11" i="1"/>
  <c r="D12" i="1"/>
  <c r="K12" i="1"/>
  <c r="D13" i="1"/>
  <c r="N13" i="1"/>
  <c r="K13" i="1"/>
  <c r="D14" i="1"/>
  <c r="N14" i="1"/>
  <c r="K14" i="1"/>
  <c r="D15" i="1"/>
  <c r="N15" i="1"/>
  <c r="K15" i="1"/>
  <c r="D16" i="1"/>
  <c r="N16" i="1"/>
  <c r="K16" i="1"/>
  <c r="D17" i="1"/>
  <c r="N17" i="1"/>
  <c r="D18" i="1"/>
  <c r="N18" i="1"/>
  <c r="K18" i="1"/>
  <c r="D19" i="1"/>
  <c r="N19" i="1"/>
  <c r="K19" i="1"/>
  <c r="D20" i="1"/>
  <c r="N20" i="1"/>
  <c r="K20" i="1"/>
  <c r="D21" i="1"/>
  <c r="N21" i="1"/>
  <c r="K21" i="1"/>
  <c r="D22" i="1"/>
  <c r="N22" i="1"/>
  <c r="K22" i="1"/>
  <c r="D23" i="1"/>
  <c r="N23" i="1"/>
  <c r="K23" i="1"/>
  <c r="D24" i="1"/>
  <c r="N24" i="1"/>
  <c r="K24" i="1"/>
  <c r="D25" i="1"/>
  <c r="N25" i="1"/>
  <c r="K25" i="1"/>
  <c r="D26" i="1"/>
  <c r="N26" i="1"/>
  <c r="K26" i="1"/>
  <c r="D27" i="1"/>
  <c r="N27" i="1"/>
  <c r="K27" i="1"/>
  <c r="D28" i="1"/>
  <c r="N28" i="1"/>
  <c r="K28" i="1"/>
  <c r="D29" i="1"/>
  <c r="N29" i="1"/>
  <c r="K29" i="1"/>
  <c r="D30" i="1"/>
  <c r="N30" i="1"/>
  <c r="K30" i="1"/>
  <c r="D31" i="1"/>
  <c r="N31" i="1"/>
  <c r="K31" i="1"/>
  <c r="D32" i="1"/>
  <c r="N32" i="1"/>
  <c r="K32" i="1"/>
  <c r="D33" i="1"/>
  <c r="N33" i="1"/>
  <c r="K33" i="1"/>
  <c r="D34" i="1"/>
  <c r="N34" i="1"/>
  <c r="K34" i="1"/>
  <c r="D35" i="1"/>
  <c r="N35" i="1"/>
  <c r="K35" i="1"/>
  <c r="D36" i="1"/>
  <c r="N36" i="1"/>
  <c r="K36" i="1"/>
  <c r="D37" i="1"/>
  <c r="N37" i="1"/>
  <c r="K37" i="1"/>
  <c r="D38" i="1"/>
  <c r="N38" i="1"/>
  <c r="K38" i="1"/>
  <c r="D39" i="1"/>
  <c r="N39" i="1"/>
  <c r="K39" i="1"/>
  <c r="D40" i="1"/>
  <c r="N40" i="1"/>
  <c r="K40" i="1"/>
  <c r="D41" i="1"/>
  <c r="N41" i="1"/>
  <c r="K41" i="1"/>
  <c r="C45" i="1"/>
  <c r="D42" i="1"/>
  <c r="N42" i="1"/>
  <c r="K42" i="1"/>
  <c r="D43" i="1"/>
  <c r="N43" i="1"/>
  <c r="K43" i="1"/>
  <c r="K45" i="1"/>
  <c r="D53" i="1"/>
  <c r="G45" i="1"/>
  <c r="I49" i="1"/>
  <c r="I57" i="1"/>
  <c r="I58" i="1"/>
  <c r="J61" i="1"/>
  <c r="J63" i="1"/>
  <c r="J64" i="1"/>
  <c r="D55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H45" i="1"/>
  <c r="J43" i="1"/>
  <c r="D49" i="1"/>
  <c r="D57" i="1"/>
  <c r="D58" i="1"/>
  <c r="E61" i="1"/>
  <c r="F66" i="1"/>
  <c r="E63" i="1"/>
  <c r="E64" i="1"/>
</calcChain>
</file>

<file path=xl/sharedStrings.xml><?xml version="1.0" encoding="utf-8"?>
<sst xmlns="http://schemas.openxmlformats.org/spreadsheetml/2006/main" count="59" uniqueCount="49">
  <si>
    <t>Einkommen</t>
  </si>
  <si>
    <t>Steuerersparnis</t>
  </si>
  <si>
    <t>für Zulage</t>
  </si>
  <si>
    <t>Einzahlungen</t>
  </si>
  <si>
    <t>Einzahlung</t>
  </si>
  <si>
    <t>Gebühren</t>
  </si>
  <si>
    <t>Verzinsung</t>
  </si>
  <si>
    <t>Kontostand</t>
  </si>
  <si>
    <t>Jahresende</t>
  </si>
  <si>
    <t xml:space="preserve">monatl. </t>
  </si>
  <si>
    <t>St-Ersparnis</t>
  </si>
  <si>
    <t>Summen:</t>
  </si>
  <si>
    <t>Steuerzahlungen nach 2048:</t>
  </si>
  <si>
    <t>Steuerersparnis bis 2048:</t>
  </si>
  <si>
    <t>ETF-Sparplan</t>
  </si>
  <si>
    <t>Alternativer</t>
  </si>
  <si>
    <t>Riester-Lösung:</t>
  </si>
  <si>
    <t>ETF-Lösung:</t>
  </si>
  <si>
    <t>Abgeltungssteuersatz 2048:</t>
  </si>
  <si>
    <t>Endguthaben für Rente:</t>
  </si>
  <si>
    <t>Grenzsteuersatz nach 2048:</t>
  </si>
  <si>
    <t>Kontostand 2048:</t>
  </si>
  <si>
    <t>(in ETFs angelegt)</t>
  </si>
  <si>
    <t>Abg.St. auf Steuerersparniszinsen:</t>
  </si>
  <si>
    <t>Andere Steuerzahlungen nach 2048:</t>
  </si>
  <si>
    <t>Inflationsbereinigt:</t>
  </si>
  <si>
    <t>Ganz ungefähre nominale Rentenhöhe:</t>
  </si>
  <si>
    <t>zusätzliche</t>
  </si>
  <si>
    <t>(selbstoptimierte)</t>
  </si>
  <si>
    <t>ETF-verzinste</t>
  </si>
  <si>
    <t>verzinste Steuerersparnis bis 2048:</t>
  </si>
  <si>
    <t>Nettosteuerverlust:</t>
  </si>
  <si>
    <t>Vorteil Riester:</t>
  </si>
  <si>
    <t>Copyright:</t>
  </si>
  <si>
    <t>ImperatoM, 10/2010, für nicht-kommerzielle Zwecke frei nutzbar. Makleranfragen etc. an imperatom@gmx.de</t>
  </si>
  <si>
    <t xml:space="preserve"> </t>
  </si>
  <si>
    <t>Riester-</t>
  </si>
  <si>
    <t>Sparplan</t>
  </si>
  <si>
    <t>zu versteuerndes</t>
  </si>
  <si>
    <t>für die gesamte Tabelle gilt:</t>
  </si>
  <si>
    <t>Keine Richtigkeitsgarantie!</t>
  </si>
  <si>
    <t>Versionsgeschichte:</t>
  </si>
  <si>
    <t>1.02</t>
  </si>
  <si>
    <t>Korrektur der Berechnung beim ETF-Sparplan und seiner Versteuerung</t>
  </si>
  <si>
    <t>ab hier 175 Euro Zulage</t>
  </si>
  <si>
    <t>1.03</t>
  </si>
  <si>
    <t>2018: Grundzulage auf 175 Euro erhöht, fairr-Gebühren ab 2015/21</t>
  </si>
  <si>
    <t>ab hier: Gebühren von fairr ohne Kundenwerberabatt)</t>
  </si>
  <si>
    <t>ab hier: Gebühren von fairr (mit Kundenwerberabatt)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</si>
</sst>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/>
    <xf numFmtId="165" fontId="0" fillId="0" borderId="0" xfId="0" applyNumberForma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9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5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165" fontId="0" fillId="0" borderId="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4" fontId="0" fillId="5" borderId="0" xfId="0" applyNumberFormat="1" applyFill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4" fontId="0" fillId="0" borderId="3" xfId="0" applyNumberForma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4" fontId="0" fillId="2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0" fillId="4" borderId="0" xfId="0" applyNumberFormat="1" applyFill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locked="0"/>
    </xf>
    <xf numFmtId="4" fontId="0" fillId="0" borderId="3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2" fillId="2" borderId="0" xfId="0" applyNumberFormat="1" applyFont="1" applyFill="1" applyAlignment="1" applyProtection="1">
      <alignment horizontal="right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right"/>
      <protection locked="0"/>
    </xf>
    <xf numFmtId="4" fontId="2" fillId="4" borderId="0" xfId="0" applyNumberFormat="1" applyFon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2" fontId="0" fillId="4" borderId="0" xfId="0" applyNumberFormat="1" applyFill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4" fontId="0" fillId="4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right"/>
      <protection locked="0"/>
    </xf>
    <xf numFmtId="4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protection locked="0"/>
    </xf>
    <xf numFmtId="2" fontId="4" fillId="2" borderId="0" xfId="0" applyNumberFormat="1" applyFont="1" applyFill="1" applyAlignment="1" applyProtection="1">
      <protection locked="0"/>
    </xf>
    <xf numFmtId="3" fontId="4" fillId="2" borderId="0" xfId="0" applyNumberFormat="1" applyFont="1" applyFill="1" applyAlignment="1" applyProtection="1">
      <protection locked="0"/>
    </xf>
    <xf numFmtId="0" fontId="4" fillId="4" borderId="0" xfId="0" applyFont="1" applyFill="1" applyAlignment="1" applyProtection="1">
      <protection locked="0"/>
    </xf>
    <xf numFmtId="2" fontId="4" fillId="4" borderId="0" xfId="0" applyNumberFormat="1" applyFont="1" applyFill="1" applyAlignment="1" applyProtection="1">
      <protection locked="0"/>
    </xf>
    <xf numFmtId="165" fontId="4" fillId="4" borderId="0" xfId="0" applyNumberFormat="1" applyFont="1" applyFill="1" applyAlignment="1" applyProtection="1">
      <protection locked="0"/>
    </xf>
    <xf numFmtId="3" fontId="4" fillId="4" borderId="0" xfId="0" applyNumberFormat="1" applyFont="1" applyFill="1" applyAlignment="1" applyProtection="1">
      <protection locked="0"/>
    </xf>
    <xf numFmtId="0" fontId="4" fillId="3" borderId="0" xfId="0" applyFont="1" applyFill="1" applyAlignment="1" applyProtection="1">
      <protection locked="0"/>
    </xf>
    <xf numFmtId="165" fontId="4" fillId="0" borderId="0" xfId="0" applyNumberFormat="1" applyFont="1" applyAlignment="1" applyProtection="1">
      <protection locked="0"/>
    </xf>
    <xf numFmtId="0" fontId="4" fillId="0" borderId="0" xfId="0" applyFont="1" applyAlignment="1" applyProtection="1">
      <protection locked="0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4" borderId="0" xfId="0" applyNumberFormat="1" applyFont="1" applyFill="1" applyAlignment="1" applyProtection="1">
      <alignment horizontal="center"/>
      <protection locked="0"/>
    </xf>
    <xf numFmtId="2" fontId="0" fillId="7" borderId="5" xfId="0" applyNumberFormat="1" applyFill="1" applyBorder="1" applyAlignment="1" applyProtection="1">
      <alignment horizontal="center"/>
      <protection locked="0"/>
    </xf>
    <xf numFmtId="2" fontId="5" fillId="7" borderId="6" xfId="0" applyNumberFormat="1" applyFont="1" applyFill="1" applyBorder="1" applyAlignment="1" applyProtection="1">
      <alignment horizontal="right"/>
      <protection locked="0"/>
    </xf>
    <xf numFmtId="10" fontId="5" fillId="7" borderId="6" xfId="0" applyNumberFormat="1" applyFont="1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6" borderId="0" xfId="0" applyFont="1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16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8" workbookViewId="0">
      <selection activeCell="F3" sqref="F3"/>
    </sheetView>
  </sheetViews>
  <sheetFormatPr baseColWidth="10" defaultRowHeight="15" x14ac:dyDescent="0.2"/>
  <cols>
    <col min="1" max="2" width="10.83203125" style="1"/>
    <col min="3" max="3" width="16" style="2" customWidth="1"/>
    <col min="4" max="4" width="11.5" style="2" customWidth="1"/>
    <col min="5" max="5" width="14.5" style="2" bestFit="1" customWidth="1"/>
    <col min="6" max="6" width="15.1640625" style="1" bestFit="1" customWidth="1"/>
    <col min="7" max="7" width="18.33203125" style="1" customWidth="1"/>
    <col min="8" max="8" width="11.5" style="2" bestFit="1" customWidth="1"/>
    <col min="9" max="9" width="12.1640625" style="9" bestFit="1" customWidth="1"/>
    <col min="10" max="10" width="14.5" style="4" bestFit="1" customWidth="1"/>
    <col min="11" max="11" width="16.6640625" style="6" bestFit="1" customWidth="1"/>
    <col min="12" max="12" width="12.5" style="7" bestFit="1" customWidth="1"/>
    <col min="13" max="13" width="10.83203125" style="9"/>
    <col min="14" max="16384" width="10.83203125" style="1"/>
  </cols>
  <sheetData>
    <row r="1" spans="1:15" x14ac:dyDescent="0.2">
      <c r="A1" s="76" t="s">
        <v>36</v>
      </c>
      <c r="B1" s="77"/>
      <c r="C1" s="11" t="s">
        <v>38</v>
      </c>
      <c r="D1" s="11" t="s">
        <v>9</v>
      </c>
      <c r="E1" s="12" t="s">
        <v>3</v>
      </c>
      <c r="F1" s="13" t="s">
        <v>27</v>
      </c>
      <c r="G1" s="13" t="s">
        <v>28</v>
      </c>
      <c r="H1" s="12"/>
      <c r="I1" s="14"/>
      <c r="J1" s="15" t="s">
        <v>7</v>
      </c>
      <c r="K1" s="10" t="s">
        <v>29</v>
      </c>
      <c r="L1" s="16" t="s">
        <v>15</v>
      </c>
      <c r="M1" s="14"/>
      <c r="N1" s="15" t="s">
        <v>7</v>
      </c>
    </row>
    <row r="2" spans="1:15" x14ac:dyDescent="0.2">
      <c r="A2" s="76" t="s">
        <v>37</v>
      </c>
      <c r="B2" s="77"/>
      <c r="C2" s="12" t="s">
        <v>0</v>
      </c>
      <c r="D2" s="12" t="s">
        <v>0</v>
      </c>
      <c r="E2" s="12" t="s">
        <v>2</v>
      </c>
      <c r="F2" s="13" t="s">
        <v>1</v>
      </c>
      <c r="G2" s="13" t="s">
        <v>4</v>
      </c>
      <c r="H2" s="12" t="s">
        <v>5</v>
      </c>
      <c r="I2" s="17" t="s">
        <v>6</v>
      </c>
      <c r="J2" s="15" t="s">
        <v>8</v>
      </c>
      <c r="K2" s="10" t="s">
        <v>10</v>
      </c>
      <c r="L2" s="16" t="s">
        <v>14</v>
      </c>
      <c r="M2" s="17" t="s">
        <v>6</v>
      </c>
      <c r="N2" s="15" t="s">
        <v>8</v>
      </c>
    </row>
    <row r="3" spans="1:15" s="3" customFormat="1" ht="16" thickBot="1" x14ac:dyDescent="0.25">
      <c r="A3" s="74"/>
      <c r="B3" s="78"/>
      <c r="C3" s="18"/>
      <c r="D3" s="18"/>
      <c r="E3" s="18"/>
      <c r="F3" s="19">
        <v>0.35</v>
      </c>
      <c r="G3" s="20"/>
      <c r="H3" s="18"/>
      <c r="I3" s="21">
        <v>0.05</v>
      </c>
      <c r="J3" s="22"/>
      <c r="K3" s="23">
        <f>M3</f>
        <v>5.5E-2</v>
      </c>
      <c r="L3" s="24"/>
      <c r="M3" s="21">
        <v>5.5E-2</v>
      </c>
      <c r="N3" s="20"/>
    </row>
    <row r="4" spans="1:15" x14ac:dyDescent="0.2">
      <c r="A4" s="75"/>
      <c r="B4" s="13">
        <v>2009</v>
      </c>
      <c r="C4" s="25">
        <v>100000</v>
      </c>
      <c r="D4" s="12">
        <f t="shared" ref="D4:D43" si="0">C4/12</f>
        <v>8333.3333333333339</v>
      </c>
      <c r="E4" s="12">
        <f xml:space="preserve"> IF(C4*0.04-154&lt;=2100-154,C4*0.04-154,2100-154)</f>
        <v>1946</v>
      </c>
      <c r="F4" s="12">
        <f>IF(E4*F$3&lt;=154,0,(E4+154)*F$3-154)</f>
        <v>581</v>
      </c>
      <c r="G4" s="79">
        <f t="shared" ref="G4:G12" si="1">IF(F4&gt;200,2100-154,E4)</f>
        <v>1946</v>
      </c>
      <c r="H4" s="12">
        <v>5.0999999999999996</v>
      </c>
      <c r="I4" s="17">
        <f>I3</f>
        <v>0.05</v>
      </c>
      <c r="J4" s="15">
        <f>(G4-H4)*(1+I4)+154</f>
        <v>2191.9450000000002</v>
      </c>
      <c r="K4" s="26">
        <f t="shared" ref="K4:K43" si="2">F4*(1+K$3)^(2048-B4)</f>
        <v>4688.3719409291125</v>
      </c>
      <c r="L4" s="27"/>
      <c r="M4" s="17">
        <f>M3</f>
        <v>5.5E-2</v>
      </c>
      <c r="N4" s="15">
        <f>G4*(1+M3)</f>
        <v>2053.0299999999997</v>
      </c>
    </row>
    <row r="5" spans="1:15" x14ac:dyDescent="0.2">
      <c r="A5" s="75"/>
      <c r="B5" s="13">
        <f>B4+1</f>
        <v>2010</v>
      </c>
      <c r="C5" s="25">
        <f t="shared" ref="C5:C8" si="3">C4*1.0275</f>
        <v>102750.00000000001</v>
      </c>
      <c r="D5" s="12">
        <f t="shared" si="0"/>
        <v>8562.5000000000018</v>
      </c>
      <c r="E5" s="12">
        <f t="shared" ref="E5:E12" si="4" xml:space="preserve"> IF(C5*0.04-154&lt;=2100-154,C5*0.04-154,2100-154)</f>
        <v>1946</v>
      </c>
      <c r="F5" s="12">
        <f t="shared" ref="F5:F13" si="5">IF(E5*F$3&lt;=154,0,(E5+154)*F$3-154)</f>
        <v>581</v>
      </c>
      <c r="G5" s="79">
        <f t="shared" si="1"/>
        <v>1946</v>
      </c>
      <c r="H5" s="12">
        <v>10.199999999999999</v>
      </c>
      <c r="I5" s="17">
        <f t="shared" ref="I5:I43" si="6">I4</f>
        <v>0.05</v>
      </c>
      <c r="J5" s="15">
        <f>(G5-H5+J4)*(1+I5)+154</f>
        <v>4488.1322499999997</v>
      </c>
      <c r="K5" s="26">
        <f t="shared" si="2"/>
        <v>4443.9544463783059</v>
      </c>
      <c r="L5" s="27"/>
      <c r="M5" s="17">
        <f t="shared" ref="M5:M43" si="7">M4</f>
        <v>5.5E-2</v>
      </c>
      <c r="N5" s="15">
        <f>(N4+G5)*(1+M5)</f>
        <v>4218.9766499999996</v>
      </c>
    </row>
    <row r="6" spans="1:15" x14ac:dyDescent="0.2">
      <c r="A6" s="75"/>
      <c r="B6" s="13">
        <f t="shared" ref="B6:B43" si="8">B5+1</f>
        <v>2011</v>
      </c>
      <c r="C6" s="25">
        <f t="shared" si="3"/>
        <v>105575.62500000003</v>
      </c>
      <c r="D6" s="12">
        <f t="shared" si="0"/>
        <v>8797.9687500000018</v>
      </c>
      <c r="E6" s="12">
        <f t="shared" si="4"/>
        <v>1946</v>
      </c>
      <c r="F6" s="12">
        <f t="shared" si="5"/>
        <v>581</v>
      </c>
      <c r="G6" s="79">
        <f t="shared" si="1"/>
        <v>1946</v>
      </c>
      <c r="H6" s="12">
        <v>10.199999999999999</v>
      </c>
      <c r="I6" s="17">
        <f t="shared" si="6"/>
        <v>0.05</v>
      </c>
      <c r="J6" s="15">
        <f t="shared" ref="J6:J12" si="9">(G6-H6+J5)*(1+I6)+154</f>
        <v>6899.1288624999997</v>
      </c>
      <c r="K6" s="26">
        <f t="shared" si="2"/>
        <v>4212.2790960931816</v>
      </c>
      <c r="L6" s="27"/>
      <c r="M6" s="17">
        <f t="shared" si="7"/>
        <v>5.5E-2</v>
      </c>
      <c r="N6" s="15">
        <f t="shared" ref="N6:N43" si="10">(N5+G6)*(1+M6)</f>
        <v>6504.0503657499994</v>
      </c>
    </row>
    <row r="7" spans="1:15" x14ac:dyDescent="0.2">
      <c r="A7" s="75"/>
      <c r="B7" s="13">
        <f t="shared" si="8"/>
        <v>2012</v>
      </c>
      <c r="C7" s="25">
        <f t="shared" si="3"/>
        <v>108478.95468750004</v>
      </c>
      <c r="D7" s="12">
        <f t="shared" si="0"/>
        <v>9039.9128906250025</v>
      </c>
      <c r="E7" s="12">
        <f t="shared" si="4"/>
        <v>1946</v>
      </c>
      <c r="F7" s="12">
        <f t="shared" si="5"/>
        <v>581</v>
      </c>
      <c r="G7" s="79">
        <f t="shared" si="1"/>
        <v>1946</v>
      </c>
      <c r="H7" s="12">
        <v>10.199999999999999</v>
      </c>
      <c r="I7" s="17">
        <f t="shared" si="6"/>
        <v>0.05</v>
      </c>
      <c r="J7" s="15">
        <f t="shared" si="9"/>
        <v>9430.675305625</v>
      </c>
      <c r="K7" s="26">
        <f t="shared" si="2"/>
        <v>3992.6816076712621</v>
      </c>
      <c r="L7" s="27"/>
      <c r="M7" s="17">
        <f t="shared" si="7"/>
        <v>5.5E-2</v>
      </c>
      <c r="N7" s="15">
        <f t="shared" si="10"/>
        <v>8914.8031358662483</v>
      </c>
    </row>
    <row r="8" spans="1:15" x14ac:dyDescent="0.2">
      <c r="A8" s="75"/>
      <c r="B8" s="13">
        <f t="shared" si="8"/>
        <v>2013</v>
      </c>
      <c r="C8" s="25">
        <f t="shared" si="3"/>
        <v>111462.1259414063</v>
      </c>
      <c r="D8" s="12">
        <f t="shared" si="0"/>
        <v>9288.5104951171907</v>
      </c>
      <c r="E8" s="12">
        <f t="shared" si="4"/>
        <v>1946</v>
      </c>
      <c r="F8" s="12">
        <f t="shared" si="5"/>
        <v>581</v>
      </c>
      <c r="G8" s="79">
        <f t="shared" si="1"/>
        <v>1946</v>
      </c>
      <c r="H8" s="12">
        <v>10.199999999999999</v>
      </c>
      <c r="I8" s="17">
        <f t="shared" si="6"/>
        <v>0.05</v>
      </c>
      <c r="J8" s="15">
        <f t="shared" si="9"/>
        <v>12088.799070906251</v>
      </c>
      <c r="K8" s="26">
        <f t="shared" si="2"/>
        <v>3784.5323295462199</v>
      </c>
      <c r="L8" s="27"/>
      <c r="M8" s="17">
        <f t="shared" si="7"/>
        <v>5.5E-2</v>
      </c>
      <c r="N8" s="15">
        <f t="shared" si="10"/>
        <v>11458.147308338892</v>
      </c>
    </row>
    <row r="9" spans="1:15" x14ac:dyDescent="0.2">
      <c r="A9" s="75"/>
      <c r="B9" s="13">
        <f t="shared" si="8"/>
        <v>2014</v>
      </c>
      <c r="C9" s="25">
        <f>C8*1.0275</f>
        <v>114527.33440479498</v>
      </c>
      <c r="D9" s="12">
        <f t="shared" si="0"/>
        <v>9543.9445337329144</v>
      </c>
      <c r="E9" s="12">
        <f t="shared" si="4"/>
        <v>1946</v>
      </c>
      <c r="F9" s="12">
        <f t="shared" si="5"/>
        <v>581</v>
      </c>
      <c r="G9" s="79">
        <f t="shared" si="1"/>
        <v>1946</v>
      </c>
      <c r="H9" s="12">
        <v>10.199999999999999</v>
      </c>
      <c r="I9" s="17">
        <f t="shared" si="6"/>
        <v>0.05</v>
      </c>
      <c r="J9" s="15">
        <f t="shared" si="9"/>
        <v>14879.829024451563</v>
      </c>
      <c r="K9" s="26">
        <f t="shared" si="2"/>
        <v>3587.2344355888345</v>
      </c>
      <c r="L9" s="27"/>
      <c r="M9" s="17">
        <f t="shared" si="7"/>
        <v>5.5E-2</v>
      </c>
      <c r="N9" s="15">
        <f t="shared" si="10"/>
        <v>14141.375410297531</v>
      </c>
    </row>
    <row r="10" spans="1:15" x14ac:dyDescent="0.2">
      <c r="A10" s="75"/>
      <c r="B10" s="13">
        <f t="shared" si="8"/>
        <v>2015</v>
      </c>
      <c r="C10" s="25">
        <f t="shared" ref="C10:C43" si="11">C9*1.0275</f>
        <v>117676.83610092686</v>
      </c>
      <c r="D10" s="12">
        <f t="shared" si="0"/>
        <v>9806.4030084105707</v>
      </c>
      <c r="E10" s="12">
        <f t="shared" si="4"/>
        <v>1946</v>
      </c>
      <c r="F10" s="12">
        <f t="shared" si="5"/>
        <v>581</v>
      </c>
      <c r="G10" s="79">
        <f t="shared" si="1"/>
        <v>1946</v>
      </c>
      <c r="H10" s="12">
        <f>27+0.005*J9/2</f>
        <v>64.199572561128917</v>
      </c>
      <c r="I10" s="17">
        <f t="shared" si="6"/>
        <v>0.05</v>
      </c>
      <c r="J10" s="15">
        <f t="shared" si="9"/>
        <v>17753.710924484956</v>
      </c>
      <c r="K10" s="26">
        <f t="shared" si="2"/>
        <v>3400.2222138282791</v>
      </c>
      <c r="L10" s="27"/>
      <c r="M10" s="17">
        <f t="shared" si="7"/>
        <v>5.5E-2</v>
      </c>
      <c r="N10" s="15">
        <f>(N9+G10)*(1+M10)</f>
        <v>16972.181057863894</v>
      </c>
      <c r="O10" s="5" t="s">
        <v>48</v>
      </c>
    </row>
    <row r="11" spans="1:15" x14ac:dyDescent="0.2">
      <c r="A11" s="75"/>
      <c r="B11" s="13">
        <f t="shared" si="8"/>
        <v>2016</v>
      </c>
      <c r="C11" s="25">
        <f t="shared" si="11"/>
        <v>120912.94909370235</v>
      </c>
      <c r="D11" s="12">
        <f t="shared" si="0"/>
        <v>10076.079091141863</v>
      </c>
      <c r="E11" s="12">
        <f t="shared" si="4"/>
        <v>1946</v>
      </c>
      <c r="F11" s="12">
        <f t="shared" si="5"/>
        <v>581</v>
      </c>
      <c r="G11" s="79">
        <f t="shared" si="1"/>
        <v>1946</v>
      </c>
      <c r="H11" s="12">
        <f t="shared" ref="H11:H15" si="12">27+0.005*J10/2</f>
        <v>71.384277311212401</v>
      </c>
      <c r="I11" s="17">
        <f t="shared" si="6"/>
        <v>0.05</v>
      </c>
      <c r="J11" s="15">
        <f t="shared" si="9"/>
        <v>20763.742979532431</v>
      </c>
      <c r="K11" s="26">
        <f t="shared" si="2"/>
        <v>3222.9594443869946</v>
      </c>
      <c r="L11" s="27"/>
      <c r="M11" s="17">
        <f t="shared" si="7"/>
        <v>5.5E-2</v>
      </c>
      <c r="N11" s="15">
        <f t="shared" si="10"/>
        <v>19958.681016046408</v>
      </c>
    </row>
    <row r="12" spans="1:15" x14ac:dyDescent="0.2">
      <c r="A12" s="75"/>
      <c r="B12" s="13">
        <f t="shared" si="8"/>
        <v>2017</v>
      </c>
      <c r="C12" s="25">
        <f t="shared" si="11"/>
        <v>124238.05519377918</v>
      </c>
      <c r="D12" s="12">
        <f t="shared" si="0"/>
        <v>10353.171266148265</v>
      </c>
      <c r="E12" s="12">
        <f t="shared" si="4"/>
        <v>1946</v>
      </c>
      <c r="F12" s="12">
        <f t="shared" si="5"/>
        <v>581</v>
      </c>
      <c r="G12" s="79">
        <f t="shared" si="1"/>
        <v>1946</v>
      </c>
      <c r="H12" s="12">
        <f t="shared" si="12"/>
        <v>78.909357448831088</v>
      </c>
      <c r="I12" s="17">
        <f t="shared" si="6"/>
        <v>0.05</v>
      </c>
      <c r="J12" s="15">
        <f t="shared" si="9"/>
        <v>23916.375303187779</v>
      </c>
      <c r="K12" s="26">
        <f t="shared" si="2"/>
        <v>3054.9378619781937</v>
      </c>
      <c r="L12" s="27"/>
      <c r="M12" s="17">
        <f t="shared" si="7"/>
        <v>5.5E-2</v>
      </c>
      <c r="N12" s="15">
        <f t="shared" si="10"/>
        <v>23109.438471928959</v>
      </c>
    </row>
    <row r="13" spans="1:15" x14ac:dyDescent="0.2">
      <c r="A13" s="75"/>
      <c r="B13" s="13">
        <f t="shared" si="8"/>
        <v>2018</v>
      </c>
      <c r="C13" s="25">
        <f t="shared" si="11"/>
        <v>127654.60171160811</v>
      </c>
      <c r="D13" s="12">
        <f t="shared" si="0"/>
        <v>10637.883475967343</v>
      </c>
      <c r="E13" s="12">
        <f xml:space="preserve"> IF(C4*0.04-174&lt;=2100-174,C4*0.04-174,2100-174)</f>
        <v>1926</v>
      </c>
      <c r="F13" s="12">
        <f>IF(E13*F$3&lt;=174,0,(E13+174)*F$3-174)</f>
        <v>561</v>
      </c>
      <c r="G13" s="79">
        <f>IF(F13&gt;200,2100-174,E13)</f>
        <v>1926</v>
      </c>
      <c r="H13" s="12">
        <f t="shared" si="12"/>
        <v>86.790938257969458</v>
      </c>
      <c r="I13" s="17">
        <f t="shared" si="6"/>
        <v>0.05</v>
      </c>
      <c r="J13" s="15">
        <f>(G13-H13+J12)*(1+I13)+175</f>
        <v>27218.363583176299</v>
      </c>
      <c r="K13" s="26">
        <f t="shared" si="2"/>
        <v>2795.9966727896285</v>
      </c>
      <c r="L13" s="27"/>
      <c r="M13" s="17">
        <f t="shared" si="7"/>
        <v>5.5E-2</v>
      </c>
      <c r="N13" s="15">
        <f t="shared" si="10"/>
        <v>26412.387587885052</v>
      </c>
      <c r="O13" s="5" t="s">
        <v>44</v>
      </c>
    </row>
    <row r="14" spans="1:15" x14ac:dyDescent="0.2">
      <c r="A14" s="75"/>
      <c r="B14" s="13">
        <f t="shared" si="8"/>
        <v>2019</v>
      </c>
      <c r="C14" s="25">
        <f t="shared" si="11"/>
        <v>131165.10325867735</v>
      </c>
      <c r="D14" s="12">
        <f t="shared" si="0"/>
        <v>10930.425271556445</v>
      </c>
      <c r="E14" s="12">
        <f t="shared" ref="E14:E43" si="13" xml:space="preserve"> IF(C5*0.04-174&lt;=2100-174,C5*0.04-174,2100-174)</f>
        <v>1926</v>
      </c>
      <c r="F14" s="12">
        <f t="shared" ref="F14:F43" si="14">IF(E14*F$3&lt;=174,0,(E14+174)*F$3-174)</f>
        <v>561</v>
      </c>
      <c r="G14" s="79">
        <f t="shared" ref="G14:G43" si="15">IF(F14&gt;200,2100-174,E14)</f>
        <v>1926</v>
      </c>
      <c r="H14" s="12">
        <f t="shared" si="12"/>
        <v>95.045908957940753</v>
      </c>
      <c r="I14" s="17">
        <f t="shared" si="6"/>
        <v>0.05</v>
      </c>
      <c r="J14" s="15">
        <f t="shared" ref="J14:J43" si="16">(G14-H14+J13)*(1+I14)+175</f>
        <v>30676.783557929277</v>
      </c>
      <c r="K14" s="26">
        <f t="shared" si="2"/>
        <v>2650.2338130707381</v>
      </c>
      <c r="L14" s="27"/>
      <c r="M14" s="17">
        <f t="shared" si="7"/>
        <v>5.5E-2</v>
      </c>
      <c r="N14" s="15">
        <f t="shared" si="10"/>
        <v>29896.998905218727</v>
      </c>
    </row>
    <row r="15" spans="1:15" x14ac:dyDescent="0.2">
      <c r="A15" s="75"/>
      <c r="B15" s="13">
        <f t="shared" si="8"/>
        <v>2020</v>
      </c>
      <c r="C15" s="25">
        <f t="shared" si="11"/>
        <v>134772.14359829098</v>
      </c>
      <c r="D15" s="12">
        <f t="shared" si="0"/>
        <v>11231.011966524247</v>
      </c>
      <c r="E15" s="12">
        <f t="shared" si="13"/>
        <v>1926</v>
      </c>
      <c r="F15" s="12">
        <f t="shared" si="14"/>
        <v>561</v>
      </c>
      <c r="G15" s="79">
        <f t="shared" si="15"/>
        <v>1926</v>
      </c>
      <c r="H15" s="12">
        <f t="shared" si="12"/>
        <v>103.69195889482319</v>
      </c>
      <c r="I15" s="17">
        <f t="shared" si="6"/>
        <v>0.05</v>
      </c>
      <c r="J15" s="15">
        <f t="shared" si="16"/>
        <v>34299.04617898618</v>
      </c>
      <c r="K15" s="26">
        <f t="shared" si="2"/>
        <v>2512.0699649959606</v>
      </c>
      <c r="L15" s="27"/>
      <c r="M15" s="17">
        <f t="shared" si="7"/>
        <v>5.5E-2</v>
      </c>
      <c r="N15" s="15">
        <f t="shared" si="10"/>
        <v>33573.263845005757</v>
      </c>
    </row>
    <row r="16" spans="1:15" x14ac:dyDescent="0.2">
      <c r="A16" s="75"/>
      <c r="B16" s="13">
        <f t="shared" si="8"/>
        <v>2021</v>
      </c>
      <c r="C16" s="25">
        <f t="shared" si="11"/>
        <v>138478.37754724399</v>
      </c>
      <c r="D16" s="12">
        <f t="shared" si="0"/>
        <v>11539.864795603666</v>
      </c>
      <c r="E16" s="12">
        <f t="shared" si="13"/>
        <v>1926</v>
      </c>
      <c r="F16" s="12">
        <f t="shared" si="14"/>
        <v>561</v>
      </c>
      <c r="G16" s="79">
        <f t="shared" si="15"/>
        <v>1926</v>
      </c>
      <c r="H16" s="12">
        <f t="shared" ref="H16:H43" si="17">27+0.005*J15</f>
        <v>198.4952308949309</v>
      </c>
      <c r="I16" s="17">
        <f t="shared" si="6"/>
        <v>0.05</v>
      </c>
      <c r="J16" s="15">
        <f t="shared" si="16"/>
        <v>38002.878495495817</v>
      </c>
      <c r="K16" s="26">
        <f t="shared" si="2"/>
        <v>2381.1089715601524</v>
      </c>
      <c r="L16" s="27"/>
      <c r="M16" s="17">
        <f t="shared" si="7"/>
        <v>5.5E-2</v>
      </c>
      <c r="N16" s="15">
        <f t="shared" si="10"/>
        <v>37451.723356481074</v>
      </c>
      <c r="O16" s="5" t="s">
        <v>47</v>
      </c>
    </row>
    <row r="17" spans="1:14" x14ac:dyDescent="0.2">
      <c r="A17" s="75"/>
      <c r="B17" s="13">
        <f t="shared" si="8"/>
        <v>2022</v>
      </c>
      <c r="C17" s="25">
        <f t="shared" si="11"/>
        <v>142286.5329297932</v>
      </c>
      <c r="D17" s="12">
        <f t="shared" si="0"/>
        <v>11857.211077482767</v>
      </c>
      <c r="E17" s="12">
        <f t="shared" si="13"/>
        <v>1926</v>
      </c>
      <c r="F17" s="12">
        <f t="shared" si="14"/>
        <v>561</v>
      </c>
      <c r="G17" s="79">
        <f t="shared" si="15"/>
        <v>1926</v>
      </c>
      <c r="H17" s="12">
        <f t="shared" si="17"/>
        <v>217.01439247747908</v>
      </c>
      <c r="I17" s="17">
        <f t="shared" si="6"/>
        <v>0.05</v>
      </c>
      <c r="J17" s="15">
        <f t="shared" si="16"/>
        <v>41872.457308169251</v>
      </c>
      <c r="K17" s="26">
        <f>F17*(1+K$3)^(2048-B17)</f>
        <v>2256.9753284930357</v>
      </c>
      <c r="L17" s="27"/>
      <c r="M17" s="17">
        <f t="shared" si="7"/>
        <v>5.5E-2</v>
      </c>
      <c r="N17" s="15">
        <f t="shared" si="10"/>
        <v>41543.498141087533</v>
      </c>
    </row>
    <row r="18" spans="1:14" x14ac:dyDescent="0.2">
      <c r="A18" s="75"/>
      <c r="B18" s="13">
        <f t="shared" si="8"/>
        <v>2023</v>
      </c>
      <c r="C18" s="25">
        <f t="shared" si="11"/>
        <v>146199.41258536253</v>
      </c>
      <c r="D18" s="12">
        <f t="shared" si="0"/>
        <v>12183.284382113545</v>
      </c>
      <c r="E18" s="12">
        <f t="shared" si="13"/>
        <v>1926</v>
      </c>
      <c r="F18" s="12">
        <f t="shared" si="14"/>
        <v>561</v>
      </c>
      <c r="G18" s="79">
        <f t="shared" si="15"/>
        <v>1926</v>
      </c>
      <c r="H18" s="12">
        <f t="shared" si="17"/>
        <v>236.36228654084627</v>
      </c>
      <c r="I18" s="17">
        <f t="shared" si="6"/>
        <v>0.05</v>
      </c>
      <c r="J18" s="15">
        <f t="shared" si="16"/>
        <v>45915.199772709828</v>
      </c>
      <c r="K18" s="26">
        <f t="shared" si="2"/>
        <v>2139.3131075763372</v>
      </c>
      <c r="L18" s="27"/>
      <c r="M18" s="17">
        <f t="shared" si="7"/>
        <v>5.5E-2</v>
      </c>
      <c r="N18" s="15">
        <f t="shared" si="10"/>
        <v>45860.320538847343</v>
      </c>
    </row>
    <row r="19" spans="1:14" x14ac:dyDescent="0.2">
      <c r="A19" s="75"/>
      <c r="B19" s="13">
        <f t="shared" si="8"/>
        <v>2024</v>
      </c>
      <c r="C19" s="25">
        <f t="shared" si="11"/>
        <v>150219.89643146002</v>
      </c>
      <c r="D19" s="12">
        <f t="shared" si="0"/>
        <v>12518.324702621669</v>
      </c>
      <c r="E19" s="12">
        <f t="shared" si="13"/>
        <v>1926</v>
      </c>
      <c r="F19" s="12">
        <f t="shared" si="14"/>
        <v>561</v>
      </c>
      <c r="G19" s="79">
        <f t="shared" si="15"/>
        <v>1926</v>
      </c>
      <c r="H19" s="12">
        <f t="shared" si="17"/>
        <v>256.5759988635491</v>
      </c>
      <c r="I19" s="17">
        <f t="shared" si="6"/>
        <v>0.05</v>
      </c>
      <c r="J19" s="15">
        <f t="shared" si="16"/>
        <v>50138.854962538593</v>
      </c>
      <c r="K19" s="26">
        <f t="shared" si="2"/>
        <v>2027.7849360913149</v>
      </c>
      <c r="L19" s="27"/>
      <c r="M19" s="17">
        <f t="shared" si="7"/>
        <v>5.5E-2</v>
      </c>
      <c r="N19" s="15">
        <f t="shared" si="10"/>
        <v>50414.568168483944</v>
      </c>
    </row>
    <row r="20" spans="1:14" x14ac:dyDescent="0.2">
      <c r="A20" s="75"/>
      <c r="B20" s="13">
        <f t="shared" si="8"/>
        <v>2025</v>
      </c>
      <c r="C20" s="25">
        <f t="shared" si="11"/>
        <v>154350.94358332519</v>
      </c>
      <c r="D20" s="12">
        <f t="shared" si="0"/>
        <v>12862.578631943767</v>
      </c>
      <c r="E20" s="12">
        <f t="shared" si="13"/>
        <v>1926</v>
      </c>
      <c r="F20" s="12">
        <f t="shared" si="14"/>
        <v>561</v>
      </c>
      <c r="G20" s="79">
        <f t="shared" si="15"/>
        <v>1926</v>
      </c>
      <c r="H20" s="12">
        <f t="shared" si="17"/>
        <v>277.69427481269298</v>
      </c>
      <c r="I20" s="17">
        <f t="shared" si="6"/>
        <v>0.05</v>
      </c>
      <c r="J20" s="15">
        <f t="shared" si="16"/>
        <v>54551.518722112203</v>
      </c>
      <c r="K20" s="26">
        <f t="shared" si="2"/>
        <v>1922.0710294704406</v>
      </c>
      <c r="L20" s="27"/>
      <c r="M20" s="17">
        <f t="shared" si="7"/>
        <v>5.5E-2</v>
      </c>
      <c r="N20" s="15">
        <f t="shared" si="10"/>
        <v>55219.299417750561</v>
      </c>
    </row>
    <row r="21" spans="1:14" x14ac:dyDescent="0.2">
      <c r="A21" s="75"/>
      <c r="B21" s="13">
        <f t="shared" si="8"/>
        <v>2026</v>
      </c>
      <c r="C21" s="25">
        <f t="shared" si="11"/>
        <v>158595.59453186663</v>
      </c>
      <c r="D21" s="12">
        <f t="shared" si="0"/>
        <v>13216.299544322219</v>
      </c>
      <c r="E21" s="12">
        <f t="shared" si="13"/>
        <v>1926</v>
      </c>
      <c r="F21" s="12">
        <f t="shared" si="14"/>
        <v>561</v>
      </c>
      <c r="G21" s="79">
        <f t="shared" si="15"/>
        <v>1926</v>
      </c>
      <c r="H21" s="12">
        <f t="shared" si="17"/>
        <v>299.757593610561</v>
      </c>
      <c r="I21" s="17">
        <f t="shared" si="6"/>
        <v>0.05</v>
      </c>
      <c r="J21" s="15">
        <f t="shared" si="16"/>
        <v>59161.649184926726</v>
      </c>
      <c r="K21" s="26">
        <f t="shared" si="2"/>
        <v>1821.8682743795646</v>
      </c>
      <c r="L21" s="27"/>
      <c r="M21" s="17">
        <f t="shared" si="7"/>
        <v>5.5E-2</v>
      </c>
      <c r="N21" s="15">
        <f t="shared" si="10"/>
        <v>60288.290885726841</v>
      </c>
    </row>
    <row r="22" spans="1:14" x14ac:dyDescent="0.2">
      <c r="A22" s="75"/>
      <c r="B22" s="13">
        <f t="shared" si="8"/>
        <v>2027</v>
      </c>
      <c r="C22" s="25">
        <f t="shared" si="11"/>
        <v>162956.97338149298</v>
      </c>
      <c r="D22" s="12">
        <f t="shared" si="0"/>
        <v>13579.747781791082</v>
      </c>
      <c r="E22" s="12">
        <f t="shared" si="13"/>
        <v>1926</v>
      </c>
      <c r="F22" s="12">
        <f t="shared" si="14"/>
        <v>561</v>
      </c>
      <c r="G22" s="79">
        <f t="shared" si="15"/>
        <v>1926</v>
      </c>
      <c r="H22" s="12">
        <f t="shared" si="17"/>
        <v>322.80824592463364</v>
      </c>
      <c r="I22" s="17">
        <f t="shared" si="6"/>
        <v>0.05</v>
      </c>
      <c r="J22" s="15">
        <f t="shared" si="16"/>
        <v>63978.082985952198</v>
      </c>
      <c r="K22" s="26">
        <f t="shared" si="2"/>
        <v>1726.8893596014832</v>
      </c>
      <c r="L22" s="27"/>
      <c r="M22" s="17">
        <f t="shared" si="7"/>
        <v>5.5E-2</v>
      </c>
      <c r="N22" s="15">
        <f t="shared" si="10"/>
        <v>65636.07688444182</v>
      </c>
    </row>
    <row r="23" spans="1:14" x14ac:dyDescent="0.2">
      <c r="A23" s="75"/>
      <c r="B23" s="13">
        <f t="shared" si="8"/>
        <v>2028</v>
      </c>
      <c r="C23" s="25">
        <f t="shared" si="11"/>
        <v>167438.29014948406</v>
      </c>
      <c r="D23" s="12">
        <f t="shared" si="0"/>
        <v>13953.190845790339</v>
      </c>
      <c r="E23" s="12">
        <f t="shared" si="13"/>
        <v>1926</v>
      </c>
      <c r="F23" s="12">
        <f t="shared" si="14"/>
        <v>561</v>
      </c>
      <c r="G23" s="79">
        <f t="shared" si="15"/>
        <v>1926</v>
      </c>
      <c r="H23" s="12">
        <f t="shared" si="17"/>
        <v>346.89041492976099</v>
      </c>
      <c r="I23" s="17">
        <f t="shared" si="6"/>
        <v>0.05</v>
      </c>
      <c r="J23" s="15">
        <f t="shared" si="16"/>
        <v>69010.052199573562</v>
      </c>
      <c r="K23" s="26">
        <f t="shared" si="2"/>
        <v>1636.8619522288941</v>
      </c>
      <c r="L23" s="27"/>
      <c r="M23" s="17">
        <f t="shared" si="7"/>
        <v>5.5E-2</v>
      </c>
      <c r="N23" s="15">
        <f t="shared" si="10"/>
        <v>71277.991113086115</v>
      </c>
    </row>
    <row r="24" spans="1:14" x14ac:dyDescent="0.2">
      <c r="A24" s="75"/>
      <c r="B24" s="13">
        <f t="shared" si="8"/>
        <v>2029</v>
      </c>
      <c r="C24" s="25">
        <f t="shared" si="11"/>
        <v>172042.84312859489</v>
      </c>
      <c r="D24" s="12">
        <f t="shared" si="0"/>
        <v>14336.903594049574</v>
      </c>
      <c r="E24" s="12">
        <f t="shared" si="13"/>
        <v>1926</v>
      </c>
      <c r="F24" s="12">
        <f t="shared" si="14"/>
        <v>561</v>
      </c>
      <c r="G24" s="79">
        <f t="shared" si="15"/>
        <v>1926</v>
      </c>
      <c r="H24" s="12">
        <f t="shared" si="17"/>
        <v>372.05026099786784</v>
      </c>
      <c r="I24" s="17">
        <f t="shared" si="6"/>
        <v>0.05</v>
      </c>
      <c r="J24" s="15">
        <f t="shared" si="16"/>
        <v>74267.202035504481</v>
      </c>
      <c r="K24" s="26">
        <f t="shared" si="2"/>
        <v>1551.5279168046388</v>
      </c>
      <c r="L24" s="27"/>
      <c r="M24" s="17">
        <f t="shared" si="7"/>
        <v>5.5E-2</v>
      </c>
      <c r="N24" s="15">
        <f t="shared" si="10"/>
        <v>77230.210624305852</v>
      </c>
    </row>
    <row r="25" spans="1:14" x14ac:dyDescent="0.2">
      <c r="A25" s="75"/>
      <c r="B25" s="13">
        <f t="shared" si="8"/>
        <v>2030</v>
      </c>
      <c r="C25" s="25">
        <f t="shared" si="11"/>
        <v>176774.02131463127</v>
      </c>
      <c r="D25" s="12">
        <f t="shared" si="0"/>
        <v>14731.168442885939</v>
      </c>
      <c r="E25" s="12">
        <f t="shared" si="13"/>
        <v>1926</v>
      </c>
      <c r="F25" s="12">
        <f t="shared" si="14"/>
        <v>561</v>
      </c>
      <c r="G25" s="79">
        <f t="shared" si="15"/>
        <v>1926</v>
      </c>
      <c r="H25" s="12">
        <f t="shared" si="17"/>
        <v>398.33601017752238</v>
      </c>
      <c r="I25" s="17">
        <f t="shared" si="6"/>
        <v>0.05</v>
      </c>
      <c r="J25" s="15">
        <f t="shared" si="16"/>
        <v>79759.609326593316</v>
      </c>
      <c r="K25" s="26">
        <f t="shared" si="2"/>
        <v>1470.6425751702741</v>
      </c>
      <c r="L25" s="27"/>
      <c r="M25" s="17">
        <f t="shared" si="7"/>
        <v>5.5E-2</v>
      </c>
      <c r="N25" s="15">
        <f t="shared" si="10"/>
        <v>83509.802208642664</v>
      </c>
    </row>
    <row r="26" spans="1:14" x14ac:dyDescent="0.2">
      <c r="A26" s="75"/>
      <c r="B26" s="13">
        <f t="shared" si="8"/>
        <v>2031</v>
      </c>
      <c r="C26" s="25">
        <f t="shared" si="11"/>
        <v>181635.30690078365</v>
      </c>
      <c r="D26" s="12">
        <f t="shared" si="0"/>
        <v>15136.275575065303</v>
      </c>
      <c r="E26" s="12">
        <f t="shared" si="13"/>
        <v>1926</v>
      </c>
      <c r="F26" s="12">
        <f t="shared" si="14"/>
        <v>561</v>
      </c>
      <c r="G26" s="79">
        <f t="shared" si="15"/>
        <v>1926</v>
      </c>
      <c r="H26" s="12">
        <f t="shared" si="17"/>
        <v>425.79804663296659</v>
      </c>
      <c r="I26" s="17">
        <f t="shared" si="6"/>
        <v>0.05</v>
      </c>
      <c r="J26" s="15">
        <f t="shared" si="16"/>
        <v>85497.801843958383</v>
      </c>
      <c r="K26" s="26">
        <f t="shared" si="2"/>
        <v>1393.9740049007337</v>
      </c>
      <c r="L26" s="27"/>
      <c r="M26" s="17">
        <f t="shared" si="7"/>
        <v>5.5E-2</v>
      </c>
      <c r="N26" s="15">
        <f t="shared" si="10"/>
        <v>90134.771330118005</v>
      </c>
    </row>
    <row r="27" spans="1:14" x14ac:dyDescent="0.2">
      <c r="A27" s="75"/>
      <c r="B27" s="13">
        <f t="shared" si="8"/>
        <v>2032</v>
      </c>
      <c r="C27" s="25">
        <f t="shared" si="11"/>
        <v>186630.27784055521</v>
      </c>
      <c r="D27" s="12">
        <f t="shared" si="0"/>
        <v>15552.523153379601</v>
      </c>
      <c r="E27" s="12">
        <f t="shared" si="13"/>
        <v>1926</v>
      </c>
      <c r="F27" s="12">
        <f t="shared" si="14"/>
        <v>561</v>
      </c>
      <c r="G27" s="79">
        <f t="shared" si="15"/>
        <v>1926</v>
      </c>
      <c r="H27" s="12">
        <f t="shared" si="17"/>
        <v>454.48900921979191</v>
      </c>
      <c r="I27" s="17">
        <f t="shared" si="6"/>
        <v>0.05</v>
      </c>
      <c r="J27" s="15">
        <f t="shared" si="16"/>
        <v>91492.778476475534</v>
      </c>
      <c r="K27" s="26">
        <f t="shared" si="2"/>
        <v>1321.3023743134916</v>
      </c>
      <c r="L27" s="27"/>
      <c r="M27" s="17">
        <f t="shared" si="7"/>
        <v>5.5E-2</v>
      </c>
      <c r="N27" s="15">
        <f t="shared" si="10"/>
        <v>97124.113753274491</v>
      </c>
    </row>
    <row r="28" spans="1:14" x14ac:dyDescent="0.2">
      <c r="A28" s="75"/>
      <c r="B28" s="13">
        <f t="shared" si="8"/>
        <v>2033</v>
      </c>
      <c r="C28" s="25">
        <f t="shared" si="11"/>
        <v>191762.6104811705</v>
      </c>
      <c r="D28" s="12">
        <f t="shared" si="0"/>
        <v>15980.217540097541</v>
      </c>
      <c r="E28" s="12">
        <f t="shared" si="13"/>
        <v>1926</v>
      </c>
      <c r="F28" s="12">
        <f t="shared" si="14"/>
        <v>561</v>
      </c>
      <c r="G28" s="79">
        <f t="shared" si="15"/>
        <v>1926</v>
      </c>
      <c r="H28" s="12">
        <f t="shared" si="17"/>
        <v>484.46389238237771</v>
      </c>
      <c r="I28" s="17">
        <f t="shared" si="6"/>
        <v>0.05</v>
      </c>
      <c r="J28" s="15">
        <f t="shared" si="16"/>
        <v>97756.030313297815</v>
      </c>
      <c r="K28" s="26">
        <f t="shared" si="2"/>
        <v>1252.4193121454898</v>
      </c>
      <c r="L28" s="27"/>
      <c r="M28" s="17">
        <f t="shared" si="7"/>
        <v>5.5E-2</v>
      </c>
      <c r="N28" s="15">
        <f t="shared" si="10"/>
        <v>104497.87000970458</v>
      </c>
    </row>
    <row r="29" spans="1:14" x14ac:dyDescent="0.2">
      <c r="A29" s="75"/>
      <c r="B29" s="13">
        <f t="shared" si="8"/>
        <v>2034</v>
      </c>
      <c r="C29" s="25">
        <f t="shared" si="11"/>
        <v>197036.08226940272</v>
      </c>
      <c r="D29" s="12">
        <f t="shared" si="0"/>
        <v>16419.673522450226</v>
      </c>
      <c r="E29" s="12">
        <f t="shared" si="13"/>
        <v>1926</v>
      </c>
      <c r="F29" s="12">
        <f t="shared" si="14"/>
        <v>561</v>
      </c>
      <c r="G29" s="79">
        <f t="shared" si="15"/>
        <v>1926</v>
      </c>
      <c r="H29" s="12">
        <f t="shared" si="17"/>
        <v>515.78015156648917</v>
      </c>
      <c r="I29" s="17">
        <f t="shared" si="6"/>
        <v>0.05</v>
      </c>
      <c r="J29" s="15">
        <f t="shared" si="16"/>
        <v>104299.5626698179</v>
      </c>
      <c r="K29" s="26">
        <f t="shared" si="2"/>
        <v>1187.1273100905116</v>
      </c>
      <c r="L29" s="27"/>
      <c r="M29" s="17">
        <f t="shared" si="7"/>
        <v>5.5E-2</v>
      </c>
      <c r="N29" s="15">
        <f t="shared" si="10"/>
        <v>112277.18286023833</v>
      </c>
    </row>
    <row r="30" spans="1:14" x14ac:dyDescent="0.2">
      <c r="A30" s="75"/>
      <c r="B30" s="13">
        <f t="shared" si="8"/>
        <v>2035</v>
      </c>
      <c r="C30" s="25">
        <f t="shared" si="11"/>
        <v>202454.57453181132</v>
      </c>
      <c r="D30" s="12">
        <f t="shared" si="0"/>
        <v>16871.214544317609</v>
      </c>
      <c r="E30" s="12">
        <f t="shared" si="13"/>
        <v>1926</v>
      </c>
      <c r="F30" s="12">
        <f t="shared" si="14"/>
        <v>561</v>
      </c>
      <c r="G30" s="79">
        <f t="shared" si="15"/>
        <v>1926</v>
      </c>
      <c r="H30" s="12">
        <f t="shared" si="17"/>
        <v>548.49781334908948</v>
      </c>
      <c r="I30" s="17">
        <f t="shared" si="6"/>
        <v>0.05</v>
      </c>
      <c r="J30" s="15">
        <f t="shared" si="16"/>
        <v>111135.91809929225</v>
      </c>
      <c r="K30" s="26">
        <f t="shared" si="2"/>
        <v>1125.2391564838974</v>
      </c>
      <c r="L30" s="27"/>
      <c r="M30" s="17">
        <f t="shared" si="7"/>
        <v>5.5E-2</v>
      </c>
      <c r="N30" s="15">
        <f t="shared" si="10"/>
        <v>120484.35791755143</v>
      </c>
    </row>
    <row r="31" spans="1:14" x14ac:dyDescent="0.2">
      <c r="A31" s="75"/>
      <c r="B31" s="13">
        <f t="shared" si="8"/>
        <v>2036</v>
      </c>
      <c r="C31" s="25">
        <f t="shared" si="11"/>
        <v>208022.07533143615</v>
      </c>
      <c r="D31" s="12">
        <f t="shared" si="0"/>
        <v>17335.172944286347</v>
      </c>
      <c r="E31" s="12">
        <f t="shared" si="13"/>
        <v>1926</v>
      </c>
      <c r="F31" s="12">
        <f t="shared" si="14"/>
        <v>561</v>
      </c>
      <c r="G31" s="79">
        <f t="shared" si="15"/>
        <v>1926</v>
      </c>
      <c r="H31" s="12">
        <f t="shared" si="17"/>
        <v>582.67959049646129</v>
      </c>
      <c r="I31" s="17">
        <f t="shared" si="6"/>
        <v>0.05</v>
      </c>
      <c r="J31" s="15">
        <f t="shared" si="16"/>
        <v>118278.20043423558</v>
      </c>
      <c r="K31" s="26">
        <f t="shared" si="2"/>
        <v>1066.5773995108032</v>
      </c>
      <c r="L31" s="27"/>
      <c r="M31" s="17">
        <f t="shared" si="7"/>
        <v>5.5E-2</v>
      </c>
      <c r="N31" s="15">
        <f t="shared" si="10"/>
        <v>129142.92760301675</v>
      </c>
    </row>
    <row r="32" spans="1:14" x14ac:dyDescent="0.2">
      <c r="A32" s="75"/>
      <c r="B32" s="13">
        <f t="shared" si="8"/>
        <v>2037</v>
      </c>
      <c r="C32" s="25">
        <f t="shared" si="11"/>
        <v>213742.68240305065</v>
      </c>
      <c r="D32" s="12">
        <f t="shared" si="0"/>
        <v>17811.89020025422</v>
      </c>
      <c r="E32" s="12">
        <f t="shared" si="13"/>
        <v>1926</v>
      </c>
      <c r="F32" s="12">
        <f t="shared" si="14"/>
        <v>561</v>
      </c>
      <c r="G32" s="79">
        <f t="shared" si="15"/>
        <v>1926</v>
      </c>
      <c r="H32" s="12">
        <f t="shared" si="17"/>
        <v>618.39100217117789</v>
      </c>
      <c r="I32" s="17">
        <f t="shared" si="6"/>
        <v>0.05</v>
      </c>
      <c r="J32" s="15">
        <f t="shared" si="16"/>
        <v>125740.09990366762</v>
      </c>
      <c r="K32" s="26">
        <f t="shared" si="2"/>
        <v>1010.9738383988656</v>
      </c>
      <c r="L32" s="27"/>
      <c r="M32" s="17">
        <f t="shared" si="7"/>
        <v>5.5E-2</v>
      </c>
      <c r="N32" s="15">
        <f t="shared" si="10"/>
        <v>138277.71862118266</v>
      </c>
    </row>
    <row r="33" spans="1:14" x14ac:dyDescent="0.2">
      <c r="A33" s="75"/>
      <c r="B33" s="13">
        <f t="shared" si="8"/>
        <v>2038</v>
      </c>
      <c r="C33" s="25">
        <f t="shared" si="11"/>
        <v>219620.60616913455</v>
      </c>
      <c r="D33" s="12">
        <f t="shared" si="0"/>
        <v>18301.717180761214</v>
      </c>
      <c r="E33" s="12">
        <f t="shared" si="13"/>
        <v>1926</v>
      </c>
      <c r="F33" s="12">
        <f t="shared" si="14"/>
        <v>561</v>
      </c>
      <c r="G33" s="79">
        <f t="shared" si="15"/>
        <v>1926</v>
      </c>
      <c r="H33" s="12">
        <f t="shared" si="17"/>
        <v>655.70049951833812</v>
      </c>
      <c r="I33" s="17">
        <f t="shared" si="6"/>
        <v>0.05</v>
      </c>
      <c r="J33" s="15">
        <f t="shared" si="16"/>
        <v>133535.91937435674</v>
      </c>
      <c r="K33" s="26">
        <f t="shared" si="2"/>
        <v>958.26904113636567</v>
      </c>
      <c r="L33" s="27"/>
      <c r="M33" s="17">
        <f t="shared" si="7"/>
        <v>5.5E-2</v>
      </c>
      <c r="N33" s="15">
        <f t="shared" si="10"/>
        <v>147914.92314534771</v>
      </c>
    </row>
    <row r="34" spans="1:14" x14ac:dyDescent="0.2">
      <c r="A34" s="75"/>
      <c r="B34" s="13">
        <f t="shared" si="8"/>
        <v>2039</v>
      </c>
      <c r="C34" s="25">
        <f t="shared" si="11"/>
        <v>225660.17283878577</v>
      </c>
      <c r="D34" s="12">
        <f t="shared" si="0"/>
        <v>18805.014403232148</v>
      </c>
      <c r="E34" s="12">
        <f t="shared" si="13"/>
        <v>1926</v>
      </c>
      <c r="F34" s="12">
        <f t="shared" si="14"/>
        <v>561</v>
      </c>
      <c r="G34" s="79">
        <f t="shared" si="15"/>
        <v>1926</v>
      </c>
      <c r="H34" s="12">
        <f t="shared" si="17"/>
        <v>694.6795968717837</v>
      </c>
      <c r="I34" s="17">
        <f t="shared" si="6"/>
        <v>0.05</v>
      </c>
      <c r="J34" s="15">
        <f t="shared" si="16"/>
        <v>141680.60176635924</v>
      </c>
      <c r="K34" s="26">
        <f t="shared" si="2"/>
        <v>908.31188733304805</v>
      </c>
      <c r="L34" s="27"/>
      <c r="M34" s="17">
        <f t="shared" si="7"/>
        <v>5.5E-2</v>
      </c>
      <c r="N34" s="15">
        <f t="shared" si="10"/>
        <v>158082.17391834184</v>
      </c>
    </row>
    <row r="35" spans="1:14" x14ac:dyDescent="0.2">
      <c r="A35" s="75"/>
      <c r="B35" s="13">
        <f t="shared" si="8"/>
        <v>2040</v>
      </c>
      <c r="C35" s="25">
        <f t="shared" si="11"/>
        <v>231865.8275918524</v>
      </c>
      <c r="D35" s="12">
        <f t="shared" si="0"/>
        <v>19322.152299321035</v>
      </c>
      <c r="E35" s="12">
        <f t="shared" si="13"/>
        <v>1926</v>
      </c>
      <c r="F35" s="12">
        <f t="shared" si="14"/>
        <v>561</v>
      </c>
      <c r="G35" s="79">
        <f t="shared" si="15"/>
        <v>1926</v>
      </c>
      <c r="H35" s="12">
        <f t="shared" si="17"/>
        <v>735.40300883179623</v>
      </c>
      <c r="I35" s="17">
        <f t="shared" si="6"/>
        <v>0.05</v>
      </c>
      <c r="J35" s="15">
        <f t="shared" si="16"/>
        <v>150189.75869540381</v>
      </c>
      <c r="K35" s="26">
        <f t="shared" si="2"/>
        <v>860.95913491284171</v>
      </c>
      <c r="L35" s="27"/>
      <c r="M35" s="17">
        <f t="shared" si="7"/>
        <v>5.5E-2</v>
      </c>
      <c r="N35" s="15">
        <f t="shared" si="10"/>
        <v>168808.62348385062</v>
      </c>
    </row>
    <row r="36" spans="1:14" x14ac:dyDescent="0.2">
      <c r="A36" s="75"/>
      <c r="B36" s="13">
        <f t="shared" si="8"/>
        <v>2041</v>
      </c>
      <c r="C36" s="25">
        <f t="shared" si="11"/>
        <v>238242.13785062835</v>
      </c>
      <c r="D36" s="12">
        <f t="shared" si="0"/>
        <v>19853.511487552361</v>
      </c>
      <c r="E36" s="12">
        <f t="shared" si="13"/>
        <v>1926</v>
      </c>
      <c r="F36" s="12">
        <f t="shared" si="14"/>
        <v>561</v>
      </c>
      <c r="G36" s="79">
        <f t="shared" si="15"/>
        <v>1926</v>
      </c>
      <c r="H36" s="12">
        <f t="shared" si="17"/>
        <v>777.94879347701908</v>
      </c>
      <c r="I36" s="17">
        <f t="shared" si="6"/>
        <v>0.05</v>
      </c>
      <c r="J36" s="15">
        <f t="shared" si="16"/>
        <v>159079.70039702312</v>
      </c>
      <c r="K36" s="26">
        <f t="shared" si="2"/>
        <v>816.07500939605848</v>
      </c>
      <c r="L36" s="27"/>
      <c r="M36" s="17">
        <f t="shared" si="7"/>
        <v>5.5E-2</v>
      </c>
      <c r="N36" s="15">
        <f t="shared" si="10"/>
        <v>180125.0277754624</v>
      </c>
    </row>
    <row r="37" spans="1:14" x14ac:dyDescent="0.2">
      <c r="A37" s="75"/>
      <c r="B37" s="13">
        <f t="shared" si="8"/>
        <v>2042</v>
      </c>
      <c r="C37" s="25">
        <f t="shared" si="11"/>
        <v>244793.79664152066</v>
      </c>
      <c r="D37" s="12">
        <f t="shared" si="0"/>
        <v>20399.483053460055</v>
      </c>
      <c r="E37" s="12">
        <f t="shared" si="13"/>
        <v>1926</v>
      </c>
      <c r="F37" s="12">
        <f t="shared" si="14"/>
        <v>561</v>
      </c>
      <c r="G37" s="79">
        <f t="shared" si="15"/>
        <v>1926</v>
      </c>
      <c r="H37" s="12">
        <f t="shared" si="17"/>
        <v>822.39850198511556</v>
      </c>
      <c r="I37" s="17">
        <f t="shared" si="6"/>
        <v>0.05</v>
      </c>
      <c r="J37" s="15">
        <f t="shared" si="16"/>
        <v>168367.46698978989</v>
      </c>
      <c r="K37" s="26">
        <f t="shared" si="2"/>
        <v>773.53081459342047</v>
      </c>
      <c r="L37" s="27"/>
      <c r="M37" s="17">
        <f t="shared" si="7"/>
        <v>5.5E-2</v>
      </c>
      <c r="N37" s="15">
        <f t="shared" si="10"/>
        <v>192063.83430311282</v>
      </c>
    </row>
    <row r="38" spans="1:14" x14ac:dyDescent="0.2">
      <c r="A38" s="75"/>
      <c r="B38" s="13">
        <f t="shared" si="8"/>
        <v>2043</v>
      </c>
      <c r="C38" s="25">
        <f t="shared" si="11"/>
        <v>251525.6260491625</v>
      </c>
      <c r="D38" s="12">
        <f t="shared" si="0"/>
        <v>20960.46883743021</v>
      </c>
      <c r="E38" s="12">
        <f t="shared" si="13"/>
        <v>1926</v>
      </c>
      <c r="F38" s="12">
        <f t="shared" si="14"/>
        <v>561</v>
      </c>
      <c r="G38" s="79">
        <f t="shared" si="15"/>
        <v>1926</v>
      </c>
      <c r="H38" s="12">
        <f t="shared" si="17"/>
        <v>868.83733494894943</v>
      </c>
      <c r="I38" s="17">
        <f t="shared" si="6"/>
        <v>0.05</v>
      </c>
      <c r="J38" s="15">
        <f t="shared" si="16"/>
        <v>178070.86113758301</v>
      </c>
      <c r="K38" s="26">
        <f t="shared" si="2"/>
        <v>733.20456359565924</v>
      </c>
      <c r="L38" s="27"/>
      <c r="M38" s="17">
        <f t="shared" si="7"/>
        <v>5.5E-2</v>
      </c>
      <c r="N38" s="15">
        <f t="shared" si="10"/>
        <v>204659.27518978401</v>
      </c>
    </row>
    <row r="39" spans="1:14" x14ac:dyDescent="0.2">
      <c r="A39" s="75"/>
      <c r="B39" s="13">
        <f t="shared" si="8"/>
        <v>2044</v>
      </c>
      <c r="C39" s="25">
        <f t="shared" si="11"/>
        <v>258442.58076551449</v>
      </c>
      <c r="D39" s="12">
        <f t="shared" si="0"/>
        <v>21536.88173045954</v>
      </c>
      <c r="E39" s="12">
        <f t="shared" si="13"/>
        <v>1926</v>
      </c>
      <c r="F39" s="12">
        <f t="shared" si="14"/>
        <v>561</v>
      </c>
      <c r="G39" s="79">
        <f t="shared" si="15"/>
        <v>1926</v>
      </c>
      <c r="H39" s="12">
        <f t="shared" si="17"/>
        <v>917.35430568791503</v>
      </c>
      <c r="I39" s="17">
        <f t="shared" si="6"/>
        <v>0.05</v>
      </c>
      <c r="J39" s="15">
        <f t="shared" si="16"/>
        <v>188208.48217348984</v>
      </c>
      <c r="K39" s="26">
        <f t="shared" si="2"/>
        <v>694.98062900062484</v>
      </c>
      <c r="L39" s="27"/>
      <c r="M39" s="17">
        <f t="shared" si="7"/>
        <v>5.5E-2</v>
      </c>
      <c r="N39" s="15">
        <f t="shared" si="10"/>
        <v>217947.46532522212</v>
      </c>
    </row>
    <row r="40" spans="1:14" x14ac:dyDescent="0.2">
      <c r="A40" s="75"/>
      <c r="B40" s="13">
        <f t="shared" si="8"/>
        <v>2045</v>
      </c>
      <c r="C40" s="25">
        <f t="shared" si="11"/>
        <v>265549.75173656613</v>
      </c>
      <c r="D40" s="12">
        <f t="shared" si="0"/>
        <v>22129.145978047178</v>
      </c>
      <c r="E40" s="12">
        <f t="shared" si="13"/>
        <v>1926</v>
      </c>
      <c r="F40" s="12">
        <f t="shared" si="14"/>
        <v>561</v>
      </c>
      <c r="G40" s="79">
        <f t="shared" si="15"/>
        <v>1926</v>
      </c>
      <c r="H40" s="12">
        <f t="shared" si="17"/>
        <v>968.04241086744923</v>
      </c>
      <c r="I40" s="17">
        <f t="shared" si="6"/>
        <v>0.05</v>
      </c>
      <c r="J40" s="15">
        <f t="shared" si="16"/>
        <v>198799.7617507535</v>
      </c>
      <c r="K40" s="26">
        <f t="shared" si="2"/>
        <v>658.74941137499991</v>
      </c>
      <c r="L40" s="27"/>
      <c r="M40" s="17">
        <f t="shared" si="7"/>
        <v>5.5E-2</v>
      </c>
      <c r="N40" s="15">
        <f t="shared" si="10"/>
        <v>231966.50591810932</v>
      </c>
    </row>
    <row r="41" spans="1:14" x14ac:dyDescent="0.2">
      <c r="A41" s="75"/>
      <c r="B41" s="13">
        <f t="shared" si="8"/>
        <v>2046</v>
      </c>
      <c r="C41" s="25">
        <f t="shared" si="11"/>
        <v>272852.36990932171</v>
      </c>
      <c r="D41" s="12">
        <f t="shared" si="0"/>
        <v>22737.697492443476</v>
      </c>
      <c r="E41" s="12">
        <f t="shared" si="13"/>
        <v>1926</v>
      </c>
      <c r="F41" s="12">
        <f t="shared" si="14"/>
        <v>561</v>
      </c>
      <c r="G41" s="79">
        <f t="shared" si="15"/>
        <v>1926</v>
      </c>
      <c r="H41" s="12">
        <f t="shared" si="17"/>
        <v>1020.9988087537675</v>
      </c>
      <c r="I41" s="17">
        <f t="shared" si="6"/>
        <v>0.05</v>
      </c>
      <c r="J41" s="15">
        <f t="shared" si="16"/>
        <v>209865.00108909974</v>
      </c>
      <c r="K41" s="26">
        <f t="shared" si="2"/>
        <v>624.40702499999998</v>
      </c>
      <c r="L41" s="27"/>
      <c r="M41" s="17">
        <f t="shared" si="7"/>
        <v>5.5E-2</v>
      </c>
      <c r="N41" s="15">
        <f t="shared" si="10"/>
        <v>246756.59374360534</v>
      </c>
    </row>
    <row r="42" spans="1:14" x14ac:dyDescent="0.2">
      <c r="A42" s="75"/>
      <c r="B42" s="13">
        <f t="shared" si="8"/>
        <v>2047</v>
      </c>
      <c r="C42" s="25">
        <f t="shared" si="11"/>
        <v>280355.81008182809</v>
      </c>
      <c r="D42" s="12">
        <f t="shared" si="0"/>
        <v>23362.984173485675</v>
      </c>
      <c r="E42" s="12">
        <f t="shared" si="13"/>
        <v>1926</v>
      </c>
      <c r="F42" s="12">
        <f t="shared" si="14"/>
        <v>561</v>
      </c>
      <c r="G42" s="79">
        <f t="shared" si="15"/>
        <v>1926</v>
      </c>
      <c r="H42" s="12">
        <f t="shared" si="17"/>
        <v>1076.3250054454986</v>
      </c>
      <c r="I42" s="17">
        <f t="shared" si="6"/>
        <v>0.05</v>
      </c>
      <c r="J42" s="15">
        <f t="shared" si="16"/>
        <v>221425.40988783696</v>
      </c>
      <c r="K42" s="26">
        <f t="shared" si="2"/>
        <v>591.85500000000002</v>
      </c>
      <c r="L42" s="27"/>
      <c r="M42" s="17">
        <f t="shared" si="7"/>
        <v>5.5E-2</v>
      </c>
      <c r="N42" s="15">
        <f t="shared" si="10"/>
        <v>262360.13639950362</v>
      </c>
    </row>
    <row r="43" spans="1:14" x14ac:dyDescent="0.2">
      <c r="A43" s="75"/>
      <c r="B43" s="13">
        <f t="shared" si="8"/>
        <v>2048</v>
      </c>
      <c r="C43" s="25">
        <f t="shared" si="11"/>
        <v>288065.59485907841</v>
      </c>
      <c r="D43" s="12">
        <f t="shared" si="0"/>
        <v>24005.466238256533</v>
      </c>
      <c r="E43" s="12">
        <f t="shared" si="13"/>
        <v>1926</v>
      </c>
      <c r="F43" s="12">
        <f t="shared" si="14"/>
        <v>561</v>
      </c>
      <c r="G43" s="79">
        <f t="shared" si="15"/>
        <v>1926</v>
      </c>
      <c r="H43" s="12">
        <f t="shared" si="17"/>
        <v>1134.1270494391847</v>
      </c>
      <c r="I43" s="17">
        <f t="shared" si="6"/>
        <v>0.05</v>
      </c>
      <c r="J43" s="15">
        <f t="shared" si="16"/>
        <v>233503.14698031769</v>
      </c>
      <c r="K43" s="26">
        <f t="shared" si="2"/>
        <v>561</v>
      </c>
      <c r="L43" s="27"/>
      <c r="M43" s="17">
        <f t="shared" si="7"/>
        <v>5.5E-2</v>
      </c>
      <c r="N43" s="15">
        <f t="shared" si="10"/>
        <v>278821.87390147633</v>
      </c>
    </row>
    <row r="44" spans="1:14" x14ac:dyDescent="0.2">
      <c r="A44" s="13"/>
      <c r="B44" s="13"/>
      <c r="C44" s="12"/>
      <c r="D44" s="12"/>
      <c r="E44" s="12"/>
      <c r="F44" s="13"/>
      <c r="G44" s="13"/>
      <c r="H44" s="12"/>
      <c r="I44" s="17"/>
      <c r="J44" s="15"/>
      <c r="K44" s="10"/>
      <c r="L44" s="27"/>
      <c r="M44" s="17"/>
      <c r="N44" s="13"/>
    </row>
    <row r="45" spans="1:14" x14ac:dyDescent="0.2">
      <c r="A45" s="13" t="s">
        <v>11</v>
      </c>
      <c r="B45" s="13"/>
      <c r="C45" s="15">
        <f>SUM(C4:C43)</f>
        <v>7126814.4988255445</v>
      </c>
      <c r="D45" s="15"/>
      <c r="E45" s="15"/>
      <c r="F45" s="15">
        <f t="shared" ref="F45" si="18">SUM(F4:F43)</f>
        <v>22620</v>
      </c>
      <c r="G45" s="15">
        <f>SUM(G4:G43)</f>
        <v>77220</v>
      </c>
      <c r="H45" s="15">
        <f>SUM(H4:H43)</f>
        <v>16784.021544306921</v>
      </c>
      <c r="I45" s="17"/>
      <c r="J45" s="15"/>
      <c r="K45" s="28">
        <f>SUM(K4:K43)</f>
        <v>77819.473190819641</v>
      </c>
      <c r="L45" s="27"/>
      <c r="M45" s="17"/>
      <c r="N45" s="13"/>
    </row>
    <row r="46" spans="1:14" x14ac:dyDescent="0.2">
      <c r="A46" s="13"/>
      <c r="B46" s="13"/>
      <c r="C46" s="15"/>
      <c r="D46" s="15"/>
      <c r="E46" s="15"/>
      <c r="F46" s="15"/>
      <c r="G46" s="15"/>
      <c r="H46" s="15"/>
      <c r="I46" s="17" t="s">
        <v>35</v>
      </c>
      <c r="J46" s="15"/>
      <c r="K46" s="28" t="s">
        <v>22</v>
      </c>
      <c r="L46" s="27"/>
      <c r="M46" s="17"/>
      <c r="N46" s="13"/>
    </row>
    <row r="47" spans="1:14" ht="26" x14ac:dyDescent="0.3">
      <c r="A47" s="29"/>
      <c r="B47" s="30" t="s">
        <v>16</v>
      </c>
      <c r="C47" s="31"/>
      <c r="D47" s="31"/>
      <c r="E47" s="31"/>
      <c r="F47" s="32"/>
      <c r="G47" s="33" t="s">
        <v>17</v>
      </c>
      <c r="H47" s="34"/>
      <c r="I47" s="35"/>
      <c r="J47" s="34"/>
      <c r="K47" s="36"/>
      <c r="L47" s="27"/>
      <c r="M47" s="17"/>
      <c r="N47" s="13"/>
    </row>
    <row r="48" spans="1:14" x14ac:dyDescent="0.2">
      <c r="A48" s="29"/>
      <c r="B48" s="29"/>
      <c r="C48" s="37"/>
      <c r="D48" s="37"/>
      <c r="E48" s="37"/>
      <c r="F48" s="32"/>
      <c r="G48" s="32"/>
      <c r="H48" s="38"/>
      <c r="I48" s="35"/>
      <c r="J48" s="38"/>
      <c r="K48" s="10"/>
      <c r="L48" s="27"/>
      <c r="M48" s="17"/>
      <c r="N48" s="13"/>
    </row>
    <row r="49" spans="1:14" x14ac:dyDescent="0.2">
      <c r="A49" s="29"/>
      <c r="B49" s="29"/>
      <c r="C49" s="39" t="s">
        <v>21</v>
      </c>
      <c r="D49" s="40">
        <f>J43</f>
        <v>233503.14698031769</v>
      </c>
      <c r="E49" s="37"/>
      <c r="F49" s="32"/>
      <c r="G49" s="32"/>
      <c r="H49" s="41" t="s">
        <v>21</v>
      </c>
      <c r="I49" s="42">
        <f>N43</f>
        <v>278821.87390147633</v>
      </c>
      <c r="J49" s="38"/>
      <c r="K49" s="10"/>
      <c r="L49" s="27"/>
      <c r="M49" s="17"/>
      <c r="N49" s="13"/>
    </row>
    <row r="50" spans="1:14" x14ac:dyDescent="0.2">
      <c r="A50" s="29"/>
      <c r="B50" s="29"/>
      <c r="C50" s="37"/>
      <c r="D50" s="37"/>
      <c r="E50" s="37"/>
      <c r="F50" s="32"/>
      <c r="G50" s="32"/>
      <c r="H50" s="38"/>
      <c r="I50" s="35"/>
      <c r="J50" s="38"/>
      <c r="K50" s="10"/>
      <c r="L50" s="27"/>
      <c r="M50" s="17"/>
      <c r="N50" s="13"/>
    </row>
    <row r="51" spans="1:14" x14ac:dyDescent="0.2">
      <c r="A51" s="29"/>
      <c r="B51" s="29"/>
      <c r="C51" s="43" t="s">
        <v>20</v>
      </c>
      <c r="D51" s="44">
        <v>0.25</v>
      </c>
      <c r="E51" s="37"/>
      <c r="F51" s="32"/>
      <c r="G51" s="32"/>
      <c r="H51" s="45" t="s">
        <v>18</v>
      </c>
      <c r="I51" s="46">
        <v>0.26374999999999998</v>
      </c>
      <c r="J51" s="38"/>
      <c r="K51" s="10"/>
      <c r="L51" s="27"/>
      <c r="M51" s="17"/>
      <c r="N51" s="13"/>
    </row>
    <row r="52" spans="1:14" x14ac:dyDescent="0.2">
      <c r="A52" s="29"/>
      <c r="B52" s="29"/>
      <c r="C52" s="37"/>
      <c r="D52" s="37"/>
      <c r="E52" s="37"/>
      <c r="F52" s="32"/>
      <c r="G52" s="32"/>
      <c r="H52" s="38"/>
      <c r="I52" s="35"/>
      <c r="J52" s="38"/>
      <c r="K52" s="10"/>
      <c r="L52" s="27"/>
      <c r="M52" s="17"/>
      <c r="N52" s="13"/>
    </row>
    <row r="53" spans="1:14" x14ac:dyDescent="0.2">
      <c r="A53" s="29"/>
      <c r="B53" s="29"/>
      <c r="C53" s="43" t="s">
        <v>30</v>
      </c>
      <c r="D53" s="31">
        <f>K45</f>
        <v>77819.473190819641</v>
      </c>
      <c r="E53" s="37"/>
      <c r="F53" s="32"/>
      <c r="G53" s="32"/>
      <c r="H53" s="45" t="s">
        <v>13</v>
      </c>
      <c r="I53" s="34">
        <v>0</v>
      </c>
      <c r="J53" s="38"/>
      <c r="K53" s="10"/>
      <c r="L53" s="27"/>
      <c r="M53" s="17"/>
      <c r="N53" s="13"/>
    </row>
    <row r="54" spans="1:14" x14ac:dyDescent="0.2">
      <c r="A54" s="29"/>
      <c r="B54" s="29"/>
      <c r="C54" s="43" t="s">
        <v>18</v>
      </c>
      <c r="D54" s="47">
        <v>0.26374999999999998</v>
      </c>
      <c r="E54" s="37"/>
      <c r="F54" s="32"/>
      <c r="G54" s="32"/>
      <c r="H54" s="45"/>
      <c r="I54" s="34"/>
      <c r="J54" s="38"/>
      <c r="K54" s="10"/>
      <c r="L54" s="27"/>
      <c r="M54" s="17"/>
      <c r="N54" s="13"/>
    </row>
    <row r="55" spans="1:14" x14ac:dyDescent="0.2">
      <c r="A55" s="29"/>
      <c r="B55" s="29"/>
      <c r="C55" s="43" t="s">
        <v>23</v>
      </c>
      <c r="D55" s="31">
        <f>(D53-F45)*D54</f>
        <v>14558.861054078679</v>
      </c>
      <c r="E55" s="37"/>
      <c r="F55" s="32"/>
      <c r="G55" s="32"/>
      <c r="H55" s="45"/>
      <c r="I55" s="34"/>
      <c r="J55" s="38"/>
      <c r="K55" s="10"/>
      <c r="L55" s="27"/>
      <c r="M55" s="17"/>
      <c r="N55" s="13"/>
    </row>
    <row r="56" spans="1:14" x14ac:dyDescent="0.2">
      <c r="A56" s="29"/>
      <c r="B56" s="29"/>
      <c r="C56" s="37"/>
      <c r="D56" s="37"/>
      <c r="E56" s="37"/>
      <c r="F56" s="32"/>
      <c r="G56" s="32"/>
      <c r="H56" s="38"/>
      <c r="I56" s="34"/>
      <c r="J56" s="38"/>
      <c r="K56" s="10"/>
      <c r="L56" s="27"/>
      <c r="M56" s="17"/>
      <c r="N56" s="13"/>
    </row>
    <row r="57" spans="1:14" ht="16" thickBot="1" x14ac:dyDescent="0.25">
      <c r="A57" s="48"/>
      <c r="B57" s="48"/>
      <c r="C57" s="49" t="s">
        <v>24</v>
      </c>
      <c r="D57" s="50">
        <f>D51*D49</f>
        <v>58375.786745079422</v>
      </c>
      <c r="E57" s="37"/>
      <c r="F57" s="51"/>
      <c r="G57" s="51"/>
      <c r="H57" s="52" t="s">
        <v>12</v>
      </c>
      <c r="I57" s="53">
        <f>I51*(I49-G45)</f>
        <v>53172.494241514381</v>
      </c>
      <c r="J57" s="38"/>
      <c r="K57" s="10"/>
      <c r="L57" s="27"/>
      <c r="M57" s="17"/>
      <c r="N57" s="13"/>
    </row>
    <row r="58" spans="1:14" ht="16" thickTop="1" x14ac:dyDescent="0.2">
      <c r="A58" s="29"/>
      <c r="B58" s="29"/>
      <c r="C58" s="54" t="s">
        <v>31</v>
      </c>
      <c r="D58" s="55">
        <f>D57-D53+D55</f>
        <v>-4884.8253916615395</v>
      </c>
      <c r="E58" s="37"/>
      <c r="F58" s="32"/>
      <c r="G58" s="32"/>
      <c r="H58" s="56" t="s">
        <v>31</v>
      </c>
      <c r="I58" s="57">
        <f>I57-I53</f>
        <v>53172.494241514381</v>
      </c>
      <c r="J58" s="38"/>
      <c r="K58" s="10"/>
      <c r="L58" s="27"/>
      <c r="M58" s="17"/>
      <c r="N58" s="13"/>
    </row>
    <row r="59" spans="1:14" x14ac:dyDescent="0.2">
      <c r="A59" s="29"/>
      <c r="B59" s="29"/>
      <c r="C59" s="37"/>
      <c r="D59" s="37"/>
      <c r="E59" s="37"/>
      <c r="F59" s="32"/>
      <c r="G59" s="32"/>
      <c r="H59" s="38"/>
      <c r="I59" s="35"/>
      <c r="J59" s="38"/>
      <c r="K59" s="10"/>
      <c r="L59" s="27"/>
      <c r="M59" s="17"/>
      <c r="N59" s="13"/>
    </row>
    <row r="60" spans="1:14" x14ac:dyDescent="0.2">
      <c r="A60" s="29"/>
      <c r="B60" s="29"/>
      <c r="C60" s="37"/>
      <c r="D60" s="37"/>
      <c r="E60" s="37"/>
      <c r="F60" s="32"/>
      <c r="G60" s="32"/>
      <c r="H60" s="38"/>
      <c r="I60" s="35"/>
      <c r="J60" s="38"/>
      <c r="K60" s="10"/>
      <c r="L60" s="27"/>
      <c r="M60" s="17"/>
      <c r="N60" s="13"/>
    </row>
    <row r="61" spans="1:14" s="8" customFormat="1" ht="26" x14ac:dyDescent="0.3">
      <c r="A61" s="58" t="s">
        <v>19</v>
      </c>
      <c r="B61" s="58"/>
      <c r="C61" s="59"/>
      <c r="D61" s="59"/>
      <c r="E61" s="60">
        <f>D49-D58</f>
        <v>238387.97237197924</v>
      </c>
      <c r="F61" s="61" t="s">
        <v>19</v>
      </c>
      <c r="G61" s="61"/>
      <c r="H61" s="62"/>
      <c r="I61" s="63"/>
      <c r="J61" s="64">
        <f>I49-I58</f>
        <v>225649.37965996194</v>
      </c>
      <c r="K61" s="80" t="s">
        <v>39</v>
      </c>
      <c r="L61" s="65"/>
      <c r="M61" s="66"/>
      <c r="N61" s="67"/>
    </row>
    <row r="62" spans="1:14" x14ac:dyDescent="0.2">
      <c r="A62" s="29"/>
      <c r="B62" s="29"/>
      <c r="C62" s="37"/>
      <c r="D62" s="37"/>
      <c r="E62" s="37"/>
      <c r="F62" s="32"/>
      <c r="G62" s="32"/>
      <c r="H62" s="38"/>
      <c r="I62" s="35"/>
      <c r="J62" s="34"/>
      <c r="K62" s="81" t="s">
        <v>40</v>
      </c>
      <c r="L62" s="27"/>
      <c r="M62" s="17"/>
      <c r="N62" s="13"/>
    </row>
    <row r="63" spans="1:14" x14ac:dyDescent="0.2">
      <c r="A63" s="29"/>
      <c r="B63" s="29"/>
      <c r="C63" s="37" t="s">
        <v>26</v>
      </c>
      <c r="D63" s="39"/>
      <c r="E63" s="37">
        <f>E61/20/12</f>
        <v>993.28321821658017</v>
      </c>
      <c r="F63" s="32"/>
      <c r="G63" s="32"/>
      <c r="H63" s="38"/>
      <c r="I63" s="35"/>
      <c r="J63" s="38">
        <f>J61/20/12</f>
        <v>940.20574858317468</v>
      </c>
      <c r="K63" s="10"/>
      <c r="L63" s="27"/>
      <c r="M63" s="17"/>
      <c r="N63" s="13"/>
    </row>
    <row r="64" spans="1:14" x14ac:dyDescent="0.2">
      <c r="A64" s="29"/>
      <c r="B64" s="29"/>
      <c r="C64" s="37"/>
      <c r="D64" s="39" t="s">
        <v>25</v>
      </c>
      <c r="E64" s="68">
        <f>E63/1.02^38</f>
        <v>468.02232643805797</v>
      </c>
      <c r="F64" s="32"/>
      <c r="G64" s="32"/>
      <c r="H64" s="38"/>
      <c r="I64" s="35"/>
      <c r="J64" s="69">
        <f>J63/1.02^38</f>
        <v>443.01290277752929</v>
      </c>
      <c r="K64" s="10"/>
      <c r="L64" s="27"/>
      <c r="M64" s="17"/>
      <c r="N64" s="13"/>
    </row>
    <row r="65" spans="1:14" ht="16" thickBot="1" x14ac:dyDescent="0.25">
      <c r="A65" s="29"/>
      <c r="B65" s="29"/>
      <c r="C65" s="37"/>
      <c r="D65" s="37"/>
      <c r="E65" s="37"/>
      <c r="F65" s="32"/>
      <c r="G65" s="32"/>
      <c r="H65" s="38"/>
      <c r="I65" s="35"/>
      <c r="J65" s="34"/>
      <c r="K65" s="10"/>
      <c r="L65" s="27"/>
      <c r="M65" s="17"/>
      <c r="N65" s="13"/>
    </row>
    <row r="66" spans="1:14" ht="20" thickBot="1" x14ac:dyDescent="0.3">
      <c r="A66" s="29"/>
      <c r="B66" s="29"/>
      <c r="C66" s="37"/>
      <c r="D66" s="70"/>
      <c r="E66" s="71" t="s">
        <v>32</v>
      </c>
      <c r="F66" s="72">
        <f>E61/J61-1</f>
        <v>5.6453036703284942E-2</v>
      </c>
      <c r="G66" s="73"/>
      <c r="H66" s="38"/>
      <c r="I66" s="35"/>
      <c r="J66" s="34"/>
      <c r="K66" s="10"/>
      <c r="L66" s="27"/>
      <c r="M66" s="17"/>
      <c r="N66" s="13"/>
    </row>
    <row r="68" spans="1:14" x14ac:dyDescent="0.2">
      <c r="A68" s="1" t="s">
        <v>33</v>
      </c>
      <c r="B68" s="5" t="s">
        <v>34</v>
      </c>
    </row>
    <row r="70" spans="1:14" x14ac:dyDescent="0.2">
      <c r="A70" s="5" t="s">
        <v>41</v>
      </c>
    </row>
    <row r="71" spans="1:14" x14ac:dyDescent="0.2">
      <c r="A71" s="5"/>
    </row>
    <row r="72" spans="1:14" x14ac:dyDescent="0.2">
      <c r="A72" s="82" t="s">
        <v>42</v>
      </c>
      <c r="B72" s="5" t="s">
        <v>43</v>
      </c>
    </row>
    <row r="73" spans="1:14" x14ac:dyDescent="0.2">
      <c r="A73" s="83" t="s">
        <v>45</v>
      </c>
      <c r="B73" s="5" t="s">
        <v>46</v>
      </c>
    </row>
    <row r="74" spans="1:14" x14ac:dyDescent="0.2">
      <c r="A74" s="83"/>
      <c r="B74" s="5"/>
    </row>
    <row r="75" spans="1:14" x14ac:dyDescent="0.2">
      <c r="A75" s="83"/>
      <c r="B75" s="5"/>
    </row>
    <row r="76" spans="1:14" x14ac:dyDescent="0.2">
      <c r="A76" s="83"/>
      <c r="B76" s="5"/>
    </row>
    <row r="77" spans="1:14" x14ac:dyDescent="0.2">
      <c r="A77" s="83"/>
      <c r="B77" s="5"/>
    </row>
    <row r="78" spans="1:14" x14ac:dyDescent="0.2">
      <c r="A78" s="83"/>
      <c r="B78" s="5"/>
    </row>
    <row r="79" spans="1:14" x14ac:dyDescent="0.2">
      <c r="A79" s="83"/>
      <c r="B79" s="5"/>
    </row>
    <row r="80" spans="1:14" x14ac:dyDescent="0.2">
      <c r="A80" s="83"/>
      <c r="B80" s="5"/>
    </row>
    <row r="81" spans="1:2" x14ac:dyDescent="0.2">
      <c r="A81" s="5"/>
      <c r="B81" s="5"/>
    </row>
    <row r="82" spans="1:2" x14ac:dyDescent="0.2">
      <c r="B82" s="5"/>
    </row>
  </sheetData>
  <sheetProtection password="8397" sheet="1" objects="1" scenarios="1" selectLockedCells="1"/>
  <customSheetViews>
    <customSheetView guid="{E00D3F16-8BB9-413C-A063-A54DC56F5919}">
      <selection activeCell="A9" sqref="A9"/>
      <pageMargins left="0.7" right="0.7" top="0.78740157499999996" bottom="0.78740157499999996" header="0.3" footer="0.3"/>
      <pageSetup paperSize="9" orientation="portrait" horizontalDpi="4294967293" verticalDpi="0" r:id="rId1"/>
    </customSheetView>
  </customSheetViews>
  <pageMargins left="0.7" right="0.7" top="0.78740157499999996" bottom="0.78740157499999996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customSheetViews>
    <customSheetView guid="{E00D3F16-8BB9-413C-A063-A54DC56F5919}">
      <pageMargins left="0.7" right="0.7" top="0.78740157499999996" bottom="0.78740157499999996" header="0.3" footer="0.3"/>
      <pageSetup paperSize="0" orientation="portrait" horizontalDpi="0" verticalDpi="0" copies="0"/>
    </customSheetView>
  </customSheetViews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/>
  </sheetViews>
  <sheetFormatPr baseColWidth="10" defaultRowHeight="15" x14ac:dyDescent="0.2"/>
  <sheetData>
    <row r="1" spans="1:2" x14ac:dyDescent="0.2">
      <c r="A1" s="1"/>
      <c r="B1" s="5"/>
    </row>
    <row r="50" spans="1:2" x14ac:dyDescent="0.2">
      <c r="A50" s="1" t="s">
        <v>33</v>
      </c>
      <c r="B50" s="5" t="s">
        <v>34</v>
      </c>
    </row>
  </sheetData>
  <sheetProtection password="CADB" sheet="1" objects="1" scenarios="1"/>
  <customSheetViews>
    <customSheetView guid="{E00D3F16-8BB9-413C-A063-A54DC56F5919}">
      <pageMargins left="0.7" right="0.7" top="0.78740157499999996" bottom="0.78740157499999996" header="0.3" footer="0.3"/>
      <pageSetup paperSize="0" orientation="portrait" horizontalDpi="0" verticalDpi="0" copies="0"/>
    </customSheetView>
  </customSheetViews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Office-Anwender</cp:lastModifiedBy>
  <dcterms:created xsi:type="dcterms:W3CDTF">2006-09-21T08:52:22Z</dcterms:created>
  <dcterms:modified xsi:type="dcterms:W3CDTF">2018-01-13T18:33:24Z</dcterms:modified>
</cp:coreProperties>
</file>