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Dokumente\Fin\Unternehmensanalysen\BPost\"/>
    </mc:Choice>
  </mc:AlternateContent>
  <bookViews>
    <workbookView xWindow="0" yWindow="6240" windowWidth="19260" windowHeight="6285" tabRatio="318"/>
  </bookViews>
  <sheets>
    <sheet name="Kennzahlen" sheetId="1" r:id="rId1"/>
    <sheet name="Diagramme" sheetId="3" r:id="rId2"/>
    <sheet name="DCF" sheetId="2" r:id="rId3"/>
    <sheet name="Bewertung" sheetId="4" r:id="rId4"/>
  </sheets>
  <calcPr calcId="171027"/>
</workbook>
</file>

<file path=xl/calcChain.xml><?xml version="1.0" encoding="utf-8"?>
<calcChain xmlns="http://schemas.openxmlformats.org/spreadsheetml/2006/main">
  <c r="C49" i="1" l="1"/>
  <c r="B49" i="1"/>
  <c r="C46" i="1"/>
  <c r="B46" i="1"/>
  <c r="D41" i="1"/>
  <c r="C41" i="1"/>
  <c r="B41" i="1"/>
  <c r="D37" i="1"/>
  <c r="C37" i="1"/>
  <c r="B37" i="1"/>
  <c r="D35" i="1"/>
  <c r="C35" i="1"/>
  <c r="B35" i="1"/>
  <c r="D11" i="1"/>
  <c r="C11" i="1"/>
  <c r="B11" i="1"/>
  <c r="C12" i="1" l="1"/>
  <c r="H11" i="2" l="1"/>
  <c r="I11" i="2"/>
  <c r="J11" i="2"/>
  <c r="K11" i="2"/>
  <c r="L11" i="2"/>
  <c r="M11" i="2"/>
  <c r="N11" i="2"/>
  <c r="B59" i="2"/>
  <c r="B4" i="4"/>
  <c r="B5" i="4"/>
  <c r="B7" i="4"/>
  <c r="B9" i="4"/>
  <c r="B10" i="4"/>
  <c r="B11" i="4"/>
  <c r="B12" i="4"/>
  <c r="B4" i="2"/>
  <c r="C4" i="2"/>
  <c r="D4" i="2"/>
  <c r="E4" i="2"/>
  <c r="F4" i="2"/>
  <c r="G4" i="2"/>
  <c r="H4" i="2"/>
  <c r="I4" i="2"/>
  <c r="J4" i="2"/>
  <c r="K4" i="2"/>
  <c r="L4" i="2"/>
  <c r="M4" i="2"/>
  <c r="N4" i="2"/>
  <c r="B7" i="2"/>
  <c r="C7" i="2"/>
  <c r="D7" i="2"/>
  <c r="E7" i="2"/>
  <c r="F7" i="2"/>
  <c r="G7" i="2"/>
  <c r="P7" i="2" s="1"/>
  <c r="B8" i="2"/>
  <c r="C8" i="2"/>
  <c r="C11" i="2" s="1"/>
  <c r="D8" i="2"/>
  <c r="E8" i="2"/>
  <c r="F8" i="2"/>
  <c r="G8" i="2"/>
  <c r="O8" i="2" s="1"/>
  <c r="B10" i="2"/>
  <c r="C10" i="2"/>
  <c r="D10" i="2"/>
  <c r="E10" i="2"/>
  <c r="F10" i="2"/>
  <c r="G10" i="2"/>
  <c r="B42" i="2"/>
  <c r="B66" i="2"/>
  <c r="B67" i="2"/>
  <c r="B69" i="2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4" i="1"/>
  <c r="M25" i="1"/>
  <c r="M26" i="1"/>
  <c r="M27" i="1"/>
  <c r="M28" i="1"/>
  <c r="M29" i="1"/>
  <c r="M32" i="1"/>
  <c r="M33" i="1"/>
  <c r="M34" i="1"/>
  <c r="M35" i="1"/>
  <c r="M36" i="1"/>
  <c r="M37" i="1"/>
  <c r="M40" i="1"/>
  <c r="M41" i="1"/>
  <c r="M42" i="1"/>
  <c r="M43" i="1"/>
  <c r="M44" i="1"/>
  <c r="M45" i="1"/>
  <c r="M46" i="1"/>
  <c r="M47" i="1"/>
  <c r="M49" i="1"/>
  <c r="M50" i="1"/>
  <c r="B53" i="1"/>
  <c r="B96" i="1" s="1"/>
  <c r="C53" i="1"/>
  <c r="D53" i="1"/>
  <c r="E5" i="2" s="1"/>
  <c r="E53" i="1"/>
  <c r="F53" i="1"/>
  <c r="C5" i="2" s="1"/>
  <c r="G53" i="1"/>
  <c r="H53" i="1"/>
  <c r="H57" i="1" s="1"/>
  <c r="I53" i="1"/>
  <c r="J53" i="1"/>
  <c r="J75" i="1" s="1"/>
  <c r="K53" i="1"/>
  <c r="K70" i="1" s="1"/>
  <c r="K80" i="1" s="1"/>
  <c r="L53" i="1"/>
  <c r="L54" i="1" s="1"/>
  <c r="F54" i="1"/>
  <c r="F127" i="1" s="1"/>
  <c r="B55" i="1"/>
  <c r="C55" i="1"/>
  <c r="D55" i="1"/>
  <c r="E9" i="2" s="1"/>
  <c r="E55" i="1"/>
  <c r="F55" i="1"/>
  <c r="F59" i="1"/>
  <c r="F119" i="1" s="1"/>
  <c r="G55" i="1"/>
  <c r="B9" i="2" s="1"/>
  <c r="H55" i="1"/>
  <c r="H59" i="1" s="1"/>
  <c r="H119" i="1" s="1"/>
  <c r="I55" i="1"/>
  <c r="J55" i="1"/>
  <c r="J59" i="1" s="1"/>
  <c r="J119" i="1" s="1"/>
  <c r="K55" i="1"/>
  <c r="K59" i="1"/>
  <c r="K119" i="1" s="1"/>
  <c r="B56" i="1"/>
  <c r="C56" i="1"/>
  <c r="C125" i="1" s="1"/>
  <c r="D56" i="1"/>
  <c r="E56" i="1"/>
  <c r="F56" i="1"/>
  <c r="F87" i="1"/>
  <c r="G56" i="1"/>
  <c r="H56" i="1"/>
  <c r="I56" i="1"/>
  <c r="J56" i="1"/>
  <c r="J118" i="1" s="1"/>
  <c r="K56" i="1"/>
  <c r="L56" i="1"/>
  <c r="F57" i="1"/>
  <c r="H58" i="1"/>
  <c r="H131" i="1" s="1"/>
  <c r="I59" i="1"/>
  <c r="I119" i="1"/>
  <c r="B60" i="1"/>
  <c r="B65" i="2" s="1"/>
  <c r="C60" i="1"/>
  <c r="C86" i="1" s="1"/>
  <c r="D60" i="1"/>
  <c r="D86" i="1" s="1"/>
  <c r="E60" i="1"/>
  <c r="F60" i="1"/>
  <c r="G60" i="1"/>
  <c r="H60" i="1"/>
  <c r="I60" i="1"/>
  <c r="J60" i="1"/>
  <c r="J129" i="1" s="1"/>
  <c r="K60" i="1"/>
  <c r="L60" i="1"/>
  <c r="B66" i="1"/>
  <c r="C66" i="1"/>
  <c r="D66" i="1"/>
  <c r="E66" i="1"/>
  <c r="F66" i="1"/>
  <c r="G66" i="1"/>
  <c r="H66" i="1"/>
  <c r="I66" i="1"/>
  <c r="J66" i="1"/>
  <c r="K66" i="1"/>
  <c r="L66" i="1"/>
  <c r="B67" i="1"/>
  <c r="M67" i="1" s="1" a="1"/>
  <c r="M67" i="1" s="1"/>
  <c r="C67" i="1"/>
  <c r="D67" i="1"/>
  <c r="E67" i="1"/>
  <c r="F67" i="1"/>
  <c r="G67" i="1"/>
  <c r="H67" i="1"/>
  <c r="I67" i="1"/>
  <c r="J67" i="1"/>
  <c r="K67" i="1"/>
  <c r="L67" i="1"/>
  <c r="B68" i="1"/>
  <c r="C68" i="1"/>
  <c r="D68" i="1"/>
  <c r="E68" i="1"/>
  <c r="F68" i="1"/>
  <c r="G68" i="1"/>
  <c r="H68" i="1"/>
  <c r="I68" i="1"/>
  <c r="J68" i="1"/>
  <c r="K68" i="1"/>
  <c r="L68" i="1"/>
  <c r="B69" i="1"/>
  <c r="C69" i="1"/>
  <c r="D69" i="1"/>
  <c r="E69" i="1"/>
  <c r="F69" i="1"/>
  <c r="G69" i="1"/>
  <c r="H69" i="1"/>
  <c r="I69" i="1"/>
  <c r="J69" i="1"/>
  <c r="K69" i="1"/>
  <c r="L69" i="1"/>
  <c r="J70" i="1"/>
  <c r="B72" i="1"/>
  <c r="C72" i="1"/>
  <c r="D72" i="1"/>
  <c r="E72" i="1"/>
  <c r="F72" i="1"/>
  <c r="G72" i="1"/>
  <c r="H72" i="1"/>
  <c r="I72" i="1"/>
  <c r="J72" i="1"/>
  <c r="K72" i="1"/>
  <c r="L72" i="1"/>
  <c r="B73" i="1"/>
  <c r="C73" i="1"/>
  <c r="D73" i="1"/>
  <c r="E73" i="1"/>
  <c r="F73" i="1"/>
  <c r="G73" i="1"/>
  <c r="H73" i="1"/>
  <c r="I73" i="1"/>
  <c r="J73" i="1"/>
  <c r="K73" i="1"/>
  <c r="L73" i="1"/>
  <c r="B74" i="1"/>
  <c r="C74" i="1"/>
  <c r="D74" i="1"/>
  <c r="E74" i="1"/>
  <c r="F74" i="1"/>
  <c r="G74" i="1"/>
  <c r="H74" i="1"/>
  <c r="I74" i="1"/>
  <c r="J74" i="1"/>
  <c r="K74" i="1"/>
  <c r="L74" i="1"/>
  <c r="F76" i="1"/>
  <c r="B77" i="1"/>
  <c r="C77" i="1"/>
  <c r="D77" i="1"/>
  <c r="E77" i="1"/>
  <c r="F77" i="1"/>
  <c r="G77" i="1"/>
  <c r="H77" i="1"/>
  <c r="I77" i="1"/>
  <c r="J77" i="1"/>
  <c r="K77" i="1"/>
  <c r="L77" i="1"/>
  <c r="B78" i="1"/>
  <c r="C78" i="1"/>
  <c r="D78" i="1"/>
  <c r="E78" i="1"/>
  <c r="F78" i="1"/>
  <c r="G78" i="1"/>
  <c r="H78" i="1"/>
  <c r="I78" i="1"/>
  <c r="J78" i="1"/>
  <c r="K78" i="1"/>
  <c r="L78" i="1"/>
  <c r="B79" i="1"/>
  <c r="C79" i="1"/>
  <c r="D79" i="1"/>
  <c r="M79" i="1" s="1" a="1"/>
  <c r="M79" i="1" s="1"/>
  <c r="E79" i="1"/>
  <c r="F79" i="1"/>
  <c r="G79" i="1"/>
  <c r="H79" i="1"/>
  <c r="I79" i="1"/>
  <c r="J79" i="1"/>
  <c r="K79" i="1"/>
  <c r="L79" i="1"/>
  <c r="F81" i="1"/>
  <c r="H81" i="1"/>
  <c r="J81" i="1"/>
  <c r="L81" i="1"/>
  <c r="B82" i="1"/>
  <c r="C82" i="1"/>
  <c r="D82" i="1"/>
  <c r="E82" i="1"/>
  <c r="F82" i="1"/>
  <c r="G82" i="1"/>
  <c r="H82" i="1"/>
  <c r="I82" i="1"/>
  <c r="J82" i="1"/>
  <c r="K82" i="1"/>
  <c r="L82" i="1"/>
  <c r="B84" i="1"/>
  <c r="C84" i="1"/>
  <c r="D84" i="1"/>
  <c r="E84" i="1"/>
  <c r="F84" i="1"/>
  <c r="G84" i="1"/>
  <c r="H84" i="1"/>
  <c r="I84" i="1"/>
  <c r="J84" i="1"/>
  <c r="K84" i="1"/>
  <c r="L84" i="1"/>
  <c r="B85" i="1"/>
  <c r="M85" i="1" s="1" a="1"/>
  <c r="M85" i="1" s="1"/>
  <c r="C85" i="1"/>
  <c r="D85" i="1"/>
  <c r="E85" i="1"/>
  <c r="F85" i="1"/>
  <c r="G85" i="1"/>
  <c r="H85" i="1"/>
  <c r="I85" i="1"/>
  <c r="J85" i="1"/>
  <c r="K85" i="1"/>
  <c r="L85" i="1"/>
  <c r="E86" i="1"/>
  <c r="F86" i="1"/>
  <c r="G86" i="1"/>
  <c r="H86" i="1"/>
  <c r="I86" i="1"/>
  <c r="J86" i="1"/>
  <c r="K86" i="1"/>
  <c r="L86" i="1"/>
  <c r="D87" i="1"/>
  <c r="G87" i="1"/>
  <c r="I87" i="1"/>
  <c r="L87" i="1"/>
  <c r="B89" i="1"/>
  <c r="M89" i="1" s="1" a="1"/>
  <c r="M89" i="1" s="1"/>
  <c r="C89" i="1"/>
  <c r="D89" i="1"/>
  <c r="E89" i="1"/>
  <c r="F89" i="1"/>
  <c r="G89" i="1"/>
  <c r="H89" i="1"/>
  <c r="I89" i="1"/>
  <c r="J89" i="1"/>
  <c r="K89" i="1"/>
  <c r="L89" i="1"/>
  <c r="B90" i="1"/>
  <c r="C90" i="1"/>
  <c r="D90" i="1"/>
  <c r="E90" i="1"/>
  <c r="F90" i="1"/>
  <c r="G90" i="1"/>
  <c r="H90" i="1"/>
  <c r="I90" i="1"/>
  <c r="J90" i="1"/>
  <c r="K90" i="1"/>
  <c r="L90" i="1"/>
  <c r="B91" i="1"/>
  <c r="C91" i="1"/>
  <c r="D91" i="1"/>
  <c r="E91" i="1"/>
  <c r="F91" i="1"/>
  <c r="G91" i="1"/>
  <c r="H91" i="1"/>
  <c r="I91" i="1"/>
  <c r="J91" i="1"/>
  <c r="K91" i="1"/>
  <c r="L91" i="1"/>
  <c r="B92" i="1"/>
  <c r="C92" i="1"/>
  <c r="D92" i="1"/>
  <c r="M92" i="1" s="1" a="1"/>
  <c r="M92" i="1" s="1"/>
  <c r="E92" i="1"/>
  <c r="F92" i="1"/>
  <c r="G92" i="1"/>
  <c r="H92" i="1"/>
  <c r="I92" i="1"/>
  <c r="J92" i="1"/>
  <c r="K92" i="1"/>
  <c r="L92" i="1"/>
  <c r="B93" i="1"/>
  <c r="C93" i="1"/>
  <c r="D93" i="1"/>
  <c r="E93" i="1"/>
  <c r="F93" i="1"/>
  <c r="G93" i="1"/>
  <c r="H93" i="1"/>
  <c r="I93" i="1"/>
  <c r="J93" i="1"/>
  <c r="K93" i="1"/>
  <c r="L93" i="1"/>
  <c r="B94" i="1"/>
  <c r="C94" i="1"/>
  <c r="D94" i="1"/>
  <c r="E94" i="1"/>
  <c r="F94" i="1"/>
  <c r="G94" i="1"/>
  <c r="H94" i="1"/>
  <c r="I94" i="1"/>
  <c r="J94" i="1"/>
  <c r="K94" i="1"/>
  <c r="L94" i="1"/>
  <c r="B95" i="1"/>
  <c r="C95" i="1"/>
  <c r="D95" i="1"/>
  <c r="E95" i="1"/>
  <c r="F95" i="1"/>
  <c r="G95" i="1"/>
  <c r="H95" i="1"/>
  <c r="I95" i="1"/>
  <c r="J95" i="1"/>
  <c r="K95" i="1"/>
  <c r="L95" i="1"/>
  <c r="F96" i="1"/>
  <c r="J96" i="1"/>
  <c r="B97" i="1"/>
  <c r="C97" i="1"/>
  <c r="D97" i="1"/>
  <c r="E97" i="1"/>
  <c r="F97" i="1"/>
  <c r="G97" i="1"/>
  <c r="H97" i="1"/>
  <c r="I97" i="1"/>
  <c r="J97" i="1"/>
  <c r="K97" i="1"/>
  <c r="L97" i="1"/>
  <c r="B98" i="1"/>
  <c r="C98" i="1"/>
  <c r="D98" i="1"/>
  <c r="E98" i="1"/>
  <c r="F98" i="1"/>
  <c r="G98" i="1"/>
  <c r="H98" i="1"/>
  <c r="I98" i="1"/>
  <c r="J98" i="1"/>
  <c r="K98" i="1"/>
  <c r="L98" i="1"/>
  <c r="B99" i="1"/>
  <c r="C99" i="1"/>
  <c r="M99" i="1" s="1" a="1"/>
  <c r="M99" i="1" s="1"/>
  <c r="D99" i="1"/>
  <c r="E99" i="1"/>
  <c r="F99" i="1"/>
  <c r="G99" i="1"/>
  <c r="H99" i="1"/>
  <c r="I99" i="1"/>
  <c r="J99" i="1"/>
  <c r="K99" i="1"/>
  <c r="L99" i="1"/>
  <c r="B100" i="1"/>
  <c r="M100" i="1" s="1" a="1"/>
  <c r="M100" i="1" s="1"/>
  <c r="C100" i="1"/>
  <c r="D100" i="1"/>
  <c r="E100" i="1"/>
  <c r="F100" i="1"/>
  <c r="G100" i="1"/>
  <c r="H100" i="1"/>
  <c r="I100" i="1"/>
  <c r="J100" i="1"/>
  <c r="K100" i="1"/>
  <c r="L100" i="1"/>
  <c r="B101" i="1"/>
  <c r="M101" i="1" s="1" a="1"/>
  <c r="M101" i="1" s="1"/>
  <c r="C101" i="1"/>
  <c r="D101" i="1"/>
  <c r="E101" i="1"/>
  <c r="F101" i="1"/>
  <c r="G101" i="1"/>
  <c r="H101" i="1"/>
  <c r="I101" i="1"/>
  <c r="J101" i="1"/>
  <c r="K101" i="1"/>
  <c r="L101" i="1"/>
  <c r="B102" i="1"/>
  <c r="C102" i="1"/>
  <c r="D102" i="1"/>
  <c r="E102" i="1"/>
  <c r="F102" i="1"/>
  <c r="G102" i="1"/>
  <c r="H102" i="1"/>
  <c r="I102" i="1"/>
  <c r="J102" i="1"/>
  <c r="K102" i="1"/>
  <c r="L102" i="1"/>
  <c r="B104" i="1"/>
  <c r="M104" i="1" s="1" a="1"/>
  <c r="M104" i="1" s="1"/>
  <c r="C104" i="1"/>
  <c r="D104" i="1"/>
  <c r="E104" i="1"/>
  <c r="F104" i="1"/>
  <c r="G104" i="1"/>
  <c r="G114" i="1" s="1"/>
  <c r="H104" i="1"/>
  <c r="I104" i="1"/>
  <c r="J104" i="1"/>
  <c r="K104" i="1"/>
  <c r="K114" i="1" s="1"/>
  <c r="L104" i="1"/>
  <c r="B105" i="1"/>
  <c r="C105" i="1"/>
  <c r="D105" i="1"/>
  <c r="E105" i="1"/>
  <c r="F105" i="1"/>
  <c r="G105" i="1"/>
  <c r="H105" i="1"/>
  <c r="I105" i="1"/>
  <c r="J105" i="1"/>
  <c r="K105" i="1"/>
  <c r="L105" i="1"/>
  <c r="B106" i="1"/>
  <c r="C106" i="1"/>
  <c r="D106" i="1"/>
  <c r="E106" i="1"/>
  <c r="F106" i="1"/>
  <c r="G106" i="1"/>
  <c r="H106" i="1"/>
  <c r="I106" i="1"/>
  <c r="J106" i="1"/>
  <c r="K106" i="1"/>
  <c r="L106" i="1"/>
  <c r="B107" i="1"/>
  <c r="C107" i="1"/>
  <c r="D107" i="1"/>
  <c r="E107" i="1"/>
  <c r="F107" i="1"/>
  <c r="G107" i="1"/>
  <c r="H107" i="1"/>
  <c r="I107" i="1"/>
  <c r="J107" i="1"/>
  <c r="K107" i="1"/>
  <c r="L107" i="1"/>
  <c r="B108" i="1"/>
  <c r="C108" i="1"/>
  <c r="D108" i="1"/>
  <c r="E108" i="1"/>
  <c r="F108" i="1"/>
  <c r="G108" i="1"/>
  <c r="H108" i="1"/>
  <c r="I108" i="1"/>
  <c r="J108" i="1"/>
  <c r="K108" i="1"/>
  <c r="L108" i="1"/>
  <c r="B109" i="1"/>
  <c r="C109" i="1"/>
  <c r="D109" i="1"/>
  <c r="E109" i="1"/>
  <c r="F109" i="1"/>
  <c r="G109" i="1"/>
  <c r="H109" i="1"/>
  <c r="I109" i="1"/>
  <c r="J109" i="1"/>
  <c r="K109" i="1"/>
  <c r="L109" i="1"/>
  <c r="B110" i="1"/>
  <c r="C110" i="1"/>
  <c r="D110" i="1"/>
  <c r="M110" i="1" s="1" a="1"/>
  <c r="M110" i="1" s="1"/>
  <c r="E110" i="1"/>
  <c r="F110" i="1"/>
  <c r="G110" i="1"/>
  <c r="H110" i="1"/>
  <c r="I110" i="1"/>
  <c r="J110" i="1"/>
  <c r="K110" i="1"/>
  <c r="L110" i="1"/>
  <c r="B111" i="1"/>
  <c r="M111" i="1" s="1" a="1"/>
  <c r="M111" i="1" s="1"/>
  <c r="C111" i="1"/>
  <c r="D111" i="1"/>
  <c r="E111" i="1"/>
  <c r="F111" i="1"/>
  <c r="F114" i="1" s="1"/>
  <c r="G111" i="1"/>
  <c r="H111" i="1"/>
  <c r="H114" i="1" s="1"/>
  <c r="I111" i="1"/>
  <c r="J111" i="1"/>
  <c r="K111" i="1"/>
  <c r="L111" i="1"/>
  <c r="B112" i="1"/>
  <c r="C112" i="1"/>
  <c r="D112" i="1"/>
  <c r="E112" i="1"/>
  <c r="F112" i="1"/>
  <c r="G112" i="1"/>
  <c r="H112" i="1"/>
  <c r="I112" i="1"/>
  <c r="J112" i="1"/>
  <c r="K112" i="1"/>
  <c r="L112" i="1"/>
  <c r="B113" i="1"/>
  <c r="C113" i="1"/>
  <c r="D113" i="1"/>
  <c r="E113" i="1"/>
  <c r="F113" i="1"/>
  <c r="G113" i="1"/>
  <c r="H113" i="1"/>
  <c r="I113" i="1"/>
  <c r="J113" i="1"/>
  <c r="K113" i="1"/>
  <c r="I114" i="1"/>
  <c r="B116" i="1"/>
  <c r="C116" i="1"/>
  <c r="D116" i="1"/>
  <c r="E116" i="1"/>
  <c r="F116" i="1"/>
  <c r="G116" i="1"/>
  <c r="H116" i="1"/>
  <c r="I116" i="1"/>
  <c r="J116" i="1"/>
  <c r="K116" i="1"/>
  <c r="L116" i="1"/>
  <c r="B117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I118" i="1"/>
  <c r="L118" i="1"/>
  <c r="B120" i="1"/>
  <c r="C120" i="1"/>
  <c r="D120" i="1"/>
  <c r="E120" i="1"/>
  <c r="F120" i="1"/>
  <c r="G120" i="1"/>
  <c r="H120" i="1"/>
  <c r="I120" i="1"/>
  <c r="J120" i="1"/>
  <c r="K120" i="1"/>
  <c r="L120" i="1"/>
  <c r="B122" i="1"/>
  <c r="B135" i="1"/>
  <c r="M135" i="1" s="1" a="1"/>
  <c r="M135" i="1" s="1"/>
  <c r="C122" i="1"/>
  <c r="C135" i="1" s="1"/>
  <c r="D122" i="1"/>
  <c r="E122" i="1"/>
  <c r="E135" i="1"/>
  <c r="F122" i="1"/>
  <c r="F135" i="1"/>
  <c r="G122" i="1"/>
  <c r="H122" i="1"/>
  <c r="H135" i="1" s="1"/>
  <c r="I122" i="1"/>
  <c r="I135" i="1"/>
  <c r="J122" i="1"/>
  <c r="J135" i="1"/>
  <c r="K122" i="1"/>
  <c r="L122" i="1"/>
  <c r="B123" i="1"/>
  <c r="C123" i="1"/>
  <c r="D123" i="1"/>
  <c r="E123" i="1"/>
  <c r="F123" i="1"/>
  <c r="G123" i="1"/>
  <c r="H123" i="1"/>
  <c r="I123" i="1"/>
  <c r="J123" i="1"/>
  <c r="K123" i="1"/>
  <c r="L123" i="1"/>
  <c r="B124" i="1"/>
  <c r="C124" i="1"/>
  <c r="D124" i="1"/>
  <c r="E124" i="1"/>
  <c r="F124" i="1"/>
  <c r="G124" i="1"/>
  <c r="H124" i="1"/>
  <c r="I124" i="1"/>
  <c r="J124" i="1"/>
  <c r="K124" i="1"/>
  <c r="L124" i="1"/>
  <c r="D125" i="1"/>
  <c r="G125" i="1"/>
  <c r="I125" i="1"/>
  <c r="L125" i="1"/>
  <c r="B126" i="1"/>
  <c r="C126" i="1"/>
  <c r="D126" i="1"/>
  <c r="E126" i="1"/>
  <c r="F126" i="1"/>
  <c r="G126" i="1"/>
  <c r="H126" i="1"/>
  <c r="I126" i="1"/>
  <c r="J126" i="1"/>
  <c r="K126" i="1"/>
  <c r="L126" i="1"/>
  <c r="B128" i="1"/>
  <c r="E128" i="1"/>
  <c r="E134" i="1" s="1"/>
  <c r="F128" i="1"/>
  <c r="F134" i="1" s="1"/>
  <c r="G128" i="1"/>
  <c r="G134" i="1" s="1"/>
  <c r="J128" i="1"/>
  <c r="F129" i="1"/>
  <c r="K129" i="1"/>
  <c r="C130" i="1"/>
  <c r="D130" i="1"/>
  <c r="E130" i="1"/>
  <c r="F130" i="1"/>
  <c r="G130" i="1"/>
  <c r="I130" i="1"/>
  <c r="K130" i="1"/>
  <c r="L130" i="1"/>
  <c r="H132" i="1"/>
  <c r="B133" i="1"/>
  <c r="M133" i="1" s="1" a="1"/>
  <c r="M133" i="1" s="1"/>
  <c r="C133" i="1"/>
  <c r="D133" i="1"/>
  <c r="E133" i="1"/>
  <c r="F133" i="1"/>
  <c r="G133" i="1"/>
  <c r="H133" i="1"/>
  <c r="I133" i="1"/>
  <c r="J133" i="1"/>
  <c r="K133" i="1"/>
  <c r="L133" i="1"/>
  <c r="D135" i="1"/>
  <c r="G135" i="1"/>
  <c r="K135" i="1"/>
  <c r="J57" i="1"/>
  <c r="B54" i="1"/>
  <c r="M54" i="1" s="1"/>
  <c r="C129" i="1"/>
  <c r="M82" i="1" a="1"/>
  <c r="M82" i="1" s="1"/>
  <c r="G70" i="1"/>
  <c r="G80" i="1" s="1"/>
  <c r="G6" i="2"/>
  <c r="M74" i="1" a="1"/>
  <c r="M74" i="1" s="1"/>
  <c r="C70" i="1"/>
  <c r="G54" i="1"/>
  <c r="G127" i="1" s="1"/>
  <c r="E114" i="1"/>
  <c r="D59" i="1"/>
  <c r="D119" i="1" s="1"/>
  <c r="L129" i="1"/>
  <c r="H129" i="1"/>
  <c r="D129" i="1"/>
  <c r="L128" i="1"/>
  <c r="H128" i="1"/>
  <c r="H134" i="1" s="1"/>
  <c r="D128" i="1"/>
  <c r="D134" i="1" s="1"/>
  <c r="M116" i="1" a="1"/>
  <c r="M116" i="1" s="1"/>
  <c r="L57" i="1"/>
  <c r="C6" i="2"/>
  <c r="L75" i="1"/>
  <c r="H75" i="1"/>
  <c r="D75" i="1"/>
  <c r="L70" i="1"/>
  <c r="L80" i="1" s="1"/>
  <c r="H70" i="1"/>
  <c r="H80" i="1" s="1"/>
  <c r="D70" i="1"/>
  <c r="D80" i="1" s="1"/>
  <c r="D58" i="1"/>
  <c r="D131" i="1" s="1"/>
  <c r="D57" i="1"/>
  <c r="M53" i="1"/>
  <c r="J134" i="1"/>
  <c r="J125" i="1"/>
  <c r="F125" i="1"/>
  <c r="D96" i="1"/>
  <c r="D6" i="2"/>
  <c r="L114" i="1"/>
  <c r="G57" i="1"/>
  <c r="E6" i="2"/>
  <c r="B6" i="4"/>
  <c r="F6" i="2"/>
  <c r="J114" i="1"/>
  <c r="M77" i="1" a="1"/>
  <c r="M77" i="1" s="1"/>
  <c r="G59" i="1"/>
  <c r="G119" i="1"/>
  <c r="J58" i="1"/>
  <c r="F58" i="1"/>
  <c r="F131" i="1" s="1"/>
  <c r="C9" i="2"/>
  <c r="B127" i="1"/>
  <c r="B88" i="1"/>
  <c r="G88" i="1"/>
  <c r="G76" i="1"/>
  <c r="F132" i="1"/>
  <c r="J131" i="1"/>
  <c r="J132" i="1"/>
  <c r="M123" i="1" l="1" a="1"/>
  <c r="M123" i="1" s="1"/>
  <c r="M126" i="1" a="1"/>
  <c r="M126" i="1" s="1"/>
  <c r="M120" i="1" a="1"/>
  <c r="M120" i="1" s="1"/>
  <c r="B129" i="1"/>
  <c r="B70" i="1"/>
  <c r="B76" i="1"/>
  <c r="D54" i="1"/>
  <c r="D81" i="1"/>
  <c r="M97" i="1" a="1"/>
  <c r="M97" i="1" s="1"/>
  <c r="B75" i="1"/>
  <c r="B81" i="1"/>
  <c r="M78" i="1" a="1"/>
  <c r="M78" i="1" s="1"/>
  <c r="M73" i="1" a="1"/>
  <c r="M73" i="1" s="1"/>
  <c r="M90" i="1" a="1"/>
  <c r="M90" i="1" s="1"/>
  <c r="M124" i="1" a="1"/>
  <c r="M124" i="1" s="1"/>
  <c r="M117" i="1" a="1"/>
  <c r="M117" i="1" s="1"/>
  <c r="M98" i="1" a="1"/>
  <c r="M98" i="1" s="1"/>
  <c r="M129" i="1" a="1"/>
  <c r="M129" i="1" s="1"/>
  <c r="M91" i="1" a="1"/>
  <c r="M91" i="1" s="1"/>
  <c r="M122" i="1" a="1"/>
  <c r="M122" i="1" s="1"/>
  <c r="M72" i="1" a="1"/>
  <c r="M72" i="1" s="1"/>
  <c r="M70" i="1" a="1"/>
  <c r="M70" i="1" s="1"/>
  <c r="B41" i="2" s="1"/>
  <c r="B43" i="2" s="1"/>
  <c r="B44" i="2" s="1"/>
  <c r="B51" i="2" s="1"/>
  <c r="B57" i="1"/>
  <c r="M57" i="1" s="1"/>
  <c r="B58" i="1"/>
  <c r="B131" i="1" s="1"/>
  <c r="M105" i="1" a="1"/>
  <c r="M105" i="1" s="1"/>
  <c r="C114" i="1"/>
  <c r="M113" i="1" a="1"/>
  <c r="M113" i="1" s="1"/>
  <c r="D114" i="1"/>
  <c r="M66" i="1" a="1"/>
  <c r="M66" i="1" s="1"/>
  <c r="M68" i="1" a="1"/>
  <c r="M68" i="1" s="1"/>
  <c r="M112" i="1" a="1"/>
  <c r="M112" i="1" s="1"/>
  <c r="M69" i="1" a="1"/>
  <c r="M69" i="1" s="1"/>
  <c r="B114" i="1"/>
  <c r="M114" i="1" s="1" a="1"/>
  <c r="M114" i="1" s="1"/>
  <c r="B8" i="4"/>
  <c r="B13" i="4" s="1"/>
  <c r="B86" i="1"/>
  <c r="M60" i="1"/>
  <c r="M107" i="1" a="1"/>
  <c r="M107" i="1" s="1"/>
  <c r="M108" i="1" a="1"/>
  <c r="M108" i="1" s="1"/>
  <c r="M106" i="1" a="1"/>
  <c r="M106" i="1" s="1"/>
  <c r="M86" i="1" a="1"/>
  <c r="M86" i="1" s="1"/>
  <c r="M102" i="1" a="1"/>
  <c r="M102" i="1" s="1"/>
  <c r="D132" i="1"/>
  <c r="M94" i="1" a="1"/>
  <c r="M94" i="1" s="1"/>
  <c r="M93" i="1" a="1"/>
  <c r="M93" i="1" s="1"/>
  <c r="M109" i="1" a="1"/>
  <c r="M109" i="1" s="1"/>
  <c r="M84" i="1" a="1"/>
  <c r="M84" i="1" s="1"/>
  <c r="M95" i="1" a="1"/>
  <c r="M95" i="1" s="1"/>
  <c r="B59" i="1"/>
  <c r="G9" i="2"/>
  <c r="M55" i="1"/>
  <c r="B87" i="1"/>
  <c r="B118" i="1"/>
  <c r="M118" i="1" s="1" a="1"/>
  <c r="M118" i="1" s="1"/>
  <c r="B125" i="1"/>
  <c r="M125" i="1" s="1" a="1"/>
  <c r="M125" i="1" s="1"/>
  <c r="B130" i="1"/>
  <c r="M130" i="1" s="1" a="1"/>
  <c r="M130" i="1" s="1"/>
  <c r="M56" i="1"/>
  <c r="F9" i="2"/>
  <c r="C59" i="1"/>
  <c r="C119" i="1" s="1"/>
  <c r="D88" i="1"/>
  <c r="D76" i="1"/>
  <c r="I54" i="1"/>
  <c r="I70" i="1"/>
  <c r="I80" i="1"/>
  <c r="I81" i="1"/>
  <c r="I96" i="1"/>
  <c r="I57" i="1"/>
  <c r="I58" i="1"/>
  <c r="D5" i="2"/>
  <c r="E70" i="1"/>
  <c r="E80" i="1" s="1"/>
  <c r="E81" i="1"/>
  <c r="E129" i="1"/>
  <c r="E75" i="1"/>
  <c r="E57" i="1"/>
  <c r="E58" i="1"/>
  <c r="E96" i="1"/>
  <c r="E54" i="1"/>
  <c r="I129" i="1"/>
  <c r="I128" i="1"/>
  <c r="I134" i="1" s="1"/>
  <c r="B134" i="1"/>
  <c r="M134" i="1" s="1" a="1"/>
  <c r="M134" i="1" s="1"/>
  <c r="I75" i="1"/>
  <c r="H125" i="1"/>
  <c r="H130" i="1"/>
  <c r="H87" i="1"/>
  <c r="H118" i="1"/>
  <c r="E87" i="1"/>
  <c r="E125" i="1"/>
  <c r="L76" i="1"/>
  <c r="L88" i="1"/>
  <c r="L127" i="1"/>
  <c r="D127" i="1"/>
  <c r="B80" i="1"/>
  <c r="K87" i="1"/>
  <c r="K118" i="1"/>
  <c r="K125" i="1"/>
  <c r="D9" i="2"/>
  <c r="E59" i="1"/>
  <c r="E119" i="1" s="1"/>
  <c r="K54" i="1"/>
  <c r="K96" i="1"/>
  <c r="K58" i="1"/>
  <c r="K81" i="1"/>
  <c r="K128" i="1"/>
  <c r="K134" i="1" s="1"/>
  <c r="K75" i="1"/>
  <c r="K57" i="1"/>
  <c r="B5" i="2"/>
  <c r="G75" i="1"/>
  <c r="G58" i="1"/>
  <c r="B6" i="2"/>
  <c r="G81" i="1"/>
  <c r="G129" i="1"/>
  <c r="G96" i="1"/>
  <c r="F5" i="2"/>
  <c r="F11" i="2" s="1"/>
  <c r="C75" i="1"/>
  <c r="M75" i="1" s="1" a="1"/>
  <c r="M75" i="1" s="1"/>
  <c r="C128" i="1"/>
  <c r="C134" i="1" s="1"/>
  <c r="C54" i="1"/>
  <c r="C58" i="1"/>
  <c r="C57" i="1"/>
  <c r="C96" i="1"/>
  <c r="M96" i="1" s="1" a="1"/>
  <c r="M96" i="1" s="1"/>
  <c r="C81" i="1"/>
  <c r="M81" i="1" s="1" a="1"/>
  <c r="M81" i="1" s="1"/>
  <c r="C80" i="1"/>
  <c r="E11" i="2"/>
  <c r="J130" i="1"/>
  <c r="F88" i="1"/>
  <c r="C87" i="1"/>
  <c r="F75" i="1"/>
  <c r="J80" i="1"/>
  <c r="F70" i="1"/>
  <c r="F80" i="1" s="1"/>
  <c r="J87" i="1"/>
  <c r="H54" i="1"/>
  <c r="L96" i="1"/>
  <c r="J54" i="1"/>
  <c r="H96" i="1"/>
  <c r="G5" i="2"/>
  <c r="O10" i="2"/>
  <c r="O7" i="2"/>
  <c r="P8" i="2"/>
  <c r="G11" i="2"/>
  <c r="P10" i="2"/>
  <c r="B132" i="1" l="1"/>
  <c r="M87" i="1" a="1"/>
  <c r="M87" i="1" s="1"/>
  <c r="M80" i="1" a="1"/>
  <c r="M80" i="1" s="1"/>
  <c r="M128" i="1" a="1"/>
  <c r="M128" i="1" s="1"/>
  <c r="P9" i="2"/>
  <c r="O9" i="2"/>
  <c r="B119" i="1"/>
  <c r="M119" i="1" s="1" a="1"/>
  <c r="M119" i="1" s="1"/>
  <c r="M59" i="1"/>
  <c r="E131" i="1"/>
  <c r="E132" i="1"/>
  <c r="I132" i="1"/>
  <c r="I131" i="1"/>
  <c r="C132" i="1"/>
  <c r="M132" i="1" s="1" a="1"/>
  <c r="M132" i="1" s="1"/>
  <c r="C131" i="1"/>
  <c r="M131" i="1" s="1" a="1"/>
  <c r="M131" i="1" s="1"/>
  <c r="M58" i="1"/>
  <c r="K132" i="1"/>
  <c r="K131" i="1"/>
  <c r="B11" i="2"/>
  <c r="C88" i="1"/>
  <c r="M88" i="1" s="1" a="1"/>
  <c r="M88" i="1" s="1"/>
  <c r="C127" i="1"/>
  <c r="M127" i="1" s="1" a="1"/>
  <c r="M127" i="1" s="1"/>
  <c r="C76" i="1"/>
  <c r="M76" i="1" s="1" a="1"/>
  <c r="M76" i="1" s="1"/>
  <c r="G131" i="1"/>
  <c r="G132" i="1"/>
  <c r="E127" i="1"/>
  <c r="E76" i="1"/>
  <c r="E88" i="1"/>
  <c r="I76" i="1"/>
  <c r="I127" i="1"/>
  <c r="I88" i="1"/>
  <c r="P5" i="2"/>
  <c r="O5" i="2"/>
  <c r="H127" i="1"/>
  <c r="H88" i="1"/>
  <c r="H76" i="1"/>
  <c r="J76" i="1"/>
  <c r="J88" i="1"/>
  <c r="J127" i="1"/>
  <c r="K127" i="1"/>
  <c r="K88" i="1"/>
  <c r="K76" i="1"/>
  <c r="D11" i="2"/>
  <c r="B62" i="2"/>
  <c r="P11" i="2"/>
  <c r="O11" i="2"/>
  <c r="B64" i="2" l="1"/>
  <c r="B68" i="2" s="1"/>
  <c r="B70" i="2" s="1"/>
  <c r="B63" i="2"/>
</calcChain>
</file>

<file path=xl/sharedStrings.xml><?xml version="1.0" encoding="utf-8"?>
<sst xmlns="http://schemas.openxmlformats.org/spreadsheetml/2006/main" count="201" uniqueCount="180">
  <si>
    <t>Eigenkapital (Equity)</t>
  </si>
  <si>
    <t>Umsatz (Revenue/Net Sales)</t>
  </si>
  <si>
    <t>Goodwill</t>
  </si>
  <si>
    <t>Umlaufvermögen (Current Assets)</t>
  </si>
  <si>
    <t>Kurzfristige Verbindlichkeiten (Current Liabilities)</t>
  </si>
  <si>
    <t>Liquide Mittel (Cash and cash equivalents)</t>
  </si>
  <si>
    <t>Auftragsbestand</t>
  </si>
  <si>
    <t>Marktkapitalisierung</t>
  </si>
  <si>
    <t>Anlagevermögen (Non current Assets)</t>
  </si>
  <si>
    <t>Sachinvestitionen (CAPEX)</t>
  </si>
  <si>
    <t>Abschreibungen</t>
  </si>
  <si>
    <t>Veränderung Working Capital</t>
  </si>
  <si>
    <r>
      <rPr>
        <b/>
        <sz val="10"/>
        <rFont val="Arial"/>
        <family val="2"/>
      </rPr>
      <t>KCV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Kurs Cash Flow Verhältnis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</si>
  <si>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KFV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Kurs zu Free Cash Flow Verhältnis</t>
    </r>
  </si>
  <si>
    <r>
      <rPr>
        <b/>
        <sz val="10"/>
        <rFont val="Arial"/>
        <family val="2"/>
      </rPr>
      <t>KUV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Kurs Umsatz Verhältnis (Typisch: 0,4 bis 2,0)</t>
    </r>
  </si>
  <si>
    <r>
      <rPr>
        <b/>
        <sz val="10"/>
        <rFont val="Arial"/>
        <family val="2"/>
      </rPr>
      <t>EV/EBITDA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Eigenkapital + Fremdkapital (Enterprise Value) ohne liquide Mittel im Verhältnis zu EBITDA (Ziel: &lt; 14)</t>
    </r>
  </si>
  <si>
    <r>
      <rPr>
        <b/>
        <sz val="10"/>
        <rFont val="Arial"/>
        <family val="2"/>
      </rPr>
      <t>EV/EBIT</t>
    </r>
    <r>
      <rPr>
        <i/>
        <sz val="10"/>
        <rFont val="Arial"/>
        <family val="2"/>
      </rPr>
      <t xml:space="preserve">
</t>
    </r>
    <r>
      <rPr>
        <i/>
        <sz val="8"/>
        <rFont val="Arial"/>
        <family val="2"/>
      </rPr>
      <t xml:space="preserve">Enterprise Value im Verhältnis zu EBIT </t>
    </r>
  </si>
  <si>
    <r>
      <rPr>
        <b/>
        <sz val="10"/>
        <rFont val="Arial"/>
        <family val="2"/>
      </rPr>
      <t>EV/FCF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Enterprise Value im Verhältnis zu Free Cashflow vor Zinsen</t>
    </r>
  </si>
  <si>
    <r>
      <rPr>
        <b/>
        <sz val="10"/>
        <rFont val="Arial"/>
        <family val="2"/>
      </rPr>
      <t>EV/Sales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Enterprise Value im Verhältnis zum Umsatz (Ziel: &lt; 3)</t>
    </r>
  </si>
  <si>
    <r>
      <rPr>
        <b/>
        <sz val="10"/>
        <rFont val="Arial"/>
        <family val="2"/>
      </rPr>
      <t>Ungehebelte Eigenkapitalrendite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Eigenkapitalrendite ohne Einfluss (Hebel) durch Fremdkapital</t>
    </r>
  </si>
  <si>
    <r>
      <rPr>
        <b/>
        <sz val="10"/>
        <rFont val="Arial"/>
        <family val="2"/>
      </rPr>
      <t>KBV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Marktkapitalisierung zu Eigenkapital (Ziel: &lt; 2,5, bei Eigenkapitalrendite von 15%)</t>
    </r>
  </si>
  <si>
    <r>
      <rPr>
        <b/>
        <sz val="10"/>
        <rFont val="Arial"/>
        <family val="2"/>
      </rPr>
      <t>KGV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Kurs Gewinn Verhältnis (Ziel: &lt; 10, abhängig von Gewinnwachstum)</t>
    </r>
  </si>
  <si>
    <r>
      <rPr>
        <b/>
        <sz val="10"/>
        <rFont val="Arial"/>
        <family val="2"/>
      </rPr>
      <t>Book to Bill Ratio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Auftragseingängen zu Vorjahresumsatz. Zeigt Auftragszunahme/-rückgang (Ziel: &gt; 1)</t>
    </r>
  </si>
  <si>
    <r>
      <rPr>
        <b/>
        <sz val="10"/>
        <rFont val="Arial"/>
        <family val="2"/>
      </rPr>
      <t>Auftragsreichweite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Gibt an, wieviele Tage das Unternehmen den Umsatz durch existierende Aufträge aufrechterhalten kann</t>
    </r>
  </si>
  <si>
    <r>
      <rPr>
        <b/>
        <sz val="10"/>
        <rFont val="Arial"/>
        <family val="2"/>
      </rPr>
      <t>Lagerdauer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Durchschnittliche Zeit in Tagen die Produkte im Lager verweilen vor Verkauf. Zeitliche Entwicklung relevant</t>
    </r>
  </si>
  <si>
    <r>
      <rPr>
        <b/>
        <sz val="10"/>
        <rFont val="Arial"/>
        <family val="2"/>
      </rPr>
      <t>Vorratsintensität HUF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von Halb- und Fertigprodukten an Bilanzsumme. Zeitliche Entwicklung relevant</t>
    </r>
  </si>
  <si>
    <r>
      <rPr>
        <b/>
        <sz val="10"/>
        <rFont val="Arial"/>
        <family val="2"/>
      </rPr>
      <t>Vorratsintensität RHB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von Roh-, Hilfs- und Betriebsstoffen an Bilanzsumme. Zeitliche Entwicklung relevant</t>
    </r>
  </si>
  <si>
    <r>
      <rPr>
        <b/>
        <sz val="10"/>
        <rFont val="Arial"/>
        <family val="2"/>
      </rPr>
      <t>Liquidität 3. Grades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Umlaufvermögen zu kurzfristigen Verbindlichkeiten (Ziel: &gt; 120%)</t>
    </r>
  </si>
  <si>
    <r>
      <rPr>
        <b/>
        <sz val="10"/>
        <rFont val="Arial"/>
        <family val="2"/>
      </rPr>
      <t>Liquidität 2. Grades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kurzfristiges Kapital inklusive Forderungen zu kurzfristigen Verbindlichkeiten (Ziel: &gt; 90%)</t>
    </r>
  </si>
  <si>
    <r>
      <rPr>
        <b/>
        <sz val="10"/>
        <rFont val="Arial"/>
        <family val="2"/>
      </rPr>
      <t>Liquidität 1. Grades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kurzfristig verfügbarem Kapital zu kurzfristigen Verbindlichkeiten (Ziel: &gt; 10%)</t>
    </r>
  </si>
  <si>
    <r>
      <rPr>
        <b/>
        <sz val="10"/>
        <rFont val="Arial"/>
        <family val="2"/>
      </rPr>
      <t>Goodwill Anteil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des Goodwill (Anteil an anderen Unternehmen über Buchwert) am Eigenkapital (Ziel: &lt; 20%)</t>
    </r>
  </si>
  <si>
    <r>
      <rPr>
        <b/>
        <sz val="10"/>
        <rFont val="Arial"/>
        <family val="2"/>
      </rPr>
      <t>Anlagendeckungsgrad 2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Deckung des Anlagevermögens durch Eigenkapital plus langfristiges Fremdkapital (Ziel: &lt; 130%)</t>
    </r>
  </si>
  <si>
    <r>
      <rPr>
        <b/>
        <sz val="10"/>
        <rFont val="Arial"/>
        <family val="2"/>
      </rPr>
      <t>Anlagendeckungsgrad 1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Deckung des Anlagevermögens durch Eigenkapital (Ziel: &lt; 90%)</t>
    </r>
  </si>
  <si>
    <r>
      <rPr>
        <b/>
        <sz val="10"/>
        <rFont val="Arial"/>
        <family val="2"/>
      </rPr>
      <t>Anlageintensität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Anlagevermögen an Bilanzsumme. Maß für die Unflexibiltät eines Unternehmens. Branchenabhängig</t>
    </r>
  </si>
  <si>
    <r>
      <rPr>
        <b/>
        <sz val="10"/>
        <rFont val="Arial"/>
        <family val="2"/>
      </rPr>
      <t>Umlaufintensität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Umlaufvermögen an Bilanzsumme. Maß für die Flexibilität eines Unternehmens. Branchenabhängig</t>
    </r>
  </si>
  <si>
    <r>
      <rPr>
        <b/>
        <sz val="10"/>
        <rFont val="Arial"/>
        <family val="2"/>
      </rPr>
      <t>Cash Burn Rate</t>
    </r>
    <r>
      <rPr>
        <i/>
        <sz val="8"/>
        <rFont val="Arial"/>
        <family val="2"/>
      </rPr>
      <t xml:space="preserve">
Zeit in Jahren wie lange ein Unternehmen noch weiter Schulden machen kann (nur bei Jahresfehlbetrag berechenbar)</t>
    </r>
  </si>
  <si>
    <r>
      <rPr>
        <b/>
        <sz val="10"/>
        <rFont val="Arial"/>
        <family val="2"/>
      </rPr>
      <t>Wachstumsquote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Investitionen zu Abschreibungen (wenn größer 100% dann wächst das Unternehmen)</t>
    </r>
  </si>
  <si>
    <r>
      <rPr>
        <b/>
        <sz val="10"/>
        <rFont val="Arial"/>
        <family val="2"/>
      </rPr>
      <t>Sachinvestitionsquote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Gibt an, wieviel des operativen Cashflow reinvestiert wird (Ziel: &lt; 50%)</t>
    </r>
  </si>
  <si>
    <r>
      <rPr>
        <b/>
        <sz val="10"/>
        <rFont val="Arial"/>
        <family val="2"/>
      </rPr>
      <t>Net Debt/EBITDA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Schulden durch Ergebnis vor Steuern und Abschreibungen (Ziel: &lt; 3)</t>
    </r>
  </si>
  <si>
    <r>
      <rPr>
        <b/>
        <sz val="10"/>
        <rFont val="Arial"/>
        <family val="2"/>
      </rPr>
      <t>Dynamischer Verschuldungsgrad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Schuldentilgung in Jahren wenn gesamter Free Cashflow eingesetzt würde (Ziel: &lt; 5 Jahre)</t>
    </r>
  </si>
  <si>
    <r>
      <rPr>
        <b/>
        <sz val="10"/>
        <rFont val="Arial"/>
        <family val="2"/>
      </rPr>
      <t>Gearing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Verschuldung minus Cash im Verhältnis zu Eigenkapital (Ziel: &lt; 70%)</t>
    </r>
  </si>
  <si>
    <r>
      <rPr>
        <b/>
        <sz val="10"/>
        <rFont val="Arial"/>
        <family val="2"/>
      </rPr>
      <t>Eigenkapitalquote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des Eigenkapitals an der Bilanzsumme</t>
    </r>
  </si>
  <si>
    <r>
      <rPr>
        <b/>
        <sz val="10"/>
        <rFont val="Arial"/>
        <family val="2"/>
      </rPr>
      <t>Gesamtkapitalrendite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von Gewinn + Fremdkapitalzinsen an der Bilanzsumme</t>
    </r>
  </si>
  <si>
    <r>
      <rPr>
        <b/>
        <sz val="10"/>
        <rFont val="Arial"/>
        <family val="2"/>
      </rPr>
      <t>Return on Investment (ROI)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Gewinn zu Bilanzsumme. Gibt an, wieviel Kapital zur Generierung von Gewinn benötigt wird</t>
    </r>
  </si>
  <si>
    <r>
      <rPr>
        <b/>
        <sz val="10"/>
        <rFont val="Arial"/>
        <family val="2"/>
      </rPr>
      <t>Kapitalumschlag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Umsatz zu Bilanzsumme. Gibt an, wieviel Kapital zur Generierung von Umsatz benötigt wird</t>
    </r>
  </si>
  <si>
    <r>
      <rPr>
        <b/>
        <sz val="10"/>
        <rFont val="Arial"/>
        <family val="2"/>
      </rPr>
      <t>Steuerquote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Steueranteil am Gewinn</t>
    </r>
  </si>
  <si>
    <r>
      <rPr>
        <b/>
        <sz val="10"/>
        <rFont val="Arial"/>
        <family val="2"/>
      </rPr>
      <t>F&amp;E Kostenquote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von Forschung und Entwicklung am Umsatz</t>
    </r>
  </si>
  <si>
    <r>
      <rPr>
        <b/>
        <sz val="10"/>
        <rFont val="Arial"/>
        <family val="2"/>
      </rPr>
      <t>Verwaltungskostenquote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der Verwaltungskosten am Umsatz</t>
    </r>
  </si>
  <si>
    <r>
      <rPr>
        <b/>
        <sz val="10"/>
        <rFont val="Arial"/>
        <family val="2"/>
      </rPr>
      <t>Vertriebskostenquote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der Vertriebskosten am Umsatz</t>
    </r>
  </si>
  <si>
    <r>
      <rPr>
        <b/>
        <sz val="10"/>
        <rFont val="Arial"/>
        <family val="2"/>
      </rPr>
      <t>Umsatzkostenquote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der Umsatzkosten am Umsatz</t>
    </r>
  </si>
  <si>
    <r>
      <rPr>
        <b/>
        <sz val="10"/>
        <rFont val="Arial"/>
        <family val="2"/>
      </rPr>
      <t>Eigenkapitalrendite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Verzinsung des Eigenkapitals (Ziel: &gt; 10%)</t>
    </r>
  </si>
  <si>
    <r>
      <rPr>
        <b/>
        <sz val="10"/>
        <rFont val="Arial"/>
        <family val="2"/>
      </rPr>
      <t>Umsatzrendite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Gewinnanteil am Umsatz</t>
    </r>
  </si>
  <si>
    <r>
      <rPr>
        <b/>
        <sz val="10"/>
        <rFont val="Arial"/>
        <family val="2"/>
      </rPr>
      <t>EBIT Marge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 xml:space="preserve">Gewinnanteil vor Steuern und Zinsen am Umsatz </t>
    </r>
  </si>
  <si>
    <r>
      <rPr>
        <b/>
        <sz val="10"/>
        <rFont val="Arial"/>
        <family val="2"/>
      </rPr>
      <t>EBITDA Marge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Gewinnanteil vor Steuern, Zinsen und Abschreibungen am Umsatz</t>
    </r>
  </si>
  <si>
    <t>Geschäftszahlen</t>
  </si>
  <si>
    <t>Kennzahlen</t>
  </si>
  <si>
    <r>
      <t xml:space="preserve">Geldumschlag (Cash Conversion Cycle)
</t>
    </r>
    <r>
      <rPr>
        <i/>
        <sz val="8"/>
        <rFont val="Arial"/>
        <family val="2"/>
      </rPr>
      <t>Durchschnittliche Geldbindung in Tagen. Zeitliche Entwicklung relevant</t>
    </r>
  </si>
  <si>
    <t>Vorräte (Inventories)</t>
  </si>
  <si>
    <t>Dividendenausschüttung</t>
  </si>
  <si>
    <r>
      <rPr>
        <b/>
        <sz val="10"/>
        <rFont val="Arial"/>
        <family val="2"/>
      </rPr>
      <t xml:space="preserve">Ausschüttungsquote (Gewinn)
</t>
    </r>
    <r>
      <rPr>
        <i/>
        <sz val="8"/>
        <rFont val="Arial"/>
        <family val="2"/>
      </rPr>
      <t>Anteil der Dividendenausschüttungen am Gewinn (Ziel: &lt; 60%)</t>
    </r>
  </si>
  <si>
    <t>Kennzahlen zu Ertrag und Rentabilität</t>
  </si>
  <si>
    <t>Kennzahlen zur finanziellen Stabilität</t>
  </si>
  <si>
    <t>Kennzahlen aus Umsatzkostenverfahren</t>
  </si>
  <si>
    <t>Kennzahlen zum Working Capital Management</t>
  </si>
  <si>
    <t>Ausschüttungspolitik</t>
  </si>
  <si>
    <r>
      <rPr>
        <b/>
        <sz val="10"/>
        <rFont val="Arial"/>
        <family val="2"/>
      </rPr>
      <t xml:space="preserve">Dividendenrendite
</t>
    </r>
    <r>
      <rPr>
        <i/>
        <sz val="8"/>
        <rFont val="Arial"/>
        <family val="2"/>
      </rPr>
      <t>Anteil der Dividenden am Aktienkurs</t>
    </r>
  </si>
  <si>
    <t>Bewertungskennzahlen</t>
  </si>
  <si>
    <t>F&amp;E Aufwand (R&amp;D Expenses)</t>
  </si>
  <si>
    <t>Bilanzsumme (Assets)</t>
  </si>
  <si>
    <t>Vertriebsaufwand (Distribution costs)</t>
  </si>
  <si>
    <t>Verwaltungsaufwand (Administrative Expenses)</t>
  </si>
  <si>
    <t>Verbindlichkeiten aus LuL (Trade payables)</t>
  </si>
  <si>
    <t>Forderungen aus LuL (Trade receivables)</t>
  </si>
  <si>
    <t>Roh,- Hilfs- und Betriebsstoffe (Raw materials and comp)</t>
  </si>
  <si>
    <t>Halb- und Fertigfabrikate (Work in progress)</t>
  </si>
  <si>
    <t>Wechselkurs zu Jahresende (Mio -&gt; )</t>
  </si>
  <si>
    <t>Mittelwert</t>
  </si>
  <si>
    <t>Minderheitsanteile (Minority/Noncontrolling Interests)</t>
  </si>
  <si>
    <t>-</t>
  </si>
  <si>
    <t>Langfristige Finanzverbindlichkeiten (Long term Debt/Bor)</t>
  </si>
  <si>
    <t>Kurzfristige Finanzverbindlichkeiten (Short term DebtBorr)</t>
  </si>
  <si>
    <t>Umsatzkosten/Herstellkosten (Cost of Sales/Goods sold)</t>
  </si>
  <si>
    <t>Bilanz (Balance Sheet)</t>
  </si>
  <si>
    <t>Erfolgsrechnung (Statements of Income)</t>
  </si>
  <si>
    <t>Kapitalflussrechnung (Statements of Cash Flow)</t>
  </si>
  <si>
    <t>EBIT (Earnings before Interests and Taxes)</t>
  </si>
  <si>
    <t>EBITDA (EBIT before Depreciation and Amortization)</t>
  </si>
  <si>
    <t>Jahresüberschuss (Net Profit/Income)</t>
  </si>
  <si>
    <t>Free Cashflow (op. Cashflow - CAPEX)</t>
  </si>
  <si>
    <t>Operativer Cashflow (Cashflow from operations)</t>
  </si>
  <si>
    <r>
      <rPr>
        <b/>
        <sz val="10"/>
        <rFont val="Arial"/>
        <family val="2"/>
      </rPr>
      <t>Ausschüttungsquote (operativer Cashflow)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der Dividendenausschüttungen am operativen Cashflow</t>
    </r>
  </si>
  <si>
    <r>
      <rPr>
        <b/>
        <sz val="10"/>
        <rFont val="Arial"/>
        <family val="2"/>
      </rPr>
      <t>Umsatzverdienstrate (Cash Flow Marge)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operativem Cashflow zu Umsatz. Gibt an, wieviel Cashflow durch Umsatz generiert wird</t>
    </r>
  </si>
  <si>
    <t>Finanzanlagen (available for sales securities)</t>
  </si>
  <si>
    <r>
      <t xml:space="preserve">Intangible Anteil
</t>
    </r>
    <r>
      <rPr>
        <i/>
        <sz val="8"/>
        <rFont val="Arial"/>
        <family val="2"/>
      </rPr>
      <t>Anteil immaterieller Güter am Eigenkapital (Ziel: &lt;20%)</t>
    </r>
  </si>
  <si>
    <r>
      <rPr>
        <b/>
        <sz val="10"/>
        <rFont val="Arial"/>
        <family val="2"/>
      </rPr>
      <t xml:space="preserve">Interest Coverage Ratio (ICR)
</t>
    </r>
    <r>
      <rPr>
        <sz val="8"/>
        <rFont val="Arial"/>
        <family val="2"/>
      </rPr>
      <t>Verhältnis von EBIT zu Fremdkapitalzinsen (Ziel: &gt; 5)</t>
    </r>
  </si>
  <si>
    <r>
      <t xml:space="preserve">Interest Coverage Ratio (ICR) op. Cashflow
</t>
    </r>
    <r>
      <rPr>
        <i/>
        <sz val="8"/>
        <rFont val="Arial"/>
        <family val="2"/>
      </rPr>
      <t>Verhältnis von operativem Cashflow zu Fremdkapitalzinsen (Ziel: &gt; 10)</t>
    </r>
  </si>
  <si>
    <r>
      <rPr>
        <b/>
        <sz val="10"/>
        <rFont val="Arial"/>
        <family val="2"/>
      </rPr>
      <t>Ausschüttungsquote (free Cashflow)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Anteil der Dividendenausschüttungen am freien Cashflow</t>
    </r>
  </si>
  <si>
    <t>Ungedeckte Pensionsverbindlichkeiten</t>
  </si>
  <si>
    <r>
      <t>PEG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KGV durch Gewinnwachstum der letzten 5 Jahre (Ziel: &lt; 1)</t>
    </r>
  </si>
  <si>
    <r>
      <t xml:space="preserve">EV/EBIT Growth
</t>
    </r>
    <r>
      <rPr>
        <i/>
        <sz val="8"/>
        <rFont val="Arial"/>
        <family val="2"/>
      </rPr>
      <t>EV/EBIT durch EBIT-Wachstum der letzten 5 Jahre (Ziel: &lt; 1)</t>
    </r>
  </si>
  <si>
    <t>Langfristige Verbindlichkeiten (Non current liabilities)</t>
  </si>
  <si>
    <t>Immaterielle Güter (Intangible Assets, ohne Goodwill)</t>
  </si>
  <si>
    <t>Abschreibungen und Wertmind. (Depreciation and Amor.)</t>
  </si>
  <si>
    <t>Abgeleitete Werte (nicht in Währung konvertieren!)</t>
  </si>
  <si>
    <t>Aktienanzahl verwässert (diluted shares)</t>
  </si>
  <si>
    <t>Anhang (Notes)</t>
  </si>
  <si>
    <t>Managementvergütung (Management compensation)</t>
  </si>
  <si>
    <t>Free Cashflow to Equity (FCFE - konservativ, o. Neuvers)</t>
  </si>
  <si>
    <t>Übernahmen (Merger &amp; Acquisitions)</t>
  </si>
  <si>
    <r>
      <t xml:space="preserve">Ausschüttungsquote (FCFE)
</t>
    </r>
    <r>
      <rPr>
        <i/>
        <sz val="8"/>
        <rFont val="Arial"/>
        <family val="2"/>
      </rPr>
      <t>Anteil der Dividendenausschüttungen am Free Cashflow to Equity</t>
    </r>
  </si>
  <si>
    <t>Gesamtverschuldung (inkl. Pensionen + Leasing)</t>
  </si>
  <si>
    <r>
      <rPr>
        <b/>
        <sz val="10"/>
        <rFont val="Arial"/>
        <family val="2"/>
      </rPr>
      <t>EV*/EBIT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 xml:space="preserve">Enterprise Value modifiziert (inkl. Pensionen und Leasing) im Verhältnis zu EBIT </t>
    </r>
  </si>
  <si>
    <r>
      <rPr>
        <b/>
        <sz val="10"/>
        <rFont val="Arial"/>
        <family val="2"/>
      </rPr>
      <t>EV/FCFF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Enterprise Value im Verhältnis zum Free Cashflow to the Firm</t>
    </r>
  </si>
  <si>
    <r>
      <rPr>
        <b/>
        <sz val="10"/>
        <rFont val="Arial"/>
        <family val="2"/>
      </rPr>
      <t>EV*/FCFF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Enterprise Value modifiziert (inkl. Pensionen und Leasing) im Verhältnis zum Free Cashflow to the Firm</t>
    </r>
  </si>
  <si>
    <r>
      <t xml:space="preserve">Management Vergütung Anteil
</t>
    </r>
    <r>
      <rPr>
        <i/>
        <sz val="8"/>
        <rFont val="Arial"/>
        <family val="2"/>
      </rPr>
      <t>Anteil der Managementvergütung an Gewinn</t>
    </r>
  </si>
  <si>
    <r>
      <t xml:space="preserve">Anteil zweifelhafter Forderungen
</t>
    </r>
    <r>
      <rPr>
        <i/>
        <sz val="8"/>
        <rFont val="Arial"/>
        <family val="2"/>
      </rPr>
      <t>Anteil zweifelhafter Forderungen an Forderungen aus LuL</t>
    </r>
  </si>
  <si>
    <r>
      <t xml:space="preserve">Minderheitsanteile
</t>
    </r>
    <r>
      <rPr>
        <i/>
        <sz val="8"/>
        <rFont val="Arial"/>
        <family val="2"/>
      </rPr>
      <t>Anteil der Minderheitsanteile am Eigenkapital (Ziel &lt; 20%)</t>
    </r>
  </si>
  <si>
    <t>Fremdkapitalzinsen (Interest Expenses)</t>
  </si>
  <si>
    <t>j.Wachstum</t>
  </si>
  <si>
    <t>Steuern (Income tax expenses)</t>
  </si>
  <si>
    <t>Leasing Verbindlichkeiten (op. Lease Obligations)</t>
  </si>
  <si>
    <t>Zweifelhafte Forderungen (Allowance for doubtful acoun.)</t>
  </si>
  <si>
    <t>EBIT</t>
  </si>
  <si>
    <t>Steuerquote</t>
  </si>
  <si>
    <t>ΔWorking Capital</t>
  </si>
  <si>
    <t>Merger &amp; Acquisitions</t>
  </si>
  <si>
    <t>Free Cashflow to the Firm</t>
  </si>
  <si>
    <t>Jahr</t>
  </si>
  <si>
    <t>DCF (Entity Verfahren)</t>
  </si>
  <si>
    <t>Wachstum 6 J.</t>
  </si>
  <si>
    <t>Wachstumsprognose</t>
  </si>
  <si>
    <t>Risikoloser Zins</t>
  </si>
  <si>
    <r>
      <t>Beta Ungehebelt (</t>
    </r>
    <r>
      <rPr>
        <sz val="10"/>
        <rFont val="Calibri"/>
        <family val="2"/>
      </rPr>
      <t>βu)</t>
    </r>
  </si>
  <si>
    <t>Marktrisikoprämie</t>
  </si>
  <si>
    <t>durchschn. Steuerquote</t>
  </si>
  <si>
    <t>Verschuldungsgr. (FK/EK)</t>
  </si>
  <si>
    <r>
      <t>Beta Gehebelt (</t>
    </r>
    <r>
      <rPr>
        <sz val="10"/>
        <rFont val="Calibri"/>
        <family val="2"/>
      </rPr>
      <t>βL)</t>
    </r>
  </si>
  <si>
    <t>Eigenkapitalkosten</t>
  </si>
  <si>
    <t>Eigenkapitalkosten:</t>
  </si>
  <si>
    <t>durchschn. Kapitalkosten:</t>
  </si>
  <si>
    <t>Marktwert Fremdkapital</t>
  </si>
  <si>
    <t>Marktwert Eigenkapital</t>
  </si>
  <si>
    <t>Fremdkapitalzins</t>
  </si>
  <si>
    <t>d. Kapitalkosten (WACC)</t>
  </si>
  <si>
    <t>Terminal Value:</t>
  </si>
  <si>
    <t>EBIT Ende Prognose</t>
  </si>
  <si>
    <t>Ewiges Wachstum</t>
  </si>
  <si>
    <t>Ewige Steuerquote</t>
  </si>
  <si>
    <t>Ewige d. Kapitalkosten</t>
  </si>
  <si>
    <t>Terminal Value</t>
  </si>
  <si>
    <t>Fairer Kurs:</t>
  </si>
  <si>
    <t>Enterprise Value fair</t>
  </si>
  <si>
    <t>Gesamtverschuldung</t>
  </si>
  <si>
    <t>Minderheitsanteile</t>
  </si>
  <si>
    <t>Liquide Mittel</t>
  </si>
  <si>
    <t>Marktkapitalisierung fair</t>
  </si>
  <si>
    <t>Marktkapitalisierung akt.</t>
  </si>
  <si>
    <t>Unter(+)/Überbewertung(-)</t>
  </si>
  <si>
    <r>
      <t xml:space="preserve">Return on Capital Employed (ROCE)
</t>
    </r>
    <r>
      <rPr>
        <i/>
        <sz val="8"/>
        <rFont val="Arial"/>
        <family val="2"/>
      </rPr>
      <t>Verhältnis von Gewinn vor Steuern zu Anlagevermögen</t>
    </r>
  </si>
  <si>
    <r>
      <rPr>
        <b/>
        <sz val="10"/>
        <rFont val="Arial"/>
        <family val="2"/>
      </rPr>
      <t xml:space="preserve">Return on Capital Employed EK/FK (ROCE*) 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Verhältnis von Gewinn vor Steuern zu Eigenkapital + Fremdkapital</t>
    </r>
  </si>
  <si>
    <t>Capex</t>
  </si>
  <si>
    <r>
      <rPr>
        <b/>
        <sz val="10"/>
        <rFont val="Arial"/>
        <family val="2"/>
      </rPr>
      <t xml:space="preserve">Gearing*
</t>
    </r>
    <r>
      <rPr>
        <i/>
        <sz val="8"/>
        <rFont val="Arial"/>
        <family val="2"/>
      </rPr>
      <t>Verschuldung inklusive ungedeckte Pensionen und operativem Leasing minus Cash und veräußerbaren Finanzanlagen</t>
    </r>
  </si>
  <si>
    <t>Free Cashflow to the Firm (FCFF - über Gewinn ber.)</t>
  </si>
  <si>
    <t>Free Cashflow to the Firm (FCFF - über op. CF ber.)</t>
  </si>
  <si>
    <t>Piotrosky Score</t>
  </si>
  <si>
    <t>Positiver Gewinn</t>
  </si>
  <si>
    <t>Positiver op. Cashflow</t>
  </si>
  <si>
    <r>
      <rPr>
        <sz val="10"/>
        <rFont val="Calibri"/>
        <family val="2"/>
      </rPr>
      <t>Δ</t>
    </r>
    <r>
      <rPr>
        <sz val="10"/>
        <rFont val="Arial"/>
        <family val="2"/>
      </rPr>
      <t>RoA</t>
    </r>
  </si>
  <si>
    <t>ACCRUAL (op. CF &gt; EBIT)</t>
  </si>
  <si>
    <t>ΔLEVER (Schuldenquote zu Vj)</t>
  </si>
  <si>
    <t>ΔLIQUID (Forderungen zu Verb.)</t>
  </si>
  <si>
    <t>EQ_OFFER (Kapitalerhöhung)</t>
  </si>
  <si>
    <t>ΔMARGIN (Veränd. Bruttomarg.)</t>
  </si>
  <si>
    <t>ΔTURN (Veränd. Umsatz/AV)</t>
  </si>
  <si>
    <t>F_SCORE (Piotrosky Score):</t>
  </si>
  <si>
    <r>
      <rPr>
        <b/>
        <sz val="10"/>
        <rFont val="Arial"/>
        <family val="2"/>
      </rPr>
      <t>Debitorenlaufzeit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Zeit in Tagen in denen die Rechnungen des Unternehmens beglichen werden</t>
    </r>
  </si>
  <si>
    <r>
      <rPr>
        <b/>
        <sz val="10"/>
        <rFont val="Arial"/>
        <family val="2"/>
      </rPr>
      <t>Kreditorenlaufzeit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>Zeit in Tagen in der das Unternehmen seine Rechnungen begleicht (Ziel: &gt; Debitorenlaufzeit)</t>
    </r>
  </si>
  <si>
    <t>Notizen</t>
  </si>
  <si>
    <t>Verhältnis TV/CF7J</t>
  </si>
  <si>
    <t>Discounted Cashflows 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</si>
</sst>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#,##0.0"/>
  </numFmts>
  <fonts count="8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0"/>
      <name val="Calibri"/>
      <family val="2"/>
    </font>
    <font>
      <b/>
      <i/>
      <sz val="10"/>
      <color indexed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6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/>
      <bottom/>
      <diagonal/>
    </border>
    <border>
      <left style="thick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Dashed">
        <color indexed="64"/>
      </top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thick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 style="thick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 style="mediumDashed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/>
      <right style="thick">
        <color indexed="64"/>
      </right>
      <top style="mediumDashed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ck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1" fillId="2" borderId="2" xfId="0" applyFont="1" applyFill="1" applyBorder="1"/>
    <xf numFmtId="165" fontId="0" fillId="0" borderId="0" xfId="0" applyNumberFormat="1" applyBorder="1"/>
    <xf numFmtId="0" fontId="0" fillId="0" borderId="0" xfId="0" applyBorder="1"/>
    <xf numFmtId="164" fontId="0" fillId="0" borderId="0" xfId="0" applyNumberFormat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64" fontId="0" fillId="0" borderId="0" xfId="0" applyNumberFormat="1"/>
    <xf numFmtId="0" fontId="1" fillId="3" borderId="5" xfId="0" applyFont="1" applyFill="1" applyBorder="1" applyAlignment="1">
      <alignment horizontal="right"/>
    </xf>
    <xf numFmtId="10" fontId="0" fillId="3" borderId="6" xfId="0" applyNumberFormat="1" applyFill="1" applyBorder="1"/>
    <xf numFmtId="10" fontId="0" fillId="3" borderId="7" xfId="0" applyNumberFormat="1" applyFill="1" applyBorder="1"/>
    <xf numFmtId="0" fontId="0" fillId="2" borderId="8" xfId="0" applyFill="1" applyBorder="1"/>
    <xf numFmtId="0" fontId="0" fillId="3" borderId="9" xfId="0" applyFill="1" applyBorder="1"/>
    <xf numFmtId="165" fontId="0" fillId="3" borderId="9" xfId="0" applyNumberFormat="1" applyFill="1" applyBorder="1"/>
    <xf numFmtId="2" fontId="0" fillId="3" borderId="9" xfId="0" applyNumberFormat="1" applyFill="1" applyBorder="1"/>
    <xf numFmtId="0" fontId="0" fillId="0" borderId="10" xfId="0" applyBorder="1"/>
    <xf numFmtId="0" fontId="0" fillId="0" borderId="11" xfId="0" applyBorder="1"/>
    <xf numFmtId="165" fontId="0" fillId="0" borderId="4" xfId="0" applyNumberFormat="1" applyBorder="1"/>
    <xf numFmtId="0" fontId="0" fillId="0" borderId="4" xfId="0" applyBorder="1"/>
    <xf numFmtId="164" fontId="0" fillId="0" borderId="4" xfId="0" applyNumberFormat="1" applyBorder="1"/>
    <xf numFmtId="166" fontId="0" fillId="0" borderId="12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6" fontId="0" fillId="0" borderId="4" xfId="0" applyNumberForma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164" fontId="0" fillId="3" borderId="9" xfId="0" applyNumberFormat="1" applyFill="1" applyBorder="1"/>
    <xf numFmtId="2" fontId="0" fillId="0" borderId="13" xfId="0" applyNumberFormat="1" applyBorder="1"/>
    <xf numFmtId="2" fontId="0" fillId="3" borderId="7" xfId="0" applyNumberFormat="1" applyFill="1" applyBorder="1"/>
    <xf numFmtId="0" fontId="1" fillId="2" borderId="14" xfId="0" applyFont="1" applyFill="1" applyBorder="1"/>
    <xf numFmtId="166" fontId="0" fillId="0" borderId="12" xfId="0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166" fontId="0" fillId="0" borderId="4" xfId="0" applyNumberFormat="1" applyFont="1" applyBorder="1" applyAlignment="1">
      <alignment horizontal="right"/>
    </xf>
    <xf numFmtId="0" fontId="0" fillId="0" borderId="0" xfId="0" applyFont="1"/>
    <xf numFmtId="0" fontId="1" fillId="2" borderId="4" xfId="0" applyFont="1" applyFill="1" applyBorder="1" applyAlignment="1">
      <alignment wrapText="1"/>
    </xf>
    <xf numFmtId="10" fontId="0" fillId="3" borderId="9" xfId="0" applyNumberFormat="1" applyFill="1" applyBorder="1"/>
    <xf numFmtId="0" fontId="1" fillId="2" borderId="15" xfId="0" applyFont="1" applyFill="1" applyBorder="1"/>
    <xf numFmtId="165" fontId="0" fillId="3" borderId="9" xfId="0" applyNumberFormat="1" applyFill="1" applyBorder="1" applyAlignment="1">
      <alignment wrapText="1"/>
    </xf>
    <xf numFmtId="164" fontId="0" fillId="0" borderId="4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6" xfId="0" applyBorder="1"/>
    <xf numFmtId="0" fontId="0" fillId="0" borderId="12" xfId="0" applyBorder="1"/>
    <xf numFmtId="0" fontId="0" fillId="4" borderId="2" xfId="0" applyFill="1" applyBorder="1"/>
    <xf numFmtId="165" fontId="0" fillId="3" borderId="6" xfId="0" applyNumberFormat="1" applyFill="1" applyBorder="1"/>
    <xf numFmtId="165" fontId="0" fillId="3" borderId="6" xfId="0" applyNumberFormat="1" applyFill="1" applyBorder="1" applyAlignment="1">
      <alignment horizontal="right"/>
    </xf>
    <xf numFmtId="166" fontId="0" fillId="5" borderId="17" xfId="0" applyNumberFormat="1" applyFill="1" applyBorder="1"/>
    <xf numFmtId="0" fontId="0" fillId="3" borderId="18" xfId="0" applyFill="1" applyBorder="1" applyAlignment="1">
      <alignment horizontal="right"/>
    </xf>
    <xf numFmtId="165" fontId="0" fillId="3" borderId="19" xfId="0" applyNumberFormat="1" applyFill="1" applyBorder="1"/>
    <xf numFmtId="0" fontId="0" fillId="4" borderId="20" xfId="0" applyFill="1" applyBorder="1"/>
    <xf numFmtId="0" fontId="0" fillId="4" borderId="1" xfId="0" applyFill="1" applyBorder="1"/>
    <xf numFmtId="0" fontId="0" fillId="6" borderId="2" xfId="0" applyFill="1" applyBorder="1" applyAlignment="1">
      <alignment horizontal="right"/>
    </xf>
    <xf numFmtId="0" fontId="0" fillId="0" borderId="21" xfId="0" applyBorder="1"/>
    <xf numFmtId="166" fontId="0" fillId="7" borderId="22" xfId="0" applyNumberFormat="1" applyFill="1" applyBorder="1" applyAlignment="1">
      <alignment horizontal="right"/>
    </xf>
    <xf numFmtId="166" fontId="0" fillId="7" borderId="23" xfId="0" applyNumberFormat="1" applyFill="1" applyBorder="1" applyAlignment="1">
      <alignment horizontal="right"/>
    </xf>
    <xf numFmtId="166" fontId="0" fillId="7" borderId="24" xfId="0" applyNumberFormat="1" applyFill="1" applyBorder="1" applyAlignment="1">
      <alignment horizontal="right"/>
    </xf>
    <xf numFmtId="166" fontId="0" fillId="7" borderId="12" xfId="0" applyNumberFormat="1" applyFill="1" applyBorder="1" applyAlignment="1">
      <alignment horizontal="right"/>
    </xf>
    <xf numFmtId="166" fontId="0" fillId="7" borderId="0" xfId="0" applyNumberFormat="1" applyFill="1" applyBorder="1" applyAlignment="1">
      <alignment horizontal="right"/>
    </xf>
    <xf numFmtId="166" fontId="0" fillId="7" borderId="4" xfId="0" applyNumberFormat="1" applyFill="1" applyBorder="1" applyAlignment="1">
      <alignment horizontal="right"/>
    </xf>
    <xf numFmtId="166" fontId="0" fillId="7" borderId="21" xfId="0" applyNumberFormat="1" applyFill="1" applyBorder="1" applyAlignment="1">
      <alignment horizontal="right"/>
    </xf>
    <xf numFmtId="166" fontId="0" fillId="7" borderId="13" xfId="0" applyNumberFormat="1" applyFill="1" applyBorder="1" applyAlignment="1">
      <alignment horizontal="right"/>
    </xf>
    <xf numFmtId="166" fontId="0" fillId="7" borderId="8" xfId="0" applyNumberFormat="1" applyFill="1" applyBorder="1" applyAlignment="1">
      <alignment horizontal="right"/>
    </xf>
    <xf numFmtId="0" fontId="0" fillId="2" borderId="25" xfId="0" applyFill="1" applyBorder="1"/>
    <xf numFmtId="0" fontId="0" fillId="0" borderId="26" xfId="0" applyBorder="1"/>
    <xf numFmtId="165" fontId="0" fillId="2" borderId="27" xfId="0" applyNumberFormat="1" applyFill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165" fontId="0" fillId="0" borderId="26" xfId="0" applyNumberFormat="1" applyBorder="1"/>
    <xf numFmtId="0" fontId="0" fillId="2" borderId="31" xfId="0" applyFill="1" applyBorder="1"/>
    <xf numFmtId="0" fontId="1" fillId="0" borderId="0" xfId="0" applyFont="1" applyFill="1" applyBorder="1"/>
    <xf numFmtId="3" fontId="0" fillId="2" borderId="27" xfId="0" applyNumberFormat="1" applyFill="1" applyBorder="1"/>
    <xf numFmtId="0" fontId="0" fillId="8" borderId="31" xfId="0" applyFill="1" applyBorder="1"/>
    <xf numFmtId="9" fontId="0" fillId="8" borderId="27" xfId="0" applyNumberFormat="1" applyFill="1" applyBorder="1"/>
    <xf numFmtId="0" fontId="1" fillId="0" borderId="16" xfId="0" applyFont="1" applyBorder="1"/>
    <xf numFmtId="0" fontId="0" fillId="9" borderId="32" xfId="0" applyFill="1" applyBorder="1"/>
    <xf numFmtId="165" fontId="0" fillId="9" borderId="33" xfId="0" applyNumberFormat="1" applyFill="1" applyBorder="1"/>
    <xf numFmtId="0" fontId="0" fillId="9" borderId="33" xfId="0" applyFill="1" applyBorder="1"/>
    <xf numFmtId="165" fontId="0" fillId="9" borderId="32" xfId="0" applyNumberFormat="1" applyFill="1" applyBorder="1"/>
    <xf numFmtId="0" fontId="1" fillId="0" borderId="0" xfId="0" applyFont="1" applyBorder="1"/>
    <xf numFmtId="0" fontId="0" fillId="0" borderId="13" xfId="0" applyBorder="1"/>
    <xf numFmtId="0" fontId="0" fillId="0" borderId="8" xfId="0" applyBorder="1"/>
    <xf numFmtId="3" fontId="0" fillId="10" borderId="26" xfId="0" applyNumberFormat="1" applyFill="1" applyBorder="1"/>
    <xf numFmtId="0" fontId="0" fillId="11" borderId="28" xfId="0" applyFill="1" applyBorder="1"/>
    <xf numFmtId="3" fontId="0" fillId="11" borderId="29" xfId="0" applyNumberFormat="1" applyFill="1" applyBorder="1"/>
    <xf numFmtId="0" fontId="0" fillId="11" borderId="30" xfId="0" applyFill="1" applyBorder="1"/>
    <xf numFmtId="9" fontId="0" fillId="11" borderId="26" xfId="0" applyNumberFormat="1" applyFill="1" applyBorder="1"/>
    <xf numFmtId="3" fontId="0" fillId="11" borderId="26" xfId="0" applyNumberFormat="1" applyFill="1" applyBorder="1"/>
    <xf numFmtId="0" fontId="0" fillId="11" borderId="22" xfId="0" applyFill="1" applyBorder="1"/>
    <xf numFmtId="9" fontId="0" fillId="11" borderId="34" xfId="0" applyNumberFormat="1" applyFill="1" applyBorder="1"/>
    <xf numFmtId="0" fontId="0" fillId="11" borderId="12" xfId="0" applyFill="1" applyBorder="1"/>
    <xf numFmtId="165" fontId="0" fillId="11" borderId="26" xfId="0" applyNumberFormat="1" applyFill="1" applyBorder="1"/>
    <xf numFmtId="164" fontId="0" fillId="11" borderId="26" xfId="0" applyNumberFormat="1" applyFill="1" applyBorder="1"/>
    <xf numFmtId="166" fontId="0" fillId="11" borderId="10" xfId="0" applyNumberFormat="1" applyFill="1" applyBorder="1"/>
    <xf numFmtId="166" fontId="0" fillId="11" borderId="35" xfId="0" applyNumberFormat="1" applyFill="1" applyBorder="1"/>
    <xf numFmtId="165" fontId="0" fillId="11" borderId="0" xfId="0" applyNumberFormat="1" applyFill="1" applyBorder="1"/>
    <xf numFmtId="165" fontId="0" fillId="11" borderId="36" xfId="0" applyNumberFormat="1" applyFill="1" applyBorder="1"/>
    <xf numFmtId="166" fontId="0" fillId="11" borderId="0" xfId="0" applyNumberFormat="1" applyFill="1" applyBorder="1"/>
    <xf numFmtId="166" fontId="0" fillId="11" borderId="36" xfId="0" applyNumberFormat="1" applyFill="1" applyBorder="1"/>
    <xf numFmtId="166" fontId="0" fillId="11" borderId="17" xfId="0" applyNumberFormat="1" applyFill="1" applyBorder="1"/>
    <xf numFmtId="166" fontId="0" fillId="11" borderId="37" xfId="0" applyNumberFormat="1" applyFill="1" applyBorder="1"/>
    <xf numFmtId="166" fontId="0" fillId="11" borderId="38" xfId="0" applyNumberFormat="1" applyFill="1" applyBorder="1"/>
    <xf numFmtId="166" fontId="0" fillId="11" borderId="39" xfId="0" applyNumberFormat="1" applyFill="1" applyBorder="1"/>
    <xf numFmtId="0" fontId="0" fillId="2" borderId="16" xfId="0" applyFill="1" applyBorder="1"/>
    <xf numFmtId="0" fontId="0" fillId="2" borderId="12" xfId="0" applyFill="1" applyBorder="1"/>
    <xf numFmtId="0" fontId="0" fillId="2" borderId="40" xfId="0" applyFill="1" applyBorder="1"/>
    <xf numFmtId="166" fontId="0" fillId="11" borderId="41" xfId="0" applyNumberFormat="1" applyFill="1" applyBorder="1"/>
    <xf numFmtId="165" fontId="0" fillId="11" borderId="42" xfId="0" applyNumberFormat="1" applyFill="1" applyBorder="1"/>
    <xf numFmtId="166" fontId="0" fillId="11" borderId="42" xfId="0" applyNumberFormat="1" applyFill="1" applyBorder="1"/>
    <xf numFmtId="166" fontId="0" fillId="11" borderId="43" xfId="0" applyNumberFormat="1" applyFill="1" applyBorder="1"/>
    <xf numFmtId="166" fontId="0" fillId="11" borderId="44" xfId="0" applyNumberFormat="1" applyFill="1" applyBorder="1"/>
    <xf numFmtId="165" fontId="0" fillId="0" borderId="29" xfId="0" applyNumberFormat="1" applyBorder="1"/>
    <xf numFmtId="166" fontId="0" fillId="0" borderId="12" xfId="0" applyNumberFormat="1" applyBorder="1"/>
    <xf numFmtId="166" fontId="0" fillId="0" borderId="16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11" xfId="0" applyNumberFormat="1" applyBorder="1" applyAlignment="1">
      <alignment horizontal="right"/>
    </xf>
    <xf numFmtId="166" fontId="0" fillId="0" borderId="45" xfId="0" applyNumberFormat="1" applyBorder="1" applyAlignment="1">
      <alignment horizontal="right"/>
    </xf>
    <xf numFmtId="166" fontId="0" fillId="0" borderId="38" xfId="0" applyNumberFormat="1" applyBorder="1" applyAlignment="1">
      <alignment horizontal="right"/>
    </xf>
    <xf numFmtId="166" fontId="0" fillId="0" borderId="46" xfId="0" applyNumberFormat="1" applyBorder="1" applyAlignment="1">
      <alignment horizontal="right"/>
    </xf>
    <xf numFmtId="0" fontId="0" fillId="7" borderId="11" xfId="0" applyFill="1" applyBorder="1"/>
    <xf numFmtId="0" fontId="0" fillId="7" borderId="4" xfId="0" applyFill="1" applyBorder="1"/>
    <xf numFmtId="0" fontId="0" fillId="11" borderId="47" xfId="0" applyFill="1" applyBorder="1"/>
    <xf numFmtId="0" fontId="1" fillId="0" borderId="48" xfId="0" applyFont="1" applyBorder="1"/>
    <xf numFmtId="0" fontId="0" fillId="0" borderId="49" xfId="0" applyBorder="1"/>
    <xf numFmtId="0" fontId="0" fillId="0" borderId="50" xfId="0" applyBorder="1"/>
    <xf numFmtId="0" fontId="0" fillId="0" borderId="42" xfId="0" applyBorder="1"/>
    <xf numFmtId="0" fontId="0" fillId="0" borderId="51" xfId="0" applyBorder="1"/>
    <xf numFmtId="0" fontId="0" fillId="2" borderId="52" xfId="0" applyFill="1" applyBorder="1"/>
    <xf numFmtId="0" fontId="0" fillId="2" borderId="53" xfId="0" applyFill="1" applyBorder="1"/>
    <xf numFmtId="0" fontId="0" fillId="2" borderId="54" xfId="0" applyFill="1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1" fillId="0" borderId="0" xfId="0" applyFont="1" applyAlignment="1">
      <alignment horizontal="center"/>
    </xf>
    <xf numFmtId="0" fontId="0" fillId="10" borderId="58" xfId="0" applyFill="1" applyBorder="1"/>
    <xf numFmtId="0" fontId="0" fillId="10" borderId="59" xfId="0" applyFill="1" applyBorder="1"/>
    <xf numFmtId="0" fontId="0" fillId="10" borderId="60" xfId="0" applyFill="1" applyBorder="1"/>
    <xf numFmtId="9" fontId="0" fillId="10" borderId="61" xfId="0" applyNumberFormat="1" applyFill="1" applyBorder="1"/>
    <xf numFmtId="9" fontId="0" fillId="10" borderId="62" xfId="0" applyNumberFormat="1" applyFill="1" applyBorder="1"/>
    <xf numFmtId="9" fontId="0" fillId="10" borderId="63" xfId="0" applyNumberFormat="1" applyFill="1" applyBorder="1"/>
    <xf numFmtId="0" fontId="0" fillId="10" borderId="61" xfId="0" applyFill="1" applyBorder="1"/>
    <xf numFmtId="0" fontId="0" fillId="10" borderId="62" xfId="0" applyFill="1" applyBorder="1"/>
    <xf numFmtId="0" fontId="0" fillId="10" borderId="63" xfId="0" applyFill="1" applyBorder="1"/>
    <xf numFmtId="0" fontId="0" fillId="10" borderId="64" xfId="0" applyFill="1" applyBorder="1"/>
    <xf numFmtId="0" fontId="0" fillId="10" borderId="65" xfId="0" applyFill="1" applyBorder="1"/>
    <xf numFmtId="0" fontId="0" fillId="10" borderId="66" xfId="0" applyFill="1" applyBorder="1"/>
    <xf numFmtId="0" fontId="0" fillId="10" borderId="67" xfId="0" applyFill="1" applyBorder="1"/>
    <xf numFmtId="165" fontId="0" fillId="9" borderId="68" xfId="0" applyNumberFormat="1" applyFill="1" applyBorder="1"/>
    <xf numFmtId="0" fontId="1" fillId="2" borderId="25" xfId="0" applyFont="1" applyFill="1" applyBorder="1"/>
    <xf numFmtId="0" fontId="1" fillId="2" borderId="8" xfId="0" applyFont="1" applyFill="1" applyBorder="1" applyAlignment="1">
      <alignment wrapText="1"/>
    </xf>
    <xf numFmtId="0" fontId="0" fillId="10" borderId="61" xfId="0" applyNumberFormat="1" applyFill="1" applyBorder="1"/>
    <xf numFmtId="1" fontId="0" fillId="0" borderId="0" xfId="0" applyNumberFormat="1" applyBorder="1"/>
    <xf numFmtId="1" fontId="0" fillId="0" borderId="4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/>
              <a:t>Bilanz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Umsatz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Kennzahlen!$B$24:$L$24</c:f>
              <c:numCache>
                <c:formatCode>#,##0.0</c:formatCode>
                <c:ptCount val="11"/>
                <c:pt idx="0">
                  <c:v>3023.8</c:v>
                </c:pt>
                <c:pt idx="1">
                  <c:v>2425.1999999999998</c:v>
                </c:pt>
                <c:pt idx="2">
                  <c:v>2433.6999999999998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9-466F-ABE5-CE44BFB70F80}"/>
            </c:ext>
          </c:extLst>
        </c:ser>
        <c:ser>
          <c:idx val="1"/>
          <c:order val="1"/>
          <c:tx>
            <c:v>EBIT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Kennzahlen!$B$53:$L$53</c:f>
              <c:numCache>
                <c:formatCode>#,##0.0</c:formatCode>
                <c:ptCount val="11"/>
                <c:pt idx="0">
                  <c:v>476.79999999999995</c:v>
                </c:pt>
                <c:pt idx="1">
                  <c:v>507.2</c:v>
                </c:pt>
                <c:pt idx="2">
                  <c:v>498.2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9-466F-ABE5-CE44BFB70F80}"/>
            </c:ext>
          </c:extLst>
        </c:ser>
        <c:ser>
          <c:idx val="2"/>
          <c:order val="2"/>
          <c:tx>
            <c:v>Gewinn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Kennzahlen!$B$29:$L$29</c:f>
              <c:numCache>
                <c:formatCode>#,##0.0</c:formatCode>
                <c:ptCount val="11"/>
                <c:pt idx="0">
                  <c:v>322.89999999999998</c:v>
                </c:pt>
                <c:pt idx="1">
                  <c:v>346.2</c:v>
                </c:pt>
                <c:pt idx="2">
                  <c:v>309.3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C9-466F-ABE5-CE44BFB70F80}"/>
            </c:ext>
          </c:extLst>
        </c:ser>
        <c:ser>
          <c:idx val="3"/>
          <c:order val="3"/>
          <c:tx>
            <c:v>operativer Cashflow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Kennzahlen!$B$32:$L$32</c:f>
              <c:numCache>
                <c:formatCode>#,##0.0</c:formatCode>
                <c:ptCount val="11"/>
                <c:pt idx="0">
                  <c:v>266.10000000000002</c:v>
                </c:pt>
                <c:pt idx="1">
                  <c:v>352.6</c:v>
                </c:pt>
                <c:pt idx="2">
                  <c:v>361.1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C9-466F-ABE5-CE44BFB70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627584"/>
        <c:axId val="186629120"/>
      </c:barChart>
      <c:catAx>
        <c:axId val="18662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6629120"/>
        <c:crosses val="autoZero"/>
        <c:auto val="1"/>
        <c:lblAlgn val="ctr"/>
        <c:lblOffset val="100"/>
        <c:noMultiLvlLbl val="0"/>
      </c:catAx>
      <c:valAx>
        <c:axId val="18662912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66275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/>
              <a:t>Rentabilität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Ungehebelte Eigenkapitalrendite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Kennzahlen!$B$73:$L$73</c:f>
              <c:numCache>
                <c:formatCode>0.0%</c:formatCode>
                <c:ptCount val="11"/>
                <c:pt idx="0">
                  <c:v>0.27569325437225523</c:v>
                </c:pt>
                <c:pt idx="1">
                  <c:v>0.73322873806935251</c:v>
                </c:pt>
                <c:pt idx="2">
                  <c:v>0.78929380088195389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F-4D7D-9446-0A6FB52EB5D1}"/>
            </c:ext>
          </c:extLst>
        </c:ser>
        <c:ser>
          <c:idx val="1"/>
          <c:order val="1"/>
          <c:tx>
            <c:v>EBIT Marge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Kennzahlen!$B$75:$L$75</c:f>
              <c:numCache>
                <c:formatCode>0.0%</c:formatCode>
                <c:ptCount val="11"/>
                <c:pt idx="0">
                  <c:v>0.15768238640121698</c:v>
                </c:pt>
                <c:pt idx="1">
                  <c:v>0.2091373907306614</c:v>
                </c:pt>
                <c:pt idx="2">
                  <c:v>0.20470887948391339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8F-4D7D-9446-0A6FB52EB5D1}"/>
            </c:ext>
          </c:extLst>
        </c:ser>
        <c:ser>
          <c:idx val="2"/>
          <c:order val="2"/>
          <c:tx>
            <c:v>Return on Capital Employed (RoCE)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Kennzahlen!$B$81:$L$81</c:f>
              <c:numCache>
                <c:formatCode>0.0%</c:formatCode>
                <c:ptCount val="11"/>
                <c:pt idx="0">
                  <c:v>0.31126778952865908</c:v>
                </c:pt>
                <c:pt idx="1">
                  <c:v>0.60793479563706099</c:v>
                </c:pt>
                <c:pt idx="2">
                  <c:v>0.65500920326058376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8F-4D7D-9446-0A6FB52EB5D1}"/>
            </c:ext>
          </c:extLst>
        </c:ser>
        <c:ser>
          <c:idx val="3"/>
          <c:order val="3"/>
          <c:tx>
            <c:v>Umsatzverdienstrate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Kennzahlen!$B$82:$L$82</c:f>
              <c:numCache>
                <c:formatCode>0.0%</c:formatCode>
                <c:ptCount val="11"/>
                <c:pt idx="0">
                  <c:v>8.8001851974336923E-2</c:v>
                </c:pt>
                <c:pt idx="1">
                  <c:v>0.14539007092198583</c:v>
                </c:pt>
                <c:pt idx="2">
                  <c:v>0.14837490241196535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8F-4D7D-9446-0A6FB52E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86720"/>
        <c:axId val="185088256"/>
      </c:barChart>
      <c:catAx>
        <c:axId val="18508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5088256"/>
        <c:crosses val="autoZero"/>
        <c:auto val="1"/>
        <c:lblAlgn val="ctr"/>
        <c:lblOffset val="100"/>
        <c:noMultiLvlLbl val="0"/>
      </c:catAx>
      <c:valAx>
        <c:axId val="18508825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508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916030534351147"/>
          <c:y val="0.42708333333333331"/>
          <c:w val="0.18211559432933477"/>
          <c:h val="0.3680555555555555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/>
              <a:t>Finanzielle Stabilität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Gearing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Kennzahlen!$B$85:$L$85</c:f>
              <c:numCache>
                <c:formatCode>0.0%</c:formatCode>
                <c:ptCount val="11"/>
                <c:pt idx="0">
                  <c:v>0.3778926955397543</c:v>
                </c:pt>
                <c:pt idx="1">
                  <c:v>-0.61947700631199276</c:v>
                </c:pt>
                <c:pt idx="2">
                  <c:v>-0.79044329303396677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7-4F1C-AA8B-D9E45093638B}"/>
            </c:ext>
          </c:extLst>
        </c:ser>
        <c:ser>
          <c:idx val="1"/>
          <c:order val="1"/>
          <c:tx>
            <c:v>Wachstumsquote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Kennzahlen!$B$90:$L$90</c:f>
              <c:numCache>
                <c:formatCode>0.0%</c:formatCode>
                <c:ptCount val="11"/>
                <c:pt idx="0">
                  <c:v>0.92007611798287348</c:v>
                </c:pt>
                <c:pt idx="1">
                  <c:v>0.80957683741648112</c:v>
                </c:pt>
                <c:pt idx="2">
                  <c:v>0.75196408529741865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7-4F1C-AA8B-D9E45093638B}"/>
            </c:ext>
          </c:extLst>
        </c:ser>
        <c:ser>
          <c:idx val="2"/>
          <c:order val="2"/>
          <c:tx>
            <c:v>Goodwill Anteil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Kennzahlen!$B$102:$L$102</c:f>
              <c:numCache>
                <c:formatCode>0.0%</c:formatCode>
                <c:ptCount val="11"/>
                <c:pt idx="0">
                  <c:v>1.0270200387847446</c:v>
                </c:pt>
                <c:pt idx="1">
                  <c:v>0.25660182918974622</c:v>
                </c:pt>
                <c:pt idx="2">
                  <c:v>0.10175590097869892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97-4F1C-AA8B-D9E45093638B}"/>
            </c:ext>
          </c:extLst>
        </c:ser>
        <c:ser>
          <c:idx val="3"/>
          <c:order val="3"/>
          <c:tx>
            <c:v>Ausschüttungsquote (op. Cashflow)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Kennzahlen!$B$117:$L$117</c:f>
              <c:numCache>
                <c:formatCode>0.0%</c:formatCode>
                <c:ptCount val="11"/>
                <c:pt idx="0">
                  <c:v>0.98459225854941745</c:v>
                </c:pt>
                <c:pt idx="1">
                  <c:v>0.73737946681792399</c:v>
                </c:pt>
                <c:pt idx="2">
                  <c:v>0.70340625865411244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97-4F1C-AA8B-D9E45093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127296"/>
        <c:axId val="185128832"/>
      </c:barChart>
      <c:catAx>
        <c:axId val="1851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5128832"/>
        <c:crosses val="autoZero"/>
        <c:auto val="1"/>
        <c:lblAlgn val="ctr"/>
        <c:lblOffset val="100"/>
        <c:noMultiLvlLbl val="0"/>
      </c:catAx>
      <c:valAx>
        <c:axId val="18512883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512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97928026172305"/>
          <c:y val="0.43189368770764119"/>
          <c:w val="0.18320610687022898"/>
          <c:h val="0.34551495016611294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/>
              <a:t>Kennzahlen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KGV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Kennzahlen!$B$122:$L$122</c:f>
              <c:numCache>
                <c:formatCode>0.0</c:formatCode>
                <c:ptCount val="11"/>
                <c:pt idx="0">
                  <c:v>11.223341917869311</c:v>
                </c:pt>
                <c:pt idx="1">
                  <c:v>13.113868945118428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0-4691-9906-811A55CD4E7A}"/>
            </c:ext>
          </c:extLst>
        </c:ser>
        <c:ser>
          <c:idx val="1"/>
          <c:order val="1"/>
          <c:tx>
            <c:v>KBV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Kennzahlen!$B$123:$L$123</c:f>
              <c:numCache>
                <c:formatCode>0.0</c:formatCode>
                <c:ptCount val="11"/>
                <c:pt idx="0">
                  <c:v>4.6852192699159669</c:v>
                </c:pt>
                <c:pt idx="1">
                  <c:v>5.848282144531753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0-4691-9906-811A55CD4E7A}"/>
            </c:ext>
          </c:extLst>
        </c:ser>
        <c:ser>
          <c:idx val="2"/>
          <c:order val="2"/>
          <c:tx>
            <c:v>KCV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Kennzahlen!$B$124:$L$124</c:f>
              <c:numCache>
                <c:formatCode>0.0</c:formatCode>
                <c:ptCount val="11"/>
                <c:pt idx="0">
                  <c:v>13.619004529425027</c:v>
                </c:pt>
                <c:pt idx="1">
                  <c:v>12.875840694271128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0-4691-9906-811A55CD4E7A}"/>
            </c:ext>
          </c:extLst>
        </c:ser>
        <c:ser>
          <c:idx val="3"/>
          <c:order val="3"/>
          <c:tx>
            <c:v>EV/EBIT</c:v>
          </c:tx>
          <c:invertIfNegative val="0"/>
          <c:cat>
            <c:numRef>
              <c:f>Kennzahlen!$B$3:$L$3</c:f>
              <c:numCache>
                <c:formatCode>General</c:formatCode>
                <c:ptCount val="11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  <c:pt idx="10">
                  <c:v>2007</c:v>
                </c:pt>
              </c:numCache>
            </c:numRef>
          </c:cat>
          <c:val>
            <c:numRef>
              <c:f>Kennzahlen!$B$128:$L$128</c:f>
              <c:numCache>
                <c:formatCode>0.0</c:formatCode>
                <c:ptCount val="11"/>
                <c:pt idx="0">
                  <c:v>8.2227707744966452</c:v>
                </c:pt>
                <c:pt idx="1">
                  <c:v>8.0091116498422714</c:v>
                </c:pt>
                <c:pt idx="2">
                  <c:v>-1.1023685266961061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80-4691-9906-811A55CD4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445888"/>
        <c:axId val="193447424"/>
      </c:barChart>
      <c:catAx>
        <c:axId val="19344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93447424"/>
        <c:crosses val="autoZero"/>
        <c:auto val="1"/>
        <c:lblAlgn val="ctr"/>
        <c:lblOffset val="100"/>
        <c:noMultiLvlLbl val="0"/>
      </c:catAx>
      <c:valAx>
        <c:axId val="193447424"/>
        <c:scaling>
          <c:orientation val="minMax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934458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FCFF (10 Jahre)</c:v>
          </c:tx>
          <c:spPr>
            <a:ln w="28575">
              <a:noFill/>
            </a:ln>
          </c:spPr>
          <c:trendline>
            <c:name>Trend FCFF (10 Jahre)</c:name>
            <c:spPr>
              <a:ln>
                <a:solidFill>
                  <a:schemeClr val="bg2">
                    <a:lumMod val="25000"/>
                  </a:schemeClr>
                </a:solidFill>
                <a:prstDash val="lgDash"/>
              </a:ln>
            </c:spPr>
            <c:trendlineType val="linear"/>
            <c:forward val="5"/>
            <c:dispRSqr val="0"/>
            <c:dispEq val="0"/>
          </c:trendline>
          <c:xVal>
            <c:numRef>
              <c:f>Kennzahlen!$B$3:$K$3</c:f>
              <c:numCache>
                <c:formatCode>General</c:formatCode>
                <c:ptCount val="10"/>
                <c:pt idx="0">
                  <c:v>2017</c:v>
                </c:pt>
                <c:pt idx="1">
                  <c:v>2016</c:v>
                </c:pt>
                <c:pt idx="2">
                  <c:v>2015</c:v>
                </c:pt>
                <c:pt idx="3">
                  <c:v>2014</c:v>
                </c:pt>
                <c:pt idx="4">
                  <c:v>2013</c:v>
                </c:pt>
                <c:pt idx="5">
                  <c:v>2012</c:v>
                </c:pt>
                <c:pt idx="6">
                  <c:v>2011</c:v>
                </c:pt>
                <c:pt idx="7">
                  <c:v>2010</c:v>
                </c:pt>
                <c:pt idx="8">
                  <c:v>2009</c:v>
                </c:pt>
                <c:pt idx="9">
                  <c:v>2008</c:v>
                </c:pt>
              </c:numCache>
            </c:numRef>
          </c:xVal>
          <c:yVal>
            <c:numRef>
              <c:f>Kennzahlen!$B$58:$K$58</c:f>
              <c:numCache>
                <c:formatCode>#,##0.0</c:formatCode>
                <c:ptCount val="10"/>
                <c:pt idx="0">
                  <c:v>-312.34757071906711</c:v>
                </c:pt>
                <c:pt idx="1">
                  <c:v>311.35003015075375</c:v>
                </c:pt>
                <c:pt idx="2">
                  <c:v>740.00626535626532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F0-4E4B-A18D-C26A71E577A4}"/>
            </c:ext>
          </c:extLst>
        </c:ser>
        <c:ser>
          <c:idx val="1"/>
          <c:order val="1"/>
          <c:tx>
            <c:v>FCFF (6 Jahre)</c:v>
          </c:tx>
          <c:spPr>
            <a:ln w="28575">
              <a:noFill/>
            </a:ln>
          </c:spPr>
          <c:trendline>
            <c:name>Trend FCFF (6 Jahre)</c:name>
            <c:spPr>
              <a:ln>
                <a:solidFill>
                  <a:schemeClr val="accent5">
                    <a:lumMod val="75000"/>
                  </a:schemeClr>
                </a:solidFill>
                <a:prstDash val="lgDash"/>
              </a:ln>
            </c:spPr>
            <c:trendlineType val="linear"/>
            <c:forward val="5"/>
            <c:dispRSqr val="0"/>
            <c:dispEq val="0"/>
          </c:trendline>
          <c:xVal>
            <c:numRef>
              <c:f>DCF!$B$4:$G$4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DCF!$B$11:$G$11</c:f>
              <c:numCache>
                <c:formatCode>#,##0.0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740.00626535626532</c:v>
                </c:pt>
                <c:pt idx="4">
                  <c:v>311.35003015075375</c:v>
                </c:pt>
                <c:pt idx="5">
                  <c:v>-312.34757071906711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F0-4E4B-A18D-C26A71E577A4}"/>
            </c:ext>
          </c:extLst>
        </c:ser>
        <c:ser>
          <c:idx val="2"/>
          <c:order val="2"/>
          <c:tx>
            <c:v>Prognose FCFF 7 Jahre</c:v>
          </c:tx>
          <c:spPr>
            <a:ln w="28575">
              <a:noFill/>
            </a:ln>
          </c:spPr>
          <c:trendline>
            <c:spPr>
              <a:ln w="38100" cmpd="sng">
                <a:solidFill>
                  <a:srgbClr val="C00000"/>
                </a:solidFill>
              </a:ln>
            </c:spPr>
            <c:trendlineType val="linear"/>
            <c:dispRSqr val="0"/>
            <c:dispEq val="0"/>
          </c:trendline>
          <c:xVal>
            <c:numRef>
              <c:f>DCF!$H$4:$N$4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xVal>
          <c:yVal>
            <c:numRef>
              <c:f>DCF!$H$11:$N$11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BF0-4E4B-A18D-C26A71E57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524992"/>
        <c:axId val="185526528"/>
      </c:scatterChart>
      <c:valAx>
        <c:axId val="1855249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85526528"/>
        <c:crosses val="autoZero"/>
        <c:crossBetween val="midCat"/>
        <c:majorUnit val="1"/>
      </c:valAx>
      <c:valAx>
        <c:axId val="1855265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8552499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438150</xdr:colOff>
      <xdr:row>17</xdr:row>
      <xdr:rowOff>9525</xdr:rowOff>
    </xdr:to>
    <xdr:graphicFrame macro="">
      <xdr:nvGraphicFramePr>
        <xdr:cNvPr id="1573" name="Diagramm 1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114300</xdr:rowOff>
    </xdr:from>
    <xdr:to>
      <xdr:col>11</xdr:col>
      <xdr:colOff>447675</xdr:colOff>
      <xdr:row>34</xdr:row>
      <xdr:rowOff>104775</xdr:rowOff>
    </xdr:to>
    <xdr:graphicFrame macro="">
      <xdr:nvGraphicFramePr>
        <xdr:cNvPr id="1574" name="Diagramm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35</xdr:row>
      <xdr:rowOff>104775</xdr:rowOff>
    </xdr:from>
    <xdr:to>
      <xdr:col>11</xdr:col>
      <xdr:colOff>457200</xdr:colOff>
      <xdr:row>53</xdr:row>
      <xdr:rowOff>57150</xdr:rowOff>
    </xdr:to>
    <xdr:graphicFrame macro="">
      <xdr:nvGraphicFramePr>
        <xdr:cNvPr id="1575" name="Diagramm 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54</xdr:row>
      <xdr:rowOff>76200</xdr:rowOff>
    </xdr:from>
    <xdr:to>
      <xdr:col>11</xdr:col>
      <xdr:colOff>476250</xdr:colOff>
      <xdr:row>72</xdr:row>
      <xdr:rowOff>28575</xdr:rowOff>
    </xdr:to>
    <xdr:graphicFrame macro="">
      <xdr:nvGraphicFramePr>
        <xdr:cNvPr id="1576" name="Diagramm 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13</xdr:row>
      <xdr:rowOff>104775</xdr:rowOff>
    </xdr:from>
    <xdr:to>
      <xdr:col>16</xdr:col>
      <xdr:colOff>19050</xdr:colOff>
      <xdr:row>34</xdr:row>
      <xdr:rowOff>123825</xdr:rowOff>
    </xdr:to>
    <xdr:graphicFrame macro="">
      <xdr:nvGraphicFramePr>
        <xdr:cNvPr id="257095" name="Diagramm 1">
          <a:extLst>
            <a:ext uri="{FF2B5EF4-FFF2-40B4-BE49-F238E27FC236}">
              <a16:creationId xmlns:a16="http://schemas.microsoft.com/office/drawing/2014/main" id="{00000000-0008-0000-0200-000047E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tabSelected="1" topLeftCell="A59" zoomScaleNormal="100" workbookViewId="0">
      <selection activeCell="F51" sqref="F51"/>
    </sheetView>
  </sheetViews>
  <sheetFormatPr baseColWidth="10" defaultColWidth="12.42578125" defaultRowHeight="12.75" x14ac:dyDescent="0.2"/>
  <cols>
    <col min="1" max="1" width="47.85546875" customWidth="1"/>
    <col min="2" max="12" width="10.7109375" customWidth="1"/>
    <col min="13" max="13" width="11.42578125" customWidth="1"/>
    <col min="14" max="14" width="132" customWidth="1"/>
  </cols>
  <sheetData>
    <row r="1" spans="1:14" ht="15" x14ac:dyDescent="0.2">
      <c r="A1" s="1"/>
    </row>
    <row r="2" spans="1:14" ht="13.5" thickBot="1" x14ac:dyDescent="0.25">
      <c r="A2" t="s">
        <v>75</v>
      </c>
    </row>
    <row r="3" spans="1:14" ht="16.5" thickTop="1" thickBot="1" x14ac:dyDescent="0.25">
      <c r="A3" s="2" t="s">
        <v>54</v>
      </c>
      <c r="B3" s="151">
        <v>2017</v>
      </c>
      <c r="C3" s="3">
        <v>2016</v>
      </c>
      <c r="D3" s="3">
        <v>2015</v>
      </c>
      <c r="E3" s="3">
        <v>2014</v>
      </c>
      <c r="F3" s="3">
        <v>2013</v>
      </c>
      <c r="G3" s="3">
        <v>2012</v>
      </c>
      <c r="H3" s="3">
        <v>2011</v>
      </c>
      <c r="I3" s="3">
        <v>2010</v>
      </c>
      <c r="J3" s="3">
        <v>2009</v>
      </c>
      <c r="K3" s="3">
        <v>2008</v>
      </c>
      <c r="L3" s="7">
        <v>2007</v>
      </c>
      <c r="M3" s="12" t="s">
        <v>118</v>
      </c>
      <c r="N3" s="136" t="s">
        <v>177</v>
      </c>
    </row>
    <row r="4" spans="1:14" ht="13.5" thickTop="1" x14ac:dyDescent="0.2">
      <c r="A4" s="8"/>
      <c r="B4" s="116"/>
      <c r="C4" s="117"/>
      <c r="D4" s="117"/>
      <c r="E4" s="117"/>
      <c r="F4" s="117"/>
      <c r="G4" s="117"/>
      <c r="H4" s="117"/>
      <c r="I4" s="117"/>
      <c r="J4" s="117"/>
      <c r="K4" s="117"/>
      <c r="L4" s="118"/>
      <c r="M4" s="13"/>
    </row>
    <row r="5" spans="1:14" x14ac:dyDescent="0.2">
      <c r="A5" s="32" t="s">
        <v>82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6"/>
      <c r="M5" s="13"/>
    </row>
    <row r="6" spans="1:14" x14ac:dyDescent="0.2">
      <c r="A6" s="8" t="s">
        <v>5</v>
      </c>
      <c r="B6" s="115">
        <v>466</v>
      </c>
      <c r="C6" s="25">
        <v>538.9</v>
      </c>
      <c r="D6" s="25">
        <v>615</v>
      </c>
      <c r="E6" s="25"/>
      <c r="F6" s="25"/>
      <c r="G6" s="25"/>
      <c r="H6" s="25"/>
      <c r="I6" s="25"/>
      <c r="J6" s="25"/>
      <c r="K6" s="25"/>
      <c r="L6" s="26"/>
      <c r="M6" s="13" t="e">
        <f>((B6/L6)^(1/10)-1)</f>
        <v>#DIV/0!</v>
      </c>
    </row>
    <row r="7" spans="1:14" x14ac:dyDescent="0.2">
      <c r="A7" s="8" t="s">
        <v>72</v>
      </c>
      <c r="B7" s="24">
        <v>719.4</v>
      </c>
      <c r="C7" s="25">
        <v>481.8</v>
      </c>
      <c r="D7" s="25">
        <v>411.2</v>
      </c>
      <c r="E7" s="25"/>
      <c r="F7" s="25"/>
      <c r="G7" s="25"/>
      <c r="H7" s="25"/>
      <c r="I7" s="25"/>
      <c r="J7" s="25"/>
      <c r="K7" s="25"/>
      <c r="L7" s="26"/>
      <c r="M7" s="13" t="e">
        <f t="shared" ref="M7:M21" si="0">((B7/L7)^(1/10)-1)</f>
        <v>#DIV/0!</v>
      </c>
    </row>
    <row r="8" spans="1:14" x14ac:dyDescent="0.2">
      <c r="A8" s="8" t="s">
        <v>57</v>
      </c>
      <c r="B8" s="24">
        <v>39.1</v>
      </c>
      <c r="C8" s="25">
        <v>36.700000000000003</v>
      </c>
      <c r="D8" s="25">
        <v>11.1</v>
      </c>
      <c r="E8" s="25"/>
      <c r="F8" s="25"/>
      <c r="G8" s="25"/>
      <c r="H8" s="25"/>
      <c r="I8" s="25"/>
      <c r="J8" s="25"/>
      <c r="K8" s="25"/>
      <c r="L8" s="26"/>
      <c r="M8" s="13" t="e">
        <f t="shared" si="0"/>
        <v>#DIV/0!</v>
      </c>
    </row>
    <row r="9" spans="1:14" x14ac:dyDescent="0.2">
      <c r="A9" s="8" t="s">
        <v>3</v>
      </c>
      <c r="B9" s="24">
        <v>1226.7</v>
      </c>
      <c r="C9" s="25">
        <v>1073.5</v>
      </c>
      <c r="D9" s="25">
        <v>1042</v>
      </c>
      <c r="E9" s="25"/>
      <c r="F9" s="25"/>
      <c r="G9" s="25"/>
      <c r="H9" s="25"/>
      <c r="I9" s="25"/>
      <c r="J9" s="25"/>
      <c r="K9" s="25"/>
      <c r="L9" s="26"/>
      <c r="M9" s="13" t="e">
        <f t="shared" si="0"/>
        <v>#DIV/0!</v>
      </c>
    </row>
    <row r="10" spans="1:14" x14ac:dyDescent="0.2">
      <c r="A10" s="8" t="s">
        <v>2</v>
      </c>
      <c r="B10" s="24">
        <v>794.4</v>
      </c>
      <c r="C10" s="25">
        <v>199.2</v>
      </c>
      <c r="D10" s="25">
        <v>70.7</v>
      </c>
      <c r="E10" s="25"/>
      <c r="F10" s="25"/>
      <c r="G10" s="25"/>
      <c r="H10" s="25"/>
      <c r="I10" s="25"/>
      <c r="J10" s="25"/>
      <c r="K10" s="25"/>
      <c r="L10" s="26"/>
      <c r="M10" s="13" t="e">
        <f t="shared" si="0"/>
        <v>#DIV/0!</v>
      </c>
    </row>
    <row r="11" spans="1:14" x14ac:dyDescent="0.2">
      <c r="A11" s="8" t="s">
        <v>101</v>
      </c>
      <c r="B11" s="24">
        <f>1189-794.4</f>
        <v>394.6</v>
      </c>
      <c r="C11" s="25">
        <f>468.1-199.2</f>
        <v>268.90000000000003</v>
      </c>
      <c r="D11" s="25">
        <f>294.6-70.7</f>
        <v>223.90000000000003</v>
      </c>
      <c r="E11" s="25"/>
      <c r="F11" s="25"/>
      <c r="G11" s="25"/>
      <c r="H11" s="25"/>
      <c r="I11" s="25"/>
      <c r="J11" s="25"/>
      <c r="K11" s="25"/>
      <c r="L11" s="26"/>
      <c r="M11" s="13" t="e">
        <f t="shared" si="0"/>
        <v>#DIV/0!</v>
      </c>
    </row>
    <row r="12" spans="1:14" x14ac:dyDescent="0.2">
      <c r="A12" s="8" t="s">
        <v>92</v>
      </c>
      <c r="B12" s="24">
        <v>0.6</v>
      </c>
      <c r="C12" s="25">
        <f>1.5+12</f>
        <v>13.5</v>
      </c>
      <c r="D12" s="25">
        <v>3.1</v>
      </c>
      <c r="E12" s="25"/>
      <c r="F12" s="25"/>
      <c r="G12" s="25"/>
      <c r="H12" s="25"/>
      <c r="I12" s="25"/>
      <c r="J12" s="25"/>
      <c r="K12" s="25"/>
      <c r="L12" s="26"/>
      <c r="M12" s="13" t="e">
        <f t="shared" si="0"/>
        <v>#DIV/0!</v>
      </c>
    </row>
    <row r="13" spans="1:14" x14ac:dyDescent="0.2">
      <c r="A13" s="8" t="s">
        <v>8</v>
      </c>
      <c r="B13" s="24">
        <v>1996</v>
      </c>
      <c r="C13" s="25">
        <v>1216</v>
      </c>
      <c r="D13" s="25">
        <v>1096</v>
      </c>
      <c r="E13" s="25"/>
      <c r="F13" s="25"/>
      <c r="G13" s="25"/>
      <c r="H13" s="25"/>
      <c r="I13" s="25"/>
      <c r="J13" s="25"/>
      <c r="K13" s="25"/>
      <c r="L13" s="26"/>
      <c r="M13" s="13" t="e">
        <f t="shared" si="0"/>
        <v>#DIV/0!</v>
      </c>
    </row>
    <row r="14" spans="1:14" x14ac:dyDescent="0.2">
      <c r="A14" s="8" t="s">
        <v>68</v>
      </c>
      <c r="B14" s="24">
        <v>3223</v>
      </c>
      <c r="C14" s="25">
        <v>2290</v>
      </c>
      <c r="D14" s="25">
        <v>2112</v>
      </c>
      <c r="E14" s="25"/>
      <c r="F14" s="25"/>
      <c r="G14" s="25"/>
      <c r="H14" s="25"/>
      <c r="I14" s="25"/>
      <c r="J14" s="25"/>
      <c r="K14" s="25"/>
      <c r="L14" s="27"/>
      <c r="M14" s="13" t="e">
        <f t="shared" si="0"/>
        <v>#DIV/0!</v>
      </c>
    </row>
    <row r="15" spans="1:14" x14ac:dyDescent="0.2">
      <c r="A15" s="8" t="s">
        <v>71</v>
      </c>
      <c r="B15" s="24">
        <v>1218.2</v>
      </c>
      <c r="C15" s="25">
        <v>964.8</v>
      </c>
      <c r="D15" s="25">
        <v>838.3</v>
      </c>
      <c r="E15" s="25"/>
      <c r="F15" s="25"/>
      <c r="G15" s="25"/>
      <c r="H15" s="25"/>
      <c r="I15" s="25"/>
      <c r="J15" s="25"/>
      <c r="K15" s="25"/>
      <c r="L15" s="26"/>
      <c r="M15" s="13" t="e">
        <f t="shared" si="0"/>
        <v>#DIV/0!</v>
      </c>
    </row>
    <row r="16" spans="1:14" x14ac:dyDescent="0.2">
      <c r="A16" s="8" t="s">
        <v>80</v>
      </c>
      <c r="B16" s="24">
        <v>699.9</v>
      </c>
      <c r="C16" s="25">
        <v>10.3</v>
      </c>
      <c r="D16" s="25">
        <v>9.6</v>
      </c>
      <c r="E16" s="25"/>
      <c r="F16" s="25"/>
      <c r="G16" s="25"/>
      <c r="H16" s="25"/>
      <c r="I16" s="25"/>
      <c r="J16" s="25"/>
      <c r="K16" s="25"/>
      <c r="L16" s="26"/>
      <c r="M16" s="13" t="e">
        <f t="shared" si="0"/>
        <v>#DIV/0!</v>
      </c>
    </row>
    <row r="17" spans="1:13" x14ac:dyDescent="0.2">
      <c r="A17" s="8" t="s">
        <v>4</v>
      </c>
      <c r="B17" s="24">
        <v>1978.5</v>
      </c>
      <c r="C17" s="25">
        <v>1033.5999999999999</v>
      </c>
      <c r="D17" s="25">
        <v>922.5</v>
      </c>
      <c r="E17" s="25"/>
      <c r="F17" s="25"/>
      <c r="G17" s="25"/>
      <c r="H17" s="25"/>
      <c r="I17" s="25"/>
      <c r="J17" s="25"/>
      <c r="K17" s="25"/>
      <c r="L17" s="26"/>
      <c r="M17" s="13" t="e">
        <f t="shared" si="0"/>
        <v>#DIV/0!</v>
      </c>
    </row>
    <row r="18" spans="1:13" x14ac:dyDescent="0.2">
      <c r="A18" s="8" t="s">
        <v>79</v>
      </c>
      <c r="B18" s="24">
        <v>58.4</v>
      </c>
      <c r="C18" s="25">
        <v>47.7</v>
      </c>
      <c r="D18" s="25">
        <v>56.2</v>
      </c>
      <c r="E18" s="25"/>
      <c r="F18" s="25"/>
      <c r="G18" s="25"/>
      <c r="H18" s="25"/>
      <c r="I18" s="25"/>
      <c r="J18" s="25"/>
      <c r="K18" s="25"/>
      <c r="L18" s="26"/>
      <c r="M18" s="13" t="e">
        <f t="shared" si="0"/>
        <v>#DIV/0!</v>
      </c>
    </row>
    <row r="19" spans="1:13" s="36" customFormat="1" x14ac:dyDescent="0.2">
      <c r="A19" s="8" t="s">
        <v>100</v>
      </c>
      <c r="B19" s="33">
        <v>467</v>
      </c>
      <c r="C19" s="34">
        <v>477.3</v>
      </c>
      <c r="D19" s="34">
        <v>494.7</v>
      </c>
      <c r="E19" s="34"/>
      <c r="F19" s="34"/>
      <c r="G19" s="34"/>
      <c r="H19" s="34"/>
      <c r="I19" s="34"/>
      <c r="J19" s="34"/>
      <c r="K19" s="34"/>
      <c r="L19" s="35"/>
      <c r="M19" s="13" t="e">
        <f t="shared" si="0"/>
        <v>#DIV/0!</v>
      </c>
    </row>
    <row r="20" spans="1:13" x14ac:dyDescent="0.2">
      <c r="A20" s="8" t="s">
        <v>0</v>
      </c>
      <c r="B20" s="24">
        <v>773.5</v>
      </c>
      <c r="C20" s="25">
        <v>776.3</v>
      </c>
      <c r="D20" s="25">
        <v>694.8</v>
      </c>
      <c r="E20" s="25"/>
      <c r="F20" s="25"/>
      <c r="G20" s="25"/>
      <c r="H20" s="25"/>
      <c r="I20" s="25"/>
      <c r="J20" s="25"/>
      <c r="K20" s="25"/>
      <c r="L20" s="26"/>
      <c r="M20" s="13" t="e">
        <f t="shared" si="0"/>
        <v>#DIV/0!</v>
      </c>
    </row>
    <row r="21" spans="1:13" x14ac:dyDescent="0.2">
      <c r="A21" s="8" t="s">
        <v>77</v>
      </c>
      <c r="B21" s="24">
        <v>4.3</v>
      </c>
      <c r="C21" s="25">
        <v>3.1</v>
      </c>
      <c r="D21" s="25">
        <v>0</v>
      </c>
      <c r="E21" s="25"/>
      <c r="F21" s="25"/>
      <c r="G21" s="25"/>
      <c r="H21" s="25"/>
      <c r="I21" s="25"/>
      <c r="J21" s="25"/>
      <c r="K21" s="25"/>
      <c r="L21" s="26"/>
      <c r="M21" s="13" t="e">
        <f t="shared" si="0"/>
        <v>#DIV/0!</v>
      </c>
    </row>
    <row r="22" spans="1:13" x14ac:dyDescent="0.2">
      <c r="A22" s="8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6"/>
      <c r="M22" s="13"/>
    </row>
    <row r="23" spans="1:13" x14ac:dyDescent="0.2">
      <c r="A23" s="32" t="s">
        <v>83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6"/>
      <c r="M23" s="13"/>
    </row>
    <row r="24" spans="1:13" x14ac:dyDescent="0.2">
      <c r="A24" s="8" t="s">
        <v>1</v>
      </c>
      <c r="B24" s="24">
        <v>3023.8</v>
      </c>
      <c r="C24" s="25">
        <v>2425.1999999999998</v>
      </c>
      <c r="D24" s="25">
        <v>2433.6999999999998</v>
      </c>
      <c r="E24" s="25"/>
      <c r="F24" s="25"/>
      <c r="G24" s="28"/>
      <c r="H24" s="25"/>
      <c r="I24" s="25"/>
      <c r="J24" s="25"/>
      <c r="K24" s="25"/>
      <c r="L24" s="26"/>
      <c r="M24" s="13" t="e">
        <f t="shared" ref="M24:M29" si="1">((B24/L24)^(1/10)-1)</f>
        <v>#DIV/0!</v>
      </c>
    </row>
    <row r="25" spans="1:13" x14ac:dyDescent="0.2">
      <c r="A25" s="8" t="s">
        <v>81</v>
      </c>
      <c r="B25" s="24">
        <v>2425.9</v>
      </c>
      <c r="C25" s="25">
        <v>1838.4</v>
      </c>
      <c r="D25" s="25">
        <v>1878.5</v>
      </c>
      <c r="E25" s="25"/>
      <c r="F25" s="25"/>
      <c r="G25" s="25"/>
      <c r="H25" s="25"/>
      <c r="I25" s="25"/>
      <c r="J25" s="25"/>
      <c r="K25" s="25"/>
      <c r="L25" s="26"/>
      <c r="M25" s="13" t="e">
        <f t="shared" si="1"/>
        <v>#DIV/0!</v>
      </c>
    </row>
    <row r="26" spans="1:13" x14ac:dyDescent="0.2">
      <c r="A26" s="8" t="s">
        <v>69</v>
      </c>
      <c r="B26" s="24" t="s">
        <v>78</v>
      </c>
      <c r="C26" s="25" t="s">
        <v>78</v>
      </c>
      <c r="D26" s="25" t="s">
        <v>78</v>
      </c>
      <c r="E26" s="25"/>
      <c r="F26" s="25"/>
      <c r="G26" s="25"/>
      <c r="H26" s="25"/>
      <c r="I26" s="25"/>
      <c r="J26" s="25"/>
      <c r="K26" s="25"/>
      <c r="L26" s="26"/>
      <c r="M26" s="13" t="e">
        <f t="shared" si="1"/>
        <v>#VALUE!</v>
      </c>
    </row>
    <row r="27" spans="1:13" x14ac:dyDescent="0.2">
      <c r="A27" s="8" t="s">
        <v>70</v>
      </c>
      <c r="B27" s="24" t="s">
        <v>78</v>
      </c>
      <c r="C27" s="25" t="s">
        <v>78</v>
      </c>
      <c r="D27" s="25" t="s">
        <v>78</v>
      </c>
      <c r="E27" s="25"/>
      <c r="F27" s="25"/>
      <c r="G27" s="25"/>
      <c r="H27" s="25"/>
      <c r="I27" s="25"/>
      <c r="J27" s="25"/>
      <c r="K27" s="25"/>
      <c r="L27" s="26"/>
      <c r="M27" s="13" t="e">
        <f t="shared" si="1"/>
        <v>#VALUE!</v>
      </c>
    </row>
    <row r="28" spans="1:13" x14ac:dyDescent="0.2">
      <c r="A28" s="8" t="s">
        <v>67</v>
      </c>
      <c r="B28" s="24" t="s">
        <v>78</v>
      </c>
      <c r="C28" s="25" t="s">
        <v>78</v>
      </c>
      <c r="D28" s="25" t="s">
        <v>78</v>
      </c>
      <c r="E28" s="25"/>
      <c r="F28" s="25"/>
      <c r="G28" s="25"/>
      <c r="H28" s="25"/>
      <c r="I28" s="25"/>
      <c r="J28" s="25"/>
      <c r="K28" s="25"/>
      <c r="L28" s="26"/>
      <c r="M28" s="13" t="e">
        <f t="shared" si="1"/>
        <v>#VALUE!</v>
      </c>
    </row>
    <row r="29" spans="1:13" x14ac:dyDescent="0.2">
      <c r="A29" s="8" t="s">
        <v>87</v>
      </c>
      <c r="B29" s="24">
        <v>322.89999999999998</v>
      </c>
      <c r="C29" s="25">
        <v>346.2</v>
      </c>
      <c r="D29" s="25">
        <v>309.3</v>
      </c>
      <c r="E29" s="25"/>
      <c r="F29" s="25"/>
      <c r="G29" s="25"/>
      <c r="H29" s="25"/>
      <c r="I29" s="25"/>
      <c r="J29" s="25"/>
      <c r="K29" s="25"/>
      <c r="L29" s="26"/>
      <c r="M29" s="13" t="e">
        <f t="shared" si="1"/>
        <v>#DIV/0!</v>
      </c>
    </row>
    <row r="30" spans="1:13" x14ac:dyDescent="0.2">
      <c r="A30" s="8"/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6"/>
      <c r="M30" s="13"/>
    </row>
    <row r="31" spans="1:13" x14ac:dyDescent="0.2">
      <c r="A31" s="32" t="s">
        <v>84</v>
      </c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6"/>
      <c r="M31" s="13"/>
    </row>
    <row r="32" spans="1:13" x14ac:dyDescent="0.2">
      <c r="A32" s="8" t="s">
        <v>89</v>
      </c>
      <c r="B32" s="24">
        <v>266.10000000000002</v>
      </c>
      <c r="C32" s="25">
        <v>352.6</v>
      </c>
      <c r="D32" s="25">
        <v>361.1</v>
      </c>
      <c r="E32" s="25"/>
      <c r="F32" s="25"/>
      <c r="G32" s="25"/>
      <c r="H32" s="25"/>
      <c r="I32" s="25"/>
      <c r="J32" s="25"/>
      <c r="K32" s="25"/>
      <c r="L32" s="26"/>
      <c r="M32" s="13" t="e">
        <f t="shared" ref="M32:M37" si="2">((B32/L32)^(1/10)-1)</f>
        <v>#DIV/0!</v>
      </c>
    </row>
    <row r="33" spans="1:13" x14ac:dyDescent="0.2">
      <c r="A33" s="8" t="s">
        <v>102</v>
      </c>
      <c r="B33" s="24">
        <v>105.1</v>
      </c>
      <c r="C33" s="25">
        <v>89.8</v>
      </c>
      <c r="D33" s="25">
        <v>89.1</v>
      </c>
      <c r="E33" s="25"/>
      <c r="F33" s="25"/>
      <c r="G33" s="25"/>
      <c r="H33" s="25"/>
      <c r="I33" s="25"/>
      <c r="J33" s="25"/>
      <c r="K33" s="25"/>
      <c r="L33" s="26"/>
      <c r="M33" s="13" t="e">
        <f t="shared" si="2"/>
        <v>#DIV/0!</v>
      </c>
    </row>
    <row r="34" spans="1:13" x14ac:dyDescent="0.2">
      <c r="A34" s="8" t="s">
        <v>9</v>
      </c>
      <c r="B34" s="24">
        <v>96.7</v>
      </c>
      <c r="C34" s="25">
        <v>72.7</v>
      </c>
      <c r="D34" s="25">
        <v>67</v>
      </c>
      <c r="E34" s="25"/>
      <c r="F34" s="25"/>
      <c r="G34" s="25"/>
      <c r="H34" s="25"/>
      <c r="I34" s="25"/>
      <c r="J34" s="25"/>
      <c r="K34" s="25"/>
      <c r="L34" s="26"/>
      <c r="M34" s="13" t="e">
        <f t="shared" si="2"/>
        <v>#DIV/0!</v>
      </c>
    </row>
    <row r="35" spans="1:13" x14ac:dyDescent="0.2">
      <c r="A35" s="8" t="s">
        <v>58</v>
      </c>
      <c r="B35" s="24">
        <f>212+50</f>
        <v>262</v>
      </c>
      <c r="C35" s="25">
        <f>212+48</f>
        <v>260</v>
      </c>
      <c r="D35" s="25">
        <f>210+44</f>
        <v>254</v>
      </c>
      <c r="E35" s="25"/>
      <c r="F35" s="25"/>
      <c r="G35" s="25"/>
      <c r="H35" s="25"/>
      <c r="I35" s="25"/>
      <c r="J35" s="25"/>
      <c r="K35" s="25"/>
      <c r="L35" s="26"/>
      <c r="M35" s="13" t="e">
        <f t="shared" si="2"/>
        <v>#DIV/0!</v>
      </c>
    </row>
    <row r="36" spans="1:13" x14ac:dyDescent="0.2">
      <c r="A36" s="8" t="s">
        <v>117</v>
      </c>
      <c r="B36" s="24">
        <v>13.7</v>
      </c>
      <c r="C36" s="25">
        <v>9.6999999999999993</v>
      </c>
      <c r="D36" s="25">
        <v>9.8000000000000007</v>
      </c>
      <c r="E36" s="25"/>
      <c r="F36" s="25"/>
      <c r="G36" s="25"/>
      <c r="H36" s="25"/>
      <c r="I36" s="25"/>
      <c r="J36" s="25"/>
      <c r="K36" s="25"/>
      <c r="L36" s="26"/>
      <c r="M36" s="13" t="e">
        <f t="shared" si="2"/>
        <v>#DIV/0!</v>
      </c>
    </row>
    <row r="37" spans="1:13" x14ac:dyDescent="0.2">
      <c r="A37" s="8" t="s">
        <v>119</v>
      </c>
      <c r="B37" s="24">
        <f>125.2+15</f>
        <v>140.19999999999999</v>
      </c>
      <c r="C37" s="25">
        <f>130.4+20.9</f>
        <v>151.30000000000001</v>
      </c>
      <c r="D37" s="25">
        <f>137.1+42</f>
        <v>179.1</v>
      </c>
      <c r="E37" s="25"/>
      <c r="F37" s="25"/>
      <c r="G37" s="25"/>
      <c r="H37" s="25"/>
      <c r="I37" s="25"/>
      <c r="J37" s="25"/>
      <c r="K37" s="25"/>
      <c r="L37" s="26"/>
      <c r="M37" s="13" t="e">
        <f t="shared" si="2"/>
        <v>#DIV/0!</v>
      </c>
    </row>
    <row r="38" spans="1:13" x14ac:dyDescent="0.2">
      <c r="A38" s="8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6"/>
      <c r="M38" s="13"/>
    </row>
    <row r="39" spans="1:13" x14ac:dyDescent="0.2">
      <c r="A39" s="32" t="s">
        <v>105</v>
      </c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6"/>
      <c r="M39" s="13"/>
    </row>
    <row r="40" spans="1:13" x14ac:dyDescent="0.2">
      <c r="A40" s="8" t="s">
        <v>73</v>
      </c>
      <c r="B40" s="24">
        <v>2.2000000000000002</v>
      </c>
      <c r="C40" s="25">
        <v>1.8</v>
      </c>
      <c r="D40" s="25">
        <v>2.2000000000000002</v>
      </c>
      <c r="E40" s="25"/>
      <c r="F40" s="25"/>
      <c r="G40" s="25"/>
      <c r="H40" s="25"/>
      <c r="I40" s="25"/>
      <c r="J40" s="25"/>
      <c r="K40" s="25"/>
      <c r="L40" s="26"/>
      <c r="M40" s="13" t="e">
        <f>((B40/L40)^(1/10)-1)</f>
        <v>#DIV/0!</v>
      </c>
    </row>
    <row r="41" spans="1:13" x14ac:dyDescent="0.2">
      <c r="A41" s="8" t="s">
        <v>74</v>
      </c>
      <c r="B41" s="24">
        <f>6.2+35.8</f>
        <v>42</v>
      </c>
      <c r="C41" s="25">
        <f>4+33.4</f>
        <v>37.4</v>
      </c>
      <c r="D41" s="25">
        <f>3.5+6</f>
        <v>9.5</v>
      </c>
      <c r="E41" s="25"/>
      <c r="F41" s="25"/>
      <c r="G41" s="25"/>
      <c r="H41" s="25"/>
      <c r="I41" s="25"/>
      <c r="J41" s="25"/>
      <c r="K41" s="25"/>
      <c r="L41" s="26"/>
      <c r="M41" s="13" t="e">
        <f t="shared" ref="M41:M47" si="3">((B41/L41)^(1/10)-1)</f>
        <v>#DIV/0!</v>
      </c>
    </row>
    <row r="42" spans="1:13" x14ac:dyDescent="0.2">
      <c r="A42" s="8" t="s">
        <v>120</v>
      </c>
      <c r="B42" s="24">
        <v>653.79999999999995</v>
      </c>
      <c r="C42" s="25">
        <v>315.10000000000002</v>
      </c>
      <c r="D42" s="25">
        <v>237.9</v>
      </c>
      <c r="E42" s="25"/>
      <c r="F42" s="25"/>
      <c r="G42" s="25"/>
      <c r="H42" s="25"/>
      <c r="I42" s="25"/>
      <c r="J42" s="25"/>
      <c r="K42" s="25"/>
      <c r="L42" s="26"/>
      <c r="M42" s="13" t="e">
        <f t="shared" si="3"/>
        <v>#DIV/0!</v>
      </c>
    </row>
    <row r="43" spans="1:13" x14ac:dyDescent="0.2">
      <c r="A43" s="8" t="s">
        <v>97</v>
      </c>
      <c r="B43" s="24">
        <v>326.89999999999998</v>
      </c>
      <c r="C43" s="25">
        <v>356.7</v>
      </c>
      <c r="D43" s="25">
        <v>346.2</v>
      </c>
      <c r="E43" s="25"/>
      <c r="F43" s="25"/>
      <c r="G43" s="25"/>
      <c r="H43" s="25"/>
      <c r="I43" s="25"/>
      <c r="J43" s="25"/>
      <c r="K43" s="25"/>
      <c r="L43" s="26"/>
      <c r="M43" s="13" t="e">
        <f t="shared" si="3"/>
        <v>#DIV/0!</v>
      </c>
    </row>
    <row r="44" spans="1:13" x14ac:dyDescent="0.2">
      <c r="A44" s="8" t="s">
        <v>121</v>
      </c>
      <c r="B44" s="24">
        <v>3.3</v>
      </c>
      <c r="C44" s="25">
        <v>1.6</v>
      </c>
      <c r="D44" s="25">
        <v>0.1</v>
      </c>
      <c r="E44" s="25"/>
      <c r="F44" s="25"/>
      <c r="G44" s="25"/>
      <c r="H44" s="25"/>
      <c r="I44" s="25"/>
      <c r="J44" s="25"/>
      <c r="K44" s="25"/>
      <c r="L44" s="26"/>
      <c r="M44" s="13" t="e">
        <f t="shared" si="3"/>
        <v>#DIV/0!</v>
      </c>
    </row>
    <row r="45" spans="1:13" x14ac:dyDescent="0.2">
      <c r="A45" s="8" t="s">
        <v>108</v>
      </c>
      <c r="B45" s="24">
        <v>666.6</v>
      </c>
      <c r="C45" s="25">
        <v>89</v>
      </c>
      <c r="D45" s="25">
        <v>13.6</v>
      </c>
      <c r="E45" s="25"/>
      <c r="F45" s="25"/>
      <c r="G45" s="25"/>
      <c r="H45" s="25"/>
      <c r="I45" s="25"/>
      <c r="J45" s="25"/>
      <c r="K45" s="25"/>
      <c r="L45" s="26"/>
      <c r="M45" s="13" t="e">
        <f t="shared" si="3"/>
        <v>#DIV/0!</v>
      </c>
    </row>
    <row r="46" spans="1:13" x14ac:dyDescent="0.2">
      <c r="A46" s="8" t="s">
        <v>106</v>
      </c>
      <c r="B46" s="24">
        <f>0.3506+2.88+1.196</f>
        <v>4.4265999999999996</v>
      </c>
      <c r="C46" s="25">
        <f>0.33+2.35+0.891</f>
        <v>3.5710000000000002</v>
      </c>
      <c r="D46" s="25"/>
      <c r="E46" s="25"/>
      <c r="F46" s="25"/>
      <c r="G46" s="25"/>
      <c r="H46" s="25"/>
      <c r="I46" s="25"/>
      <c r="J46" s="25"/>
      <c r="K46" s="25"/>
      <c r="L46" s="26"/>
      <c r="M46" s="13" t="e">
        <f t="shared" si="3"/>
        <v>#DIV/0!</v>
      </c>
    </row>
    <row r="47" spans="1:13" x14ac:dyDescent="0.2">
      <c r="A47" s="8" t="s">
        <v>6</v>
      </c>
      <c r="B47" s="24" t="s">
        <v>78</v>
      </c>
      <c r="C47" s="25" t="s">
        <v>78</v>
      </c>
      <c r="D47" s="25" t="s">
        <v>78</v>
      </c>
      <c r="E47" s="25"/>
      <c r="F47" s="25"/>
      <c r="G47" s="25"/>
      <c r="H47" s="25"/>
      <c r="I47" s="25"/>
      <c r="J47" s="25"/>
      <c r="K47" s="25"/>
      <c r="L47" s="26"/>
      <c r="M47" s="13" t="e">
        <f t="shared" si="3"/>
        <v>#VALUE!</v>
      </c>
    </row>
    <row r="48" spans="1:13" x14ac:dyDescent="0.2">
      <c r="A48" s="8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13"/>
    </row>
    <row r="49" spans="1:13" x14ac:dyDescent="0.2">
      <c r="A49" s="8" t="s">
        <v>7</v>
      </c>
      <c r="B49" s="24">
        <f>18.12*B50</f>
        <v>3624.0171052800001</v>
      </c>
      <c r="C49" s="25">
        <f>22.7*C50</f>
        <v>4540.0214287999997</v>
      </c>
      <c r="D49" s="25"/>
      <c r="E49" s="25"/>
      <c r="F49" s="25"/>
      <c r="G49" s="25"/>
      <c r="H49" s="25"/>
      <c r="I49" s="25"/>
      <c r="J49" s="25"/>
      <c r="K49" s="25"/>
      <c r="L49" s="26"/>
      <c r="M49" s="13" t="e">
        <f>((B49/L49)^(1/10)-1)</f>
        <v>#DIV/0!</v>
      </c>
    </row>
    <row r="50" spans="1:13" x14ac:dyDescent="0.2">
      <c r="A50" s="8" t="s">
        <v>104</v>
      </c>
      <c r="B50" s="24">
        <v>200.000944</v>
      </c>
      <c r="C50" s="25">
        <v>200.000944</v>
      </c>
      <c r="D50" s="25"/>
      <c r="E50" s="25"/>
      <c r="F50" s="25"/>
      <c r="G50" s="25"/>
      <c r="H50" s="25"/>
      <c r="I50" s="25"/>
      <c r="J50" s="25"/>
      <c r="K50" s="25"/>
      <c r="L50" s="26"/>
      <c r="M50" s="13" t="e">
        <f>((B50/L50)^(1/10)-1)</f>
        <v>#DIV/0!</v>
      </c>
    </row>
    <row r="51" spans="1:13" ht="13.5" thickBot="1" x14ac:dyDescent="0.25">
      <c r="A51" s="8"/>
      <c r="B51" s="119"/>
      <c r="C51" s="120"/>
      <c r="D51" s="120"/>
      <c r="E51" s="120"/>
      <c r="F51" s="120"/>
      <c r="G51" s="120"/>
      <c r="H51" s="120"/>
      <c r="I51" s="120"/>
      <c r="J51" s="120"/>
      <c r="K51" s="120"/>
      <c r="L51" s="121"/>
      <c r="M51" s="13"/>
    </row>
    <row r="52" spans="1:13" x14ac:dyDescent="0.2">
      <c r="A52" s="39" t="s">
        <v>103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13"/>
    </row>
    <row r="53" spans="1:13" x14ac:dyDescent="0.2">
      <c r="A53" s="8" t="s">
        <v>85</v>
      </c>
      <c r="B53" s="59">
        <f t="shared" ref="B53:L53" si="4">B29+B37+B36</f>
        <v>476.79999999999995</v>
      </c>
      <c r="C53" s="60">
        <f t="shared" si="4"/>
        <v>507.2</v>
      </c>
      <c r="D53" s="60">
        <f t="shared" si="4"/>
        <v>498.2</v>
      </c>
      <c r="E53" s="60">
        <f t="shared" si="4"/>
        <v>0</v>
      </c>
      <c r="F53" s="60">
        <f t="shared" si="4"/>
        <v>0</v>
      </c>
      <c r="G53" s="60">
        <f t="shared" si="4"/>
        <v>0</v>
      </c>
      <c r="H53" s="60">
        <f t="shared" si="4"/>
        <v>0</v>
      </c>
      <c r="I53" s="60">
        <f t="shared" si="4"/>
        <v>0</v>
      </c>
      <c r="J53" s="60">
        <f t="shared" si="4"/>
        <v>0</v>
      </c>
      <c r="K53" s="60">
        <f t="shared" si="4"/>
        <v>0</v>
      </c>
      <c r="L53" s="61">
        <f t="shared" si="4"/>
        <v>0</v>
      </c>
      <c r="M53" s="38" t="e">
        <f>((B53/L53)^(1/10)-1)</f>
        <v>#DIV/0!</v>
      </c>
    </row>
    <row r="54" spans="1:13" x14ac:dyDescent="0.2">
      <c r="A54" s="8" t="s">
        <v>86</v>
      </c>
      <c r="B54" s="59">
        <f t="shared" ref="B54:L54" si="5">B53+B33</f>
        <v>581.9</v>
      </c>
      <c r="C54" s="60">
        <f t="shared" si="5"/>
        <v>597</v>
      </c>
      <c r="D54" s="60">
        <f t="shared" si="5"/>
        <v>587.29999999999995</v>
      </c>
      <c r="E54" s="60">
        <f t="shared" si="5"/>
        <v>0</v>
      </c>
      <c r="F54" s="60">
        <f t="shared" si="5"/>
        <v>0</v>
      </c>
      <c r="G54" s="60">
        <f t="shared" si="5"/>
        <v>0</v>
      </c>
      <c r="H54" s="60">
        <f t="shared" si="5"/>
        <v>0</v>
      </c>
      <c r="I54" s="60">
        <f t="shared" si="5"/>
        <v>0</v>
      </c>
      <c r="J54" s="60">
        <f t="shared" si="5"/>
        <v>0</v>
      </c>
      <c r="K54" s="60">
        <f t="shared" si="5"/>
        <v>0</v>
      </c>
      <c r="L54" s="61">
        <f t="shared" si="5"/>
        <v>0</v>
      </c>
      <c r="M54" s="38" t="e">
        <f>((B54/L54)^(1/10)-1)</f>
        <v>#DIV/0!</v>
      </c>
    </row>
    <row r="55" spans="1:13" x14ac:dyDescent="0.2">
      <c r="A55" s="8" t="s">
        <v>11</v>
      </c>
      <c r="B55" s="59">
        <f>((B7-B15)-(C7-C15)+(B8-C8))</f>
        <v>-13.400000000000126</v>
      </c>
      <c r="C55" s="60">
        <f t="shared" ref="C55:K55" si="6">((C7-C15)-(D7-D15)+(C8-D8))</f>
        <v>-30.299999999999976</v>
      </c>
      <c r="D55" s="60">
        <f t="shared" si="6"/>
        <v>-415.99999999999994</v>
      </c>
      <c r="E55" s="60">
        <f t="shared" si="6"/>
        <v>0</v>
      </c>
      <c r="F55" s="60">
        <f t="shared" si="6"/>
        <v>0</v>
      </c>
      <c r="G55" s="60">
        <f t="shared" si="6"/>
        <v>0</v>
      </c>
      <c r="H55" s="60">
        <f t="shared" si="6"/>
        <v>0</v>
      </c>
      <c r="I55" s="60">
        <f t="shared" si="6"/>
        <v>0</v>
      </c>
      <c r="J55" s="60">
        <f t="shared" si="6"/>
        <v>0</v>
      </c>
      <c r="K55" s="60">
        <f t="shared" si="6"/>
        <v>0</v>
      </c>
      <c r="L55" s="61" t="s">
        <v>78</v>
      </c>
      <c r="M55" s="38" t="e">
        <f>((B55/K55)^(1/9)-1)</f>
        <v>#DIV/0!</v>
      </c>
    </row>
    <row r="56" spans="1:13" ht="13.5" customHeight="1" x14ac:dyDescent="0.2">
      <c r="A56" s="8" t="s">
        <v>88</v>
      </c>
      <c r="B56" s="59">
        <f>B32-B34</f>
        <v>169.40000000000003</v>
      </c>
      <c r="C56" s="60">
        <f t="shared" ref="C56:L56" si="7">C32-C34</f>
        <v>279.90000000000003</v>
      </c>
      <c r="D56" s="60">
        <f t="shared" si="7"/>
        <v>294.10000000000002</v>
      </c>
      <c r="E56" s="60">
        <f t="shared" si="7"/>
        <v>0</v>
      </c>
      <c r="F56" s="60">
        <f t="shared" si="7"/>
        <v>0</v>
      </c>
      <c r="G56" s="60">
        <f t="shared" si="7"/>
        <v>0</v>
      </c>
      <c r="H56" s="60">
        <f t="shared" si="7"/>
        <v>0</v>
      </c>
      <c r="I56" s="60">
        <f t="shared" si="7"/>
        <v>0</v>
      </c>
      <c r="J56" s="60">
        <f t="shared" si="7"/>
        <v>0</v>
      </c>
      <c r="K56" s="60">
        <f t="shared" si="7"/>
        <v>0</v>
      </c>
      <c r="L56" s="61">
        <f t="shared" si="7"/>
        <v>0</v>
      </c>
      <c r="M56" s="38" t="e">
        <f>((B56/L56)^(1/10)-1)</f>
        <v>#DIV/0!</v>
      </c>
    </row>
    <row r="57" spans="1:13" ht="13.5" customHeight="1" x14ac:dyDescent="0.2">
      <c r="A57" s="8" t="s">
        <v>163</v>
      </c>
      <c r="B57" s="59">
        <f>B32+B36*(1-B37/(B53-B36))-B34-B45</f>
        <v>-487.64757071906712</v>
      </c>
      <c r="C57" s="60">
        <f t="shared" ref="C57:L57" si="8">C32+C36*(1-C37/(C53-C36))-C34-C45</f>
        <v>197.65003015075382</v>
      </c>
      <c r="D57" s="60">
        <f t="shared" si="8"/>
        <v>286.70626535626536</v>
      </c>
      <c r="E57" s="60" t="e">
        <f t="shared" si="8"/>
        <v>#DIV/0!</v>
      </c>
      <c r="F57" s="60" t="e">
        <f t="shared" si="8"/>
        <v>#DIV/0!</v>
      </c>
      <c r="G57" s="60" t="e">
        <f t="shared" si="8"/>
        <v>#DIV/0!</v>
      </c>
      <c r="H57" s="60" t="e">
        <f t="shared" si="8"/>
        <v>#DIV/0!</v>
      </c>
      <c r="I57" s="60" t="e">
        <f t="shared" si="8"/>
        <v>#DIV/0!</v>
      </c>
      <c r="J57" s="60" t="e">
        <f t="shared" si="8"/>
        <v>#DIV/0!</v>
      </c>
      <c r="K57" s="60" t="e">
        <f t="shared" si="8"/>
        <v>#DIV/0!</v>
      </c>
      <c r="L57" s="61" t="e">
        <f t="shared" si="8"/>
        <v>#DIV/0!</v>
      </c>
      <c r="M57" s="38" t="e">
        <f>((B57/L57)^(1/10)-1)</f>
        <v>#DIV/0!</v>
      </c>
    </row>
    <row r="58" spans="1:13" ht="13.5" customHeight="1" x14ac:dyDescent="0.2">
      <c r="A58" s="8" t="s">
        <v>162</v>
      </c>
      <c r="B58" s="59">
        <f>B53*(1-B37/(B53-B36))+B33-B34-B55-B45</f>
        <v>-312.34757071906711</v>
      </c>
      <c r="C58" s="60">
        <f t="shared" ref="C58:K58" si="9">C53*(1-C37/(C53-C36))+C33-C34-C55-C45</f>
        <v>311.35003015075375</v>
      </c>
      <c r="D58" s="60">
        <f t="shared" si="9"/>
        <v>740.00626535626532</v>
      </c>
      <c r="E58" s="60" t="e">
        <f t="shared" si="9"/>
        <v>#DIV/0!</v>
      </c>
      <c r="F58" s="60" t="e">
        <f t="shared" si="9"/>
        <v>#DIV/0!</v>
      </c>
      <c r="G58" s="60" t="e">
        <f t="shared" si="9"/>
        <v>#DIV/0!</v>
      </c>
      <c r="H58" s="60" t="e">
        <f t="shared" si="9"/>
        <v>#DIV/0!</v>
      </c>
      <c r="I58" s="60" t="e">
        <f t="shared" si="9"/>
        <v>#DIV/0!</v>
      </c>
      <c r="J58" s="60" t="e">
        <f t="shared" si="9"/>
        <v>#DIV/0!</v>
      </c>
      <c r="K58" s="60" t="e">
        <f t="shared" si="9"/>
        <v>#DIV/0!</v>
      </c>
      <c r="L58" s="61" t="s">
        <v>78</v>
      </c>
      <c r="M58" s="38" t="e">
        <f>((B58/K58)^(1/9)-1)</f>
        <v>#DIV/0!</v>
      </c>
    </row>
    <row r="59" spans="1:13" ht="13.5" customHeight="1" x14ac:dyDescent="0.2">
      <c r="A59" s="8" t="s">
        <v>107</v>
      </c>
      <c r="B59" s="59">
        <f>B29+B33-B34-B55</f>
        <v>344.70000000000016</v>
      </c>
      <c r="C59" s="60">
        <f t="shared" ref="C59:K59" si="10">C29+C33-C34-C55</f>
        <v>393.59999999999997</v>
      </c>
      <c r="D59" s="60">
        <f t="shared" si="10"/>
        <v>747.39999999999986</v>
      </c>
      <c r="E59" s="60">
        <f t="shared" si="10"/>
        <v>0</v>
      </c>
      <c r="F59" s="60">
        <f t="shared" si="10"/>
        <v>0</v>
      </c>
      <c r="G59" s="60">
        <f t="shared" si="10"/>
        <v>0</v>
      </c>
      <c r="H59" s="60">
        <f t="shared" si="10"/>
        <v>0</v>
      </c>
      <c r="I59" s="60">
        <f t="shared" si="10"/>
        <v>0</v>
      </c>
      <c r="J59" s="60">
        <f t="shared" si="10"/>
        <v>0</v>
      </c>
      <c r="K59" s="60">
        <f t="shared" si="10"/>
        <v>0</v>
      </c>
      <c r="L59" s="61" t="s">
        <v>78</v>
      </c>
      <c r="M59" s="38" t="e">
        <f>((B59/K59)^(1/9)-1)</f>
        <v>#DIV/0!</v>
      </c>
    </row>
    <row r="60" spans="1:13" ht="13.5" customHeight="1" x14ac:dyDescent="0.2">
      <c r="A60" s="8" t="s">
        <v>110</v>
      </c>
      <c r="B60" s="59">
        <f>B18+B16+B42+B43</f>
        <v>1739</v>
      </c>
      <c r="C60" s="60">
        <f t="shared" ref="C60:L60" si="11">C18+C16+C42+C43</f>
        <v>729.8</v>
      </c>
      <c r="D60" s="60">
        <f t="shared" si="11"/>
        <v>649.9</v>
      </c>
      <c r="E60" s="60">
        <f t="shared" si="11"/>
        <v>0</v>
      </c>
      <c r="F60" s="60">
        <f t="shared" si="11"/>
        <v>0</v>
      </c>
      <c r="G60" s="60">
        <f t="shared" si="11"/>
        <v>0</v>
      </c>
      <c r="H60" s="60">
        <f t="shared" si="11"/>
        <v>0</v>
      </c>
      <c r="I60" s="60">
        <f t="shared" si="11"/>
        <v>0</v>
      </c>
      <c r="J60" s="60">
        <f t="shared" si="11"/>
        <v>0</v>
      </c>
      <c r="K60" s="60">
        <f t="shared" si="11"/>
        <v>0</v>
      </c>
      <c r="L60" s="61">
        <f t="shared" si="11"/>
        <v>0</v>
      </c>
      <c r="M60" s="38" t="e">
        <f>((B60/L60)^(1/10)-1)</f>
        <v>#DIV/0!</v>
      </c>
    </row>
    <row r="61" spans="1:13" ht="13.5" thickBot="1" x14ac:dyDescent="0.25">
      <c r="A61" s="15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4"/>
      <c r="M61" s="14"/>
    </row>
    <row r="62" spans="1:13" ht="13.5" thickTop="1" x14ac:dyDescent="0.2"/>
    <row r="63" spans="1:13" ht="13.5" thickBot="1" x14ac:dyDescent="0.25"/>
    <row r="64" spans="1:13" ht="16.5" thickTop="1" thickBot="1" x14ac:dyDescent="0.25">
      <c r="A64" s="2" t="s">
        <v>55</v>
      </c>
      <c r="B64" s="151">
        <v>2017</v>
      </c>
      <c r="C64" s="3">
        <v>2016</v>
      </c>
      <c r="D64" s="3">
        <v>2015</v>
      </c>
      <c r="E64" s="3">
        <v>2014</v>
      </c>
      <c r="F64" s="3">
        <v>2013</v>
      </c>
      <c r="G64" s="3">
        <v>2012</v>
      </c>
      <c r="H64" s="3">
        <v>2011</v>
      </c>
      <c r="I64" s="3">
        <v>2010</v>
      </c>
      <c r="J64" s="3">
        <v>2009</v>
      </c>
      <c r="K64" s="3">
        <v>2008</v>
      </c>
      <c r="L64" s="7">
        <v>2007</v>
      </c>
      <c r="M64" s="12" t="s">
        <v>76</v>
      </c>
    </row>
    <row r="65" spans="1:13" ht="14.25" thickTop="1" thickBot="1" x14ac:dyDescent="0.25">
      <c r="A65" s="10" t="s">
        <v>62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20"/>
      <c r="M65" s="16"/>
    </row>
    <row r="66" spans="1:13" ht="24.75" thickTop="1" x14ac:dyDescent="0.2">
      <c r="A66" s="9" t="s">
        <v>49</v>
      </c>
      <c r="B66" s="4">
        <f t="shared" ref="B66:G66" si="12">B25/B24</f>
        <v>0.8022686685627356</v>
      </c>
      <c r="C66" s="4">
        <f t="shared" si="12"/>
        <v>0.75804057397328062</v>
      </c>
      <c r="D66" s="4">
        <f t="shared" si="12"/>
        <v>0.77186999219295727</v>
      </c>
      <c r="E66" s="4" t="e">
        <f t="shared" si="12"/>
        <v>#DIV/0!</v>
      </c>
      <c r="F66" s="4" t="e">
        <f t="shared" si="12"/>
        <v>#DIV/0!</v>
      </c>
      <c r="G66" s="4" t="e">
        <f t="shared" si="12"/>
        <v>#DIV/0!</v>
      </c>
      <c r="H66" s="4" t="e">
        <f>H25/H24</f>
        <v>#DIV/0!</v>
      </c>
      <c r="I66" s="4" t="e">
        <f>I25/I24</f>
        <v>#DIV/0!</v>
      </c>
      <c r="J66" s="4" t="e">
        <f>J25/J24</f>
        <v>#DIV/0!</v>
      </c>
      <c r="K66" s="4" t="e">
        <f>K25/K24</f>
        <v>#DIV/0!</v>
      </c>
      <c r="L66" s="21" t="e">
        <f>L25/L24</f>
        <v>#DIV/0!</v>
      </c>
      <c r="M66" s="17" t="e">
        <f t="array" ref="M66">AVERAGE(IF(B66:L66&gt;0,B66:L66))</f>
        <v>#DIV/0!</v>
      </c>
    </row>
    <row r="67" spans="1:13" ht="24" x14ac:dyDescent="0.2">
      <c r="A67" s="9" t="s">
        <v>48</v>
      </c>
      <c r="B67" s="4" t="e">
        <f t="shared" ref="B67:G67" si="13">B26/B24</f>
        <v>#VALUE!</v>
      </c>
      <c r="C67" s="4" t="e">
        <f t="shared" si="13"/>
        <v>#VALUE!</v>
      </c>
      <c r="D67" s="4" t="e">
        <f t="shared" si="13"/>
        <v>#VALUE!</v>
      </c>
      <c r="E67" s="4" t="e">
        <f t="shared" si="13"/>
        <v>#DIV/0!</v>
      </c>
      <c r="F67" s="4" t="e">
        <f t="shared" si="13"/>
        <v>#DIV/0!</v>
      </c>
      <c r="G67" s="4" t="e">
        <f t="shared" si="13"/>
        <v>#DIV/0!</v>
      </c>
      <c r="H67" s="4" t="e">
        <f>H26/H24</f>
        <v>#DIV/0!</v>
      </c>
      <c r="I67" s="4" t="e">
        <f>I26/I24</f>
        <v>#DIV/0!</v>
      </c>
      <c r="J67" s="4" t="e">
        <f>J26/J24</f>
        <v>#DIV/0!</v>
      </c>
      <c r="K67" s="4" t="e">
        <f>K26/K24</f>
        <v>#DIV/0!</v>
      </c>
      <c r="L67" s="21" t="e">
        <f>L26/L24</f>
        <v>#DIV/0!</v>
      </c>
      <c r="M67" s="17" t="e">
        <f t="array" ref="M67">AVERAGE(IF(B67:L67&gt;0,B67:L67))</f>
        <v>#VALUE!</v>
      </c>
    </row>
    <row r="68" spans="1:13" ht="24" x14ac:dyDescent="0.2">
      <c r="A68" s="9" t="s">
        <v>47</v>
      </c>
      <c r="B68" s="4" t="e">
        <f t="shared" ref="B68:G68" si="14">B27/B24</f>
        <v>#VALUE!</v>
      </c>
      <c r="C68" s="4" t="e">
        <f t="shared" si="14"/>
        <v>#VALUE!</v>
      </c>
      <c r="D68" s="4" t="e">
        <f t="shared" si="14"/>
        <v>#VALUE!</v>
      </c>
      <c r="E68" s="4" t="e">
        <f t="shared" si="14"/>
        <v>#DIV/0!</v>
      </c>
      <c r="F68" s="4" t="e">
        <f t="shared" si="14"/>
        <v>#DIV/0!</v>
      </c>
      <c r="G68" s="4" t="e">
        <f t="shared" si="14"/>
        <v>#DIV/0!</v>
      </c>
      <c r="H68" s="4" t="e">
        <f>H27/H24</f>
        <v>#DIV/0!</v>
      </c>
      <c r="I68" s="4" t="e">
        <f>I27/I24</f>
        <v>#DIV/0!</v>
      </c>
      <c r="J68" s="4" t="e">
        <f>J27/J24</f>
        <v>#DIV/0!</v>
      </c>
      <c r="K68" s="4" t="e">
        <f>K27/K24</f>
        <v>#DIV/0!</v>
      </c>
      <c r="L68" s="21" t="e">
        <f>L27/L24</f>
        <v>#DIV/0!</v>
      </c>
      <c r="M68" s="17" t="e">
        <f t="array" ref="M68">AVERAGE(IF(B68:L68&gt;0,B68:L68))</f>
        <v>#VALUE!</v>
      </c>
    </row>
    <row r="69" spans="1:13" ht="24" x14ac:dyDescent="0.2">
      <c r="A69" s="9" t="s">
        <v>46</v>
      </c>
      <c r="B69" s="4" t="e">
        <f t="shared" ref="B69:G69" si="15">B28/B24</f>
        <v>#VALUE!</v>
      </c>
      <c r="C69" s="4" t="e">
        <f t="shared" si="15"/>
        <v>#VALUE!</v>
      </c>
      <c r="D69" s="4" t="e">
        <f t="shared" si="15"/>
        <v>#VALUE!</v>
      </c>
      <c r="E69" s="4" t="e">
        <f t="shared" si="15"/>
        <v>#DIV/0!</v>
      </c>
      <c r="F69" s="4" t="e">
        <f t="shared" si="15"/>
        <v>#DIV/0!</v>
      </c>
      <c r="G69" s="4" t="e">
        <f t="shared" si="15"/>
        <v>#DIV/0!</v>
      </c>
      <c r="H69" s="4" t="e">
        <f>H28/H24</f>
        <v>#DIV/0!</v>
      </c>
      <c r="I69" s="4" t="e">
        <f>I28/I24</f>
        <v>#DIV/0!</v>
      </c>
      <c r="J69" s="4" t="e">
        <f>J28/J24</f>
        <v>#DIV/0!</v>
      </c>
      <c r="K69" s="4" t="e">
        <f>K28/K24</f>
        <v>#DIV/0!</v>
      </c>
      <c r="L69" s="21" t="e">
        <f>L28/L24</f>
        <v>#DIV/0!</v>
      </c>
      <c r="M69" s="17" t="e">
        <f t="array" ref="M69">AVERAGE(IF(B69:L69&gt;0,B69:L69))</f>
        <v>#VALUE!</v>
      </c>
    </row>
    <row r="70" spans="1:13" ht="24.75" thickBot="1" x14ac:dyDescent="0.25">
      <c r="A70" s="9" t="s">
        <v>45</v>
      </c>
      <c r="B70" s="4">
        <f t="shared" ref="B70:L70" si="16">B37/(B53-B36)</f>
        <v>0.30274238825307709</v>
      </c>
      <c r="C70" s="4">
        <f t="shared" si="16"/>
        <v>0.30412060301507537</v>
      </c>
      <c r="D70" s="4">
        <f t="shared" si="16"/>
        <v>0.3667076167076167</v>
      </c>
      <c r="E70" s="4" t="e">
        <f t="shared" si="16"/>
        <v>#DIV/0!</v>
      </c>
      <c r="F70" s="4" t="e">
        <f t="shared" si="16"/>
        <v>#DIV/0!</v>
      </c>
      <c r="G70" s="4" t="e">
        <f t="shared" si="16"/>
        <v>#DIV/0!</v>
      </c>
      <c r="H70" s="4" t="e">
        <f t="shared" si="16"/>
        <v>#DIV/0!</v>
      </c>
      <c r="I70" s="4" t="e">
        <f t="shared" si="16"/>
        <v>#DIV/0!</v>
      </c>
      <c r="J70" s="4" t="e">
        <f t="shared" si="16"/>
        <v>#DIV/0!</v>
      </c>
      <c r="K70" s="4" t="e">
        <f t="shared" si="16"/>
        <v>#DIV/0!</v>
      </c>
      <c r="L70" s="21" t="e">
        <f t="shared" si="16"/>
        <v>#DIV/0!</v>
      </c>
      <c r="M70" s="17" t="e">
        <f t="array" ref="M70">AVERAGE(IF(B70:L70&gt;0,B70:L70))</f>
        <v>#DIV/0!</v>
      </c>
    </row>
    <row r="71" spans="1:13" ht="14.25" thickTop="1" thickBot="1" x14ac:dyDescent="0.25">
      <c r="A71" s="10" t="s">
        <v>60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22"/>
      <c r="M71" s="17"/>
    </row>
    <row r="72" spans="1:13" ht="24.6" customHeight="1" thickTop="1" x14ac:dyDescent="0.2">
      <c r="A72" s="9" t="s">
        <v>50</v>
      </c>
      <c r="B72" s="4">
        <f t="shared" ref="B72:L72" si="17">B29/B20</f>
        <v>0.41745313510019388</v>
      </c>
      <c r="C72" s="4">
        <f t="shared" si="17"/>
        <v>0.445961612778565</v>
      </c>
      <c r="D72" s="4">
        <f t="shared" si="17"/>
        <v>0.4451640759930916</v>
      </c>
      <c r="E72" s="4" t="e">
        <f t="shared" si="17"/>
        <v>#DIV/0!</v>
      </c>
      <c r="F72" s="4" t="e">
        <f t="shared" si="17"/>
        <v>#DIV/0!</v>
      </c>
      <c r="G72" s="4" t="e">
        <f t="shared" si="17"/>
        <v>#DIV/0!</v>
      </c>
      <c r="H72" s="4" t="e">
        <f t="shared" si="17"/>
        <v>#DIV/0!</v>
      </c>
      <c r="I72" s="4" t="e">
        <f t="shared" si="17"/>
        <v>#DIV/0!</v>
      </c>
      <c r="J72" s="4" t="e">
        <f t="shared" si="17"/>
        <v>#DIV/0!</v>
      </c>
      <c r="K72" s="4" t="e">
        <f t="shared" si="17"/>
        <v>#DIV/0!</v>
      </c>
      <c r="L72" s="21" t="e">
        <f t="shared" si="17"/>
        <v>#DIV/0!</v>
      </c>
      <c r="M72" s="17" t="e">
        <f t="array" ref="M72">AVERAGE(IF(B72:L72&gt;0,B72:L72))</f>
        <v>#DIV/0!</v>
      </c>
    </row>
    <row r="73" spans="1:13" ht="24" x14ac:dyDescent="0.2">
      <c r="A73" s="9" t="s">
        <v>19</v>
      </c>
      <c r="B73" s="4">
        <f t="shared" ref="B73:L73" si="18">(B29*B32)/(B14*B34)</f>
        <v>0.27569325437225523</v>
      </c>
      <c r="C73" s="4">
        <f t="shared" si="18"/>
        <v>0.73322873806935251</v>
      </c>
      <c r="D73" s="4">
        <f t="shared" si="18"/>
        <v>0.78929380088195389</v>
      </c>
      <c r="E73" s="4" t="e">
        <f t="shared" si="18"/>
        <v>#DIV/0!</v>
      </c>
      <c r="F73" s="4" t="e">
        <f t="shared" si="18"/>
        <v>#DIV/0!</v>
      </c>
      <c r="G73" s="4" t="e">
        <f t="shared" si="18"/>
        <v>#DIV/0!</v>
      </c>
      <c r="H73" s="4" t="e">
        <f t="shared" si="18"/>
        <v>#DIV/0!</v>
      </c>
      <c r="I73" s="4" t="e">
        <f t="shared" si="18"/>
        <v>#DIV/0!</v>
      </c>
      <c r="J73" s="4" t="e">
        <f t="shared" si="18"/>
        <v>#DIV/0!</v>
      </c>
      <c r="K73" s="4" t="e">
        <f t="shared" si="18"/>
        <v>#DIV/0!</v>
      </c>
      <c r="L73" s="21" t="e">
        <f t="shared" si="18"/>
        <v>#DIV/0!</v>
      </c>
      <c r="M73" s="17" t="e">
        <f t="array" ref="M73">AVERAGE(IF(B73:L73&gt;0,B73:L73))</f>
        <v>#DIV/0!</v>
      </c>
    </row>
    <row r="74" spans="1:13" ht="24" x14ac:dyDescent="0.2">
      <c r="A74" s="9" t="s">
        <v>51</v>
      </c>
      <c r="B74" s="4">
        <f t="shared" ref="B74:L74" si="19">B29/B24</f>
        <v>0.10678616310602551</v>
      </c>
      <c r="C74" s="4">
        <f t="shared" si="19"/>
        <v>0.14275111331024246</v>
      </c>
      <c r="D74" s="4">
        <f t="shared" si="19"/>
        <v>0.12709043842708634</v>
      </c>
      <c r="E74" s="4" t="e">
        <f t="shared" si="19"/>
        <v>#DIV/0!</v>
      </c>
      <c r="F74" s="4" t="e">
        <f t="shared" si="19"/>
        <v>#DIV/0!</v>
      </c>
      <c r="G74" s="4" t="e">
        <f t="shared" si="19"/>
        <v>#DIV/0!</v>
      </c>
      <c r="H74" s="4" t="e">
        <f t="shared" si="19"/>
        <v>#DIV/0!</v>
      </c>
      <c r="I74" s="4" t="e">
        <f t="shared" si="19"/>
        <v>#DIV/0!</v>
      </c>
      <c r="J74" s="4" t="e">
        <f t="shared" si="19"/>
        <v>#DIV/0!</v>
      </c>
      <c r="K74" s="4" t="e">
        <f t="shared" si="19"/>
        <v>#DIV/0!</v>
      </c>
      <c r="L74" s="21" t="e">
        <f t="shared" si="19"/>
        <v>#DIV/0!</v>
      </c>
      <c r="M74" s="17" t="e">
        <f t="array" ref="M74">AVERAGE(IF(B74:L74&gt;0,B74:L74))</f>
        <v>#DIV/0!</v>
      </c>
    </row>
    <row r="75" spans="1:13" ht="25.5" customHeight="1" x14ac:dyDescent="0.2">
      <c r="A75" s="9" t="s">
        <v>52</v>
      </c>
      <c r="B75" s="4">
        <f t="shared" ref="B75:L75" si="20">B53/B24</f>
        <v>0.15768238640121698</v>
      </c>
      <c r="C75" s="4">
        <f t="shared" si="20"/>
        <v>0.2091373907306614</v>
      </c>
      <c r="D75" s="4">
        <f t="shared" si="20"/>
        <v>0.20470887948391339</v>
      </c>
      <c r="E75" s="4" t="e">
        <f t="shared" si="20"/>
        <v>#DIV/0!</v>
      </c>
      <c r="F75" s="4" t="e">
        <f t="shared" si="20"/>
        <v>#DIV/0!</v>
      </c>
      <c r="G75" s="4" t="e">
        <f t="shared" si="20"/>
        <v>#DIV/0!</v>
      </c>
      <c r="H75" s="4" t="e">
        <f t="shared" si="20"/>
        <v>#DIV/0!</v>
      </c>
      <c r="I75" s="4" t="e">
        <f t="shared" si="20"/>
        <v>#DIV/0!</v>
      </c>
      <c r="J75" s="4" t="e">
        <f t="shared" si="20"/>
        <v>#DIV/0!</v>
      </c>
      <c r="K75" s="4" t="e">
        <f t="shared" si="20"/>
        <v>#DIV/0!</v>
      </c>
      <c r="L75" s="21" t="e">
        <f t="shared" si="20"/>
        <v>#DIV/0!</v>
      </c>
      <c r="M75" s="17" t="e">
        <f t="array" ref="M75">AVERAGE(IF(B75:L75&gt;0,B75:L75))</f>
        <v>#DIV/0!</v>
      </c>
    </row>
    <row r="76" spans="1:13" ht="27" customHeight="1" x14ac:dyDescent="0.2">
      <c r="A76" s="9" t="s">
        <v>53</v>
      </c>
      <c r="B76" s="4">
        <f t="shared" ref="B76:L76" si="21">B54/B24</f>
        <v>0.19243997618890135</v>
      </c>
      <c r="C76" s="4">
        <f t="shared" si="21"/>
        <v>0.24616526472043546</v>
      </c>
      <c r="D76" s="4">
        <f t="shared" si="21"/>
        <v>0.24131980112585774</v>
      </c>
      <c r="E76" s="4" t="e">
        <f t="shared" si="21"/>
        <v>#DIV/0!</v>
      </c>
      <c r="F76" s="4" t="e">
        <f t="shared" si="21"/>
        <v>#DIV/0!</v>
      </c>
      <c r="G76" s="4" t="e">
        <f t="shared" si="21"/>
        <v>#DIV/0!</v>
      </c>
      <c r="H76" s="4" t="e">
        <f t="shared" si="21"/>
        <v>#DIV/0!</v>
      </c>
      <c r="I76" s="4" t="e">
        <f t="shared" si="21"/>
        <v>#DIV/0!</v>
      </c>
      <c r="J76" s="4" t="e">
        <f t="shared" si="21"/>
        <v>#DIV/0!</v>
      </c>
      <c r="K76" s="4" t="e">
        <f t="shared" si="21"/>
        <v>#DIV/0!</v>
      </c>
      <c r="L76" s="21" t="e">
        <f t="shared" si="21"/>
        <v>#DIV/0!</v>
      </c>
      <c r="M76" s="17" t="e">
        <f t="array" ref="M76">AVERAGE(IF(B76:L76&gt;0,B76:L76))</f>
        <v>#DIV/0!</v>
      </c>
    </row>
    <row r="77" spans="1:13" ht="35.25" x14ac:dyDescent="0.2">
      <c r="A77" s="9" t="s">
        <v>44</v>
      </c>
      <c r="B77" s="4">
        <f t="shared" ref="B77:L77" si="22">B24/B14</f>
        <v>0.93819422897921201</v>
      </c>
      <c r="C77" s="4">
        <f t="shared" si="22"/>
        <v>1.0590393013100436</v>
      </c>
      <c r="D77" s="4">
        <f t="shared" si="22"/>
        <v>1.1523200757575758</v>
      </c>
      <c r="E77" s="4" t="e">
        <f t="shared" si="22"/>
        <v>#DIV/0!</v>
      </c>
      <c r="F77" s="4" t="e">
        <f t="shared" si="22"/>
        <v>#DIV/0!</v>
      </c>
      <c r="G77" s="4" t="e">
        <f t="shared" si="22"/>
        <v>#DIV/0!</v>
      </c>
      <c r="H77" s="4" t="e">
        <f t="shared" si="22"/>
        <v>#DIV/0!</v>
      </c>
      <c r="I77" s="4" t="e">
        <f t="shared" si="22"/>
        <v>#DIV/0!</v>
      </c>
      <c r="J77" s="4" t="e">
        <f t="shared" si="22"/>
        <v>#DIV/0!</v>
      </c>
      <c r="K77" s="4" t="e">
        <f t="shared" si="22"/>
        <v>#DIV/0!</v>
      </c>
      <c r="L77" s="21" t="e">
        <f t="shared" si="22"/>
        <v>#DIV/0!</v>
      </c>
      <c r="M77" s="17" t="e">
        <f t="array" ref="M77">AVERAGE(IF(B77:L77&gt;0,B77:L77))</f>
        <v>#DIV/0!</v>
      </c>
    </row>
    <row r="78" spans="1:13" ht="24" x14ac:dyDescent="0.2">
      <c r="A78" s="9" t="s">
        <v>42</v>
      </c>
      <c r="B78" s="4">
        <f t="shared" ref="B78:L78" si="23">(B29+B36)/B14</f>
        <v>0.10443686006825938</v>
      </c>
      <c r="C78" s="4">
        <f t="shared" si="23"/>
        <v>0.15541484716157206</v>
      </c>
      <c r="D78" s="4">
        <f t="shared" si="23"/>
        <v>0.15108901515151515</v>
      </c>
      <c r="E78" s="4" t="e">
        <f t="shared" si="23"/>
        <v>#DIV/0!</v>
      </c>
      <c r="F78" s="4" t="e">
        <f t="shared" si="23"/>
        <v>#DIV/0!</v>
      </c>
      <c r="G78" s="4" t="e">
        <f t="shared" si="23"/>
        <v>#DIV/0!</v>
      </c>
      <c r="H78" s="4" t="e">
        <f t="shared" si="23"/>
        <v>#DIV/0!</v>
      </c>
      <c r="I78" s="4" t="e">
        <f t="shared" si="23"/>
        <v>#DIV/0!</v>
      </c>
      <c r="J78" s="4" t="e">
        <f t="shared" si="23"/>
        <v>#DIV/0!</v>
      </c>
      <c r="K78" s="4" t="e">
        <f t="shared" si="23"/>
        <v>#DIV/0!</v>
      </c>
      <c r="L78" s="21" t="e">
        <f t="shared" si="23"/>
        <v>#DIV/0!</v>
      </c>
      <c r="M78" s="17" t="e">
        <f t="array" ref="M78">AVERAGE(IF(B78:L78&gt;0,B78:L78))</f>
        <v>#DIV/0!</v>
      </c>
    </row>
    <row r="79" spans="1:13" ht="35.25" x14ac:dyDescent="0.2">
      <c r="A79" s="9" t="s">
        <v>43</v>
      </c>
      <c r="B79" s="4">
        <f t="shared" ref="B79:L79" si="24">B29/B14</f>
        <v>0.10018616196090598</v>
      </c>
      <c r="C79" s="4">
        <f t="shared" si="24"/>
        <v>0.15117903930131005</v>
      </c>
      <c r="D79" s="4">
        <f t="shared" si="24"/>
        <v>0.14644886363636364</v>
      </c>
      <c r="E79" s="4" t="e">
        <f t="shared" si="24"/>
        <v>#DIV/0!</v>
      </c>
      <c r="F79" s="4" t="e">
        <f t="shared" si="24"/>
        <v>#DIV/0!</v>
      </c>
      <c r="G79" s="4" t="e">
        <f t="shared" si="24"/>
        <v>#DIV/0!</v>
      </c>
      <c r="H79" s="4" t="e">
        <f t="shared" si="24"/>
        <v>#DIV/0!</v>
      </c>
      <c r="I79" s="4" t="e">
        <f t="shared" si="24"/>
        <v>#DIV/0!</v>
      </c>
      <c r="J79" s="4" t="e">
        <f t="shared" si="24"/>
        <v>#DIV/0!</v>
      </c>
      <c r="K79" s="4" t="e">
        <f t="shared" si="24"/>
        <v>#DIV/0!</v>
      </c>
      <c r="L79" s="21" t="e">
        <f t="shared" si="24"/>
        <v>#DIV/0!</v>
      </c>
      <c r="M79" s="17" t="e">
        <f t="array" ref="M79">AVERAGE(IF(B79:L79&gt;0,B79:L79))</f>
        <v>#DIV/0!</v>
      </c>
    </row>
    <row r="80" spans="1:13" ht="27" customHeight="1" x14ac:dyDescent="0.2">
      <c r="A80" s="37" t="s">
        <v>158</v>
      </c>
      <c r="B80" s="4">
        <f>B53*(1-B70)/(C13+(C7+C8-C15)+C42-C6)</f>
        <v>0.60899877135177261</v>
      </c>
      <c r="C80" s="4">
        <f t="shared" ref="C80:K80" si="25">C53*(1-C70)/(D13+(D7+D8-D15)+D42-D6)</f>
        <v>1.1652361510424358</v>
      </c>
      <c r="D80" s="4" t="e">
        <f t="shared" si="25"/>
        <v>#DIV/0!</v>
      </c>
      <c r="E80" s="4" t="e">
        <f t="shared" si="25"/>
        <v>#DIV/0!</v>
      </c>
      <c r="F80" s="4" t="e">
        <f t="shared" si="25"/>
        <v>#DIV/0!</v>
      </c>
      <c r="G80" s="4" t="e">
        <f t="shared" si="25"/>
        <v>#DIV/0!</v>
      </c>
      <c r="H80" s="4" t="e">
        <f t="shared" si="25"/>
        <v>#DIV/0!</v>
      </c>
      <c r="I80" s="4" t="e">
        <f t="shared" si="25"/>
        <v>#DIV/0!</v>
      </c>
      <c r="J80" s="4" t="e">
        <f t="shared" si="25"/>
        <v>#DIV/0!</v>
      </c>
      <c r="K80" s="4" t="e">
        <f t="shared" si="25"/>
        <v>#DIV/0!</v>
      </c>
      <c r="L80" s="21" t="e">
        <f>L53*(1-L70)/(L13+(L7+L8-L15)+L42-L6)</f>
        <v>#DIV/0!</v>
      </c>
      <c r="M80" s="17" t="e">
        <f t="array" ref="M80">AVERAGE(IF(B80:L80&gt;0,B80:L80))</f>
        <v>#DIV/0!</v>
      </c>
    </row>
    <row r="81" spans="1:13" ht="24" customHeight="1" x14ac:dyDescent="0.2">
      <c r="A81" s="9" t="s">
        <v>159</v>
      </c>
      <c r="B81" s="4">
        <f t="shared" ref="B81:L81" si="26">B53/(B20+B18+B16)</f>
        <v>0.31126778952865908</v>
      </c>
      <c r="C81" s="4">
        <f t="shared" si="26"/>
        <v>0.60793479563706099</v>
      </c>
      <c r="D81" s="4">
        <f t="shared" si="26"/>
        <v>0.65500920326058376</v>
      </c>
      <c r="E81" s="4" t="e">
        <f t="shared" si="26"/>
        <v>#DIV/0!</v>
      </c>
      <c r="F81" s="4" t="e">
        <f t="shared" si="26"/>
        <v>#DIV/0!</v>
      </c>
      <c r="G81" s="4" t="e">
        <f t="shared" si="26"/>
        <v>#DIV/0!</v>
      </c>
      <c r="H81" s="4" t="e">
        <f t="shared" si="26"/>
        <v>#DIV/0!</v>
      </c>
      <c r="I81" s="4" t="e">
        <f t="shared" si="26"/>
        <v>#DIV/0!</v>
      </c>
      <c r="J81" s="4" t="e">
        <f t="shared" si="26"/>
        <v>#DIV/0!</v>
      </c>
      <c r="K81" s="4" t="e">
        <f t="shared" si="26"/>
        <v>#DIV/0!</v>
      </c>
      <c r="L81" s="21" t="e">
        <f t="shared" si="26"/>
        <v>#DIV/0!</v>
      </c>
      <c r="M81" s="17" t="e">
        <f t="array" ref="M81">AVERAGE(IF(B81:L81&gt;0,B81:L81))</f>
        <v>#DIV/0!</v>
      </c>
    </row>
    <row r="82" spans="1:13" ht="36" thickBot="1" x14ac:dyDescent="0.25">
      <c r="A82" s="9" t="s">
        <v>91</v>
      </c>
      <c r="B82" s="4">
        <f t="shared" ref="B82:L82" si="27">B32/B24</f>
        <v>8.8001851974336923E-2</v>
      </c>
      <c r="C82" s="4">
        <f t="shared" si="27"/>
        <v>0.14539007092198583</v>
      </c>
      <c r="D82" s="4">
        <f t="shared" si="27"/>
        <v>0.14837490241196535</v>
      </c>
      <c r="E82" s="4" t="e">
        <f t="shared" si="27"/>
        <v>#DIV/0!</v>
      </c>
      <c r="F82" s="4" t="e">
        <f t="shared" si="27"/>
        <v>#DIV/0!</v>
      </c>
      <c r="G82" s="4" t="e">
        <f t="shared" si="27"/>
        <v>#DIV/0!</v>
      </c>
      <c r="H82" s="4" t="e">
        <f t="shared" si="27"/>
        <v>#DIV/0!</v>
      </c>
      <c r="I82" s="4" t="e">
        <f t="shared" si="27"/>
        <v>#DIV/0!</v>
      </c>
      <c r="J82" s="4" t="e">
        <f t="shared" si="27"/>
        <v>#DIV/0!</v>
      </c>
      <c r="K82" s="4" t="e">
        <f t="shared" si="27"/>
        <v>#DIV/0!</v>
      </c>
      <c r="L82" s="21" t="e">
        <f t="shared" si="27"/>
        <v>#DIV/0!</v>
      </c>
      <c r="M82" s="17" t="e">
        <f t="array" ref="M82">AVERAGE(IF(B82:L82&gt;0,B82:L82))</f>
        <v>#DIV/0!</v>
      </c>
    </row>
    <row r="83" spans="1:13" ht="14.25" thickTop="1" thickBot="1" x14ac:dyDescent="0.25">
      <c r="A83" s="10" t="s">
        <v>61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22"/>
      <c r="M83" s="17"/>
    </row>
    <row r="84" spans="1:13" ht="24.75" thickTop="1" x14ac:dyDescent="0.2">
      <c r="A84" s="9" t="s">
        <v>41</v>
      </c>
      <c r="B84" s="4">
        <f t="shared" ref="B84:L84" si="28">B20/B14</f>
        <v>0.23999379460130313</v>
      </c>
      <c r="C84" s="4">
        <f t="shared" si="28"/>
        <v>0.33899563318777293</v>
      </c>
      <c r="D84" s="4">
        <f t="shared" si="28"/>
        <v>0.32897727272727273</v>
      </c>
      <c r="E84" s="4" t="e">
        <f t="shared" si="28"/>
        <v>#DIV/0!</v>
      </c>
      <c r="F84" s="4" t="e">
        <f t="shared" si="28"/>
        <v>#DIV/0!</v>
      </c>
      <c r="G84" s="4" t="e">
        <f t="shared" si="28"/>
        <v>#DIV/0!</v>
      </c>
      <c r="H84" s="4" t="e">
        <f t="shared" si="28"/>
        <v>#DIV/0!</v>
      </c>
      <c r="I84" s="4" t="e">
        <f t="shared" si="28"/>
        <v>#DIV/0!</v>
      </c>
      <c r="J84" s="4" t="e">
        <f t="shared" si="28"/>
        <v>#DIV/0!</v>
      </c>
      <c r="K84" s="4" t="e">
        <f t="shared" si="28"/>
        <v>#DIV/0!</v>
      </c>
      <c r="L84" s="21" t="e">
        <f t="shared" si="28"/>
        <v>#DIV/0!</v>
      </c>
      <c r="M84" s="17" t="e">
        <f t="array" ref="M84">AVERAGE(IF(B84:L84&gt;0,B84:L84))</f>
        <v>#DIV/0!</v>
      </c>
    </row>
    <row r="85" spans="1:13" ht="35.25" x14ac:dyDescent="0.2">
      <c r="A85" s="9" t="s">
        <v>40</v>
      </c>
      <c r="B85" s="4">
        <f t="shared" ref="B85:L85" si="29">(B18+B16-B6)/B20</f>
        <v>0.3778926955397543</v>
      </c>
      <c r="C85" s="4">
        <f t="shared" si="29"/>
        <v>-0.61947700631199276</v>
      </c>
      <c r="D85" s="4">
        <f t="shared" si="29"/>
        <v>-0.79044329303396677</v>
      </c>
      <c r="E85" s="4" t="e">
        <f t="shared" si="29"/>
        <v>#DIV/0!</v>
      </c>
      <c r="F85" s="4" t="e">
        <f t="shared" si="29"/>
        <v>#DIV/0!</v>
      </c>
      <c r="G85" s="4" t="e">
        <f t="shared" si="29"/>
        <v>#DIV/0!</v>
      </c>
      <c r="H85" s="4" t="e">
        <f t="shared" si="29"/>
        <v>#DIV/0!</v>
      </c>
      <c r="I85" s="4" t="e">
        <f t="shared" si="29"/>
        <v>#DIV/0!</v>
      </c>
      <c r="J85" s="4" t="e">
        <f t="shared" si="29"/>
        <v>#DIV/0!</v>
      </c>
      <c r="K85" s="4" t="e">
        <f t="shared" si="29"/>
        <v>#DIV/0!</v>
      </c>
      <c r="L85" s="21" t="e">
        <f t="shared" si="29"/>
        <v>#DIV/0!</v>
      </c>
      <c r="M85" s="17" t="e">
        <f t="array" ref="M85">AVERAGE(IF(B85:L85&gt;0,B85:L85))</f>
        <v>#DIV/0!</v>
      </c>
    </row>
    <row r="86" spans="1:13" ht="36" customHeight="1" x14ac:dyDescent="0.2">
      <c r="A86" s="9" t="s">
        <v>161</v>
      </c>
      <c r="B86" s="4">
        <f>(B60-B6-B12)/B20</f>
        <v>1.6449903038138334</v>
      </c>
      <c r="C86" s="4">
        <f t="shared" ref="C86:L86" si="30">(C60-C6-C12)/C20</f>
        <v>0.22851990209970371</v>
      </c>
      <c r="D86" s="4">
        <f t="shared" si="30"/>
        <v>4.5768566493955061E-2</v>
      </c>
      <c r="E86" s="4" t="e">
        <f t="shared" si="30"/>
        <v>#DIV/0!</v>
      </c>
      <c r="F86" s="4" t="e">
        <f t="shared" si="30"/>
        <v>#DIV/0!</v>
      </c>
      <c r="G86" s="4" t="e">
        <f t="shared" si="30"/>
        <v>#DIV/0!</v>
      </c>
      <c r="H86" s="4" t="e">
        <f t="shared" si="30"/>
        <v>#DIV/0!</v>
      </c>
      <c r="I86" s="4" t="e">
        <f t="shared" si="30"/>
        <v>#DIV/0!</v>
      </c>
      <c r="J86" s="4" t="e">
        <f t="shared" si="30"/>
        <v>#DIV/0!</v>
      </c>
      <c r="K86" s="4" t="e">
        <f t="shared" si="30"/>
        <v>#DIV/0!</v>
      </c>
      <c r="L86" s="21" t="e">
        <f t="shared" si="30"/>
        <v>#DIV/0!</v>
      </c>
      <c r="M86" s="17" t="e">
        <f t="array" ref="M86">AVERAGE(IF(B86:L86&gt;0,B86:L86))</f>
        <v>#DIV/0!</v>
      </c>
    </row>
    <row r="87" spans="1:13" ht="35.25" x14ac:dyDescent="0.2">
      <c r="A87" s="9" t="s">
        <v>39</v>
      </c>
      <c r="B87" s="6">
        <f t="shared" ref="B87:L87" si="31">(B18+B16-B6)/B56</f>
        <v>1.7255017709563159</v>
      </c>
      <c r="C87" s="6">
        <f t="shared" si="31"/>
        <v>-1.718113612004287</v>
      </c>
      <c r="D87" s="6">
        <f t="shared" si="31"/>
        <v>-1.8673920435226115</v>
      </c>
      <c r="E87" s="6" t="e">
        <f t="shared" si="31"/>
        <v>#DIV/0!</v>
      </c>
      <c r="F87" s="6" t="e">
        <f t="shared" si="31"/>
        <v>#DIV/0!</v>
      </c>
      <c r="G87" s="6" t="e">
        <f t="shared" si="31"/>
        <v>#DIV/0!</v>
      </c>
      <c r="H87" s="6" t="e">
        <f t="shared" si="31"/>
        <v>#DIV/0!</v>
      </c>
      <c r="I87" s="6" t="e">
        <f t="shared" si="31"/>
        <v>#DIV/0!</v>
      </c>
      <c r="J87" s="6" t="e">
        <f t="shared" si="31"/>
        <v>#DIV/0!</v>
      </c>
      <c r="K87" s="6" t="e">
        <f t="shared" si="31"/>
        <v>#DIV/0!</v>
      </c>
      <c r="L87" s="23" t="e">
        <f t="shared" si="31"/>
        <v>#DIV/0!</v>
      </c>
      <c r="M87" s="29" t="e">
        <f t="array" ref="M87">AVERAGE(IF(B87:L87&gt;0,B87:L87))</f>
        <v>#DIV/0!</v>
      </c>
    </row>
    <row r="88" spans="1:13" ht="35.25" x14ac:dyDescent="0.2">
      <c r="A88" s="9" t="s">
        <v>38</v>
      </c>
      <c r="B88" s="6">
        <f t="shared" ref="B88:L88" si="32">(B18+B16)/B54</f>
        <v>1.3031448702526207</v>
      </c>
      <c r="C88" s="6">
        <f t="shared" si="32"/>
        <v>9.7152428810720268E-2</v>
      </c>
      <c r="D88" s="6">
        <f t="shared" si="32"/>
        <v>0.11203814064362337</v>
      </c>
      <c r="E88" s="6" t="e">
        <f t="shared" si="32"/>
        <v>#DIV/0!</v>
      </c>
      <c r="F88" s="6" t="e">
        <f t="shared" si="32"/>
        <v>#DIV/0!</v>
      </c>
      <c r="G88" s="6" t="e">
        <f t="shared" si="32"/>
        <v>#DIV/0!</v>
      </c>
      <c r="H88" s="6" t="e">
        <f t="shared" si="32"/>
        <v>#DIV/0!</v>
      </c>
      <c r="I88" s="6" t="e">
        <f t="shared" si="32"/>
        <v>#DIV/0!</v>
      </c>
      <c r="J88" s="6" t="e">
        <f t="shared" si="32"/>
        <v>#DIV/0!</v>
      </c>
      <c r="K88" s="6" t="e">
        <f t="shared" si="32"/>
        <v>#DIV/0!</v>
      </c>
      <c r="L88" s="23" t="e">
        <f t="shared" si="32"/>
        <v>#DIV/0!</v>
      </c>
      <c r="M88" s="29" t="e">
        <f t="array" ref="M88">AVERAGE(IF(B88:L88&gt;0,B88:L88))</f>
        <v>#DIV/0!</v>
      </c>
    </row>
    <row r="89" spans="1:13" ht="35.25" x14ac:dyDescent="0.2">
      <c r="A89" s="9" t="s">
        <v>37</v>
      </c>
      <c r="B89" s="4">
        <f t="shared" ref="B89:L89" si="33">B34/B32</f>
        <v>0.36339721909056744</v>
      </c>
      <c r="C89" s="4">
        <f t="shared" si="33"/>
        <v>0.20618264322178104</v>
      </c>
      <c r="D89" s="4">
        <f t="shared" si="33"/>
        <v>0.1855441705898643</v>
      </c>
      <c r="E89" s="4" t="e">
        <f t="shared" si="33"/>
        <v>#DIV/0!</v>
      </c>
      <c r="F89" s="4" t="e">
        <f t="shared" si="33"/>
        <v>#DIV/0!</v>
      </c>
      <c r="G89" s="4" t="e">
        <f t="shared" si="33"/>
        <v>#DIV/0!</v>
      </c>
      <c r="H89" s="4" t="e">
        <f t="shared" si="33"/>
        <v>#DIV/0!</v>
      </c>
      <c r="I89" s="4" t="e">
        <f t="shared" si="33"/>
        <v>#DIV/0!</v>
      </c>
      <c r="J89" s="4" t="e">
        <f t="shared" si="33"/>
        <v>#DIV/0!</v>
      </c>
      <c r="K89" s="4" t="e">
        <f t="shared" si="33"/>
        <v>#DIV/0!</v>
      </c>
      <c r="L89" s="21" t="e">
        <f t="shared" si="33"/>
        <v>#DIV/0!</v>
      </c>
      <c r="M89" s="17" t="e">
        <f t="array" ref="M89">AVERAGE(IF(B89:L89&gt;0,B89:L89))</f>
        <v>#DIV/0!</v>
      </c>
    </row>
    <row r="90" spans="1:13" ht="35.25" x14ac:dyDescent="0.2">
      <c r="A90" s="9" t="s">
        <v>36</v>
      </c>
      <c r="B90" s="4">
        <f t="shared" ref="B90:L90" si="34">B34/B33</f>
        <v>0.92007611798287348</v>
      </c>
      <c r="C90" s="4">
        <f t="shared" si="34"/>
        <v>0.80957683741648112</v>
      </c>
      <c r="D90" s="4">
        <f t="shared" si="34"/>
        <v>0.75196408529741865</v>
      </c>
      <c r="E90" s="4" t="e">
        <f t="shared" si="34"/>
        <v>#DIV/0!</v>
      </c>
      <c r="F90" s="4" t="e">
        <f t="shared" si="34"/>
        <v>#DIV/0!</v>
      </c>
      <c r="G90" s="4" t="e">
        <f t="shared" si="34"/>
        <v>#DIV/0!</v>
      </c>
      <c r="H90" s="4" t="e">
        <f t="shared" si="34"/>
        <v>#DIV/0!</v>
      </c>
      <c r="I90" s="4" t="e">
        <f t="shared" si="34"/>
        <v>#DIV/0!</v>
      </c>
      <c r="J90" s="4" t="e">
        <f t="shared" si="34"/>
        <v>#DIV/0!</v>
      </c>
      <c r="K90" s="4" t="e">
        <f t="shared" si="34"/>
        <v>#DIV/0!</v>
      </c>
      <c r="L90" s="21" t="e">
        <f t="shared" si="34"/>
        <v>#DIV/0!</v>
      </c>
      <c r="M90" s="17" t="e">
        <f t="array" ref="M90">AVERAGE(IF(B90:L90&gt;0,B90:L90))</f>
        <v>#DIV/0!</v>
      </c>
    </row>
    <row r="91" spans="1:13" ht="35.25" x14ac:dyDescent="0.2">
      <c r="A91" s="9" t="s">
        <v>35</v>
      </c>
      <c r="B91" s="6">
        <f t="shared" ref="B91:L91" si="35">B20/-B29</f>
        <v>-2.3954784763084547</v>
      </c>
      <c r="C91" s="6">
        <f t="shared" si="35"/>
        <v>-2.2423454650491044</v>
      </c>
      <c r="D91" s="6">
        <f t="shared" si="35"/>
        <v>-2.2463627546071772</v>
      </c>
      <c r="E91" s="6" t="e">
        <f t="shared" si="35"/>
        <v>#DIV/0!</v>
      </c>
      <c r="F91" s="6" t="e">
        <f t="shared" si="35"/>
        <v>#DIV/0!</v>
      </c>
      <c r="G91" s="6" t="e">
        <f t="shared" si="35"/>
        <v>#DIV/0!</v>
      </c>
      <c r="H91" s="6" t="e">
        <f t="shared" si="35"/>
        <v>#DIV/0!</v>
      </c>
      <c r="I91" s="6" t="e">
        <f t="shared" si="35"/>
        <v>#DIV/0!</v>
      </c>
      <c r="J91" s="6" t="e">
        <f t="shared" si="35"/>
        <v>#DIV/0!</v>
      </c>
      <c r="K91" s="6" t="e">
        <f t="shared" si="35"/>
        <v>#DIV/0!</v>
      </c>
      <c r="L91" s="23" t="e">
        <f t="shared" si="35"/>
        <v>#DIV/0!</v>
      </c>
      <c r="M91" s="29" t="e">
        <f t="array" ref="M91">AVERAGE(IF(B91:L91&gt;0,B91:L91))</f>
        <v>#DIV/0!</v>
      </c>
    </row>
    <row r="92" spans="1:13" ht="35.25" x14ac:dyDescent="0.2">
      <c r="A92" s="9" t="s">
        <v>34</v>
      </c>
      <c r="B92" s="4">
        <f t="shared" ref="B92:L92" si="36">B9/B14</f>
        <v>0.38060812907229291</v>
      </c>
      <c r="C92" s="4">
        <f t="shared" si="36"/>
        <v>0.4687772925764192</v>
      </c>
      <c r="D92" s="4">
        <f t="shared" si="36"/>
        <v>0.4933712121212121</v>
      </c>
      <c r="E92" s="4" t="e">
        <f t="shared" si="36"/>
        <v>#DIV/0!</v>
      </c>
      <c r="F92" s="4" t="e">
        <f t="shared" si="36"/>
        <v>#DIV/0!</v>
      </c>
      <c r="G92" s="4" t="e">
        <f t="shared" si="36"/>
        <v>#DIV/0!</v>
      </c>
      <c r="H92" s="4" t="e">
        <f t="shared" si="36"/>
        <v>#DIV/0!</v>
      </c>
      <c r="I92" s="4" t="e">
        <f t="shared" si="36"/>
        <v>#DIV/0!</v>
      </c>
      <c r="J92" s="4" t="e">
        <f t="shared" si="36"/>
        <v>#DIV/0!</v>
      </c>
      <c r="K92" s="4" t="e">
        <f t="shared" si="36"/>
        <v>#DIV/0!</v>
      </c>
      <c r="L92" s="21" t="e">
        <f t="shared" si="36"/>
        <v>#DIV/0!</v>
      </c>
      <c r="M92" s="17" t="e">
        <f t="array" ref="M92">AVERAGE(IF(B92:L92&gt;0,B92:L92))</f>
        <v>#DIV/0!</v>
      </c>
    </row>
    <row r="93" spans="1:13" ht="35.25" x14ac:dyDescent="0.2">
      <c r="A93" s="9" t="s">
        <v>33</v>
      </c>
      <c r="B93" s="4">
        <f t="shared" ref="B93:L93" si="37">B13/B14</f>
        <v>0.61929878994725407</v>
      </c>
      <c r="C93" s="4">
        <f t="shared" si="37"/>
        <v>0.53100436681222707</v>
      </c>
      <c r="D93" s="4">
        <f t="shared" si="37"/>
        <v>0.51893939393939392</v>
      </c>
      <c r="E93" s="4" t="e">
        <f t="shared" si="37"/>
        <v>#DIV/0!</v>
      </c>
      <c r="F93" s="4" t="e">
        <f t="shared" si="37"/>
        <v>#DIV/0!</v>
      </c>
      <c r="G93" s="4" t="e">
        <f t="shared" si="37"/>
        <v>#DIV/0!</v>
      </c>
      <c r="H93" s="4" t="e">
        <f t="shared" si="37"/>
        <v>#DIV/0!</v>
      </c>
      <c r="I93" s="4" t="e">
        <f t="shared" si="37"/>
        <v>#DIV/0!</v>
      </c>
      <c r="J93" s="4" t="e">
        <f t="shared" si="37"/>
        <v>#DIV/0!</v>
      </c>
      <c r="K93" s="4" t="e">
        <f t="shared" si="37"/>
        <v>#DIV/0!</v>
      </c>
      <c r="L93" s="21" t="e">
        <f t="shared" si="37"/>
        <v>#DIV/0!</v>
      </c>
      <c r="M93" s="17" t="e">
        <f t="array" ref="M93">AVERAGE(IF(B93:L93&gt;0,B93:L93))</f>
        <v>#DIV/0!</v>
      </c>
    </row>
    <row r="94" spans="1:13" ht="24" x14ac:dyDescent="0.2">
      <c r="A94" s="9" t="s">
        <v>32</v>
      </c>
      <c r="B94" s="4">
        <f t="shared" ref="B94:L94" si="38">B20/B13</f>
        <v>0.38752505010020039</v>
      </c>
      <c r="C94" s="4">
        <f t="shared" si="38"/>
        <v>0.6384046052631579</v>
      </c>
      <c r="D94" s="4">
        <f t="shared" si="38"/>
        <v>0.63394160583941606</v>
      </c>
      <c r="E94" s="4" t="e">
        <f t="shared" si="38"/>
        <v>#DIV/0!</v>
      </c>
      <c r="F94" s="4" t="e">
        <f t="shared" si="38"/>
        <v>#DIV/0!</v>
      </c>
      <c r="G94" s="4" t="e">
        <f t="shared" si="38"/>
        <v>#DIV/0!</v>
      </c>
      <c r="H94" s="4" t="e">
        <f t="shared" si="38"/>
        <v>#DIV/0!</v>
      </c>
      <c r="I94" s="4" t="e">
        <f t="shared" si="38"/>
        <v>#DIV/0!</v>
      </c>
      <c r="J94" s="4" t="e">
        <f t="shared" si="38"/>
        <v>#DIV/0!</v>
      </c>
      <c r="K94" s="4" t="e">
        <f t="shared" si="38"/>
        <v>#DIV/0!</v>
      </c>
      <c r="L94" s="21" t="e">
        <f t="shared" si="38"/>
        <v>#DIV/0!</v>
      </c>
      <c r="M94" s="17" t="e">
        <f t="array" ref="M94">AVERAGE(IF(B94:L94&gt;0,B94:L94))</f>
        <v>#DIV/0!</v>
      </c>
    </row>
    <row r="95" spans="1:13" ht="35.25" x14ac:dyDescent="0.2">
      <c r="A95" s="9" t="s">
        <v>31</v>
      </c>
      <c r="B95" s="4">
        <f t="shared" ref="B95:L95" si="39">(B20+B19)/B13</f>
        <v>0.62149298597194391</v>
      </c>
      <c r="C95" s="4">
        <f t="shared" si="39"/>
        <v>1.0309210526315788</v>
      </c>
      <c r="D95" s="4">
        <f t="shared" si="39"/>
        <v>1.0853102189781021</v>
      </c>
      <c r="E95" s="4" t="e">
        <f t="shared" si="39"/>
        <v>#DIV/0!</v>
      </c>
      <c r="F95" s="4" t="e">
        <f t="shared" si="39"/>
        <v>#DIV/0!</v>
      </c>
      <c r="G95" s="4" t="e">
        <f t="shared" si="39"/>
        <v>#DIV/0!</v>
      </c>
      <c r="H95" s="4" t="e">
        <f t="shared" si="39"/>
        <v>#DIV/0!</v>
      </c>
      <c r="I95" s="4" t="e">
        <f t="shared" si="39"/>
        <v>#DIV/0!</v>
      </c>
      <c r="J95" s="4" t="e">
        <f t="shared" si="39"/>
        <v>#DIV/0!</v>
      </c>
      <c r="K95" s="4" t="e">
        <f t="shared" si="39"/>
        <v>#DIV/0!</v>
      </c>
      <c r="L95" s="21" t="e">
        <f t="shared" si="39"/>
        <v>#DIV/0!</v>
      </c>
      <c r="M95" s="17" t="e">
        <f t="array" ref="M95">AVERAGE(IF(B95:L95&gt;0,B95:L95))</f>
        <v>#DIV/0!</v>
      </c>
    </row>
    <row r="96" spans="1:13" ht="26.25" customHeight="1" x14ac:dyDescent="0.2">
      <c r="A96" s="9" t="s">
        <v>94</v>
      </c>
      <c r="B96" s="6">
        <f t="shared" ref="B96:L96" si="40">B53/B36</f>
        <v>34.802919708029194</v>
      </c>
      <c r="C96" s="6">
        <f t="shared" si="40"/>
        <v>52.288659793814439</v>
      </c>
      <c r="D96" s="6">
        <f t="shared" si="40"/>
        <v>50.836734693877546</v>
      </c>
      <c r="E96" s="6" t="e">
        <f t="shared" si="40"/>
        <v>#DIV/0!</v>
      </c>
      <c r="F96" s="6" t="e">
        <f t="shared" si="40"/>
        <v>#DIV/0!</v>
      </c>
      <c r="G96" s="6" t="e">
        <f t="shared" si="40"/>
        <v>#DIV/0!</v>
      </c>
      <c r="H96" s="6" t="e">
        <f t="shared" si="40"/>
        <v>#DIV/0!</v>
      </c>
      <c r="I96" s="6" t="e">
        <f t="shared" si="40"/>
        <v>#DIV/0!</v>
      </c>
      <c r="J96" s="6" t="e">
        <f t="shared" si="40"/>
        <v>#DIV/0!</v>
      </c>
      <c r="K96" s="6" t="e">
        <f t="shared" si="40"/>
        <v>#DIV/0!</v>
      </c>
      <c r="L96" s="23" t="e">
        <f t="shared" si="40"/>
        <v>#DIV/0!</v>
      </c>
      <c r="M96" s="29" t="e">
        <f t="array" ref="M96">AVERAGE(IF(B96:L96&gt;0,B96:L96))</f>
        <v>#DIV/0!</v>
      </c>
    </row>
    <row r="97" spans="1:21" ht="36.75" customHeight="1" x14ac:dyDescent="0.2">
      <c r="A97" s="37" t="s">
        <v>95</v>
      </c>
      <c r="B97" s="6">
        <f t="shared" ref="B97:L97" si="41">B32/B36</f>
        <v>19.423357664233578</v>
      </c>
      <c r="C97" s="6">
        <f t="shared" si="41"/>
        <v>36.350515463917532</v>
      </c>
      <c r="D97" s="6">
        <f t="shared" si="41"/>
        <v>36.846938775510203</v>
      </c>
      <c r="E97" s="6" t="e">
        <f t="shared" si="41"/>
        <v>#DIV/0!</v>
      </c>
      <c r="F97" s="6" t="e">
        <f t="shared" si="41"/>
        <v>#DIV/0!</v>
      </c>
      <c r="G97" s="6" t="e">
        <f t="shared" si="41"/>
        <v>#DIV/0!</v>
      </c>
      <c r="H97" s="6" t="e">
        <f t="shared" si="41"/>
        <v>#DIV/0!</v>
      </c>
      <c r="I97" s="6" t="e">
        <f t="shared" si="41"/>
        <v>#DIV/0!</v>
      </c>
      <c r="J97" s="6" t="e">
        <f t="shared" si="41"/>
        <v>#DIV/0!</v>
      </c>
      <c r="K97" s="6" t="e">
        <f t="shared" si="41"/>
        <v>#DIV/0!</v>
      </c>
      <c r="L97" s="23" t="e">
        <f t="shared" si="41"/>
        <v>#DIV/0!</v>
      </c>
      <c r="M97" s="29" t="e">
        <f t="array" ref="M97">AVERAGE(IF(B97:L97&gt;0,B97:L97))</f>
        <v>#DIV/0!</v>
      </c>
    </row>
    <row r="98" spans="1:21" ht="25.5" customHeight="1" x14ac:dyDescent="0.2">
      <c r="A98" s="37" t="s">
        <v>114</v>
      </c>
      <c r="B98" s="4">
        <f>B46/B29</f>
        <v>1.3708888200681325E-2</v>
      </c>
      <c r="C98" s="4">
        <f t="shared" ref="C98:L98" si="42">C46/C29</f>
        <v>1.0314846909300983E-2</v>
      </c>
      <c r="D98" s="4">
        <f t="shared" si="42"/>
        <v>0</v>
      </c>
      <c r="E98" s="4" t="e">
        <f t="shared" si="42"/>
        <v>#DIV/0!</v>
      </c>
      <c r="F98" s="4" t="e">
        <f t="shared" si="42"/>
        <v>#DIV/0!</v>
      </c>
      <c r="G98" s="4" t="e">
        <f t="shared" si="42"/>
        <v>#DIV/0!</v>
      </c>
      <c r="H98" s="4" t="e">
        <f t="shared" si="42"/>
        <v>#DIV/0!</v>
      </c>
      <c r="I98" s="4" t="e">
        <f t="shared" si="42"/>
        <v>#DIV/0!</v>
      </c>
      <c r="J98" s="4" t="e">
        <f t="shared" si="42"/>
        <v>#DIV/0!</v>
      </c>
      <c r="K98" s="4" t="e">
        <f t="shared" si="42"/>
        <v>#DIV/0!</v>
      </c>
      <c r="L98" s="21" t="e">
        <f t="shared" si="42"/>
        <v>#DIV/0!</v>
      </c>
      <c r="M98" s="17" t="e">
        <f t="array" ref="M98">AVERAGE(IF(B98:L98&gt;0,B98:L98))</f>
        <v>#DIV/0!</v>
      </c>
    </row>
    <row r="99" spans="1:21" ht="26.25" customHeight="1" x14ac:dyDescent="0.2">
      <c r="A99" s="37" t="s">
        <v>115</v>
      </c>
      <c r="B99" s="4">
        <f>B44/B7</f>
        <v>4.5871559633027525E-3</v>
      </c>
      <c r="C99" s="4">
        <f t="shared" ref="C99:L99" si="43">C44/C7</f>
        <v>3.3208800332088003E-3</v>
      </c>
      <c r="D99" s="4">
        <f t="shared" si="43"/>
        <v>2.4319066147859925E-4</v>
      </c>
      <c r="E99" s="4" t="e">
        <f t="shared" si="43"/>
        <v>#DIV/0!</v>
      </c>
      <c r="F99" s="4" t="e">
        <f t="shared" si="43"/>
        <v>#DIV/0!</v>
      </c>
      <c r="G99" s="4" t="e">
        <f t="shared" si="43"/>
        <v>#DIV/0!</v>
      </c>
      <c r="H99" s="4" t="e">
        <f t="shared" si="43"/>
        <v>#DIV/0!</v>
      </c>
      <c r="I99" s="4" t="e">
        <f t="shared" si="43"/>
        <v>#DIV/0!</v>
      </c>
      <c r="J99" s="4" t="e">
        <f t="shared" si="43"/>
        <v>#DIV/0!</v>
      </c>
      <c r="K99" s="4" t="e">
        <f t="shared" si="43"/>
        <v>#DIV/0!</v>
      </c>
      <c r="L99" s="21" t="e">
        <f t="shared" si="43"/>
        <v>#DIV/0!</v>
      </c>
      <c r="M99" s="17" t="e">
        <f t="array" ref="M99">AVERAGE(IF(B99:L99&gt;0,B99:L99))</f>
        <v>#DIV/0!</v>
      </c>
    </row>
    <row r="100" spans="1:21" ht="25.5" customHeight="1" x14ac:dyDescent="0.2">
      <c r="A100" s="37" t="s">
        <v>93</v>
      </c>
      <c r="B100" s="4">
        <f t="shared" ref="B100:L100" si="44">B11/B20</f>
        <v>0.51014867485455728</v>
      </c>
      <c r="C100" s="4">
        <f t="shared" si="44"/>
        <v>0.34638670617029504</v>
      </c>
      <c r="D100" s="4">
        <f t="shared" si="44"/>
        <v>0.32225100748416818</v>
      </c>
      <c r="E100" s="4" t="e">
        <f t="shared" si="44"/>
        <v>#DIV/0!</v>
      </c>
      <c r="F100" s="4" t="e">
        <f t="shared" si="44"/>
        <v>#DIV/0!</v>
      </c>
      <c r="G100" s="4" t="e">
        <f t="shared" si="44"/>
        <v>#DIV/0!</v>
      </c>
      <c r="H100" s="4" t="e">
        <f t="shared" si="44"/>
        <v>#DIV/0!</v>
      </c>
      <c r="I100" s="4" t="e">
        <f t="shared" si="44"/>
        <v>#DIV/0!</v>
      </c>
      <c r="J100" s="4" t="e">
        <f t="shared" si="44"/>
        <v>#DIV/0!</v>
      </c>
      <c r="K100" s="4" t="e">
        <f t="shared" si="44"/>
        <v>#DIV/0!</v>
      </c>
      <c r="L100" s="21" t="e">
        <f t="shared" si="44"/>
        <v>#DIV/0!</v>
      </c>
      <c r="M100" s="17" t="e">
        <f t="array" ref="M100">AVERAGE(IF(B100:L100&gt;0,B100:L100))</f>
        <v>#DIV/0!</v>
      </c>
    </row>
    <row r="101" spans="1:21" ht="25.5" customHeight="1" x14ac:dyDescent="0.2">
      <c r="A101" s="37" t="s">
        <v>116</v>
      </c>
      <c r="B101" s="4">
        <f>B21/B20</f>
        <v>5.5591467356173241E-3</v>
      </c>
      <c r="C101" s="4">
        <f t="shared" ref="C101:L101" si="45">C21/C20</f>
        <v>3.99330155867577E-3</v>
      </c>
      <c r="D101" s="4">
        <f t="shared" si="45"/>
        <v>0</v>
      </c>
      <c r="E101" s="4" t="e">
        <f t="shared" si="45"/>
        <v>#DIV/0!</v>
      </c>
      <c r="F101" s="4" t="e">
        <f t="shared" si="45"/>
        <v>#DIV/0!</v>
      </c>
      <c r="G101" s="4" t="e">
        <f t="shared" si="45"/>
        <v>#DIV/0!</v>
      </c>
      <c r="H101" s="4" t="e">
        <f t="shared" si="45"/>
        <v>#DIV/0!</v>
      </c>
      <c r="I101" s="4" t="e">
        <f t="shared" si="45"/>
        <v>#DIV/0!</v>
      </c>
      <c r="J101" s="4" t="e">
        <f t="shared" si="45"/>
        <v>#DIV/0!</v>
      </c>
      <c r="K101" s="4" t="e">
        <f t="shared" si="45"/>
        <v>#DIV/0!</v>
      </c>
      <c r="L101" s="21" t="e">
        <f t="shared" si="45"/>
        <v>#DIV/0!</v>
      </c>
      <c r="M101" s="17" t="e">
        <f t="array" ref="M101">AVERAGE(IF(B101:L101&gt;0,B101:L101))</f>
        <v>#DIV/0!</v>
      </c>
    </row>
    <row r="102" spans="1:21" ht="36" thickBot="1" x14ac:dyDescent="0.25">
      <c r="A102" s="9" t="s">
        <v>30</v>
      </c>
      <c r="B102" s="4">
        <f t="shared" ref="B102:L102" si="46">B10/B20</f>
        <v>1.0270200387847446</v>
      </c>
      <c r="C102" s="4">
        <f t="shared" si="46"/>
        <v>0.25660182918974622</v>
      </c>
      <c r="D102" s="4">
        <f t="shared" si="46"/>
        <v>0.10175590097869892</v>
      </c>
      <c r="E102" s="4" t="e">
        <f t="shared" si="46"/>
        <v>#DIV/0!</v>
      </c>
      <c r="F102" s="4" t="e">
        <f t="shared" si="46"/>
        <v>#DIV/0!</v>
      </c>
      <c r="G102" s="4" t="e">
        <f t="shared" si="46"/>
        <v>#DIV/0!</v>
      </c>
      <c r="H102" s="4" t="e">
        <f t="shared" si="46"/>
        <v>#DIV/0!</v>
      </c>
      <c r="I102" s="4" t="e">
        <f t="shared" si="46"/>
        <v>#DIV/0!</v>
      </c>
      <c r="J102" s="4" t="e">
        <f t="shared" si="46"/>
        <v>#DIV/0!</v>
      </c>
      <c r="K102" s="4" t="e">
        <f t="shared" si="46"/>
        <v>#DIV/0!</v>
      </c>
      <c r="L102" s="21" t="e">
        <f t="shared" si="46"/>
        <v>#DIV/0!</v>
      </c>
      <c r="M102" s="17" t="e">
        <f t="array" ref="M102">AVERAGE(IF(B102:L102&gt;0,B102:L102))</f>
        <v>#DIV/0!</v>
      </c>
    </row>
    <row r="103" spans="1:21" ht="14.25" thickTop="1" thickBot="1" x14ac:dyDescent="0.25">
      <c r="A103" s="10" t="s">
        <v>63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22"/>
      <c r="M103" s="17"/>
    </row>
    <row r="104" spans="1:21" ht="36" thickTop="1" x14ac:dyDescent="0.2">
      <c r="A104" s="9" t="s">
        <v>175</v>
      </c>
      <c r="B104" s="6">
        <f t="shared" ref="B104:L104" si="47">B7/B24*360</f>
        <v>85.648521727627482</v>
      </c>
      <c r="C104" s="6">
        <f t="shared" si="47"/>
        <v>71.519049975259776</v>
      </c>
      <c r="D104" s="6">
        <f t="shared" si="47"/>
        <v>60.825902946131407</v>
      </c>
      <c r="E104" s="6" t="e">
        <f t="shared" si="47"/>
        <v>#DIV/0!</v>
      </c>
      <c r="F104" s="6" t="e">
        <f t="shared" si="47"/>
        <v>#DIV/0!</v>
      </c>
      <c r="G104" s="6" t="e">
        <f t="shared" si="47"/>
        <v>#DIV/0!</v>
      </c>
      <c r="H104" s="6" t="e">
        <f t="shared" si="47"/>
        <v>#DIV/0!</v>
      </c>
      <c r="I104" s="6" t="e">
        <f t="shared" si="47"/>
        <v>#DIV/0!</v>
      </c>
      <c r="J104" s="6" t="e">
        <f t="shared" si="47"/>
        <v>#DIV/0!</v>
      </c>
      <c r="K104" s="6" t="e">
        <f t="shared" si="47"/>
        <v>#DIV/0!</v>
      </c>
      <c r="L104" s="23" t="e">
        <f t="shared" si="47"/>
        <v>#DIV/0!</v>
      </c>
      <c r="M104" s="29" t="e">
        <f t="array" ref="M104">AVERAGE(IF(B104:L104&gt;0,B104:L104))</f>
        <v>#DIV/0!</v>
      </c>
    </row>
    <row r="105" spans="1:21" ht="35.25" x14ac:dyDescent="0.2">
      <c r="A105" s="9" t="s">
        <v>176</v>
      </c>
      <c r="B105" s="6">
        <f t="shared" ref="B105:L105" si="48">B15/B25*360</f>
        <v>180.77909229564284</v>
      </c>
      <c r="C105" s="6">
        <f t="shared" si="48"/>
        <v>188.92950391644908</v>
      </c>
      <c r="D105" s="6">
        <f t="shared" si="48"/>
        <v>160.65371306893798</v>
      </c>
      <c r="E105" s="6" t="e">
        <f t="shared" si="48"/>
        <v>#DIV/0!</v>
      </c>
      <c r="F105" s="6" t="e">
        <f t="shared" si="48"/>
        <v>#DIV/0!</v>
      </c>
      <c r="G105" s="6" t="e">
        <f t="shared" si="48"/>
        <v>#DIV/0!</v>
      </c>
      <c r="H105" s="6" t="e">
        <f t="shared" si="48"/>
        <v>#DIV/0!</v>
      </c>
      <c r="I105" s="6" t="e">
        <f t="shared" si="48"/>
        <v>#DIV/0!</v>
      </c>
      <c r="J105" s="6" t="e">
        <f t="shared" si="48"/>
        <v>#DIV/0!</v>
      </c>
      <c r="K105" s="6" t="e">
        <f t="shared" si="48"/>
        <v>#DIV/0!</v>
      </c>
      <c r="L105" s="23" t="e">
        <f t="shared" si="48"/>
        <v>#DIV/0!</v>
      </c>
      <c r="M105" s="29" t="e">
        <f t="array" ref="M105">AVERAGE(IF(B105:L105&gt;0,B105:L105))</f>
        <v>#DIV/0!</v>
      </c>
    </row>
    <row r="106" spans="1:21" ht="35.25" x14ac:dyDescent="0.2">
      <c r="A106" s="9" t="s">
        <v>29</v>
      </c>
      <c r="B106" s="4">
        <f>(B6+B12)/B17</f>
        <v>0.23583522870861764</v>
      </c>
      <c r="C106" s="4">
        <f t="shared" ref="C106:L106" si="49">(C6+C12)/C17</f>
        <v>0.5344427244582044</v>
      </c>
      <c r="D106" s="4">
        <f t="shared" si="49"/>
        <v>0.67002710027100276</v>
      </c>
      <c r="E106" s="4" t="e">
        <f t="shared" si="49"/>
        <v>#DIV/0!</v>
      </c>
      <c r="F106" s="4" t="e">
        <f t="shared" si="49"/>
        <v>#DIV/0!</v>
      </c>
      <c r="G106" s="4" t="e">
        <f t="shared" si="49"/>
        <v>#DIV/0!</v>
      </c>
      <c r="H106" s="4" t="e">
        <f t="shared" si="49"/>
        <v>#DIV/0!</v>
      </c>
      <c r="I106" s="4" t="e">
        <f t="shared" si="49"/>
        <v>#DIV/0!</v>
      </c>
      <c r="J106" s="4" t="e">
        <f t="shared" si="49"/>
        <v>#DIV/0!</v>
      </c>
      <c r="K106" s="4" t="e">
        <f t="shared" si="49"/>
        <v>#DIV/0!</v>
      </c>
      <c r="L106" s="21" t="e">
        <f t="shared" si="49"/>
        <v>#DIV/0!</v>
      </c>
      <c r="M106" s="17" t="e">
        <f t="array" ref="M106">AVERAGE(IF(B106:L106&gt;0,B106:L106))</f>
        <v>#DIV/0!</v>
      </c>
    </row>
    <row r="107" spans="1:21" ht="35.25" x14ac:dyDescent="0.2">
      <c r="A107" s="9" t="s">
        <v>28</v>
      </c>
      <c r="B107" s="4">
        <f>(B6+B12+B7)/B17</f>
        <v>0.59944402324993684</v>
      </c>
      <c r="C107" s="4">
        <f>(C6+C12+C7)/C17</f>
        <v>1.0005804953560373</v>
      </c>
      <c r="D107" s="4">
        <f>(D6+D12+D7)/D17</f>
        <v>1.1157723577235772</v>
      </c>
      <c r="E107" s="4" t="e">
        <f>(E6+E12+E7)/E17</f>
        <v>#DIV/0!</v>
      </c>
      <c r="F107" s="4" t="e">
        <f>(F6+F12+F7)/F17</f>
        <v>#DIV/0!</v>
      </c>
      <c r="G107" s="4" t="e">
        <f t="shared" ref="G107:L107" si="50">(G6+G12+G7)/G17</f>
        <v>#DIV/0!</v>
      </c>
      <c r="H107" s="4" t="e">
        <f t="shared" si="50"/>
        <v>#DIV/0!</v>
      </c>
      <c r="I107" s="4" t="e">
        <f t="shared" si="50"/>
        <v>#DIV/0!</v>
      </c>
      <c r="J107" s="4" t="e">
        <f t="shared" si="50"/>
        <v>#DIV/0!</v>
      </c>
      <c r="K107" s="4" t="e">
        <f t="shared" si="50"/>
        <v>#DIV/0!</v>
      </c>
      <c r="L107" s="21" t="e">
        <f t="shared" si="50"/>
        <v>#DIV/0!</v>
      </c>
      <c r="M107" s="17" t="e">
        <f t="array" ref="M107">AVERAGE(IF(B107:L107&gt;0,B107:L107))</f>
        <v>#DIV/0!</v>
      </c>
    </row>
    <row r="108" spans="1:21" ht="35.25" x14ac:dyDescent="0.2">
      <c r="A108" s="9" t="s">
        <v>27</v>
      </c>
      <c r="B108" s="4">
        <f t="shared" ref="B108:L108" si="51">B9/B17</f>
        <v>0.62001516300227444</v>
      </c>
      <c r="C108" s="4">
        <f t="shared" si="51"/>
        <v>1.0386029411764708</v>
      </c>
      <c r="D108" s="4">
        <f t="shared" si="51"/>
        <v>1.1295392953929539</v>
      </c>
      <c r="E108" s="4" t="e">
        <f t="shared" si="51"/>
        <v>#DIV/0!</v>
      </c>
      <c r="F108" s="4" t="e">
        <f t="shared" si="51"/>
        <v>#DIV/0!</v>
      </c>
      <c r="G108" s="4" t="e">
        <f t="shared" si="51"/>
        <v>#DIV/0!</v>
      </c>
      <c r="H108" s="4" t="e">
        <f t="shared" si="51"/>
        <v>#DIV/0!</v>
      </c>
      <c r="I108" s="4" t="e">
        <f t="shared" si="51"/>
        <v>#DIV/0!</v>
      </c>
      <c r="J108" s="4" t="e">
        <f t="shared" si="51"/>
        <v>#DIV/0!</v>
      </c>
      <c r="K108" s="4" t="e">
        <f t="shared" si="51"/>
        <v>#DIV/0!</v>
      </c>
      <c r="L108" s="21" t="e">
        <f t="shared" si="51"/>
        <v>#DIV/0!</v>
      </c>
      <c r="M108" s="17" t="e">
        <f t="array" ref="M108">AVERAGE(IF(B108:L108&gt;0,B108:L108))</f>
        <v>#DIV/0!</v>
      </c>
    </row>
    <row r="109" spans="1:21" ht="35.25" x14ac:dyDescent="0.2">
      <c r="A109" s="9" t="s">
        <v>26</v>
      </c>
      <c r="B109" s="4">
        <f t="shared" ref="B109:L109" si="52">B40/B14</f>
        <v>6.8259385665529011E-4</v>
      </c>
      <c r="C109" s="4">
        <f t="shared" si="52"/>
        <v>7.8602620087336243E-4</v>
      </c>
      <c r="D109" s="4">
        <f t="shared" si="52"/>
        <v>1.0416666666666667E-3</v>
      </c>
      <c r="E109" s="4" t="e">
        <f t="shared" si="52"/>
        <v>#DIV/0!</v>
      </c>
      <c r="F109" s="4" t="e">
        <f t="shared" si="52"/>
        <v>#DIV/0!</v>
      </c>
      <c r="G109" s="4" t="e">
        <f t="shared" si="52"/>
        <v>#DIV/0!</v>
      </c>
      <c r="H109" s="4" t="e">
        <f t="shared" si="52"/>
        <v>#DIV/0!</v>
      </c>
      <c r="I109" s="4" t="e">
        <f t="shared" si="52"/>
        <v>#DIV/0!</v>
      </c>
      <c r="J109" s="4" t="e">
        <f t="shared" si="52"/>
        <v>#DIV/0!</v>
      </c>
      <c r="K109" s="4" t="e">
        <f t="shared" si="52"/>
        <v>#DIV/0!</v>
      </c>
      <c r="L109" s="21" t="e">
        <f t="shared" si="52"/>
        <v>#DIV/0!</v>
      </c>
      <c r="M109" s="17" t="e">
        <f t="array" ref="M109">AVERAGE(IF(B109:L109&gt;0,B109:L109))</f>
        <v>#DIV/0!</v>
      </c>
    </row>
    <row r="110" spans="1:21" ht="35.25" x14ac:dyDescent="0.2">
      <c r="A110" s="9" t="s">
        <v>25</v>
      </c>
      <c r="B110" s="4">
        <f t="shared" ref="B110:L110" si="53">B41/B14</f>
        <v>1.3031337263419174E-2</v>
      </c>
      <c r="C110" s="4">
        <f t="shared" si="53"/>
        <v>1.6331877729257642E-2</v>
      </c>
      <c r="D110" s="4">
        <f t="shared" si="53"/>
        <v>4.4981060606060609E-3</v>
      </c>
      <c r="E110" s="4" t="e">
        <f t="shared" si="53"/>
        <v>#DIV/0!</v>
      </c>
      <c r="F110" s="4" t="e">
        <f t="shared" si="53"/>
        <v>#DIV/0!</v>
      </c>
      <c r="G110" s="4" t="e">
        <f t="shared" si="53"/>
        <v>#DIV/0!</v>
      </c>
      <c r="H110" s="4" t="e">
        <f t="shared" si="53"/>
        <v>#DIV/0!</v>
      </c>
      <c r="I110" s="4" t="e">
        <f t="shared" si="53"/>
        <v>#DIV/0!</v>
      </c>
      <c r="J110" s="4" t="e">
        <f t="shared" si="53"/>
        <v>#DIV/0!</v>
      </c>
      <c r="K110" s="4" t="e">
        <f t="shared" si="53"/>
        <v>#DIV/0!</v>
      </c>
      <c r="L110" s="21" t="e">
        <f t="shared" si="53"/>
        <v>#DIV/0!</v>
      </c>
      <c r="M110" s="17" t="e">
        <f t="array" ref="M110">AVERAGE(IF(B110:L110&gt;0,B110:L110))</f>
        <v>#DIV/0!</v>
      </c>
    </row>
    <row r="111" spans="1:21" ht="35.25" x14ac:dyDescent="0.2">
      <c r="A111" s="9" t="s">
        <v>24</v>
      </c>
      <c r="B111" s="6">
        <f t="shared" ref="B111:L111" si="54">B8/B25*360</f>
        <v>5.8023826208829714</v>
      </c>
      <c r="C111" s="6">
        <f t="shared" si="54"/>
        <v>7.1866840731070498</v>
      </c>
      <c r="D111" s="6">
        <f t="shared" si="54"/>
        <v>2.1272291722118712</v>
      </c>
      <c r="E111" s="6" t="e">
        <f t="shared" si="54"/>
        <v>#DIV/0!</v>
      </c>
      <c r="F111" s="6" t="e">
        <f t="shared" si="54"/>
        <v>#DIV/0!</v>
      </c>
      <c r="G111" s="6" t="e">
        <f t="shared" si="54"/>
        <v>#DIV/0!</v>
      </c>
      <c r="H111" s="6" t="e">
        <f t="shared" si="54"/>
        <v>#DIV/0!</v>
      </c>
      <c r="I111" s="6" t="e">
        <f t="shared" si="54"/>
        <v>#DIV/0!</v>
      </c>
      <c r="J111" s="6" t="e">
        <f t="shared" si="54"/>
        <v>#DIV/0!</v>
      </c>
      <c r="K111" s="6" t="e">
        <f t="shared" si="54"/>
        <v>#DIV/0!</v>
      </c>
      <c r="L111" s="23" t="e">
        <f t="shared" si="54"/>
        <v>#DIV/0!</v>
      </c>
      <c r="M111" s="18" t="e">
        <f t="array" ref="M111">AVERAGE(IF(B111:L111&gt;0,B111:L111))</f>
        <v>#DIV/0!</v>
      </c>
      <c r="N111" s="11"/>
      <c r="O111" s="11"/>
      <c r="P111" s="11"/>
      <c r="Q111" s="11"/>
      <c r="R111" s="11"/>
      <c r="S111" s="11"/>
      <c r="T111" s="11"/>
      <c r="U111" s="11"/>
    </row>
    <row r="112" spans="1:21" ht="35.25" x14ac:dyDescent="0.2">
      <c r="A112" s="9" t="s">
        <v>23</v>
      </c>
      <c r="B112" s="154" t="e">
        <f t="shared" ref="B112:L112" si="55">B47/B24*360</f>
        <v>#VALUE!</v>
      </c>
      <c r="C112" s="154" t="e">
        <f t="shared" si="55"/>
        <v>#VALUE!</v>
      </c>
      <c r="D112" s="154" t="e">
        <f t="shared" si="55"/>
        <v>#VALUE!</v>
      </c>
      <c r="E112" s="154" t="e">
        <f t="shared" si="55"/>
        <v>#DIV/0!</v>
      </c>
      <c r="F112" s="154" t="e">
        <f t="shared" si="55"/>
        <v>#DIV/0!</v>
      </c>
      <c r="G112" s="154" t="e">
        <f t="shared" si="55"/>
        <v>#DIV/0!</v>
      </c>
      <c r="H112" s="154" t="e">
        <f t="shared" si="55"/>
        <v>#DIV/0!</v>
      </c>
      <c r="I112" s="154" t="e">
        <f t="shared" si="55"/>
        <v>#DIV/0!</v>
      </c>
      <c r="J112" s="154" t="e">
        <f t="shared" si="55"/>
        <v>#DIV/0!</v>
      </c>
      <c r="K112" s="154" t="e">
        <f t="shared" si="55"/>
        <v>#DIV/0!</v>
      </c>
      <c r="L112" s="155" t="e">
        <f t="shared" si="55"/>
        <v>#DIV/0!</v>
      </c>
      <c r="M112" s="29" t="e">
        <f t="array" ref="M112">AVERAGE(IF(B112:L112&gt;0,B112:L112))</f>
        <v>#VALUE!</v>
      </c>
    </row>
    <row r="113" spans="1:25" ht="35.25" x14ac:dyDescent="0.2">
      <c r="A113" s="9" t="s">
        <v>22</v>
      </c>
      <c r="B113" s="4" t="e">
        <f t="shared" ref="B113:K113" si="56">B47/C24</f>
        <v>#VALUE!</v>
      </c>
      <c r="C113" s="4" t="e">
        <f t="shared" si="56"/>
        <v>#VALUE!</v>
      </c>
      <c r="D113" s="4" t="e">
        <f t="shared" si="56"/>
        <v>#VALUE!</v>
      </c>
      <c r="E113" s="4" t="e">
        <f t="shared" si="56"/>
        <v>#DIV/0!</v>
      </c>
      <c r="F113" s="4" t="e">
        <f t="shared" si="56"/>
        <v>#DIV/0!</v>
      </c>
      <c r="G113" s="4" t="e">
        <f t="shared" si="56"/>
        <v>#DIV/0!</v>
      </c>
      <c r="H113" s="4" t="e">
        <f t="shared" si="56"/>
        <v>#DIV/0!</v>
      </c>
      <c r="I113" s="4" t="e">
        <f t="shared" si="56"/>
        <v>#DIV/0!</v>
      </c>
      <c r="J113" s="4" t="e">
        <f t="shared" si="56"/>
        <v>#DIV/0!</v>
      </c>
      <c r="K113" s="4" t="e">
        <f t="shared" si="56"/>
        <v>#DIV/0!</v>
      </c>
      <c r="L113" s="43" t="s">
        <v>78</v>
      </c>
      <c r="M113" s="17" t="e">
        <f t="array" ref="M113">AVERAGE(IF(B113:L113&gt;0,B113:L113))</f>
        <v>#VALUE!</v>
      </c>
    </row>
    <row r="114" spans="1:25" ht="36" thickBot="1" x14ac:dyDescent="0.25">
      <c r="A114" s="37" t="s">
        <v>56</v>
      </c>
      <c r="B114" s="6">
        <f t="shared" ref="B114:G114" si="57">B104+B111-B105</f>
        <v>-89.328187947132392</v>
      </c>
      <c r="C114" s="6">
        <f t="shared" si="57"/>
        <v>-110.22376986808226</v>
      </c>
      <c r="D114" s="6">
        <f t="shared" si="57"/>
        <v>-97.700580950594698</v>
      </c>
      <c r="E114" s="6" t="e">
        <f t="shared" si="57"/>
        <v>#DIV/0!</v>
      </c>
      <c r="F114" s="6" t="e">
        <f t="shared" si="57"/>
        <v>#DIV/0!</v>
      </c>
      <c r="G114" s="6" t="e">
        <f t="shared" si="57"/>
        <v>#DIV/0!</v>
      </c>
      <c r="H114" s="6" t="e">
        <f>H104+H111-H105</f>
        <v>#DIV/0!</v>
      </c>
      <c r="I114" s="6" t="e">
        <f>I104+I111-I105</f>
        <v>#DIV/0!</v>
      </c>
      <c r="J114" s="6" t="e">
        <f>J104+J111-J105</f>
        <v>#DIV/0!</v>
      </c>
      <c r="K114" s="6" t="e">
        <f>K104+K111-K105</f>
        <v>#DIV/0!</v>
      </c>
      <c r="L114" s="23" t="e">
        <f>L104+L111-L105</f>
        <v>#DIV/0!</v>
      </c>
      <c r="M114" s="29" t="e">
        <f t="array" ref="M114">AVERAGE(IF(B114:L114&gt;0,B114:L114))</f>
        <v>#DIV/0!</v>
      </c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ht="14.25" thickTop="1" thickBot="1" x14ac:dyDescent="0.25">
      <c r="A115" s="10" t="s">
        <v>64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22"/>
      <c r="M115" s="17"/>
    </row>
    <row r="116" spans="1:25" ht="24.75" thickTop="1" x14ac:dyDescent="0.2">
      <c r="A116" s="9" t="s">
        <v>59</v>
      </c>
      <c r="B116" s="4">
        <f t="shared" ref="B116:L116" si="58">B35/B29</f>
        <v>0.81139671724992268</v>
      </c>
      <c r="C116" s="4">
        <f t="shared" si="58"/>
        <v>0.75101097631426927</v>
      </c>
      <c r="D116" s="4">
        <f t="shared" si="58"/>
        <v>0.82120918202392501</v>
      </c>
      <c r="E116" s="4" t="e">
        <f t="shared" si="58"/>
        <v>#DIV/0!</v>
      </c>
      <c r="F116" s="4" t="e">
        <f t="shared" si="58"/>
        <v>#DIV/0!</v>
      </c>
      <c r="G116" s="4" t="e">
        <f t="shared" si="58"/>
        <v>#DIV/0!</v>
      </c>
      <c r="H116" s="4" t="e">
        <f t="shared" si="58"/>
        <v>#DIV/0!</v>
      </c>
      <c r="I116" s="4" t="e">
        <f t="shared" si="58"/>
        <v>#DIV/0!</v>
      </c>
      <c r="J116" s="4" t="e">
        <f t="shared" si="58"/>
        <v>#DIV/0!</v>
      </c>
      <c r="K116" s="4" t="e">
        <f t="shared" si="58"/>
        <v>#DIV/0!</v>
      </c>
      <c r="L116" s="21" t="e">
        <f t="shared" si="58"/>
        <v>#DIV/0!</v>
      </c>
      <c r="M116" s="17" t="e">
        <f t="array" ref="M116">AVERAGE(IF(B116:L116&gt;0,B116:L116))</f>
        <v>#DIV/0!</v>
      </c>
    </row>
    <row r="117" spans="1:25" ht="24" x14ac:dyDescent="0.2">
      <c r="A117" s="9" t="s">
        <v>90</v>
      </c>
      <c r="B117" s="4">
        <f t="shared" ref="B117:L117" si="59">B35/B32</f>
        <v>0.98459225854941745</v>
      </c>
      <c r="C117" s="4">
        <f t="shared" si="59"/>
        <v>0.73737946681792399</v>
      </c>
      <c r="D117" s="4">
        <f t="shared" si="59"/>
        <v>0.70340625865411244</v>
      </c>
      <c r="E117" s="4" t="e">
        <f t="shared" si="59"/>
        <v>#DIV/0!</v>
      </c>
      <c r="F117" s="4" t="e">
        <f t="shared" si="59"/>
        <v>#DIV/0!</v>
      </c>
      <c r="G117" s="4" t="e">
        <f t="shared" si="59"/>
        <v>#DIV/0!</v>
      </c>
      <c r="H117" s="4" t="e">
        <f t="shared" si="59"/>
        <v>#DIV/0!</v>
      </c>
      <c r="I117" s="4" t="e">
        <f t="shared" si="59"/>
        <v>#DIV/0!</v>
      </c>
      <c r="J117" s="4" t="e">
        <f t="shared" si="59"/>
        <v>#DIV/0!</v>
      </c>
      <c r="K117" s="4" t="e">
        <f t="shared" si="59"/>
        <v>#DIV/0!</v>
      </c>
      <c r="L117" s="21" t="e">
        <f t="shared" si="59"/>
        <v>#DIV/0!</v>
      </c>
      <c r="M117" s="17" t="e">
        <f t="array" ref="M117">AVERAGE(IF(B117:L117&gt;0,B117:L117))</f>
        <v>#DIV/0!</v>
      </c>
    </row>
    <row r="118" spans="1:25" ht="24" customHeight="1" x14ac:dyDescent="0.2">
      <c r="A118" s="9" t="s">
        <v>96</v>
      </c>
      <c r="B118" s="4">
        <f t="shared" ref="B118:L118" si="60">B35/B56</f>
        <v>1.546635182998819</v>
      </c>
      <c r="C118" s="4">
        <f t="shared" si="60"/>
        <v>0.92890317970703806</v>
      </c>
      <c r="D118" s="4">
        <f t="shared" si="60"/>
        <v>0.86365181910914646</v>
      </c>
      <c r="E118" s="4" t="e">
        <f t="shared" si="60"/>
        <v>#DIV/0!</v>
      </c>
      <c r="F118" s="4" t="e">
        <f t="shared" si="60"/>
        <v>#DIV/0!</v>
      </c>
      <c r="G118" s="4" t="e">
        <f t="shared" si="60"/>
        <v>#DIV/0!</v>
      </c>
      <c r="H118" s="4" t="e">
        <f t="shared" si="60"/>
        <v>#DIV/0!</v>
      </c>
      <c r="I118" s="4" t="e">
        <f t="shared" si="60"/>
        <v>#DIV/0!</v>
      </c>
      <c r="J118" s="4" t="e">
        <f t="shared" si="60"/>
        <v>#DIV/0!</v>
      </c>
      <c r="K118" s="4" t="e">
        <f t="shared" si="60"/>
        <v>#DIV/0!</v>
      </c>
      <c r="L118" s="21" t="e">
        <f t="shared" si="60"/>
        <v>#DIV/0!</v>
      </c>
      <c r="M118" s="17" t="e">
        <f t="array" ref="M118">AVERAGE(IF(B118:L118&gt;0,B118:L118))</f>
        <v>#DIV/0!</v>
      </c>
    </row>
    <row r="119" spans="1:25" ht="25.5" customHeight="1" x14ac:dyDescent="0.2">
      <c r="A119" s="37" t="s">
        <v>109</v>
      </c>
      <c r="B119" s="4">
        <f t="shared" ref="B119:K119" si="61">B35/B59</f>
        <v>0.76008123005512007</v>
      </c>
      <c r="C119" s="4">
        <f t="shared" si="61"/>
        <v>0.66056910569105698</v>
      </c>
      <c r="D119" s="4">
        <f t="shared" si="61"/>
        <v>0.3398447952903399</v>
      </c>
      <c r="E119" s="4" t="e">
        <f t="shared" si="61"/>
        <v>#DIV/0!</v>
      </c>
      <c r="F119" s="4" t="e">
        <f t="shared" si="61"/>
        <v>#DIV/0!</v>
      </c>
      <c r="G119" s="4" t="e">
        <f t="shared" si="61"/>
        <v>#DIV/0!</v>
      </c>
      <c r="H119" s="4" t="e">
        <f t="shared" si="61"/>
        <v>#DIV/0!</v>
      </c>
      <c r="I119" s="4" t="e">
        <f t="shared" si="61"/>
        <v>#DIV/0!</v>
      </c>
      <c r="J119" s="4" t="e">
        <f t="shared" si="61"/>
        <v>#DIV/0!</v>
      </c>
      <c r="K119" s="4" t="e">
        <f t="shared" si="61"/>
        <v>#DIV/0!</v>
      </c>
      <c r="L119" s="21" t="s">
        <v>78</v>
      </c>
      <c r="M119" s="40" t="e">
        <f t="array" ref="M119">AVERAGE(IF(B119:K119&gt;0,B119:K119))</f>
        <v>#DIV/0!</v>
      </c>
    </row>
    <row r="120" spans="1:25" ht="24.75" thickBot="1" x14ac:dyDescent="0.25">
      <c r="A120" s="9" t="s">
        <v>65</v>
      </c>
      <c r="B120" s="4">
        <f t="shared" ref="B120:L120" si="62">B35/B49</f>
        <v>7.2295464504921886E-2</v>
      </c>
      <c r="C120" s="4">
        <f t="shared" si="62"/>
        <v>5.7268452159866159E-2</v>
      </c>
      <c r="D120" s="4" t="e">
        <f t="shared" si="62"/>
        <v>#DIV/0!</v>
      </c>
      <c r="E120" s="4" t="e">
        <f t="shared" si="62"/>
        <v>#DIV/0!</v>
      </c>
      <c r="F120" s="4" t="e">
        <f t="shared" si="62"/>
        <v>#DIV/0!</v>
      </c>
      <c r="G120" s="4" t="e">
        <f t="shared" si="62"/>
        <v>#DIV/0!</v>
      </c>
      <c r="H120" s="4" t="e">
        <f t="shared" si="62"/>
        <v>#DIV/0!</v>
      </c>
      <c r="I120" s="4" t="e">
        <f t="shared" si="62"/>
        <v>#DIV/0!</v>
      </c>
      <c r="J120" s="4" t="e">
        <f t="shared" si="62"/>
        <v>#DIV/0!</v>
      </c>
      <c r="K120" s="4" t="e">
        <f t="shared" si="62"/>
        <v>#DIV/0!</v>
      </c>
      <c r="L120" s="21" t="e">
        <f t="shared" si="62"/>
        <v>#DIV/0!</v>
      </c>
      <c r="M120" s="17" t="e">
        <f t="array" ref="M120">AVERAGE(IF(B120:L120&gt;0,B120:L120))</f>
        <v>#DIV/0!</v>
      </c>
    </row>
    <row r="121" spans="1:25" ht="14.25" thickTop="1" thickBot="1" x14ac:dyDescent="0.25">
      <c r="A121" s="10" t="s">
        <v>66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2"/>
      <c r="M121" s="17"/>
    </row>
    <row r="122" spans="1:25" ht="36" thickTop="1" x14ac:dyDescent="0.2">
      <c r="A122" s="9" t="s">
        <v>21</v>
      </c>
      <c r="B122" s="6">
        <f t="shared" ref="B122:L122" si="63">B49/B29</f>
        <v>11.223341917869311</v>
      </c>
      <c r="C122" s="6">
        <f t="shared" si="63"/>
        <v>13.113868945118428</v>
      </c>
      <c r="D122" s="6">
        <f t="shared" si="63"/>
        <v>0</v>
      </c>
      <c r="E122" s="6" t="e">
        <f t="shared" si="63"/>
        <v>#DIV/0!</v>
      </c>
      <c r="F122" s="6" t="e">
        <f t="shared" si="63"/>
        <v>#DIV/0!</v>
      </c>
      <c r="G122" s="6" t="e">
        <f t="shared" si="63"/>
        <v>#DIV/0!</v>
      </c>
      <c r="H122" s="6" t="e">
        <f t="shared" si="63"/>
        <v>#DIV/0!</v>
      </c>
      <c r="I122" s="6" t="e">
        <f t="shared" si="63"/>
        <v>#DIV/0!</v>
      </c>
      <c r="J122" s="6" t="e">
        <f t="shared" si="63"/>
        <v>#DIV/0!</v>
      </c>
      <c r="K122" s="6" t="e">
        <f t="shared" si="63"/>
        <v>#DIV/0!</v>
      </c>
      <c r="L122" s="23" t="e">
        <f t="shared" si="63"/>
        <v>#DIV/0!</v>
      </c>
      <c r="M122" s="29" t="e">
        <f t="array" ref="M122">AVERAGE(IF(B122:L122&gt;0,B122:L122))</f>
        <v>#DIV/0!</v>
      </c>
    </row>
    <row r="123" spans="1:25" ht="35.25" x14ac:dyDescent="0.2">
      <c r="A123" s="9" t="s">
        <v>20</v>
      </c>
      <c r="B123" s="6">
        <f t="shared" ref="B123:L123" si="64">B49/B20</f>
        <v>4.6852192699159669</v>
      </c>
      <c r="C123" s="6">
        <f t="shared" si="64"/>
        <v>5.848282144531753</v>
      </c>
      <c r="D123" s="6">
        <f t="shared" si="64"/>
        <v>0</v>
      </c>
      <c r="E123" s="6" t="e">
        <f t="shared" si="64"/>
        <v>#DIV/0!</v>
      </c>
      <c r="F123" s="6" t="e">
        <f t="shared" si="64"/>
        <v>#DIV/0!</v>
      </c>
      <c r="G123" s="6" t="e">
        <f t="shared" si="64"/>
        <v>#DIV/0!</v>
      </c>
      <c r="H123" s="6" t="e">
        <f t="shared" si="64"/>
        <v>#DIV/0!</v>
      </c>
      <c r="I123" s="6" t="e">
        <f t="shared" si="64"/>
        <v>#DIV/0!</v>
      </c>
      <c r="J123" s="6" t="e">
        <f t="shared" si="64"/>
        <v>#DIV/0!</v>
      </c>
      <c r="K123" s="6" t="e">
        <f t="shared" si="64"/>
        <v>#DIV/0!</v>
      </c>
      <c r="L123" s="23" t="e">
        <f t="shared" si="64"/>
        <v>#DIV/0!</v>
      </c>
      <c r="M123" s="29" t="e">
        <f t="array" ref="M123">AVERAGE(IF(B123:L123&gt;0,B123:L123))</f>
        <v>#DIV/0!</v>
      </c>
    </row>
    <row r="124" spans="1:25" ht="24" x14ac:dyDescent="0.2">
      <c r="A124" s="9" t="s">
        <v>12</v>
      </c>
      <c r="B124" s="6">
        <f t="shared" ref="B124:L124" si="65">B49/B32</f>
        <v>13.619004529425027</v>
      </c>
      <c r="C124" s="6">
        <f t="shared" si="65"/>
        <v>12.875840694271128</v>
      </c>
      <c r="D124" s="6">
        <f t="shared" si="65"/>
        <v>0</v>
      </c>
      <c r="E124" s="6" t="e">
        <f t="shared" si="65"/>
        <v>#DIV/0!</v>
      </c>
      <c r="F124" s="6" t="e">
        <f t="shared" si="65"/>
        <v>#DIV/0!</v>
      </c>
      <c r="G124" s="6" t="e">
        <f t="shared" si="65"/>
        <v>#DIV/0!</v>
      </c>
      <c r="H124" s="6" t="e">
        <f t="shared" si="65"/>
        <v>#DIV/0!</v>
      </c>
      <c r="I124" s="6" t="e">
        <f t="shared" si="65"/>
        <v>#DIV/0!</v>
      </c>
      <c r="J124" s="6" t="e">
        <f t="shared" si="65"/>
        <v>#DIV/0!</v>
      </c>
      <c r="K124" s="6" t="e">
        <f t="shared" si="65"/>
        <v>#DIV/0!</v>
      </c>
      <c r="L124" s="23" t="e">
        <f t="shared" si="65"/>
        <v>#DIV/0!</v>
      </c>
      <c r="M124" s="29" t="e">
        <f t="array" ref="M124">AVERAGE(IF(B124:L124&gt;0,B124:L124))</f>
        <v>#DIV/0!</v>
      </c>
    </row>
    <row r="125" spans="1:25" ht="24" x14ac:dyDescent="0.2">
      <c r="A125" s="9" t="s">
        <v>13</v>
      </c>
      <c r="B125" s="6">
        <f t="shared" ref="B125:L125" si="66">B49/B56</f>
        <v>21.393253277922074</v>
      </c>
      <c r="C125" s="6">
        <f t="shared" si="66"/>
        <v>16.220155158270806</v>
      </c>
      <c r="D125" s="6">
        <f t="shared" si="66"/>
        <v>0</v>
      </c>
      <c r="E125" s="6" t="e">
        <f t="shared" si="66"/>
        <v>#DIV/0!</v>
      </c>
      <c r="F125" s="6" t="e">
        <f t="shared" si="66"/>
        <v>#DIV/0!</v>
      </c>
      <c r="G125" s="6" t="e">
        <f t="shared" si="66"/>
        <v>#DIV/0!</v>
      </c>
      <c r="H125" s="6" t="e">
        <f t="shared" si="66"/>
        <v>#DIV/0!</v>
      </c>
      <c r="I125" s="6" t="e">
        <f t="shared" si="66"/>
        <v>#DIV/0!</v>
      </c>
      <c r="J125" s="6" t="e">
        <f t="shared" si="66"/>
        <v>#DIV/0!</v>
      </c>
      <c r="K125" s="6" t="e">
        <f t="shared" si="66"/>
        <v>#DIV/0!</v>
      </c>
      <c r="L125" s="23" t="e">
        <f t="shared" si="66"/>
        <v>#DIV/0!</v>
      </c>
      <c r="M125" s="29" t="e">
        <f t="array" ref="M125">AVERAGE(IF(B125:L125&gt;0,B125:L125))</f>
        <v>#DIV/0!</v>
      </c>
    </row>
    <row r="126" spans="1:25" ht="24" x14ac:dyDescent="0.2">
      <c r="A126" s="9" t="s">
        <v>14</v>
      </c>
      <c r="B126" s="6">
        <f t="shared" ref="B126:L126" si="67">B49/B24</f>
        <v>1.1984976206362854</v>
      </c>
      <c r="C126" s="6">
        <f t="shared" si="67"/>
        <v>1.8720193917202705</v>
      </c>
      <c r="D126" s="6">
        <f t="shared" si="67"/>
        <v>0</v>
      </c>
      <c r="E126" s="6" t="e">
        <f t="shared" si="67"/>
        <v>#DIV/0!</v>
      </c>
      <c r="F126" s="6" t="e">
        <f t="shared" si="67"/>
        <v>#DIV/0!</v>
      </c>
      <c r="G126" s="6" t="e">
        <f t="shared" si="67"/>
        <v>#DIV/0!</v>
      </c>
      <c r="H126" s="6" t="e">
        <f t="shared" si="67"/>
        <v>#DIV/0!</v>
      </c>
      <c r="I126" s="6" t="e">
        <f t="shared" si="67"/>
        <v>#DIV/0!</v>
      </c>
      <c r="J126" s="6" t="e">
        <f t="shared" si="67"/>
        <v>#DIV/0!</v>
      </c>
      <c r="K126" s="6" t="e">
        <f t="shared" si="67"/>
        <v>#DIV/0!</v>
      </c>
      <c r="L126" s="23" t="e">
        <f t="shared" si="67"/>
        <v>#DIV/0!</v>
      </c>
      <c r="M126" s="29" t="e">
        <f t="array" ref="M126">AVERAGE(IF(B126:L126&gt;0,B126:L126))</f>
        <v>#DIV/0!</v>
      </c>
    </row>
    <row r="127" spans="1:25" ht="35.25" x14ac:dyDescent="0.2">
      <c r="A127" s="9" t="s">
        <v>15</v>
      </c>
      <c r="B127" s="6">
        <f t="shared" ref="B127:L127" si="68">(B49+B18+B16+B21-B6)/B54</f>
        <v>6.7376131728475688</v>
      </c>
      <c r="C127" s="6">
        <f t="shared" si="68"/>
        <v>6.8043910030150752</v>
      </c>
      <c r="D127" s="6">
        <f t="shared" si="68"/>
        <v>-0.93512685169419396</v>
      </c>
      <c r="E127" s="6" t="e">
        <f t="shared" si="68"/>
        <v>#DIV/0!</v>
      </c>
      <c r="F127" s="6" t="e">
        <f t="shared" si="68"/>
        <v>#DIV/0!</v>
      </c>
      <c r="G127" s="6" t="e">
        <f t="shared" si="68"/>
        <v>#DIV/0!</v>
      </c>
      <c r="H127" s="6" t="e">
        <f t="shared" si="68"/>
        <v>#DIV/0!</v>
      </c>
      <c r="I127" s="6" t="e">
        <f t="shared" si="68"/>
        <v>#DIV/0!</v>
      </c>
      <c r="J127" s="6" t="e">
        <f t="shared" si="68"/>
        <v>#DIV/0!</v>
      </c>
      <c r="K127" s="6" t="e">
        <f t="shared" si="68"/>
        <v>#DIV/0!</v>
      </c>
      <c r="L127" s="23" t="e">
        <f t="shared" si="68"/>
        <v>#DIV/0!</v>
      </c>
      <c r="M127" s="29" t="e">
        <f t="array" ref="M127">AVERAGE(IF(B127:L127&gt;0,B127:L127))</f>
        <v>#DIV/0!</v>
      </c>
    </row>
    <row r="128" spans="1:25" ht="24" x14ac:dyDescent="0.2">
      <c r="A128" s="9" t="s">
        <v>16</v>
      </c>
      <c r="B128" s="6">
        <f t="shared" ref="B128:L128" si="69">(B49+B18+B16+B21-B6)/B53</f>
        <v>8.2227707744966452</v>
      </c>
      <c r="C128" s="6">
        <f t="shared" si="69"/>
        <v>8.0091116498422714</v>
      </c>
      <c r="D128" s="6">
        <f t="shared" si="69"/>
        <v>-1.1023685266961061</v>
      </c>
      <c r="E128" s="6" t="e">
        <f t="shared" si="69"/>
        <v>#DIV/0!</v>
      </c>
      <c r="F128" s="6" t="e">
        <f t="shared" si="69"/>
        <v>#DIV/0!</v>
      </c>
      <c r="G128" s="6" t="e">
        <f t="shared" si="69"/>
        <v>#DIV/0!</v>
      </c>
      <c r="H128" s="6" t="e">
        <f t="shared" si="69"/>
        <v>#DIV/0!</v>
      </c>
      <c r="I128" s="6" t="e">
        <f t="shared" si="69"/>
        <v>#DIV/0!</v>
      </c>
      <c r="J128" s="6" t="e">
        <f t="shared" si="69"/>
        <v>#DIV/0!</v>
      </c>
      <c r="K128" s="6" t="e">
        <f t="shared" si="69"/>
        <v>#DIV/0!</v>
      </c>
      <c r="L128" s="23" t="e">
        <f t="shared" si="69"/>
        <v>#DIV/0!</v>
      </c>
      <c r="M128" s="29" t="e">
        <f t="array" ref="M128">AVERAGE(IF(B128:L128&gt;0,B128:L128))</f>
        <v>#DIV/0!</v>
      </c>
    </row>
    <row r="129" spans="1:13" ht="35.25" customHeight="1" x14ac:dyDescent="0.2">
      <c r="A129" s="9" t="s">
        <v>111</v>
      </c>
      <c r="B129" s="6">
        <f t="shared" ref="B129:L129" si="70">(B49+B60+B21-B6)/B53</f>
        <v>10.279608022818792</v>
      </c>
      <c r="C129" s="6">
        <f t="shared" si="70"/>
        <v>9.3336384637223997</v>
      </c>
      <c r="D129" s="6">
        <f t="shared" si="70"/>
        <v>7.0052187876354838E-2</v>
      </c>
      <c r="E129" s="6" t="e">
        <f t="shared" si="70"/>
        <v>#DIV/0!</v>
      </c>
      <c r="F129" s="6" t="e">
        <f t="shared" si="70"/>
        <v>#DIV/0!</v>
      </c>
      <c r="G129" s="6" t="e">
        <f t="shared" si="70"/>
        <v>#DIV/0!</v>
      </c>
      <c r="H129" s="6" t="e">
        <f t="shared" si="70"/>
        <v>#DIV/0!</v>
      </c>
      <c r="I129" s="6" t="e">
        <f t="shared" si="70"/>
        <v>#DIV/0!</v>
      </c>
      <c r="J129" s="6" t="e">
        <f t="shared" si="70"/>
        <v>#DIV/0!</v>
      </c>
      <c r="K129" s="6" t="e">
        <f t="shared" si="70"/>
        <v>#DIV/0!</v>
      </c>
      <c r="L129" s="23" t="e">
        <f t="shared" si="70"/>
        <v>#DIV/0!</v>
      </c>
      <c r="M129" s="29" t="e">
        <f t="array" ref="M129">AVERAGE(IF(B129:L129&gt;0,B129:L129))</f>
        <v>#DIV/0!</v>
      </c>
    </row>
    <row r="130" spans="1:13" ht="24" x14ac:dyDescent="0.2">
      <c r="A130" s="9" t="s">
        <v>17</v>
      </c>
      <c r="B130" s="6">
        <f t="shared" ref="B130:L130" si="71">(B49+B18+B16+B21-B6)/(B56+B36)</f>
        <v>21.412436402403056</v>
      </c>
      <c r="C130" s="6">
        <f t="shared" si="71"/>
        <v>14.027007696132596</v>
      </c>
      <c r="D130" s="6">
        <f t="shared" si="71"/>
        <v>-1.8071734123066798</v>
      </c>
      <c r="E130" s="6" t="e">
        <f t="shared" si="71"/>
        <v>#DIV/0!</v>
      </c>
      <c r="F130" s="6" t="e">
        <f t="shared" si="71"/>
        <v>#DIV/0!</v>
      </c>
      <c r="G130" s="6" t="e">
        <f t="shared" si="71"/>
        <v>#DIV/0!</v>
      </c>
      <c r="H130" s="6" t="e">
        <f t="shared" si="71"/>
        <v>#DIV/0!</v>
      </c>
      <c r="I130" s="6" t="e">
        <f t="shared" si="71"/>
        <v>#DIV/0!</v>
      </c>
      <c r="J130" s="6" t="e">
        <f t="shared" si="71"/>
        <v>#DIV/0!</v>
      </c>
      <c r="K130" s="6" t="e">
        <f t="shared" si="71"/>
        <v>#DIV/0!</v>
      </c>
      <c r="L130" s="23" t="e">
        <f t="shared" si="71"/>
        <v>#DIV/0!</v>
      </c>
      <c r="M130" s="29" t="e">
        <f t="array" ref="M130">AVERAGE(IF(B130:L130&gt;0,B130:L130))</f>
        <v>#DIV/0!</v>
      </c>
    </row>
    <row r="131" spans="1:13" ht="23.25" customHeight="1" x14ac:dyDescent="0.2">
      <c r="A131" s="9" t="s">
        <v>112</v>
      </c>
      <c r="B131" s="6">
        <f>(B49+B18+B16+B21-B6)/B58</f>
        <v>-12.552097319835719</v>
      </c>
      <c r="C131" s="6">
        <f t="shared" ref="C131:K131" si="72">(C49+C18+C16+C21-C6)/C58</f>
        <v>13.047120717583029</v>
      </c>
      <c r="D131" s="6">
        <f t="shared" si="72"/>
        <v>-0.74215587855272502</v>
      </c>
      <c r="E131" s="6" t="e">
        <f t="shared" si="72"/>
        <v>#DIV/0!</v>
      </c>
      <c r="F131" s="6" t="e">
        <f t="shared" si="72"/>
        <v>#DIV/0!</v>
      </c>
      <c r="G131" s="6" t="e">
        <f t="shared" si="72"/>
        <v>#DIV/0!</v>
      </c>
      <c r="H131" s="6" t="e">
        <f t="shared" si="72"/>
        <v>#DIV/0!</v>
      </c>
      <c r="I131" s="6" t="e">
        <f t="shared" si="72"/>
        <v>#DIV/0!</v>
      </c>
      <c r="J131" s="6" t="e">
        <f t="shared" si="72"/>
        <v>#DIV/0!</v>
      </c>
      <c r="K131" s="6" t="e">
        <f t="shared" si="72"/>
        <v>#DIV/0!</v>
      </c>
      <c r="L131" s="41" t="s">
        <v>78</v>
      </c>
      <c r="M131" s="29" t="e">
        <f t="array" ref="M131">AVERAGE(IF(B131:K131&gt;0,B131:K131))</f>
        <v>#DIV/0!</v>
      </c>
    </row>
    <row r="132" spans="1:13" ht="35.25" customHeight="1" x14ac:dyDescent="0.2">
      <c r="A132" s="9" t="s">
        <v>113</v>
      </c>
      <c r="B132" s="6">
        <f>(B49+B60+B21-B6)/B58</f>
        <v>-15.691868817793246</v>
      </c>
      <c r="C132" s="6">
        <f t="shared" ref="C132:K132" si="73">(C49+C60+C21-C6)/C58</f>
        <v>15.204820845875032</v>
      </c>
      <c r="D132" s="6">
        <f t="shared" si="73"/>
        <v>4.7161762857775097E-2</v>
      </c>
      <c r="E132" s="6" t="e">
        <f t="shared" si="73"/>
        <v>#DIV/0!</v>
      </c>
      <c r="F132" s="6" t="e">
        <f t="shared" si="73"/>
        <v>#DIV/0!</v>
      </c>
      <c r="G132" s="6" t="e">
        <f t="shared" si="73"/>
        <v>#DIV/0!</v>
      </c>
      <c r="H132" s="6" t="e">
        <f t="shared" si="73"/>
        <v>#DIV/0!</v>
      </c>
      <c r="I132" s="6" t="e">
        <f t="shared" si="73"/>
        <v>#DIV/0!</v>
      </c>
      <c r="J132" s="6" t="e">
        <f t="shared" si="73"/>
        <v>#DIV/0!</v>
      </c>
      <c r="K132" s="6" t="e">
        <f t="shared" si="73"/>
        <v>#DIV/0!</v>
      </c>
      <c r="L132" s="41" t="s">
        <v>78</v>
      </c>
      <c r="M132" s="29" t="e">
        <f t="array" ref="M132">AVERAGE(IF(B132:K132&gt;0,B132:K132))</f>
        <v>#DIV/0!</v>
      </c>
    </row>
    <row r="133" spans="1:13" ht="24" x14ac:dyDescent="0.2">
      <c r="A133" s="9" t="s">
        <v>18</v>
      </c>
      <c r="B133" s="6">
        <f t="shared" ref="B133:L133" si="74">(B49+B18+B16+B21-B6)/B24</f>
        <v>1.2965861185528142</v>
      </c>
      <c r="C133" s="6">
        <f t="shared" si="74"/>
        <v>1.6750047125185552</v>
      </c>
      <c r="D133" s="6">
        <f t="shared" si="74"/>
        <v>-0.22566462587829234</v>
      </c>
      <c r="E133" s="6" t="e">
        <f t="shared" si="74"/>
        <v>#DIV/0!</v>
      </c>
      <c r="F133" s="6" t="e">
        <f t="shared" si="74"/>
        <v>#DIV/0!</v>
      </c>
      <c r="G133" s="6" t="e">
        <f t="shared" si="74"/>
        <v>#DIV/0!</v>
      </c>
      <c r="H133" s="6" t="e">
        <f t="shared" si="74"/>
        <v>#DIV/0!</v>
      </c>
      <c r="I133" s="6" t="e">
        <f t="shared" si="74"/>
        <v>#DIV/0!</v>
      </c>
      <c r="J133" s="6" t="e">
        <f t="shared" si="74"/>
        <v>#DIV/0!</v>
      </c>
      <c r="K133" s="6" t="e">
        <f t="shared" si="74"/>
        <v>#DIV/0!</v>
      </c>
      <c r="L133" s="23" t="e">
        <f t="shared" si="74"/>
        <v>#DIV/0!</v>
      </c>
      <c r="M133" s="29" t="e">
        <f t="array" ref="M133">AVERAGE(IF(B133:L133&gt;0,B133:L133))</f>
        <v>#DIV/0!</v>
      </c>
    </row>
    <row r="134" spans="1:13" ht="26.25" customHeight="1" x14ac:dyDescent="0.2">
      <c r="A134" s="37" t="s">
        <v>99</v>
      </c>
      <c r="B134" s="6" t="e">
        <f t="shared" ref="B134:H134" si="75">B128/((B53-F53)/(4*F53)*100)</f>
        <v>#DIV/0!</v>
      </c>
      <c r="C134" s="6" t="e">
        <f t="shared" si="75"/>
        <v>#DIV/0!</v>
      </c>
      <c r="D134" s="6" t="e">
        <f t="shared" si="75"/>
        <v>#DIV/0!</v>
      </c>
      <c r="E134" s="6" t="e">
        <f t="shared" si="75"/>
        <v>#DIV/0!</v>
      </c>
      <c r="F134" s="6" t="e">
        <f t="shared" si="75"/>
        <v>#DIV/0!</v>
      </c>
      <c r="G134" s="6" t="e">
        <f t="shared" si="75"/>
        <v>#DIV/0!</v>
      </c>
      <c r="H134" s="6" t="e">
        <f t="shared" si="75"/>
        <v>#DIV/0!</v>
      </c>
      <c r="I134" s="6" t="e">
        <f>I128/((I53-L53)/(3*L53)*100)</f>
        <v>#DIV/0!</v>
      </c>
      <c r="J134" s="6" t="e">
        <f>J128/((J53-L53)/(2*L53)*100)</f>
        <v>#DIV/0!</v>
      </c>
      <c r="K134" s="6" t="e">
        <f>K128/((K53-L53)/L53*100)</f>
        <v>#DIV/0!</v>
      </c>
      <c r="L134" s="41" t="s">
        <v>78</v>
      </c>
      <c r="M134" s="29" t="e">
        <f t="array" ref="M134">AVERAGE(IF(B134:K134&gt;0,B134:K134))</f>
        <v>#DIV/0!</v>
      </c>
    </row>
    <row r="135" spans="1:13" ht="24.75" thickBot="1" x14ac:dyDescent="0.25">
      <c r="A135" s="152" t="s">
        <v>98</v>
      </c>
      <c r="B135" s="30" t="e">
        <f t="shared" ref="B135:H135" si="76">B122/((B29-F29)/(4*F29)*100)</f>
        <v>#DIV/0!</v>
      </c>
      <c r="C135" s="30" t="e">
        <f t="shared" si="76"/>
        <v>#DIV/0!</v>
      </c>
      <c r="D135" s="30" t="e">
        <f t="shared" si="76"/>
        <v>#DIV/0!</v>
      </c>
      <c r="E135" s="30" t="e">
        <f t="shared" si="76"/>
        <v>#DIV/0!</v>
      </c>
      <c r="F135" s="30" t="e">
        <f t="shared" si="76"/>
        <v>#DIV/0!</v>
      </c>
      <c r="G135" s="30" t="e">
        <f t="shared" si="76"/>
        <v>#DIV/0!</v>
      </c>
      <c r="H135" s="30" t="e">
        <f t="shared" si="76"/>
        <v>#DIV/0!</v>
      </c>
      <c r="I135" s="30" t="e">
        <f>I122/((I29-L29)/(3*L29)*100)</f>
        <v>#DIV/0!</v>
      </c>
      <c r="J135" s="30" t="e">
        <f>J122/((J29-L29)/(2*L29)*100)</f>
        <v>#DIV/0!</v>
      </c>
      <c r="K135" s="30" t="e">
        <f>K122/((K29-L29)/L29*100)</f>
        <v>#DIV/0!</v>
      </c>
      <c r="L135" s="42" t="s">
        <v>78</v>
      </c>
      <c r="M135" s="31" t="e">
        <f t="array" ref="M135">AVERAGE(IF(B135:K135&gt;0,B135:K135))</f>
        <v>#DIV/0!</v>
      </c>
    </row>
    <row r="136" spans="1:13" ht="13.5" thickTop="1" x14ac:dyDescent="0.2"/>
  </sheetData>
  <sheetProtection selectLockedCells="1" selectUnlockedCells="1"/>
  <phoneticPr fontId="4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2" zoomScaleNormal="100" workbookViewId="0"/>
  </sheetViews>
  <sheetFormatPr baseColWidth="10" defaultColWidth="12.42578125" defaultRowHeight="12.75" x14ac:dyDescent="0.2"/>
  <sheetData/>
  <sheetProtection selectLockedCells="1" selectUnlockedCells="1"/>
  <phoneticPr fontId="4" type="noConversion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selection activeCell="M4" sqref="M4"/>
    </sheetView>
  </sheetViews>
  <sheetFormatPr baseColWidth="10" defaultColWidth="12.42578125" defaultRowHeight="12.75" x14ac:dyDescent="0.2"/>
  <cols>
    <col min="1" max="1" width="23" customWidth="1"/>
    <col min="2" max="14" width="8.7109375" customWidth="1"/>
    <col min="15" max="15" width="15.7109375" customWidth="1"/>
    <col min="16" max="16" width="18.140625" customWidth="1"/>
    <col min="17" max="18" width="8.7109375" customWidth="1"/>
  </cols>
  <sheetData>
    <row r="1" spans="1:16" ht="13.5" thickBot="1" x14ac:dyDescent="0.25"/>
    <row r="2" spans="1:16" ht="13.5" thickTop="1" x14ac:dyDescent="0.2">
      <c r="A2" s="77" t="s">
        <v>128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3" spans="1:16" ht="13.5" thickBot="1" x14ac:dyDescent="0.25">
      <c r="A3" s="45"/>
      <c r="B3" s="5"/>
      <c r="P3" s="22"/>
    </row>
    <row r="4" spans="1:16" ht="14.25" thickTop="1" thickBot="1" x14ac:dyDescent="0.25">
      <c r="A4" s="53" t="s">
        <v>127</v>
      </c>
      <c r="B4" s="46">
        <f>Kennzahlen!G3</f>
        <v>2012</v>
      </c>
      <c r="C4" s="46">
        <f>Kennzahlen!F3</f>
        <v>2013</v>
      </c>
      <c r="D4" s="46">
        <f>Kennzahlen!E3</f>
        <v>2014</v>
      </c>
      <c r="E4" s="46">
        <f>Kennzahlen!D3</f>
        <v>2015</v>
      </c>
      <c r="F4" s="46">
        <f>Kennzahlen!C3</f>
        <v>2016</v>
      </c>
      <c r="G4" s="52">
        <f>Kennzahlen!B3</f>
        <v>2017</v>
      </c>
      <c r="H4" s="54">
        <f>Kennzahlen!B3+1</f>
        <v>2018</v>
      </c>
      <c r="I4" s="54">
        <f>Kennzahlen!B3+2</f>
        <v>2019</v>
      </c>
      <c r="J4" s="54">
        <f>Kennzahlen!B3+3</f>
        <v>2020</v>
      </c>
      <c r="K4" s="54">
        <f>Kennzahlen!B3+4</f>
        <v>2021</v>
      </c>
      <c r="L4" s="54">
        <f>Kennzahlen!B3+5</f>
        <v>2022</v>
      </c>
      <c r="M4" s="54">
        <f>Kennzahlen!B3+6</f>
        <v>2023</v>
      </c>
      <c r="N4" s="54">
        <f>Kennzahlen!B3+7</f>
        <v>2024</v>
      </c>
      <c r="O4" s="50" t="s">
        <v>129</v>
      </c>
      <c r="P4" s="78" t="s">
        <v>130</v>
      </c>
    </row>
    <row r="5" spans="1:16" ht="13.5" thickTop="1" x14ac:dyDescent="0.2">
      <c r="A5" s="106" t="s">
        <v>122</v>
      </c>
      <c r="B5" s="109">
        <f>Kennzahlen!G53</f>
        <v>0</v>
      </c>
      <c r="C5" s="96">
        <f>Kennzahlen!F53</f>
        <v>0</v>
      </c>
      <c r="D5" s="96">
        <f>Kennzahlen!E53</f>
        <v>0</v>
      </c>
      <c r="E5" s="96">
        <f>Kennzahlen!D53</f>
        <v>498.2</v>
      </c>
      <c r="F5" s="96">
        <f>Kennzahlen!C53</f>
        <v>507.2</v>
      </c>
      <c r="G5" s="97">
        <f>Kennzahlen!B53</f>
        <v>476.79999999999995</v>
      </c>
      <c r="H5" s="137"/>
      <c r="I5" s="138"/>
      <c r="J5" s="138"/>
      <c r="K5" s="138"/>
      <c r="L5" s="139"/>
      <c r="M5" s="138"/>
      <c r="N5" s="149"/>
      <c r="O5" s="47" t="e">
        <f>((G5/B5)^(1/6)-1)</f>
        <v>#DIV/0!</v>
      </c>
      <c r="P5" s="150">
        <f>((N5/G5)^(1/7)-1)</f>
        <v>-1</v>
      </c>
    </row>
    <row r="6" spans="1:16" x14ac:dyDescent="0.2">
      <c r="A6" s="107" t="s">
        <v>123</v>
      </c>
      <c r="B6" s="110" t="e">
        <f>Kennzahlen!G37/(Kennzahlen!G53-Kennzahlen!G36)</f>
        <v>#DIV/0!</v>
      </c>
      <c r="C6" s="98" t="e">
        <f>Kennzahlen!F37/(Kennzahlen!F53-Kennzahlen!F36)</f>
        <v>#DIV/0!</v>
      </c>
      <c r="D6" s="98" t="e">
        <f>Kennzahlen!E37/(Kennzahlen!E53-Kennzahlen!E36)</f>
        <v>#DIV/0!</v>
      </c>
      <c r="E6" s="98">
        <f>Kennzahlen!D37/(Kennzahlen!D53-Kennzahlen!D36)</f>
        <v>0.3667076167076167</v>
      </c>
      <c r="F6" s="98">
        <f>Kennzahlen!C37/(Kennzahlen!C53-Kennzahlen!C36)</f>
        <v>0.30412060301507537</v>
      </c>
      <c r="G6" s="99">
        <f>Kennzahlen!B37/(Kennzahlen!B53-Kennzahlen!B36)</f>
        <v>0.30274238825307709</v>
      </c>
      <c r="H6" s="140"/>
      <c r="I6" s="141"/>
      <c r="J6" s="141"/>
      <c r="K6" s="141"/>
      <c r="L6" s="142"/>
      <c r="M6" s="141"/>
      <c r="N6" s="142"/>
      <c r="O6" s="48" t="s">
        <v>78</v>
      </c>
      <c r="P6" s="80"/>
    </row>
    <row r="7" spans="1:16" x14ac:dyDescent="0.2">
      <c r="A7" s="107" t="s">
        <v>10</v>
      </c>
      <c r="B7" s="111">
        <f>Kennzahlen!G33</f>
        <v>0</v>
      </c>
      <c r="C7" s="100">
        <f>Kennzahlen!F33</f>
        <v>0</v>
      </c>
      <c r="D7" s="100">
        <f>Kennzahlen!E33</f>
        <v>0</v>
      </c>
      <c r="E7" s="100">
        <f>Kennzahlen!D33</f>
        <v>89.1</v>
      </c>
      <c r="F7" s="100">
        <f>Kennzahlen!C33</f>
        <v>89.8</v>
      </c>
      <c r="G7" s="101">
        <f>Kennzahlen!B33</f>
        <v>105.1</v>
      </c>
      <c r="H7" s="143"/>
      <c r="I7" s="144"/>
      <c r="J7" s="144"/>
      <c r="K7" s="144"/>
      <c r="L7" s="145"/>
      <c r="M7" s="144"/>
      <c r="N7" s="145"/>
      <c r="O7" s="47" t="e">
        <f>((G7/B7)^(1/5)-1)</f>
        <v>#DIV/0!</v>
      </c>
      <c r="P7" s="79">
        <f>((N7/G7)^(1/7)-1)</f>
        <v>-1</v>
      </c>
    </row>
    <row r="8" spans="1:16" x14ac:dyDescent="0.2">
      <c r="A8" s="107" t="s">
        <v>160</v>
      </c>
      <c r="B8" s="111">
        <f>Kennzahlen!G34</f>
        <v>0</v>
      </c>
      <c r="C8" s="100">
        <f>Kennzahlen!F34</f>
        <v>0</v>
      </c>
      <c r="D8" s="100">
        <f>Kennzahlen!E34</f>
        <v>0</v>
      </c>
      <c r="E8" s="100">
        <f>Kennzahlen!D34</f>
        <v>67</v>
      </c>
      <c r="F8" s="100">
        <f>Kennzahlen!C34</f>
        <v>72.7</v>
      </c>
      <c r="G8" s="101">
        <f>Kennzahlen!B34</f>
        <v>96.7</v>
      </c>
      <c r="H8" s="153"/>
      <c r="I8" s="144"/>
      <c r="J8" s="144"/>
      <c r="K8" s="144"/>
      <c r="L8" s="145"/>
      <c r="M8" s="144"/>
      <c r="N8" s="145"/>
      <c r="O8" s="47" t="e">
        <f>((G8/B8)^(1/5)-1)</f>
        <v>#DIV/0!</v>
      </c>
      <c r="P8" s="79">
        <f>((N8/G8)^(1/7)-1)</f>
        <v>-1</v>
      </c>
    </row>
    <row r="9" spans="1:16" x14ac:dyDescent="0.2">
      <c r="A9" s="107" t="s">
        <v>124</v>
      </c>
      <c r="B9" s="111">
        <f>Kennzahlen!G55</f>
        <v>0</v>
      </c>
      <c r="C9" s="100">
        <f>Kennzahlen!F55</f>
        <v>0</v>
      </c>
      <c r="D9" s="100">
        <f>Kennzahlen!E55</f>
        <v>0</v>
      </c>
      <c r="E9" s="100">
        <f>Kennzahlen!D55</f>
        <v>-415.99999999999994</v>
      </c>
      <c r="F9" s="100">
        <f>Kennzahlen!C55</f>
        <v>-30.299999999999976</v>
      </c>
      <c r="G9" s="101">
        <f>Kennzahlen!B55</f>
        <v>-13.400000000000126</v>
      </c>
      <c r="H9" s="143"/>
      <c r="I9" s="144"/>
      <c r="J9" s="144"/>
      <c r="K9" s="144"/>
      <c r="L9" s="145"/>
      <c r="M9" s="144"/>
      <c r="N9" s="145"/>
      <c r="O9" s="47" t="e">
        <f>((G9/B9)^(1/5)-1)</f>
        <v>#DIV/0!</v>
      </c>
      <c r="P9" s="79">
        <f>((N9/G9)^(1/7)-1)</f>
        <v>-1</v>
      </c>
    </row>
    <row r="10" spans="1:16" ht="13.5" thickBot="1" x14ac:dyDescent="0.25">
      <c r="A10" s="107" t="s">
        <v>125</v>
      </c>
      <c r="B10" s="112">
        <f>Kennzahlen!G45</f>
        <v>0</v>
      </c>
      <c r="C10" s="104">
        <f>Kennzahlen!F45</f>
        <v>0</v>
      </c>
      <c r="D10" s="104">
        <f>Kennzahlen!E45</f>
        <v>0</v>
      </c>
      <c r="E10" s="104">
        <f>Kennzahlen!D45</f>
        <v>13.6</v>
      </c>
      <c r="F10" s="104">
        <f>Kennzahlen!C45</f>
        <v>89</v>
      </c>
      <c r="G10" s="105">
        <f>Kennzahlen!B45</f>
        <v>666.6</v>
      </c>
      <c r="H10" s="146"/>
      <c r="I10" s="147"/>
      <c r="J10" s="147"/>
      <c r="K10" s="147"/>
      <c r="L10" s="148"/>
      <c r="M10" s="147"/>
      <c r="N10" s="148"/>
      <c r="O10" s="47" t="e">
        <f>((G10/B10)^(1/5)-1)</f>
        <v>#DIV/0!</v>
      </c>
      <c r="P10" s="79">
        <f>((N10/G10)^(1/7)-1)</f>
        <v>-1</v>
      </c>
    </row>
    <row r="11" spans="1:16" ht="13.5" thickBot="1" x14ac:dyDescent="0.25">
      <c r="A11" s="108" t="s">
        <v>126</v>
      </c>
      <c r="B11" s="113" t="e">
        <f t="shared" ref="B11:L11" si="0">B5*(1-B6)+B7-B8-B9-B10</f>
        <v>#DIV/0!</v>
      </c>
      <c r="C11" s="102" t="e">
        <f t="shared" si="0"/>
        <v>#DIV/0!</v>
      </c>
      <c r="D11" s="102" t="e">
        <f t="shared" si="0"/>
        <v>#DIV/0!</v>
      </c>
      <c r="E11" s="102">
        <f t="shared" si="0"/>
        <v>740.00626535626532</v>
      </c>
      <c r="F11" s="102">
        <f t="shared" si="0"/>
        <v>311.35003015075375</v>
      </c>
      <c r="G11" s="103">
        <f t="shared" si="0"/>
        <v>-312.34757071906711</v>
      </c>
      <c r="H11" s="49">
        <f t="shared" si="0"/>
        <v>0</v>
      </c>
      <c r="I11" s="49">
        <f t="shared" si="0"/>
        <v>0</v>
      </c>
      <c r="J11" s="49">
        <f t="shared" si="0"/>
        <v>0</v>
      </c>
      <c r="K11" s="49">
        <f t="shared" si="0"/>
        <v>0</v>
      </c>
      <c r="L11" s="49">
        <f t="shared" si="0"/>
        <v>0</v>
      </c>
      <c r="M11" s="49">
        <f>M5*(1-M6)+M7-M8-M9-M10</f>
        <v>0</v>
      </c>
      <c r="N11" s="49">
        <f>N5*(1-N6)+N7-N8-N9-N10</f>
        <v>0</v>
      </c>
      <c r="O11" s="51" t="e">
        <f>((G11/B11)^(1/5)-1)</f>
        <v>#DIV/0!</v>
      </c>
      <c r="P11" s="81">
        <f>((N11/G11)^(1/7)-1)</f>
        <v>-1</v>
      </c>
    </row>
    <row r="12" spans="1:16" ht="13.5" thickTop="1" x14ac:dyDescent="0.2">
      <c r="A12" s="4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22"/>
    </row>
    <row r="13" spans="1:16" x14ac:dyDescent="0.2">
      <c r="A13" s="4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22"/>
    </row>
    <row r="14" spans="1:16" x14ac:dyDescent="0.2">
      <c r="A14" s="4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22"/>
    </row>
    <row r="15" spans="1:16" x14ac:dyDescent="0.2">
      <c r="A15" s="4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22"/>
    </row>
    <row r="16" spans="1:16" x14ac:dyDescent="0.2">
      <c r="A16" s="4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22"/>
    </row>
    <row r="17" spans="1:16" x14ac:dyDescent="0.2">
      <c r="A17" s="4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22"/>
    </row>
    <row r="18" spans="1:16" x14ac:dyDescent="0.2">
      <c r="A18" s="4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2"/>
    </row>
    <row r="19" spans="1:16" x14ac:dyDescent="0.2">
      <c r="A19" s="4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22"/>
    </row>
    <row r="20" spans="1:16" x14ac:dyDescent="0.2">
      <c r="A20" s="4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22"/>
    </row>
    <row r="21" spans="1:16" x14ac:dyDescent="0.2">
      <c r="A21" s="4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22"/>
    </row>
    <row r="22" spans="1:16" x14ac:dyDescent="0.2">
      <c r="A22" s="4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22"/>
    </row>
    <row r="23" spans="1:16" x14ac:dyDescent="0.2">
      <c r="A23" s="4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22"/>
    </row>
    <row r="24" spans="1:16" x14ac:dyDescent="0.2">
      <c r="A24" s="4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22"/>
    </row>
    <row r="25" spans="1:16" x14ac:dyDescent="0.2">
      <c r="A25" s="4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2"/>
    </row>
    <row r="26" spans="1:16" x14ac:dyDescent="0.2">
      <c r="A26" s="4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22"/>
    </row>
    <row r="27" spans="1:16" x14ac:dyDescent="0.2">
      <c r="A27" s="4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22"/>
    </row>
    <row r="28" spans="1:16" x14ac:dyDescent="0.2">
      <c r="A28" s="4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2"/>
    </row>
    <row r="29" spans="1:16" x14ac:dyDescent="0.2">
      <c r="A29" s="4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22"/>
    </row>
    <row r="30" spans="1:16" x14ac:dyDescent="0.2">
      <c r="A30" s="4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22"/>
    </row>
    <row r="31" spans="1:16" x14ac:dyDescent="0.2">
      <c r="A31" s="4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22"/>
    </row>
    <row r="32" spans="1:16" x14ac:dyDescent="0.2">
      <c r="A32" s="4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22"/>
    </row>
    <row r="33" spans="1:16" x14ac:dyDescent="0.2">
      <c r="A33" s="4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22"/>
    </row>
    <row r="34" spans="1:16" x14ac:dyDescent="0.2">
      <c r="A34" s="4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22"/>
    </row>
    <row r="35" spans="1:16" x14ac:dyDescent="0.2">
      <c r="A35" s="4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22"/>
    </row>
    <row r="36" spans="1:16" x14ac:dyDescent="0.2">
      <c r="A36" s="4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2"/>
    </row>
    <row r="37" spans="1:16" ht="13.5" thickBot="1" x14ac:dyDescent="0.25">
      <c r="A37" s="82" t="s">
        <v>138</v>
      </c>
      <c r="B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22"/>
    </row>
    <row r="38" spans="1:16" ht="13.5" thickTop="1" x14ac:dyDescent="0.2">
      <c r="A38" s="44" t="s">
        <v>131</v>
      </c>
      <c r="B38" s="11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22"/>
    </row>
    <row r="39" spans="1:16" x14ac:dyDescent="0.2">
      <c r="A39" s="45" t="s">
        <v>132</v>
      </c>
      <c r="B39" s="66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22"/>
    </row>
    <row r="40" spans="1:16" ht="13.5" thickBot="1" x14ac:dyDescent="0.25">
      <c r="A40" s="45" t="s">
        <v>133</v>
      </c>
      <c r="B40" s="71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22"/>
    </row>
    <row r="41" spans="1:16" x14ac:dyDescent="0.2">
      <c r="A41" s="91" t="s">
        <v>134</v>
      </c>
      <c r="B41" s="92" t="e">
        <f>Kennzahlen!M70</f>
        <v>#DIV/0!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22"/>
    </row>
    <row r="42" spans="1:16" x14ac:dyDescent="0.2">
      <c r="A42" s="93" t="s">
        <v>135</v>
      </c>
      <c r="B42" s="94">
        <f>(Kennzahlen!B18+Kennzahlen!B16)/Kennzahlen!B20</f>
        <v>0.98034906270200384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22"/>
    </row>
    <row r="43" spans="1:16" ht="13.5" thickBot="1" x14ac:dyDescent="0.25">
      <c r="A43" s="93" t="s">
        <v>136</v>
      </c>
      <c r="B43" s="95" t="e">
        <f>B39*(1+(1-B41)*B42)</f>
        <v>#DIV/0!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22"/>
    </row>
    <row r="44" spans="1:16" ht="14.25" thickTop="1" thickBot="1" x14ac:dyDescent="0.25">
      <c r="A44" s="65" t="s">
        <v>137</v>
      </c>
      <c r="B44" s="67" t="e">
        <f>B38+B43*B40</f>
        <v>#DIV/0!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22"/>
    </row>
    <row r="45" spans="1:16" ht="13.5" thickTop="1" x14ac:dyDescent="0.2">
      <c r="A45" s="5"/>
      <c r="B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22"/>
    </row>
    <row r="46" spans="1:16" x14ac:dyDescent="0.2">
      <c r="A46" s="5"/>
      <c r="B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22"/>
    </row>
    <row r="47" spans="1:16" ht="13.5" thickBot="1" x14ac:dyDescent="0.25">
      <c r="A47" s="73" t="s">
        <v>139</v>
      </c>
      <c r="B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22"/>
    </row>
    <row r="48" spans="1:16" ht="13.5" thickTop="1" x14ac:dyDescent="0.2">
      <c r="A48" s="68" t="s">
        <v>140</v>
      </c>
      <c r="B48" s="6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2"/>
    </row>
    <row r="49" spans="1:16" x14ac:dyDescent="0.2">
      <c r="A49" s="70" t="s">
        <v>142</v>
      </c>
      <c r="B49" s="71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22"/>
    </row>
    <row r="50" spans="1:16" ht="13.5" thickBot="1" x14ac:dyDescent="0.25">
      <c r="A50" s="70" t="s">
        <v>141</v>
      </c>
      <c r="B50" s="8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22"/>
    </row>
    <row r="51" spans="1:16" ht="14.25" thickTop="1" thickBot="1" x14ac:dyDescent="0.25">
      <c r="A51" s="72" t="s">
        <v>143</v>
      </c>
      <c r="B51" s="67" t="e">
        <f>B49*B48/(B50+B48)+B44*B50/(B50+B48)</f>
        <v>#DIV/0!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22"/>
    </row>
    <row r="52" spans="1:16" ht="13.5" thickTop="1" x14ac:dyDescent="0.2">
      <c r="A52" s="5"/>
      <c r="B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22"/>
    </row>
    <row r="53" spans="1:16" x14ac:dyDescent="0.2">
      <c r="A53" s="5"/>
      <c r="B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22"/>
    </row>
    <row r="54" spans="1:16" ht="13.5" thickBot="1" x14ac:dyDescent="0.25">
      <c r="A54" s="82" t="s">
        <v>144</v>
      </c>
      <c r="B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22"/>
    </row>
    <row r="55" spans="1:16" ht="13.5" thickTop="1" x14ac:dyDescent="0.2">
      <c r="A55" s="68" t="s">
        <v>145</v>
      </c>
      <c r="B55" s="6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22"/>
    </row>
    <row r="56" spans="1:16" x14ac:dyDescent="0.2">
      <c r="A56" s="70" t="s">
        <v>146</v>
      </c>
      <c r="B56" s="7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22"/>
    </row>
    <row r="57" spans="1:16" x14ac:dyDescent="0.2">
      <c r="A57" s="70" t="s">
        <v>147</v>
      </c>
      <c r="B57" s="71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22"/>
    </row>
    <row r="58" spans="1:16" ht="13.5" thickBot="1" x14ac:dyDescent="0.25">
      <c r="A58" s="70" t="s">
        <v>148</v>
      </c>
      <c r="B58" s="71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2"/>
    </row>
    <row r="59" spans="1:16" ht="14.25" thickTop="1" thickBot="1" x14ac:dyDescent="0.25">
      <c r="A59" s="72" t="s">
        <v>149</v>
      </c>
      <c r="B59" s="74" t="e">
        <f>B55*(1+B56)*(1-B57)/(B58*(1+B58)^7)</f>
        <v>#DIV/0!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22"/>
    </row>
    <row r="60" spans="1:16" ht="13.5" thickTop="1" x14ac:dyDescent="0.2">
      <c r="A60" s="5"/>
      <c r="B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22"/>
    </row>
    <row r="61" spans="1:16" ht="13.5" thickBot="1" x14ac:dyDescent="0.25">
      <c r="A61" s="82" t="s">
        <v>150</v>
      </c>
      <c r="B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22"/>
    </row>
    <row r="62" spans="1:16" ht="13.5" thickTop="1" x14ac:dyDescent="0.2">
      <c r="A62" s="86" t="s">
        <v>179</v>
      </c>
      <c r="B62" s="87" t="e">
        <f>G11+(H11/(1+B51))+(I11/(1+B51)^2)+(J11/(1+B51)^3)+(K11/(1+B51)^4)+(L11/(1+B51)^5)+(M11/(1+B51)^6)+(N11/(1+B51)^7)</f>
        <v>#DIV/0!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22"/>
    </row>
    <row r="63" spans="1:16" x14ac:dyDescent="0.2">
      <c r="A63" s="88" t="s">
        <v>178</v>
      </c>
      <c r="B63" s="89" t="e">
        <f>B59/B62</f>
        <v>#DIV/0!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22"/>
    </row>
    <row r="64" spans="1:16" x14ac:dyDescent="0.2">
      <c r="A64" s="88" t="s">
        <v>151</v>
      </c>
      <c r="B64" s="90" t="e">
        <f>B62+B59</f>
        <v>#DIV/0!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22"/>
    </row>
    <row r="65" spans="1:16" x14ac:dyDescent="0.2">
      <c r="A65" s="88" t="s">
        <v>152</v>
      </c>
      <c r="B65" s="90">
        <f>Kennzahlen!B60</f>
        <v>1739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22"/>
    </row>
    <row r="66" spans="1:16" x14ac:dyDescent="0.2">
      <c r="A66" s="88" t="s">
        <v>153</v>
      </c>
      <c r="B66" s="90">
        <f>Kennzahlen!B21</f>
        <v>4.3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22"/>
    </row>
    <row r="67" spans="1:16" x14ac:dyDescent="0.2">
      <c r="A67" s="88" t="s">
        <v>154</v>
      </c>
      <c r="B67" s="90">
        <f>Kennzahlen!B6</f>
        <v>466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22"/>
    </row>
    <row r="68" spans="1:16" x14ac:dyDescent="0.2">
      <c r="A68" s="88" t="s">
        <v>155</v>
      </c>
      <c r="B68" s="90" t="e">
        <f>B64-B65-B66+B67</f>
        <v>#DIV/0!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22"/>
    </row>
    <row r="69" spans="1:16" ht="13.5" thickBot="1" x14ac:dyDescent="0.25">
      <c r="A69" s="88" t="s">
        <v>156</v>
      </c>
      <c r="B69" s="90">
        <f>Kennzahlen!B49</f>
        <v>3624.0171052800001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22"/>
    </row>
    <row r="70" spans="1:16" ht="14.25" thickTop="1" thickBot="1" x14ac:dyDescent="0.25">
      <c r="A70" s="75" t="s">
        <v>157</v>
      </c>
      <c r="B70" s="76" t="e">
        <f>(B68/B69)-1</f>
        <v>#DIV/0!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22"/>
    </row>
    <row r="71" spans="1:16" ht="14.25" thickTop="1" thickBot="1" x14ac:dyDescent="0.25">
      <c r="A71" s="55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4"/>
    </row>
    <row r="72" spans="1:16" ht="13.5" thickTop="1" x14ac:dyDescent="0.2"/>
  </sheetData>
  <sheetProtection selectLockedCells="1" selectUnlockedCells="1"/>
  <phoneticPr fontId="4" type="noConversion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Roman,Standard"&amp;12&amp;A</oddHeader>
    <oddFooter>&amp;C&amp;"Times New Roman,Standard"&amp;12Seite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16" sqref="D16"/>
    </sheetView>
  </sheetViews>
  <sheetFormatPr baseColWidth="10" defaultRowHeight="12.75" x14ac:dyDescent="0.2"/>
  <cols>
    <col min="1" max="1" width="28.85546875" customWidth="1"/>
  </cols>
  <sheetData>
    <row r="1" spans="1:3" ht="13.5" thickBot="1" x14ac:dyDescent="0.25"/>
    <row r="2" spans="1:3" x14ac:dyDescent="0.2">
      <c r="A2" s="125" t="s">
        <v>164</v>
      </c>
      <c r="B2" s="126"/>
      <c r="C2" s="127"/>
    </row>
    <row r="3" spans="1:3" ht="13.5" thickBot="1" x14ac:dyDescent="0.25">
      <c r="A3" s="128"/>
      <c r="B3" s="5"/>
      <c r="C3" s="129"/>
    </row>
    <row r="4" spans="1:3" ht="13.5" thickTop="1" x14ac:dyDescent="0.2">
      <c r="A4" s="130" t="s">
        <v>165</v>
      </c>
      <c r="B4" s="122">
        <f>IF(Kennzahlen!B29&gt;0,1,0)</f>
        <v>1</v>
      </c>
      <c r="C4" s="129"/>
    </row>
    <row r="5" spans="1:3" x14ac:dyDescent="0.2">
      <c r="A5" s="131" t="s">
        <v>166</v>
      </c>
      <c r="B5" s="123">
        <f>IF(Kennzahlen!B32&gt;0,1,0)</f>
        <v>1</v>
      </c>
      <c r="C5" s="129"/>
    </row>
    <row r="6" spans="1:3" x14ac:dyDescent="0.2">
      <c r="A6" s="131" t="s">
        <v>167</v>
      </c>
      <c r="B6" s="123">
        <f>IF(Kennzahlen!B79&gt;Kennzahlen!C79,1,0)</f>
        <v>0</v>
      </c>
      <c r="C6" s="129"/>
    </row>
    <row r="7" spans="1:3" x14ac:dyDescent="0.2">
      <c r="A7" s="131" t="s">
        <v>168</v>
      </c>
      <c r="B7" s="123">
        <f>IF(Kennzahlen!B32&gt;Kennzahlen!B29,1,0)</f>
        <v>0</v>
      </c>
      <c r="C7" s="129"/>
    </row>
    <row r="8" spans="1:3" x14ac:dyDescent="0.2">
      <c r="A8" s="131" t="s">
        <v>169</v>
      </c>
      <c r="B8" s="123">
        <f>IF((Kennzahlen!B60/Kennzahlen!B14)&lt;(Kennzahlen!C60/Kennzahlen!C14),1,0)</f>
        <v>0</v>
      </c>
      <c r="C8" s="129"/>
    </row>
    <row r="9" spans="1:3" x14ac:dyDescent="0.2">
      <c r="A9" s="131" t="s">
        <v>170</v>
      </c>
      <c r="B9" s="123">
        <f>IF((Kennzahlen!B7/Kennzahlen!B15)&gt;(Kennzahlen!C7/Kennzahlen!C15),1,0)</f>
        <v>1</v>
      </c>
      <c r="C9" s="129"/>
    </row>
    <row r="10" spans="1:3" x14ac:dyDescent="0.2">
      <c r="A10" s="131" t="s">
        <v>171</v>
      </c>
      <c r="B10" s="123">
        <f>IF(NOT(Kennzahlen!B50&gt;(Kennzahlen!C50*1.05)),1,0)</f>
        <v>1</v>
      </c>
      <c r="C10" s="129"/>
    </row>
    <row r="11" spans="1:3" x14ac:dyDescent="0.2">
      <c r="A11" s="131" t="s">
        <v>172</v>
      </c>
      <c r="B11" s="123">
        <f>IF(((Kennzahlen!B24-Kennzahlen!B25)/Kennzahlen!B24)&gt;((Kennzahlen!C24-Kennzahlen!C25)/Kennzahlen!C24),1,0)</f>
        <v>0</v>
      </c>
      <c r="C11" s="129"/>
    </row>
    <row r="12" spans="1:3" ht="13.5" thickBot="1" x14ac:dyDescent="0.25">
      <c r="A12" s="131" t="s">
        <v>173</v>
      </c>
      <c r="B12" s="123">
        <f>IF((Kennzahlen!B24/Kennzahlen!B13)&gt;(Kennzahlen!C24/Kennzahlen!C13),1,0)</f>
        <v>0</v>
      </c>
      <c r="C12" s="129"/>
    </row>
    <row r="13" spans="1:3" ht="13.5" thickBot="1" x14ac:dyDescent="0.25">
      <c r="A13" s="132" t="s">
        <v>174</v>
      </c>
      <c r="B13" s="124">
        <f>SUM(B4:B12)</f>
        <v>4</v>
      </c>
      <c r="C13" s="129"/>
    </row>
    <row r="14" spans="1:3" ht="14.25" thickTop="1" thickBot="1" x14ac:dyDescent="0.25">
      <c r="A14" s="133"/>
      <c r="B14" s="134"/>
      <c r="C14" s="135"/>
    </row>
    <row r="15" spans="1:3" x14ac:dyDescent="0.2">
      <c r="A15" s="128"/>
      <c r="B15" s="5"/>
      <c r="C15" s="5"/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Kennzahlen</vt:lpstr>
      <vt:lpstr>Diagramme</vt:lpstr>
      <vt:lpstr>DCF</vt:lpstr>
      <vt:lpstr>Bewertung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Alber, Daniel</dc:creator>
  <cp:lastModifiedBy>Daniel Alber</cp:lastModifiedBy>
  <dcterms:created xsi:type="dcterms:W3CDTF">2013-04-06T13:14:51Z</dcterms:created>
  <dcterms:modified xsi:type="dcterms:W3CDTF">2018-04-10T10:59:45Z</dcterms:modified>
</cp:coreProperties>
</file>