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18885" yWindow="225" windowWidth="6330" windowHeight="12165"/>
  </bookViews>
  <sheets>
    <sheet name="Tabelle1" sheetId="1" r:id="rId1"/>
    <sheet name="Tabelle2" sheetId="2" r:id="rId2"/>
    <sheet name="Tabelle3" sheetId="3" r:id="rId3"/>
  </sheets>
  <calcPr calcId="145621"/>
</workbook>
</file>

<file path=xl/calcChain.xml><?xml version="1.0" encoding="utf-8"?>
<calcChain xmlns="http://schemas.openxmlformats.org/spreadsheetml/2006/main">
  <c r="D16" i="1" l="1"/>
  <c r="K16" i="1"/>
  <c r="L16" i="1"/>
  <c r="M16" i="1" s="1"/>
  <c r="N16" i="1" l="1"/>
  <c r="O16" i="1" s="1"/>
  <c r="P16" i="1" s="1"/>
  <c r="K8" i="1" l="1"/>
  <c r="K9" i="1"/>
  <c r="L9" i="1" s="1"/>
  <c r="K10" i="1"/>
  <c r="L10" i="1" s="1"/>
  <c r="K11" i="1"/>
  <c r="L11" i="1" s="1"/>
  <c r="K12" i="1"/>
  <c r="L12" i="1" s="1"/>
  <c r="K13" i="1"/>
  <c r="L13" i="1" s="1"/>
  <c r="K14" i="1"/>
  <c r="L14" i="1" s="1"/>
  <c r="K15" i="1"/>
  <c r="L15" i="1" s="1"/>
  <c r="K17" i="1"/>
  <c r="L17" i="1" s="1"/>
  <c r="I8" i="1"/>
  <c r="C3" i="1"/>
  <c r="E16" i="1" s="1"/>
  <c r="D8" i="1"/>
  <c r="D9" i="1"/>
  <c r="D10" i="1"/>
  <c r="D11" i="1"/>
  <c r="D12" i="1"/>
  <c r="D13" i="1"/>
  <c r="D14" i="1"/>
  <c r="D15" i="1"/>
  <c r="D17" i="1"/>
  <c r="I22" i="1" s="1"/>
  <c r="L8" i="1" l="1"/>
  <c r="M8" i="1" s="1"/>
  <c r="K18" i="1"/>
  <c r="I27" i="1" s="1"/>
  <c r="E9" i="1"/>
  <c r="E11" i="1"/>
  <c r="E13" i="1"/>
  <c r="E15" i="1"/>
  <c r="E17" i="1"/>
  <c r="E10" i="1"/>
  <c r="E12" i="1"/>
  <c r="E14" i="1"/>
  <c r="I25" i="1"/>
  <c r="I32" i="1" s="1"/>
  <c r="M17" i="1"/>
  <c r="M15" i="1"/>
  <c r="F16" i="1" s="1"/>
  <c r="G16" i="1" s="1"/>
  <c r="H16" i="1" s="1"/>
  <c r="I16" i="1" s="1"/>
  <c r="M13" i="1"/>
  <c r="F14" i="1" s="1"/>
  <c r="G14" i="1" s="1"/>
  <c r="H14" i="1" s="1"/>
  <c r="M11" i="1"/>
  <c r="F12" i="1" s="1"/>
  <c r="G12" i="1" s="1"/>
  <c r="H12" i="1" s="1"/>
  <c r="M9" i="1"/>
  <c r="F17" i="1"/>
  <c r="G17" i="1" s="1"/>
  <c r="H17" i="1" s="1"/>
  <c r="M14" i="1"/>
  <c r="F15" i="1" s="1"/>
  <c r="G15" i="1" s="1"/>
  <c r="H15" i="1" s="1"/>
  <c r="M12" i="1"/>
  <c r="F13" i="1" s="1"/>
  <c r="G13" i="1" s="1"/>
  <c r="H13" i="1" s="1"/>
  <c r="M10" i="1"/>
  <c r="F11" i="1" s="1"/>
  <c r="G11" i="1" s="1"/>
  <c r="H11" i="1" s="1"/>
  <c r="F10" i="1" l="1"/>
  <c r="G10" i="1" s="1"/>
  <c r="H10" i="1" s="1"/>
  <c r="I10" i="1" s="1"/>
  <c r="F9" i="1"/>
  <c r="G9" i="1" s="1"/>
  <c r="H9" i="1" s="1"/>
  <c r="I9" i="1" s="1"/>
  <c r="N8" i="1"/>
  <c r="O8" i="1" s="1"/>
  <c r="P8" i="1" s="1"/>
  <c r="I11" i="1"/>
  <c r="I12" i="1"/>
  <c r="I13" i="1"/>
  <c r="I14" i="1"/>
  <c r="I15" i="1"/>
  <c r="I17" i="1"/>
  <c r="B18" i="1"/>
  <c r="J18" i="1"/>
  <c r="I18" i="1" l="1"/>
  <c r="J36" i="1" s="1"/>
  <c r="N17" i="1"/>
  <c r="O17" i="1" s="1"/>
  <c r="P17" i="1" s="1"/>
  <c r="N15" i="1"/>
  <c r="O15" i="1" s="1"/>
  <c r="P15" i="1" s="1"/>
  <c r="N14" i="1"/>
  <c r="O14" i="1" s="1"/>
  <c r="P14" i="1" s="1"/>
  <c r="N13" i="1"/>
  <c r="O13" i="1" s="1"/>
  <c r="P13" i="1" s="1"/>
  <c r="N12" i="1"/>
  <c r="O12" i="1" s="1"/>
  <c r="P12" i="1" s="1"/>
  <c r="N11" i="1"/>
  <c r="O11" i="1" s="1"/>
  <c r="P11" i="1" s="1"/>
  <c r="N10" i="1"/>
  <c r="O10" i="1" s="1"/>
  <c r="P10" i="1" s="1"/>
  <c r="N9" i="1"/>
  <c r="O9" i="1" s="1"/>
  <c r="P9" i="1" s="1"/>
  <c r="I39" i="1" l="1"/>
  <c r="I30" i="1"/>
  <c r="I33" i="1" s="1"/>
  <c r="I34" i="1" s="1"/>
  <c r="I35" i="1" s="1"/>
  <c r="I38" i="1" s="1"/>
  <c r="L18" i="1"/>
  <c r="J28" i="1" s="1"/>
  <c r="J29" i="1" s="1"/>
  <c r="J30" i="1" l="1"/>
  <c r="J33" i="1" s="1"/>
  <c r="I40" i="1"/>
  <c r="J37" i="1"/>
  <c r="M18" i="1"/>
  <c r="O18" i="1"/>
  <c r="N18" i="1"/>
  <c r="H18" i="1" l="1"/>
  <c r="J23" i="1" s="1"/>
  <c r="P18" i="1"/>
  <c r="J24" i="1" l="1"/>
  <c r="J25" i="1" s="1"/>
  <c r="J32" i="1" s="1"/>
  <c r="J34" i="1" s="1"/>
  <c r="J35" i="1" s="1"/>
  <c r="J38" i="1" s="1"/>
  <c r="J40" i="1" s="1"/>
</calcChain>
</file>

<file path=xl/comments1.xml><?xml version="1.0" encoding="utf-8"?>
<comments xmlns="http://schemas.openxmlformats.org/spreadsheetml/2006/main">
  <authors>
    <author>Adju</author>
  </authors>
  <commentList>
    <comment ref="C2" authorId="0">
      <text>
        <r>
          <rPr>
            <b/>
            <sz val="9"/>
            <color indexed="81"/>
            <rFont val="Tahoma"/>
            <family val="2"/>
          </rPr>
          <t>Aktuell 0,87%</t>
        </r>
        <r>
          <rPr>
            <sz val="9"/>
            <color indexed="81"/>
            <rFont val="Tahoma"/>
            <family val="2"/>
          </rPr>
          <t xml:space="preserve">
</t>
        </r>
      </text>
    </comment>
    <comment ref="B4" authorId="0">
      <text>
        <r>
          <rPr>
            <b/>
            <sz val="9"/>
            <color indexed="81"/>
            <rFont val="Tahoma"/>
            <family val="2"/>
          </rPr>
          <t>Investmentfonds (mindestens 51% in Kapitalbeteiligungen) = 30%</t>
        </r>
        <r>
          <rPr>
            <sz val="9"/>
            <color indexed="81"/>
            <rFont val="Tahoma"/>
            <family val="2"/>
          </rPr>
          <t xml:space="preserve">
</t>
        </r>
        <r>
          <rPr>
            <b/>
            <sz val="9"/>
            <color indexed="81"/>
            <rFont val="Tahoma"/>
            <family val="2"/>
          </rPr>
          <t>Mischfonds (mindestens 25% in Kapitalbeteiligungen) = 15%
Immobilienfonds (mindestens 51 % in Immobilien und Immobilien-Gesellschaften) = 60%
Ausländische Immobilienfonds (mindestens 51 % in ausländische Immobilien und Auslands-Immobilien-Gesellschaften) = 80%
übrige Fonds (z.B. Rentenfonds) = 0%</t>
        </r>
      </text>
    </comment>
    <comment ref="D7" authorId="0">
      <text>
        <r>
          <rPr>
            <b/>
            <sz val="9"/>
            <color indexed="81"/>
            <rFont val="Tahoma"/>
            <family val="2"/>
          </rPr>
          <t>Gesamtwert der Anteile = Spalte C * Anzahl der Anteile</t>
        </r>
        <r>
          <rPr>
            <sz val="9"/>
            <color indexed="81"/>
            <rFont val="Tahoma"/>
            <family val="2"/>
          </rPr>
          <t xml:space="preserve">
</t>
        </r>
      </text>
    </comment>
    <comment ref="E7" authorId="0">
      <text>
        <r>
          <rPr>
            <b/>
            <sz val="9"/>
            <color indexed="81"/>
            <rFont val="Tahoma"/>
            <family val="2"/>
          </rPr>
          <t>Basisertrag = Wert der Anteile am Jahresanfang des Vorjahres * 70% * Basiszins (Maximal jedoch der Kursgewinn + Ausschüttung des Vorjahres)
In dieser Spalte wird nur der Teil Wert der Anteile am Jahresanfang des Vorjahres * 70% * Basiszins berechnet. Weitere Berechnung folgen in der Spalte Basisertrag 2.</t>
        </r>
        <r>
          <rPr>
            <sz val="9"/>
            <color indexed="81"/>
            <rFont val="Tahoma"/>
            <family val="2"/>
          </rPr>
          <t xml:space="preserve">
</t>
        </r>
      </text>
    </comment>
    <comment ref="F7" authorId="0">
      <text>
        <r>
          <rPr>
            <b/>
            <sz val="9"/>
            <color indexed="81"/>
            <rFont val="Tahoma"/>
            <family val="2"/>
          </rPr>
          <t>Kursgewinn + Ausschüttung im Vorjahr</t>
        </r>
        <r>
          <rPr>
            <sz val="9"/>
            <color indexed="81"/>
            <rFont val="Tahoma"/>
            <family val="2"/>
          </rPr>
          <t xml:space="preserve">
</t>
        </r>
      </text>
    </comment>
    <comment ref="G7" authorId="0">
      <text>
        <r>
          <rPr>
            <b/>
            <sz val="9"/>
            <color indexed="81"/>
            <rFont val="Tahoma"/>
            <family val="2"/>
          </rPr>
          <t>Siehe Spalte Basisertrag 1.
In dieser Spalte wird geschaut, ob die Ausschüttungen und Kursgewinne den Basisertrag unterschreiten oder gar negativ sind. Ist das der Fall, so ist die Summe aus Kursgewinn und Ausschüttung der Basisertrag. Ist die Summe negativ, ist der Basisertrag 0.</t>
        </r>
      </text>
    </comment>
    <comment ref="H7" authorId="0">
      <text>
        <r>
          <rPr>
            <b/>
            <sz val="9"/>
            <color indexed="81"/>
            <rFont val="Tahoma"/>
            <family val="2"/>
          </rPr>
          <t>= Basisertrag (Spalte G) - Ausschüttungen
Falls negativ, dann 0.</t>
        </r>
      </text>
    </comment>
    <comment ref="I7" authorId="0">
      <text>
        <r>
          <rPr>
            <b/>
            <sz val="9"/>
            <color indexed="81"/>
            <rFont val="Tahoma"/>
            <family val="2"/>
          </rPr>
          <t>Steuer auf die Vorabpauschale (ist jährlich zu zahlen) = Spalte E * (1-Teilfreistellung) * 0,26375</t>
        </r>
        <r>
          <rPr>
            <sz val="9"/>
            <color indexed="81"/>
            <rFont val="Tahoma"/>
            <family val="2"/>
          </rPr>
          <t xml:space="preserve">
</t>
        </r>
      </text>
    </comment>
    <comment ref="J7" authorId="0">
      <text>
        <r>
          <rPr>
            <b/>
            <sz val="9"/>
            <color indexed="81"/>
            <rFont val="Tahoma"/>
            <family val="2"/>
          </rPr>
          <t>Ausschüttung pro Anteil</t>
        </r>
      </text>
    </comment>
    <comment ref="K7" authorId="0">
      <text>
        <r>
          <rPr>
            <b/>
            <sz val="9"/>
            <color indexed="81"/>
            <rFont val="Tahoma"/>
            <family val="2"/>
          </rPr>
          <t>Ausschüttung gesamt = Spalte G * Anzahl Anteile</t>
        </r>
      </text>
    </comment>
    <comment ref="L7" authorId="0">
      <text>
        <r>
          <rPr>
            <b/>
            <sz val="9"/>
            <color indexed="81"/>
            <rFont val="Tahoma"/>
            <family val="2"/>
          </rPr>
          <t>Körperschaftssteuer = Spalte H * 0,15</t>
        </r>
      </text>
    </comment>
    <comment ref="M7" authorId="0">
      <text>
        <r>
          <rPr>
            <b/>
            <sz val="9"/>
            <color indexed="81"/>
            <rFont val="Tahoma"/>
            <family val="2"/>
          </rPr>
          <t>Ausschüttung nach Körperschaftssteuer = Spalte H - Spalte I</t>
        </r>
        <r>
          <rPr>
            <sz val="9"/>
            <color indexed="81"/>
            <rFont val="Tahoma"/>
            <family val="2"/>
          </rPr>
          <t xml:space="preserve">
</t>
        </r>
      </text>
    </comment>
    <comment ref="N7" authorId="0">
      <text>
        <r>
          <rPr>
            <b/>
            <sz val="9"/>
            <color indexed="81"/>
            <rFont val="Tahoma"/>
            <family val="2"/>
          </rPr>
          <t>Teilfreigestellte Ausschüttung = Spalte J * (1 - Teilfreistellung)</t>
        </r>
      </text>
    </comment>
    <comment ref="O7" authorId="0">
      <text>
        <r>
          <rPr>
            <b/>
            <sz val="9"/>
            <color indexed="81"/>
            <rFont val="Tahoma"/>
            <family val="2"/>
          </rPr>
          <t>Abgeltungssteuer auf teilfreigestellte Ausschüttung = Spalte K * 0,26375</t>
        </r>
        <r>
          <rPr>
            <sz val="9"/>
            <color indexed="81"/>
            <rFont val="Tahoma"/>
            <family val="2"/>
          </rPr>
          <t xml:space="preserve">
</t>
        </r>
      </text>
    </comment>
    <comment ref="P7" authorId="0">
      <text>
        <r>
          <rPr>
            <b/>
            <sz val="9"/>
            <color indexed="81"/>
            <rFont val="Tahoma"/>
            <family val="2"/>
          </rPr>
          <t>Ausschüttung gesamt Netto = Spalte J - Spalte L</t>
        </r>
      </text>
    </comment>
  </commentList>
</comments>
</file>

<file path=xl/sharedStrings.xml><?xml version="1.0" encoding="utf-8"?>
<sst xmlns="http://schemas.openxmlformats.org/spreadsheetml/2006/main" count="48" uniqueCount="46">
  <si>
    <t>Vorabpauschale</t>
  </si>
  <si>
    <t>Kursgewinn:</t>
  </si>
  <si>
    <t>Datum</t>
  </si>
  <si>
    <t>Vorgang</t>
  </si>
  <si>
    <t>Kauf</t>
  </si>
  <si>
    <t>Verkauf</t>
  </si>
  <si>
    <t>Steuerberechnung</t>
  </si>
  <si>
    <t>Alt</t>
  </si>
  <si>
    <t>Neu</t>
  </si>
  <si>
    <t>Kursgewinn</t>
  </si>
  <si>
    <t>Steuern auf Ausschüttungen</t>
  </si>
  <si>
    <t>Wertentwicklung</t>
  </si>
  <si>
    <t>Anzahl Anteile:</t>
  </si>
  <si>
    <t>Basiszins:</t>
  </si>
  <si>
    <t>Basiszins (70%):</t>
  </si>
  <si>
    <t>Teilfreistellung:</t>
  </si>
  <si>
    <t>steuerpflichtiger Anteil:</t>
  </si>
  <si>
    <t>Ausschüttungen Brutto:</t>
  </si>
  <si>
    <t>Steuerquote:</t>
  </si>
  <si>
    <t>- Teilfreistellung:</t>
  </si>
  <si>
    <t>= steuerpflichtiger Anteil:</t>
  </si>
  <si>
    <t>- KSt.:</t>
  </si>
  <si>
    <t>davon Abgeltungssteuer:</t>
  </si>
  <si>
    <t>+ KSt.:</t>
  </si>
  <si>
    <t>Steuern gesamt:</t>
  </si>
  <si>
    <t>Gewinn gesamt brutto:</t>
  </si>
  <si>
    <t>- Vorabpauschalen:</t>
  </si>
  <si>
    <t>Ausschüttungen</t>
  </si>
  <si>
    <t>stpfl. Anteil Kursgewinn:</t>
  </si>
  <si>
    <t>= stpfl. Anteil gesamt:</t>
  </si>
  <si>
    <t>St.</t>
  </si>
  <si>
    <t>Aus. n. KSt.</t>
  </si>
  <si>
    <t>Kursgew. + Aus.</t>
  </si>
  <si>
    <t>Basisertrag 2</t>
  </si>
  <si>
    <t>St. auf Vorabp.</t>
  </si>
  <si>
    <t>Aus./Ant. Brutto</t>
  </si>
  <si>
    <t>Aus. ges. Brutto</t>
  </si>
  <si>
    <t>Basisertrag 1</t>
  </si>
  <si>
    <t>Berechnung der Steuer</t>
  </si>
  <si>
    <t>Preis/Anteil</t>
  </si>
  <si>
    <t>Alle Ant.</t>
  </si>
  <si>
    <t>KSt.</t>
  </si>
  <si>
    <t>teilfgst. Aus.</t>
  </si>
  <si>
    <t>Aus. ges. net.</t>
  </si>
  <si>
    <t>+ Steuern auf Vorabp.:</t>
  </si>
  <si>
    <t>+ stpfl. Anteil Aus.: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</si>
</sst>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164" formatCode="#,##0.00\ &quot;€&quot;"/>
  </numFmts>
  <fonts count="8" x14ac:knownFonts="1">
    <font>
      <sz val="11"/>
      <color theme="1"/>
      <name val="Calibri"/>
      <family val="2"/>
      <scheme val="minor"/>
    </font>
    <font>
      <sz val="11"/>
      <color theme="1"/>
      <name val="Calibri"/>
      <family val="2"/>
      <scheme val="minor"/>
    </font>
    <font>
      <b/>
      <sz val="11"/>
      <color theme="0"/>
      <name val="Calibri"/>
      <family val="2"/>
      <scheme val="minor"/>
    </font>
    <font>
      <sz val="9"/>
      <color indexed="81"/>
      <name val="Tahoma"/>
      <family val="2"/>
    </font>
    <font>
      <b/>
      <sz val="9"/>
      <color indexed="81"/>
      <name val="Tahoma"/>
      <family val="2"/>
    </font>
    <font>
      <sz val="8"/>
      <color theme="1"/>
      <name val="Calibri"/>
      <family val="2"/>
      <scheme val="minor"/>
    </font>
    <font>
      <b/>
      <sz val="11"/>
      <color theme="1"/>
      <name val="Calibri"/>
      <family val="2"/>
      <scheme val="minor"/>
    </font>
    <font>
      <sz val="12"/>
      <color theme="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499984740745262"/>
        <bgColor indexed="64"/>
      </patternFill>
    </fill>
    <fill>
      <patternFill patternType="solid">
        <fgColor theme="4"/>
        <bgColor theme="4"/>
      </patternFill>
    </fill>
    <fill>
      <patternFill patternType="solid">
        <fgColor rgb="FFDCE6F1"/>
        <bgColor indexed="64"/>
      </patternFill>
    </fill>
  </fills>
  <borders count="22">
    <border>
      <left/>
      <right/>
      <top/>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uble">
        <color auto="1"/>
      </top>
      <bottom/>
      <diagonal/>
    </border>
    <border>
      <left/>
      <right style="thin">
        <color indexed="64"/>
      </right>
      <top style="double">
        <color auto="1"/>
      </top>
      <bottom/>
      <diagonal/>
    </border>
    <border>
      <left style="thin">
        <color indexed="64"/>
      </left>
      <right style="medium">
        <color auto="1"/>
      </right>
      <top style="thin">
        <color indexed="64"/>
      </top>
      <bottom style="thin">
        <color theme="0"/>
      </bottom>
      <diagonal/>
    </border>
    <border>
      <left/>
      <right style="medium">
        <color auto="1"/>
      </right>
      <top style="thin">
        <color indexed="64"/>
      </top>
      <bottom style="thin">
        <color theme="0"/>
      </bottom>
      <diagonal/>
    </border>
    <border>
      <left/>
      <right style="thin">
        <color indexed="64"/>
      </right>
      <top style="thin">
        <color indexed="64"/>
      </top>
      <bottom style="thin">
        <color theme="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81">
    <xf numFmtId="0" fontId="0" fillId="0" borderId="0" xfId="0"/>
    <xf numFmtId="0" fontId="0" fillId="0" borderId="0" xfId="0" applyAlignment="1">
      <alignment horizontal="right"/>
    </xf>
    <xf numFmtId="0" fontId="0" fillId="0" borderId="1" xfId="0" applyBorder="1"/>
    <xf numFmtId="0" fontId="0" fillId="0" borderId="0" xfId="0" applyBorder="1"/>
    <xf numFmtId="0" fontId="0" fillId="0" borderId="2" xfId="0" applyBorder="1"/>
    <xf numFmtId="14" fontId="0" fillId="0" borderId="1" xfId="0" applyNumberFormat="1" applyBorder="1"/>
    <xf numFmtId="14" fontId="0" fillId="0" borderId="0" xfId="0" applyNumberFormat="1" applyBorder="1"/>
    <xf numFmtId="164" fontId="0" fillId="0" borderId="0" xfId="0" applyNumberFormat="1"/>
    <xf numFmtId="44" fontId="0" fillId="0" borderId="0" xfId="1" applyFont="1"/>
    <xf numFmtId="44" fontId="0" fillId="0" borderId="1" xfId="1" applyFont="1" applyBorder="1"/>
    <xf numFmtId="44" fontId="0" fillId="0" borderId="2" xfId="1" applyFont="1" applyBorder="1"/>
    <xf numFmtId="0" fontId="0" fillId="0" borderId="3" xfId="0" applyBorder="1" applyAlignment="1">
      <alignment horizontal="centerContinuous"/>
    </xf>
    <xf numFmtId="0" fontId="0" fillId="0" borderId="4" xfId="0" applyBorder="1" applyAlignment="1">
      <alignment horizontal="centerContinuous"/>
    </xf>
    <xf numFmtId="0" fontId="0" fillId="0" borderId="5" xfId="0" applyBorder="1" applyAlignment="1">
      <alignment horizontal="centerContinuous"/>
    </xf>
    <xf numFmtId="0" fontId="0" fillId="0" borderId="0" xfId="0" applyFill="1"/>
    <xf numFmtId="0" fontId="0" fillId="0" borderId="6" xfId="0" applyBorder="1" applyAlignment="1">
      <alignment horizontal="right"/>
    </xf>
    <xf numFmtId="0" fontId="0" fillId="4" borderId="7" xfId="0" applyFill="1" applyBorder="1"/>
    <xf numFmtId="44" fontId="0" fillId="0" borderId="0" xfId="1" applyFont="1" applyBorder="1"/>
    <xf numFmtId="10" fontId="0" fillId="4" borderId="7" xfId="0" applyNumberFormat="1" applyFill="1" applyBorder="1"/>
    <xf numFmtId="10" fontId="0" fillId="3" borderId="7" xfId="0" applyNumberFormat="1" applyFill="1" applyBorder="1"/>
    <xf numFmtId="44" fontId="0" fillId="0" borderId="1" xfId="0" applyNumberFormat="1" applyFont="1" applyBorder="1"/>
    <xf numFmtId="44" fontId="0" fillId="0" borderId="0" xfId="0" applyNumberFormat="1" applyFont="1"/>
    <xf numFmtId="44" fontId="0" fillId="0" borderId="0" xfId="0" applyNumberFormat="1" applyFont="1" applyBorder="1"/>
    <xf numFmtId="0" fontId="0" fillId="0" borderId="0" xfId="0" quotePrefix="1" applyAlignment="1">
      <alignment horizontal="right"/>
    </xf>
    <xf numFmtId="164" fontId="0" fillId="0" borderId="2" xfId="0" applyNumberFormat="1" applyBorder="1"/>
    <xf numFmtId="0" fontId="5" fillId="0" borderId="0" xfId="0" applyFont="1" applyAlignment="1">
      <alignment horizontal="right" textRotation="90"/>
    </xf>
    <xf numFmtId="44" fontId="0" fillId="0" borderId="0" xfId="0" applyNumberFormat="1"/>
    <xf numFmtId="164" fontId="0" fillId="0" borderId="0" xfId="1" applyNumberFormat="1" applyFont="1" applyBorder="1"/>
    <xf numFmtId="44" fontId="0" fillId="0" borderId="2" xfId="0" applyNumberFormat="1" applyFont="1" applyBorder="1"/>
    <xf numFmtId="0" fontId="2" fillId="2" borderId="4" xfId="0" applyFont="1" applyFill="1" applyBorder="1" applyAlignment="1">
      <alignment horizontal="centerContinuous"/>
    </xf>
    <xf numFmtId="0" fontId="2" fillId="2" borderId="5" xfId="0" applyFont="1" applyFill="1" applyBorder="1" applyAlignment="1">
      <alignment horizontal="centerContinuous"/>
    </xf>
    <xf numFmtId="0" fontId="2" fillId="5" borderId="3" xfId="0" applyFont="1" applyFill="1" applyBorder="1" applyAlignment="1">
      <alignment horizontal="centerContinuous"/>
    </xf>
    <xf numFmtId="0" fontId="2" fillId="5" borderId="4" xfId="0" applyFont="1" applyFill="1" applyBorder="1" applyAlignment="1">
      <alignment horizontal="centerContinuous"/>
    </xf>
    <xf numFmtId="0" fontId="2" fillId="5" borderId="5" xfId="0" applyFont="1" applyFill="1" applyBorder="1" applyAlignment="1">
      <alignment horizontal="centerContinuous"/>
    </xf>
    <xf numFmtId="164" fontId="0" fillId="7" borderId="8" xfId="0" applyNumberFormat="1" applyFill="1" applyBorder="1"/>
    <xf numFmtId="164" fontId="0" fillId="0" borderId="8" xfId="0" applyNumberFormat="1" applyFill="1" applyBorder="1"/>
    <xf numFmtId="0" fontId="0" fillId="7" borderId="10" xfId="0" applyFill="1" applyBorder="1" applyAlignment="1">
      <alignment horizontal="right"/>
    </xf>
    <xf numFmtId="164" fontId="0" fillId="7" borderId="11" xfId="0" applyNumberFormat="1" applyFill="1" applyBorder="1"/>
    <xf numFmtId="164" fontId="0" fillId="7" borderId="12" xfId="0" applyNumberFormat="1" applyFill="1" applyBorder="1"/>
    <xf numFmtId="0" fontId="0" fillId="0" borderId="13" xfId="0" quotePrefix="1" applyFill="1" applyBorder="1" applyAlignment="1">
      <alignment horizontal="right"/>
    </xf>
    <xf numFmtId="164" fontId="0" fillId="0" borderId="14" xfId="0" applyNumberFormat="1" applyFill="1" applyBorder="1"/>
    <xf numFmtId="0" fontId="6" fillId="7" borderId="15" xfId="0" quotePrefix="1" applyFont="1" applyFill="1" applyBorder="1" applyAlignment="1">
      <alignment horizontal="right"/>
    </xf>
    <xf numFmtId="164" fontId="6" fillId="7" borderId="0" xfId="0" applyNumberFormat="1" applyFont="1" applyFill="1" applyBorder="1"/>
    <xf numFmtId="164" fontId="6" fillId="7" borderId="16" xfId="0" applyNumberFormat="1" applyFont="1" applyFill="1" applyBorder="1"/>
    <xf numFmtId="0" fontId="0" fillId="0" borderId="15" xfId="0" applyFill="1" applyBorder="1" applyAlignment="1">
      <alignment horizontal="right"/>
    </xf>
    <xf numFmtId="164" fontId="0" fillId="0" borderId="0" xfId="0" applyNumberFormat="1" applyFill="1" applyBorder="1"/>
    <xf numFmtId="164" fontId="0" fillId="0" borderId="16" xfId="0" applyNumberFormat="1" applyFill="1" applyBorder="1"/>
    <xf numFmtId="0" fontId="0" fillId="7" borderId="15" xfId="0" quotePrefix="1" applyFill="1" applyBorder="1" applyAlignment="1">
      <alignment horizontal="right"/>
    </xf>
    <xf numFmtId="164" fontId="0" fillId="7" borderId="0" xfId="0" applyNumberFormat="1" applyFill="1" applyBorder="1"/>
    <xf numFmtId="164" fontId="0" fillId="7" borderId="16" xfId="0" applyNumberFormat="1" applyFill="1" applyBorder="1"/>
    <xf numFmtId="0" fontId="0" fillId="0" borderId="15" xfId="0" quotePrefix="1" applyFill="1" applyBorder="1" applyAlignment="1">
      <alignment horizontal="right"/>
    </xf>
    <xf numFmtId="0" fontId="6" fillId="7" borderId="17" xfId="0" applyFont="1" applyFill="1" applyBorder="1" applyAlignment="1">
      <alignment horizontal="right"/>
    </xf>
    <xf numFmtId="0" fontId="0" fillId="7" borderId="13" xfId="0" applyFill="1" applyBorder="1" applyAlignment="1">
      <alignment horizontal="right"/>
    </xf>
    <xf numFmtId="10" fontId="0" fillId="7" borderId="8" xfId="2" applyNumberFormat="1" applyFont="1" applyFill="1" applyBorder="1"/>
    <xf numFmtId="10" fontId="0" fillId="7" borderId="14" xfId="2" applyNumberFormat="1" applyFont="1" applyFill="1" applyBorder="1"/>
    <xf numFmtId="0" fontId="0" fillId="7" borderId="13" xfId="0" quotePrefix="1" applyFill="1" applyBorder="1" applyAlignment="1">
      <alignment horizontal="right"/>
    </xf>
    <xf numFmtId="164" fontId="0" fillId="7" borderId="14" xfId="0" applyNumberFormat="1" applyFill="1" applyBorder="1"/>
    <xf numFmtId="0" fontId="6" fillId="0" borderId="13" xfId="0" applyFont="1" applyFill="1" applyBorder="1" applyAlignment="1">
      <alignment horizontal="right"/>
    </xf>
    <xf numFmtId="164" fontId="6" fillId="0" borderId="8" xfId="0" applyNumberFormat="1" applyFont="1" applyFill="1" applyBorder="1"/>
    <xf numFmtId="164" fontId="6" fillId="0" borderId="14" xfId="0" applyNumberFormat="1" applyFont="1" applyFill="1" applyBorder="1"/>
    <xf numFmtId="164" fontId="0" fillId="7" borderId="11" xfId="0" applyNumberFormat="1" applyFill="1" applyBorder="1" applyAlignment="1">
      <alignment horizontal="centerContinuous"/>
    </xf>
    <xf numFmtId="164" fontId="0" fillId="7" borderId="12" xfId="0" applyNumberFormat="1" applyFill="1" applyBorder="1" applyAlignment="1">
      <alignment horizontal="centerContinuous"/>
    </xf>
    <xf numFmtId="0" fontId="6" fillId="7" borderId="13" xfId="0" quotePrefix="1" applyFont="1" applyFill="1" applyBorder="1" applyAlignment="1">
      <alignment horizontal="right"/>
    </xf>
    <xf numFmtId="164" fontId="6" fillId="7" borderId="8" xfId="0" applyNumberFormat="1" applyFont="1" applyFill="1" applyBorder="1"/>
    <xf numFmtId="164" fontId="6" fillId="7" borderId="14" xfId="0" applyNumberFormat="1" applyFont="1" applyFill="1" applyBorder="1"/>
    <xf numFmtId="164" fontId="6" fillId="7" borderId="9" xfId="0" applyNumberFormat="1" applyFont="1" applyFill="1" applyBorder="1"/>
    <xf numFmtId="164" fontId="6" fillId="7" borderId="18" xfId="0" applyNumberFormat="1" applyFont="1" applyFill="1" applyBorder="1"/>
    <xf numFmtId="164" fontId="0" fillId="0" borderId="0" xfId="0" applyNumberFormat="1" applyFill="1" applyBorder="1" applyAlignment="1">
      <alignment horizontal="centerContinuous"/>
    </xf>
    <xf numFmtId="0" fontId="0" fillId="0" borderId="16" xfId="0" applyFill="1" applyBorder="1" applyAlignment="1">
      <alignment horizontal="centerContinuous"/>
    </xf>
    <xf numFmtId="0" fontId="5" fillId="0" borderId="0" xfId="0" applyFont="1" applyAlignment="1">
      <alignment vertical="center" textRotation="90"/>
    </xf>
    <xf numFmtId="0" fontId="5" fillId="0" borderId="16" xfId="0" applyFont="1" applyBorder="1" applyAlignment="1">
      <alignment horizontal="right" vertical="center" textRotation="90"/>
    </xf>
    <xf numFmtId="0" fontId="5" fillId="0" borderId="0" xfId="0" applyFont="1" applyAlignment="1">
      <alignment textRotation="90"/>
    </xf>
    <xf numFmtId="0" fontId="5" fillId="0" borderId="16" xfId="0" applyFont="1" applyBorder="1" applyAlignment="1">
      <alignment horizontal="right" textRotation="90"/>
    </xf>
    <xf numFmtId="0" fontId="7" fillId="0" borderId="0" xfId="0" applyFont="1" applyAlignment="1">
      <alignment vertical="center" textRotation="90"/>
    </xf>
    <xf numFmtId="0" fontId="7" fillId="0" borderId="16" xfId="0" applyFont="1" applyBorder="1" applyAlignment="1">
      <alignment horizontal="right" vertical="center" textRotation="90"/>
    </xf>
    <xf numFmtId="0" fontId="2" fillId="6" borderId="8" xfId="0" applyFont="1" applyFill="1" applyBorder="1" applyAlignment="1">
      <alignment horizontal="centerContinuous"/>
    </xf>
    <xf numFmtId="0" fontId="2" fillId="6" borderId="19" xfId="0" applyFont="1" applyFill="1" applyBorder="1" applyAlignment="1">
      <alignment horizontal="centerContinuous" vertical="center"/>
    </xf>
    <xf numFmtId="0" fontId="2" fillId="6" borderId="20" xfId="0" applyFont="1" applyFill="1" applyBorder="1" applyAlignment="1">
      <alignment horizontal="centerContinuous"/>
    </xf>
    <xf numFmtId="0" fontId="2" fillId="6" borderId="21" xfId="0" applyFont="1" applyFill="1" applyBorder="1" applyAlignment="1">
      <alignment horizontal="centerContinuous"/>
    </xf>
    <xf numFmtId="0" fontId="2" fillId="6" borderId="13" xfId="0" applyFont="1" applyFill="1" applyBorder="1" applyAlignment="1">
      <alignment horizontal="centerContinuous"/>
    </xf>
    <xf numFmtId="0" fontId="2" fillId="6" borderId="14" xfId="0" applyFont="1" applyFill="1" applyBorder="1" applyAlignment="1">
      <alignment horizontal="centerContinuous"/>
    </xf>
  </cellXfs>
  <cellStyles count="3">
    <cellStyle name="Prozent" xfId="2" builtinId="5"/>
    <cellStyle name="Standard" xfId="0" builtinId="0"/>
    <cellStyle name="Währung" xfId="1" builtinId="4"/>
  </cellStyles>
  <dxfs count="27">
    <dxf>
      <numFmt numFmtId="164" formatCode="#,##0.00\ &quot;€&quot;"/>
      <border diagonalUp="0" diagonalDown="0" outline="0">
        <left/>
        <right style="medium">
          <color auto="1"/>
        </right>
        <top/>
        <bottom/>
      </border>
    </dxf>
    <dxf>
      <numFmt numFmtId="164" formatCode="#,##0.00\ &quot;€&quot;"/>
    </dxf>
    <dxf>
      <font>
        <b val="0"/>
        <i val="0"/>
        <strike val="0"/>
        <condense val="0"/>
        <extend val="0"/>
        <outline val="0"/>
        <shadow val="0"/>
        <u val="none"/>
        <vertAlign val="baseline"/>
        <sz val="11"/>
        <color theme="1"/>
        <name val="Calibri"/>
        <scheme val="minor"/>
      </font>
      <numFmt numFmtId="34" formatCode="_-* #,##0.00\ &quot;€&quot;_-;\-* #,##0.00\ &quot;€&quot;_-;_-* &quot;-&quot;??\ &quot;€&quot;_-;_-@_-"/>
    </dxf>
    <dxf>
      <numFmt numFmtId="164" formatCode="#,##0.00\ &quot;€&quot;"/>
    </dxf>
    <dxf>
      <numFmt numFmtId="164" formatCode="#,##0.00\ &quot;€&quot;"/>
    </dxf>
    <dxf>
      <font>
        <b val="0"/>
        <i val="0"/>
        <strike val="0"/>
        <condense val="0"/>
        <extend val="0"/>
        <outline val="0"/>
        <shadow val="0"/>
        <u val="none"/>
        <vertAlign val="baseline"/>
        <sz val="11"/>
        <color theme="1"/>
        <name val="Calibri"/>
        <scheme val="minor"/>
      </font>
      <numFmt numFmtId="34" formatCode="_-* #,##0.00\ &quot;€&quot;_-;\-* #,##0.00\ &quot;€&quot;_-;_-* &quot;-&quot;??\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34" formatCode="_-* #,##0.00\ &quot;€&quot;_-;\-* #,##0.00\ &quot;€&quot;_-;_-* &quot;-&quot;??\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34" formatCode="_-* #,##0.00\ &quot;€&quot;_-;\-* #,##0.00\ &quot;€&quot;_-;_-* &quot;-&quot;??\ &quot;€&quot;_-;_-@_-"/>
      <border diagonalUp="0" diagonalDown="0" outline="0">
        <left style="medium">
          <color auto="1"/>
        </left>
        <right/>
        <top/>
        <bottom/>
      </border>
    </dxf>
    <dxf>
      <font>
        <b val="0"/>
        <i val="0"/>
        <strike val="0"/>
        <condense val="0"/>
        <extend val="0"/>
        <outline val="0"/>
        <shadow val="0"/>
        <u val="none"/>
        <vertAlign val="baseline"/>
        <sz val="11"/>
        <color theme="1"/>
        <name val="Calibri"/>
        <scheme val="minor"/>
      </font>
      <numFmt numFmtId="34" formatCode="_-* #,##0.00\ &quot;€&quot;_-;\-* #,##0.00\ &quot;€&quot;_-;_-* &quot;-&quot;??\ &quot;€&quot;_-;_-@_-"/>
      <border diagonalUp="0" diagonalDown="0" outline="0">
        <left/>
        <right style="medium">
          <color auto="1"/>
        </right>
        <top/>
        <bottom/>
      </border>
    </dxf>
    <dxf>
      <border diagonalUp="0" diagonalDown="0" outline="0">
        <left/>
        <right style="medium">
          <color auto="1"/>
        </right>
        <top/>
        <bottom/>
      </border>
    </dxf>
    <dxf>
      <font>
        <b/>
        <i val="0"/>
        <color rgb="FFFF0000"/>
      </font>
      <fill>
        <patternFill patternType="none">
          <bgColor auto="1"/>
        </patternFill>
      </fill>
    </dxf>
    <dxf>
      <border diagonalUp="0" diagonalDown="0">
        <left/>
        <right style="medium">
          <color auto="1"/>
        </right>
        <top/>
        <bottom/>
        <vertical/>
        <horizontal/>
      </border>
    </dxf>
    <dxf>
      <font>
        <b val="0"/>
        <i val="0"/>
        <strike val="0"/>
        <condense val="0"/>
        <extend val="0"/>
        <outline val="0"/>
        <shadow val="0"/>
        <u val="none"/>
        <vertAlign val="baseline"/>
        <sz val="11"/>
        <color theme="1"/>
        <name val="Calibri"/>
        <scheme val="minor"/>
      </font>
      <numFmt numFmtId="34" formatCode="_-* #,##0.00\ &quot;€&quot;_-;\-* #,##0.00\ &quot;€&quot;_-;_-* &quot;-&quot;??\ &quot;€&quot;_-;_-@_-"/>
      <border diagonalUp="0" diagonalDown="0">
        <left/>
        <right style="medium">
          <color auto="1"/>
        </right>
        <top/>
        <bottom/>
        <vertical/>
        <horizontal/>
      </border>
    </dxf>
    <dxf>
      <numFmt numFmtId="34" formatCode="_-* #,##0.00\ &quot;€&quot;_-;\-* #,##0.00\ &quot;€&quot;_-;_-* &quot;-&quot;??\ &quot;€&quot;_-;_-@_-"/>
      <border diagonalUp="0" diagonalDown="0">
        <left style="medium">
          <color auto="1"/>
        </left>
        <right/>
        <top/>
        <bottom/>
        <vertical/>
        <horizontal/>
      </border>
    </dxf>
    <dxf>
      <font>
        <b val="0"/>
        <i val="0"/>
        <strike val="0"/>
        <condense val="0"/>
        <extend val="0"/>
        <outline val="0"/>
        <shadow val="0"/>
        <u val="none"/>
        <vertAlign val="baseline"/>
        <sz val="11"/>
        <color theme="1"/>
        <name val="Calibri"/>
        <scheme val="minor"/>
      </font>
      <numFmt numFmtId="164" formatCode="#,##0.00\ &quot;€&quot;"/>
    </dxf>
    <dxf>
      <font>
        <b val="0"/>
        <i val="0"/>
        <strike val="0"/>
        <condense val="0"/>
        <extend val="0"/>
        <outline val="0"/>
        <shadow val="0"/>
        <u val="none"/>
        <vertAlign val="baseline"/>
        <sz val="11"/>
        <color theme="1"/>
        <name val="Calibri"/>
        <scheme val="minor"/>
      </font>
      <numFmt numFmtId="34" formatCode="_-* #,##0.00\ &quot;€&quot;_-;\-* #,##0.00\ &quot;€&quot;_-;_-* &quot;-&quot;??\ &quot;€&quot;_-;_-@_-"/>
    </dxf>
    <dxf>
      <font>
        <b val="0"/>
        <i val="0"/>
        <strike val="0"/>
        <condense val="0"/>
        <extend val="0"/>
        <outline val="0"/>
        <shadow val="0"/>
        <u val="none"/>
        <vertAlign val="baseline"/>
        <sz val="11"/>
        <color theme="1"/>
        <name val="Calibri"/>
        <scheme val="minor"/>
      </font>
      <numFmt numFmtId="34" formatCode="_-* #,##0.00\ &quot;€&quot;_-;\-* #,##0.00\ &quot;€&quot;_-;_-* &quot;-&quot;??\ &quot;€&quot;_-;_-@_-"/>
    </dxf>
    <dxf>
      <numFmt numFmtId="164" formatCode="#,##0.00\ &quot;€&quot;"/>
    </dxf>
    <dxf>
      <numFmt numFmtId="164" formatCode="#,##0.00\ &quot;€&quot;"/>
    </dxf>
    <dxf>
      <numFmt numFmtId="34" formatCode="_-* #,##0.00\ &quot;€&quot;_-;\-* #,##0.00\ &quot;€&quot;_-;_-* &quot;-&quot;??\ &quot;€&quot;_-;_-@_-"/>
    </dxf>
    <dxf>
      <numFmt numFmtId="164" formatCode="#,##0.00\ &quot;€&quot;"/>
    </dxf>
    <dxf>
      <numFmt numFmtId="164" formatCode="#,##0.00\ &quot;€&quot;"/>
    </dxf>
    <dxf>
      <font>
        <b val="0"/>
        <i val="0"/>
        <strike val="0"/>
        <condense val="0"/>
        <extend val="0"/>
        <outline val="0"/>
        <shadow val="0"/>
        <u val="none"/>
        <vertAlign val="baseline"/>
        <sz val="11"/>
        <color theme="1"/>
        <name val="Calibri"/>
        <scheme val="minor"/>
      </font>
      <numFmt numFmtId="34" formatCode="_-* #,##0.00\ &quot;€&quot;_-;\-* #,##0.00\ &quot;€&quot;_-;_-* &quot;-&quot;??\ &quot;€&quot;_-;_-@_-"/>
    </dxf>
    <dxf>
      <border diagonalUp="0" diagonalDown="0" outline="0">
        <left style="medium">
          <color auto="1"/>
        </left>
        <right/>
        <top/>
        <bottom/>
      </border>
    </dxf>
    <dxf>
      <border diagonalUp="0" diagonalDown="0">
        <left/>
        <right style="medium">
          <color auto="1"/>
        </right>
        <top/>
        <bottom/>
        <vertical/>
        <horizontal/>
      </border>
    </dxf>
    <dxf>
      <numFmt numFmtId="19" formatCode="dd/mm/yyyy"/>
    </dxf>
    <dxf>
      <numFmt numFmtId="19" formatCode="dd/mm/yyyy"/>
      <border diagonalUp="0" diagonalDown="0">
        <left style="medium">
          <color auto="1"/>
        </left>
        <right/>
        <top/>
        <bottom/>
        <vertical/>
        <horizontal/>
      </border>
    </dxf>
  </dxfs>
  <tableStyles count="0" defaultTableStyle="TableStyleMedium2" defaultPivotStyle="PivotStyleLight16"/>
  <colors>
    <mruColors>
      <color rgb="FFDCE6F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elle1" displayName="Tabelle1" ref="A7:P18" totalsRowCount="1">
  <autoFilter ref="A7:P17"/>
  <tableColumns count="16">
    <tableColumn id="10" name="Vorgang" dataDxfId="26"/>
    <tableColumn id="1" name="Datum" totalsRowFunction="custom" dataDxfId="25">
      <totalsRowFormula>CONCATENATE(DATEDIF(B8,B17,"Y")," Jahre ",DATEDIF(B8,B17,"YD"), " Tage")</totalsRowFormula>
    </tableColumn>
    <tableColumn id="2" name="Preis/Anteil" dataDxfId="24" dataCellStyle="Währung"/>
    <tableColumn id="17" name="Alle Ant." dataDxfId="12" totalsRowDxfId="9" dataCellStyle="Währung">
      <calculatedColumnFormula>Tabelle1[[#This Row],[Preis/Anteil]]*$C$1</calculatedColumnFormula>
    </tableColumn>
    <tableColumn id="14" name="Basisertrag 1" dataDxfId="16" dataCellStyle="Währung">
      <calculatedColumnFormula>(12-(MONTH(B7)-1))/12*C7*$C$3</calculatedColumnFormula>
    </tableColumn>
    <tableColumn id="11" name="Kursgew. + Aus." dataDxfId="15" dataCellStyle="Währung">
      <calculatedColumnFormula>(Tabelle1[[#This Row],[Preis/Anteil]]-C7)+M7</calculatedColumnFormula>
    </tableColumn>
    <tableColumn id="9" name="Basisertrag 2" dataDxfId="14" dataCellStyle="Währung">
      <calculatedColumnFormula>IF(F8&lt;E8,IF(F8&lt;=0,0,F8),E8)</calculatedColumnFormula>
    </tableColumn>
    <tableColumn id="12" name="Vorabpauschale" totalsRowFunction="sum" dataDxfId="11" totalsRowDxfId="8" dataCellStyle="Währung">
      <calculatedColumnFormula>IF((0.01*C7-M7)*0.7&lt;=0,0,(0.01*C7-M7)*0.7)</calculatedColumnFormula>
    </tableColumn>
    <tableColumn id="13" name="St. auf Vorabp." totalsRowFunction="sum" dataDxfId="13" totalsRowDxfId="7" dataCellStyle="Währung">
      <calculatedColumnFormula>0.26375*Tabelle1[[#This Row],[Vorabpauschale]]*(1-$C$4)</calculatedColumnFormula>
    </tableColumn>
    <tableColumn id="3" name="Aus./Ant. Brutto" totalsRowFunction="sum" dataDxfId="23" totalsRowDxfId="6" dataCellStyle="Währung"/>
    <tableColumn id="18" name="Aus. ges. Brutto" totalsRowFunction="sum" dataDxfId="22" totalsRowDxfId="5" dataCellStyle="Währung">
      <calculatedColumnFormula>Tabelle1[[#This Row],[Aus./Ant. Brutto]]*$C$1</calculatedColumnFormula>
    </tableColumn>
    <tableColumn id="4" name="KSt." totalsRowFunction="sum" dataDxfId="21" totalsRowDxfId="4">
      <calculatedColumnFormula>0.15*Tabelle1[[#This Row],[Aus. ges. Brutto]]</calculatedColumnFormula>
    </tableColumn>
    <tableColumn id="5" name="Aus. n. KSt." totalsRowFunction="sum" dataDxfId="20" totalsRowDxfId="3">
      <calculatedColumnFormula>Tabelle1[[#This Row],[Aus. ges. Brutto]]-Tabelle1[[#This Row],[KSt.]]</calculatedColumnFormula>
    </tableColumn>
    <tableColumn id="6" name="teilfgst. Aus." totalsRowFunction="sum" dataDxfId="19" totalsRowDxfId="2" dataCellStyle="Währung">
      <calculatedColumnFormula>Tabelle1[[#This Row],[Aus. n. KSt.]]*0.7</calculatedColumnFormula>
    </tableColumn>
    <tableColumn id="7" name="St." totalsRowFunction="sum" dataDxfId="18" totalsRowDxfId="1">
      <calculatedColumnFormula>0.26375*Tabelle1[[#This Row],[teilfgst. Aus.]]</calculatedColumnFormula>
    </tableColumn>
    <tableColumn id="8" name="Aus. ges. net." totalsRowFunction="sum" dataDxfId="17" totalsRowDxfId="0">
      <calculatedColumnFormula>Tabelle1[[#This Row],[Aus. n. KSt.]]-Tabelle1[[#This Row],[St.]]</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U41"/>
  <sheetViews>
    <sheetView showGridLines="0" tabSelected="1" workbookViewId="0">
      <selection activeCell="K13" sqref="K13"/>
    </sheetView>
  </sheetViews>
  <sheetFormatPr baseColWidth="10" defaultRowHeight="15" x14ac:dyDescent="0.25"/>
  <cols>
    <col min="1" max="1" width="10.5703125" bestFit="1" customWidth="1"/>
    <col min="2" max="2" width="15.140625" bestFit="1" customWidth="1"/>
    <col min="3" max="3" width="14" bestFit="1" customWidth="1"/>
    <col min="4" max="4" width="11" bestFit="1" customWidth="1"/>
    <col min="5" max="5" width="14.42578125" bestFit="1" customWidth="1"/>
    <col min="6" max="6" width="17.140625" bestFit="1" customWidth="1"/>
    <col min="7" max="7" width="14.42578125" bestFit="1" customWidth="1"/>
    <col min="8" max="8" width="24" bestFit="1" customWidth="1"/>
    <col min="9" max="10" width="17.42578125" customWidth="1"/>
    <col min="11" max="11" width="17.140625" bestFit="1" customWidth="1"/>
    <col min="12" max="12" width="7" bestFit="1" customWidth="1"/>
    <col min="13" max="13" width="13.140625" bestFit="1" customWidth="1"/>
    <col min="14" max="14" width="14.42578125" bestFit="1" customWidth="1"/>
    <col min="15" max="15" width="7" bestFit="1" customWidth="1"/>
    <col min="16" max="16" width="15.140625" bestFit="1" customWidth="1"/>
  </cols>
  <sheetData>
    <row r="1" spans="1:21" x14ac:dyDescent="0.25">
      <c r="B1" s="15" t="s">
        <v>12</v>
      </c>
      <c r="C1" s="16">
        <v>1</v>
      </c>
      <c r="K1" s="3"/>
      <c r="L1" s="3"/>
    </row>
    <row r="2" spans="1:21" x14ac:dyDescent="0.25">
      <c r="B2" s="15" t="s">
        <v>13</v>
      </c>
      <c r="C2" s="18">
        <v>8.6999999999999994E-3</v>
      </c>
      <c r="K2" s="3"/>
      <c r="L2" s="3"/>
    </row>
    <row r="3" spans="1:21" x14ac:dyDescent="0.25">
      <c r="B3" s="15" t="s">
        <v>14</v>
      </c>
      <c r="C3" s="19">
        <f>0.7*C2</f>
        <v>6.0899999999999991E-3</v>
      </c>
      <c r="K3" s="3"/>
      <c r="L3" s="3"/>
    </row>
    <row r="4" spans="1:21" x14ac:dyDescent="0.25">
      <c r="B4" s="15" t="s">
        <v>15</v>
      </c>
      <c r="C4" s="18">
        <v>0.3</v>
      </c>
      <c r="K4" s="3"/>
      <c r="L4" s="3"/>
    </row>
    <row r="5" spans="1:21" ht="7.5" customHeight="1" thickBot="1" x14ac:dyDescent="0.3">
      <c r="B5" s="1"/>
      <c r="C5" s="14"/>
      <c r="K5" s="3"/>
      <c r="L5" s="3"/>
    </row>
    <row r="6" spans="1:21" x14ac:dyDescent="0.25">
      <c r="A6" s="11" t="s">
        <v>11</v>
      </c>
      <c r="B6" s="12"/>
      <c r="C6" s="12"/>
      <c r="D6" s="13"/>
      <c r="E6" s="29" t="s">
        <v>0</v>
      </c>
      <c r="F6" s="29"/>
      <c r="G6" s="29"/>
      <c r="H6" s="30"/>
      <c r="I6" s="31" t="s">
        <v>10</v>
      </c>
      <c r="J6" s="32"/>
      <c r="K6" s="32"/>
      <c r="L6" s="32"/>
      <c r="M6" s="32"/>
      <c r="N6" s="32"/>
      <c r="O6" s="32"/>
      <c r="P6" s="33"/>
    </row>
    <row r="7" spans="1:21" x14ac:dyDescent="0.25">
      <c r="A7" s="2" t="s">
        <v>3</v>
      </c>
      <c r="B7" s="3" t="s">
        <v>2</v>
      </c>
      <c r="C7" s="3" t="s">
        <v>39</v>
      </c>
      <c r="D7" s="4" t="s">
        <v>40</v>
      </c>
      <c r="E7" s="3" t="s">
        <v>37</v>
      </c>
      <c r="F7" s="3" t="s">
        <v>32</v>
      </c>
      <c r="G7" s="3" t="s">
        <v>33</v>
      </c>
      <c r="H7" s="4" t="s">
        <v>0</v>
      </c>
      <c r="I7" s="2" t="s">
        <v>34</v>
      </c>
      <c r="J7" s="3" t="s">
        <v>35</v>
      </c>
      <c r="K7" s="3" t="s">
        <v>36</v>
      </c>
      <c r="L7" t="s">
        <v>41</v>
      </c>
      <c r="M7" t="s">
        <v>31</v>
      </c>
      <c r="N7" t="s">
        <v>42</v>
      </c>
      <c r="O7" t="s">
        <v>30</v>
      </c>
      <c r="P7" t="s">
        <v>43</v>
      </c>
      <c r="Q7" s="2"/>
    </row>
    <row r="8" spans="1:21" x14ac:dyDescent="0.25">
      <c r="A8" s="5" t="s">
        <v>4</v>
      </c>
      <c r="B8" s="6">
        <v>40292</v>
      </c>
      <c r="C8" s="17">
        <v>1000</v>
      </c>
      <c r="D8" s="10">
        <f>Tabelle1[[#This Row],[Preis/Anteil]]*$C$1</f>
        <v>1000</v>
      </c>
      <c r="E8" s="17"/>
      <c r="F8" s="17"/>
      <c r="G8" s="27"/>
      <c r="H8" s="10"/>
      <c r="I8" s="9">
        <f>0.26375*Tabelle1[[#This Row],[Vorabpauschale]]*(1-$C$4)</f>
        <v>0</v>
      </c>
      <c r="J8" s="17">
        <v>10</v>
      </c>
      <c r="K8" s="17">
        <f>Tabelle1[[#This Row],[Aus./Ant. Brutto]]*$C$1</f>
        <v>10</v>
      </c>
      <c r="L8" s="7">
        <f>0.15*Tabelle1[[#This Row],[Aus. ges. Brutto]]</f>
        <v>1.5</v>
      </c>
      <c r="M8" s="7">
        <f>Tabelle1[[#This Row],[Aus. ges. Brutto]]-Tabelle1[[#This Row],[KSt.]]</f>
        <v>8.5</v>
      </c>
      <c r="N8" s="8">
        <f>Tabelle1[[#This Row],[Aus. n. KSt.]]*0.7</f>
        <v>5.9499999999999993</v>
      </c>
      <c r="O8" s="7">
        <f>0.26375*Tabelle1[[#This Row],[teilfgst. Aus.]]</f>
        <v>1.5693124999999997</v>
      </c>
      <c r="P8" s="7">
        <f>Tabelle1[[#This Row],[Aus. n. KSt.]]-Tabelle1[[#This Row],[St.]]</f>
        <v>6.9306875000000003</v>
      </c>
      <c r="Q8" s="2"/>
    </row>
    <row r="9" spans="1:21" x14ac:dyDescent="0.25">
      <c r="A9" s="5"/>
      <c r="B9" s="6">
        <v>40544</v>
      </c>
      <c r="C9" s="17">
        <v>980</v>
      </c>
      <c r="D9" s="10">
        <f>Tabelle1[[#This Row],[Preis/Anteil]]*$C$1</f>
        <v>980</v>
      </c>
      <c r="E9" s="17">
        <f t="shared" ref="E9:E16" si="0">(12-(MONTH(B8)-1))/12*C8*$C$3</f>
        <v>4.567499999999999</v>
      </c>
      <c r="F9" s="17">
        <f>(Tabelle1[[#This Row],[Preis/Anteil]]-C8)+M8</f>
        <v>-11.5</v>
      </c>
      <c r="G9" s="7">
        <f>IF(F9&lt;E9,IF(F9&lt;=0,0,F9),E9)</f>
        <v>0</v>
      </c>
      <c r="H9" s="10">
        <f>IF(Tabelle1[[#This Row],[Basisertrag 2]]-M8&lt;0,0,Tabelle1[[#This Row],[Basisertrag 2]]-M8)</f>
        <v>0</v>
      </c>
      <c r="I9" s="9">
        <f>0.26375*Tabelle1[[#This Row],[Vorabpauschale]]*(1-$C$4)</f>
        <v>0</v>
      </c>
      <c r="J9" s="17">
        <v>11</v>
      </c>
      <c r="K9" s="17">
        <f>Tabelle1[[#This Row],[Aus./Ant. Brutto]]*$C$1</f>
        <v>11</v>
      </c>
      <c r="L9" s="7">
        <f>0.15*Tabelle1[[#This Row],[Aus. ges. Brutto]]</f>
        <v>1.65</v>
      </c>
      <c r="M9" s="7">
        <f>Tabelle1[[#This Row],[Aus. ges. Brutto]]-Tabelle1[[#This Row],[KSt.]]</f>
        <v>9.35</v>
      </c>
      <c r="N9" s="8">
        <f>Tabelle1[[#This Row],[Aus. n. KSt.]]*0.7</f>
        <v>6.544999999999999</v>
      </c>
      <c r="O9" s="7">
        <f>0.26375*Tabelle1[[#This Row],[teilfgst. Aus.]]</f>
        <v>1.7262437499999996</v>
      </c>
      <c r="P9" s="7">
        <f>Tabelle1[[#This Row],[Aus. n. KSt.]]-Tabelle1[[#This Row],[St.]]</f>
        <v>7.6237562499999996</v>
      </c>
      <c r="Q9" s="2"/>
    </row>
    <row r="10" spans="1:21" x14ac:dyDescent="0.25">
      <c r="A10" s="5"/>
      <c r="B10" s="6">
        <v>40909</v>
      </c>
      <c r="C10" s="17">
        <v>1050</v>
      </c>
      <c r="D10" s="10">
        <f>Tabelle1[[#This Row],[Preis/Anteil]]*$C$1</f>
        <v>1050</v>
      </c>
      <c r="E10" s="17">
        <f t="shared" si="0"/>
        <v>5.9681999999999995</v>
      </c>
      <c r="F10" s="17">
        <f>(Tabelle1[[#This Row],[Preis/Anteil]]-C9)+M9</f>
        <v>79.349999999999994</v>
      </c>
      <c r="G10" s="27">
        <f t="shared" ref="G10:G17" si="1">IF(F10&lt;E10,IF(F10&lt;=0,0,F10),E10)</f>
        <v>5.9681999999999995</v>
      </c>
      <c r="H10" s="10">
        <f>IF(Tabelle1[[#This Row],[Basisertrag 2]]-M9&lt;0,0,Tabelle1[[#This Row],[Basisertrag 2]]-M9)</f>
        <v>0</v>
      </c>
      <c r="I10" s="9">
        <f>0.26375*Tabelle1[[#This Row],[Vorabpauschale]]*(1-$C$4)</f>
        <v>0</v>
      </c>
      <c r="J10" s="17">
        <v>12</v>
      </c>
      <c r="K10" s="17">
        <f>Tabelle1[[#This Row],[Aus./Ant. Brutto]]*$C$1</f>
        <v>12</v>
      </c>
      <c r="L10" s="7">
        <f>0.15*Tabelle1[[#This Row],[Aus. ges. Brutto]]</f>
        <v>1.7999999999999998</v>
      </c>
      <c r="M10" s="7">
        <f>Tabelle1[[#This Row],[Aus. ges. Brutto]]-Tabelle1[[#This Row],[KSt.]]</f>
        <v>10.199999999999999</v>
      </c>
      <c r="N10" s="8">
        <f>Tabelle1[[#This Row],[Aus. n. KSt.]]*0.7</f>
        <v>7.1399999999999988</v>
      </c>
      <c r="O10" s="7">
        <f>0.26375*Tabelle1[[#This Row],[teilfgst. Aus.]]</f>
        <v>1.8831749999999996</v>
      </c>
      <c r="P10" s="7">
        <f>Tabelle1[[#This Row],[Aus. n. KSt.]]-Tabelle1[[#This Row],[St.]]</f>
        <v>8.3168249999999997</v>
      </c>
      <c r="Q10" s="2"/>
      <c r="R10" s="26"/>
      <c r="S10" s="7"/>
      <c r="T10" s="7"/>
      <c r="U10" s="7"/>
    </row>
    <row r="11" spans="1:21" x14ac:dyDescent="0.25">
      <c r="A11" s="5"/>
      <c r="B11" s="6">
        <v>41275</v>
      </c>
      <c r="C11" s="17">
        <v>1040</v>
      </c>
      <c r="D11" s="10">
        <f>Tabelle1[[#This Row],[Preis/Anteil]]*$C$1</f>
        <v>1040</v>
      </c>
      <c r="E11" s="17">
        <f t="shared" si="0"/>
        <v>6.394499999999999</v>
      </c>
      <c r="F11" s="17">
        <f>(Tabelle1[[#This Row],[Preis/Anteil]]-C10)+M10</f>
        <v>0.19999999999999929</v>
      </c>
      <c r="G11" s="27">
        <f t="shared" si="1"/>
        <v>0.19999999999999929</v>
      </c>
      <c r="H11" s="10">
        <f>IF(Tabelle1[[#This Row],[Basisertrag 2]]-M10&lt;0,0,Tabelle1[[#This Row],[Basisertrag 2]]-M10)</f>
        <v>0</v>
      </c>
      <c r="I11" s="9">
        <f>0.26375*Tabelle1[[#This Row],[Vorabpauschale]]*(1-$C$4)</f>
        <v>0</v>
      </c>
      <c r="J11" s="17">
        <v>13</v>
      </c>
      <c r="K11" s="17">
        <f>Tabelle1[[#This Row],[Aus./Ant. Brutto]]*$C$1</f>
        <v>13</v>
      </c>
      <c r="L11" s="7">
        <f>0.15*Tabelle1[[#This Row],[Aus. ges. Brutto]]</f>
        <v>1.95</v>
      </c>
      <c r="M11" s="7">
        <f>Tabelle1[[#This Row],[Aus. ges. Brutto]]-Tabelle1[[#This Row],[KSt.]]</f>
        <v>11.05</v>
      </c>
      <c r="N11" s="8">
        <f>Tabelle1[[#This Row],[Aus. n. KSt.]]*0.7</f>
        <v>7.7350000000000003</v>
      </c>
      <c r="O11" s="7">
        <f>0.26375*Tabelle1[[#This Row],[teilfgst. Aus.]]</f>
        <v>2.04010625</v>
      </c>
      <c r="P11" s="7">
        <f>Tabelle1[[#This Row],[Aus. n. KSt.]]-Tabelle1[[#This Row],[St.]]</f>
        <v>9.0098937499999998</v>
      </c>
      <c r="Q11" s="2"/>
    </row>
    <row r="12" spans="1:21" x14ac:dyDescent="0.25">
      <c r="A12" s="5"/>
      <c r="B12" s="6">
        <v>41640</v>
      </c>
      <c r="C12" s="17">
        <v>1100</v>
      </c>
      <c r="D12" s="10">
        <f>Tabelle1[[#This Row],[Preis/Anteil]]*$C$1</f>
        <v>1100</v>
      </c>
      <c r="E12" s="17">
        <f t="shared" si="0"/>
        <v>6.3335999999999988</v>
      </c>
      <c r="F12" s="17">
        <f>(Tabelle1[[#This Row],[Preis/Anteil]]-C11)+M11</f>
        <v>71.05</v>
      </c>
      <c r="G12" s="27">
        <f t="shared" si="1"/>
        <v>6.3335999999999988</v>
      </c>
      <c r="H12" s="10">
        <f>IF(Tabelle1[[#This Row],[Basisertrag 2]]-M11&lt;0,0,Tabelle1[[#This Row],[Basisertrag 2]]-M11)</f>
        <v>0</v>
      </c>
      <c r="I12" s="9">
        <f>0.26375*Tabelle1[[#This Row],[Vorabpauschale]]*(1-$C$4)</f>
        <v>0</v>
      </c>
      <c r="J12" s="17">
        <v>14</v>
      </c>
      <c r="K12" s="17">
        <f>Tabelle1[[#This Row],[Aus./Ant. Brutto]]*$C$1</f>
        <v>14</v>
      </c>
      <c r="L12" s="7">
        <f>0.15*Tabelle1[[#This Row],[Aus. ges. Brutto]]</f>
        <v>2.1</v>
      </c>
      <c r="M12" s="7">
        <f>Tabelle1[[#This Row],[Aus. ges. Brutto]]-Tabelle1[[#This Row],[KSt.]]</f>
        <v>11.9</v>
      </c>
      <c r="N12" s="8">
        <f>Tabelle1[[#This Row],[Aus. n. KSt.]]*0.7</f>
        <v>8.33</v>
      </c>
      <c r="O12" s="7">
        <f>0.26375*Tabelle1[[#This Row],[teilfgst. Aus.]]</f>
        <v>2.1970375</v>
      </c>
      <c r="P12" s="7">
        <f>Tabelle1[[#This Row],[Aus. n. KSt.]]-Tabelle1[[#This Row],[St.]]</f>
        <v>9.7029624999999999</v>
      </c>
      <c r="Q12" s="2"/>
    </row>
    <row r="13" spans="1:21" x14ac:dyDescent="0.25">
      <c r="A13" s="5"/>
      <c r="B13" s="6">
        <v>42005</v>
      </c>
      <c r="C13" s="17">
        <v>1110</v>
      </c>
      <c r="D13" s="10">
        <f>Tabelle1[[#This Row],[Preis/Anteil]]*$C$1</f>
        <v>1110</v>
      </c>
      <c r="E13" s="17">
        <f t="shared" si="0"/>
        <v>6.698999999999999</v>
      </c>
      <c r="F13" s="17">
        <f>(Tabelle1[[#This Row],[Preis/Anteil]]-C12)+M12</f>
        <v>21.9</v>
      </c>
      <c r="G13" s="27">
        <f t="shared" si="1"/>
        <v>6.698999999999999</v>
      </c>
      <c r="H13" s="10">
        <f>IF(Tabelle1[[#This Row],[Basisertrag 2]]-M12&lt;0,0,Tabelle1[[#This Row],[Basisertrag 2]]-M12)</f>
        <v>0</v>
      </c>
      <c r="I13" s="9">
        <f>0.26375*Tabelle1[[#This Row],[Vorabpauschale]]*(1-$C$4)</f>
        <v>0</v>
      </c>
      <c r="J13" s="17">
        <v>15</v>
      </c>
      <c r="K13" s="17">
        <f>Tabelle1[[#This Row],[Aus./Ant. Brutto]]*$C$1</f>
        <v>15</v>
      </c>
      <c r="L13" s="7">
        <f>0.15*Tabelle1[[#This Row],[Aus. ges. Brutto]]</f>
        <v>2.25</v>
      </c>
      <c r="M13" s="7">
        <f>Tabelle1[[#This Row],[Aus. ges. Brutto]]-Tabelle1[[#This Row],[KSt.]]</f>
        <v>12.75</v>
      </c>
      <c r="N13" s="8">
        <f>Tabelle1[[#This Row],[Aus. n. KSt.]]*0.7</f>
        <v>8.9249999999999989</v>
      </c>
      <c r="O13" s="7">
        <f>0.26375*Tabelle1[[#This Row],[teilfgst. Aus.]]</f>
        <v>2.3539687499999995</v>
      </c>
      <c r="P13" s="7">
        <f>Tabelle1[[#This Row],[Aus. n. KSt.]]-Tabelle1[[#This Row],[St.]]</f>
        <v>10.39603125</v>
      </c>
      <c r="Q13" s="2"/>
    </row>
    <row r="14" spans="1:21" x14ac:dyDescent="0.25">
      <c r="A14" s="5"/>
      <c r="B14" s="6">
        <v>42370</v>
      </c>
      <c r="C14" s="17">
        <v>1100</v>
      </c>
      <c r="D14" s="10">
        <f>Tabelle1[[#This Row],[Preis/Anteil]]*$C$1</f>
        <v>1100</v>
      </c>
      <c r="E14" s="17">
        <f t="shared" si="0"/>
        <v>6.7598999999999991</v>
      </c>
      <c r="F14" s="17">
        <f>(Tabelle1[[#This Row],[Preis/Anteil]]-C13)+M13</f>
        <v>2.75</v>
      </c>
      <c r="G14" s="27">
        <f t="shared" si="1"/>
        <v>2.75</v>
      </c>
      <c r="H14" s="10">
        <f>IF(Tabelle1[[#This Row],[Basisertrag 2]]-M13&lt;0,0,Tabelle1[[#This Row],[Basisertrag 2]]-M13)</f>
        <v>0</v>
      </c>
      <c r="I14" s="9">
        <f>0.26375*Tabelle1[[#This Row],[Vorabpauschale]]*(1-$C$4)</f>
        <v>0</v>
      </c>
      <c r="J14" s="17">
        <v>16</v>
      </c>
      <c r="K14" s="17">
        <f>Tabelle1[[#This Row],[Aus./Ant. Brutto]]*$C$1</f>
        <v>16</v>
      </c>
      <c r="L14" s="7">
        <f>0.15*Tabelle1[[#This Row],[Aus. ges. Brutto]]</f>
        <v>2.4</v>
      </c>
      <c r="M14" s="7">
        <f>Tabelle1[[#This Row],[Aus. ges. Brutto]]-Tabelle1[[#This Row],[KSt.]]</f>
        <v>13.6</v>
      </c>
      <c r="N14" s="8">
        <f>Tabelle1[[#This Row],[Aus. n. KSt.]]*0.7</f>
        <v>9.52</v>
      </c>
      <c r="O14" s="7">
        <f>0.26375*Tabelle1[[#This Row],[teilfgst. Aus.]]</f>
        <v>2.5108999999999999</v>
      </c>
      <c r="P14" s="7">
        <f>Tabelle1[[#This Row],[Aus. n. KSt.]]-Tabelle1[[#This Row],[St.]]</f>
        <v>11.0891</v>
      </c>
      <c r="Q14" s="2"/>
    </row>
    <row r="15" spans="1:21" x14ac:dyDescent="0.25">
      <c r="A15" s="5"/>
      <c r="B15" s="6">
        <v>42736</v>
      </c>
      <c r="C15" s="17">
        <v>1130</v>
      </c>
      <c r="D15" s="10">
        <f>Tabelle1[[#This Row],[Preis/Anteil]]*$C$1</f>
        <v>1130</v>
      </c>
      <c r="E15" s="17">
        <f t="shared" si="0"/>
        <v>6.698999999999999</v>
      </c>
      <c r="F15" s="17">
        <f>(Tabelle1[[#This Row],[Preis/Anteil]]-C14)+M14</f>
        <v>43.6</v>
      </c>
      <c r="G15" s="27">
        <f t="shared" si="1"/>
        <v>6.698999999999999</v>
      </c>
      <c r="H15" s="10">
        <f>IF(Tabelle1[[#This Row],[Basisertrag 2]]-M14&lt;0,0,Tabelle1[[#This Row],[Basisertrag 2]]-M14)</f>
        <v>0</v>
      </c>
      <c r="I15" s="9">
        <f>0.26375*Tabelle1[[#This Row],[Vorabpauschale]]*(1-$C$4)</f>
        <v>0</v>
      </c>
      <c r="J15" s="17">
        <v>17</v>
      </c>
      <c r="K15" s="17">
        <f>Tabelle1[[#This Row],[Aus./Ant. Brutto]]*$C$1</f>
        <v>17</v>
      </c>
      <c r="L15" s="7">
        <f>0.15*Tabelle1[[#This Row],[Aus. ges. Brutto]]</f>
        <v>2.5499999999999998</v>
      </c>
      <c r="M15" s="7">
        <f>Tabelle1[[#This Row],[Aus. ges. Brutto]]-Tabelle1[[#This Row],[KSt.]]</f>
        <v>14.45</v>
      </c>
      <c r="N15" s="8">
        <f>Tabelle1[[#This Row],[Aus. n. KSt.]]*0.7</f>
        <v>10.114999999999998</v>
      </c>
      <c r="O15" s="7">
        <f>0.26375*Tabelle1[[#This Row],[teilfgst. Aus.]]</f>
        <v>2.6678312499999994</v>
      </c>
      <c r="P15" s="7">
        <f>Tabelle1[[#This Row],[Aus. n. KSt.]]-Tabelle1[[#This Row],[St.]]</f>
        <v>11.78216875</v>
      </c>
      <c r="Q15" s="2"/>
    </row>
    <row r="16" spans="1:21" x14ac:dyDescent="0.25">
      <c r="A16" s="5"/>
      <c r="B16" s="6">
        <v>43101</v>
      </c>
      <c r="C16" s="17">
        <v>1170</v>
      </c>
      <c r="D16" s="10">
        <f>Tabelle1[[#This Row],[Preis/Anteil]]*$C$1</f>
        <v>1170</v>
      </c>
      <c r="E16" s="17">
        <f t="shared" si="0"/>
        <v>6.8816999999999986</v>
      </c>
      <c r="F16" s="17">
        <f>(Tabelle1[[#This Row],[Preis/Anteil]]-C15)+M15</f>
        <v>54.45</v>
      </c>
      <c r="G16" s="27">
        <f t="shared" si="1"/>
        <v>6.8816999999999986</v>
      </c>
      <c r="H16" s="10">
        <f>IF(Tabelle1[[#This Row],[Basisertrag 2]]-M15&lt;0,0,Tabelle1[[#This Row],[Basisertrag 2]]-M15)</f>
        <v>0</v>
      </c>
      <c r="I16" s="9">
        <f>0.26375*Tabelle1[[#This Row],[Vorabpauschale]]*(1-$C$4)</f>
        <v>0</v>
      </c>
      <c r="J16" s="17">
        <v>18</v>
      </c>
      <c r="K16" s="17">
        <f>Tabelle1[[#This Row],[Aus./Ant. Brutto]]*$C$1</f>
        <v>18</v>
      </c>
      <c r="L16" s="7">
        <f>0.15*Tabelle1[[#This Row],[Aus. ges. Brutto]]</f>
        <v>2.6999999999999997</v>
      </c>
      <c r="M16" s="7">
        <f>Tabelle1[[#This Row],[Aus. ges. Brutto]]-Tabelle1[[#This Row],[KSt.]]</f>
        <v>15.3</v>
      </c>
      <c r="N16" s="8">
        <f>Tabelle1[[#This Row],[Aus. n. KSt.]]*0.7</f>
        <v>10.709999999999999</v>
      </c>
      <c r="O16" s="7">
        <f>0.26375*Tabelle1[[#This Row],[teilfgst. Aus.]]</f>
        <v>2.8247624999999994</v>
      </c>
      <c r="P16" s="7">
        <f>Tabelle1[[#This Row],[Aus. n. KSt.]]-Tabelle1[[#This Row],[St.]]</f>
        <v>12.475237500000002</v>
      </c>
      <c r="Q16" s="2"/>
    </row>
    <row r="17" spans="1:17" x14ac:dyDescent="0.25">
      <c r="A17" s="5" t="s">
        <v>5</v>
      </c>
      <c r="B17" s="6">
        <v>43230</v>
      </c>
      <c r="C17" s="17">
        <v>1150</v>
      </c>
      <c r="D17" s="10">
        <f>Tabelle1[[#This Row],[Preis/Anteil]]*$C$1</f>
        <v>1150</v>
      </c>
      <c r="E17" s="17">
        <f>(12-(MONTH(B16)-1))/12*C16*$C$3</f>
        <v>7.1252999999999993</v>
      </c>
      <c r="F17" s="17">
        <f>(Tabelle1[[#This Row],[Preis/Anteil]]-C16)+M16</f>
        <v>-4.6999999999999993</v>
      </c>
      <c r="G17" s="27">
        <f t="shared" si="1"/>
        <v>0</v>
      </c>
      <c r="H17" s="10">
        <f>IF(Tabelle1[[#This Row],[Basisertrag 2]]-M16&lt;0,0,Tabelle1[[#This Row],[Basisertrag 2]]-M16)</f>
        <v>0</v>
      </c>
      <c r="I17" s="9">
        <f>0.26375*Tabelle1[[#This Row],[Vorabpauschale]]*(1-$C$4)</f>
        <v>0</v>
      </c>
      <c r="J17" s="17">
        <v>19</v>
      </c>
      <c r="K17" s="17">
        <f>Tabelle1[[#This Row],[Aus./Ant. Brutto]]*$C$1</f>
        <v>19</v>
      </c>
      <c r="L17" s="7">
        <f>0.15*Tabelle1[[#This Row],[Aus. ges. Brutto]]</f>
        <v>2.85</v>
      </c>
      <c r="M17" s="7">
        <f>Tabelle1[[#This Row],[Aus. ges. Brutto]]-Tabelle1[[#This Row],[KSt.]]</f>
        <v>16.149999999999999</v>
      </c>
      <c r="N17" s="8">
        <f>Tabelle1[[#This Row],[Aus. n. KSt.]]*0.7</f>
        <v>11.304999999999998</v>
      </c>
      <c r="O17" s="7">
        <f>0.26375*Tabelle1[[#This Row],[teilfgst. Aus.]]</f>
        <v>2.9816937499999994</v>
      </c>
      <c r="P17" s="7">
        <f>Tabelle1[[#This Row],[Aus. n. KSt.]]-Tabelle1[[#This Row],[St.]]</f>
        <v>13.168306249999999</v>
      </c>
      <c r="Q17" s="2"/>
    </row>
    <row r="18" spans="1:17" x14ac:dyDescent="0.25">
      <c r="B18" t="str">
        <f>CONCATENATE(DATEDIF(B8,B17,"Y")," Jahre ",DATEDIF(B8,B17,"YD"), " Tage")</f>
        <v>8 Jahre 16 Tage</v>
      </c>
      <c r="D18" s="4"/>
      <c r="H18" s="28">
        <f>SUBTOTAL(109,Tabelle1[Vorabpauschale])</f>
        <v>0</v>
      </c>
      <c r="I18" s="20">
        <f>SUBTOTAL(109,Tabelle1[St. auf Vorabp.])</f>
        <v>0</v>
      </c>
      <c r="J18" s="22">
        <f>SUBTOTAL(109,Tabelle1[Aus./Ant. Brutto])</f>
        <v>145</v>
      </c>
      <c r="K18" s="22">
        <f>SUBTOTAL(109,Tabelle1[Aus. ges. Brutto])</f>
        <v>145</v>
      </c>
      <c r="L18" s="7">
        <f>SUBTOTAL(109,Tabelle1[KSt.])</f>
        <v>21.75</v>
      </c>
      <c r="M18" s="7">
        <f>SUBTOTAL(109,Tabelle1[Aus. n. KSt.])</f>
        <v>123.25</v>
      </c>
      <c r="N18" s="21">
        <f>SUBTOTAL(109,Tabelle1[teilfgst. Aus.])</f>
        <v>86.274999999999977</v>
      </c>
      <c r="O18" s="7">
        <f>SUBTOTAL(109,Tabelle1[St.])</f>
        <v>22.755031249999995</v>
      </c>
      <c r="P18" s="24">
        <f>SUBTOTAL(109,Tabelle1[Aus. ges. net.])</f>
        <v>100.49496875000001</v>
      </c>
    </row>
    <row r="19" spans="1:17" ht="9.75" customHeight="1" x14ac:dyDescent="0.25">
      <c r="E19" s="1"/>
    </row>
    <row r="20" spans="1:17" x14ac:dyDescent="0.25">
      <c r="H20" s="76" t="s">
        <v>6</v>
      </c>
      <c r="I20" s="77"/>
      <c r="J20" s="78"/>
    </row>
    <row r="21" spans="1:17" x14ac:dyDescent="0.25">
      <c r="H21" s="79"/>
      <c r="I21" s="75" t="s">
        <v>7</v>
      </c>
      <c r="J21" s="80" t="s">
        <v>8</v>
      </c>
    </row>
    <row r="22" spans="1:17" x14ac:dyDescent="0.25">
      <c r="G22" s="70" t="s">
        <v>9</v>
      </c>
      <c r="H22" s="36" t="s">
        <v>1</v>
      </c>
      <c r="I22" s="60">
        <f>D17-D8</f>
        <v>150</v>
      </c>
      <c r="J22" s="61"/>
    </row>
    <row r="23" spans="1:17" ht="15" customHeight="1" x14ac:dyDescent="0.25">
      <c r="F23" s="25"/>
      <c r="G23" s="70"/>
      <c r="H23" s="50" t="s">
        <v>26</v>
      </c>
      <c r="I23" s="45">
        <v>0</v>
      </c>
      <c r="J23" s="46">
        <f>Tabelle1[[#Totals],[Vorabpauschale]]</f>
        <v>0</v>
      </c>
    </row>
    <row r="24" spans="1:17" x14ac:dyDescent="0.25">
      <c r="F24" s="25"/>
      <c r="G24" s="70"/>
      <c r="H24" s="55" t="s">
        <v>19</v>
      </c>
      <c r="I24" s="34">
        <v>0</v>
      </c>
      <c r="J24" s="56">
        <f>$C$4*(I22-J23)</f>
        <v>45</v>
      </c>
    </row>
    <row r="25" spans="1:17" x14ac:dyDescent="0.25">
      <c r="F25" s="25"/>
      <c r="G25" s="70"/>
      <c r="H25" s="62" t="s">
        <v>20</v>
      </c>
      <c r="I25" s="63">
        <f>I22</f>
        <v>150</v>
      </c>
      <c r="J25" s="64">
        <f>I22-J23-J24</f>
        <v>105</v>
      </c>
    </row>
    <row r="26" spans="1:17" x14ac:dyDescent="0.25">
      <c r="F26" s="25"/>
      <c r="G26" s="69"/>
      <c r="H26" s="23"/>
      <c r="I26" s="7"/>
      <c r="J26" s="7"/>
    </row>
    <row r="27" spans="1:17" x14ac:dyDescent="0.25">
      <c r="G27" s="72" t="s">
        <v>27</v>
      </c>
      <c r="H27" s="36" t="s">
        <v>17</v>
      </c>
      <c r="I27" s="60">
        <f>Tabelle1[[#Totals],[Aus. ges. Brutto]]</f>
        <v>145</v>
      </c>
      <c r="J27" s="61"/>
    </row>
    <row r="28" spans="1:17" ht="15" customHeight="1" x14ac:dyDescent="0.25">
      <c r="F28" s="25"/>
      <c r="G28" s="72"/>
      <c r="H28" s="50" t="s">
        <v>21</v>
      </c>
      <c r="I28" s="45">
        <v>0</v>
      </c>
      <c r="J28" s="46">
        <f>Tabelle1[[#Totals],[KSt.]]</f>
        <v>21.75</v>
      </c>
    </row>
    <row r="29" spans="1:17" x14ac:dyDescent="0.25">
      <c r="F29" s="25"/>
      <c r="G29" s="72"/>
      <c r="H29" s="55" t="s">
        <v>19</v>
      </c>
      <c r="I29" s="34">
        <v>0</v>
      </c>
      <c r="J29" s="56">
        <f>(I27-J28)*$C$4</f>
        <v>36.975000000000001</v>
      </c>
    </row>
    <row r="30" spans="1:17" x14ac:dyDescent="0.25">
      <c r="F30" s="25"/>
      <c r="G30" s="72"/>
      <c r="H30" s="57" t="s">
        <v>16</v>
      </c>
      <c r="I30" s="58">
        <f>I27-I28-I29</f>
        <v>145</v>
      </c>
      <c r="J30" s="59">
        <f>I27-J28-J29</f>
        <v>86.275000000000006</v>
      </c>
    </row>
    <row r="31" spans="1:17" x14ac:dyDescent="0.25">
      <c r="F31" s="25"/>
      <c r="G31" s="71"/>
      <c r="H31" s="1"/>
      <c r="I31" s="7"/>
      <c r="J31" s="7"/>
    </row>
    <row r="32" spans="1:17" x14ac:dyDescent="0.25">
      <c r="G32" s="74" t="s">
        <v>38</v>
      </c>
      <c r="H32" s="36" t="s">
        <v>28</v>
      </c>
      <c r="I32" s="37">
        <f>I25</f>
        <v>150</v>
      </c>
      <c r="J32" s="38">
        <f>J25</f>
        <v>105</v>
      </c>
    </row>
    <row r="33" spans="7:10" ht="15" customHeight="1" x14ac:dyDescent="0.25">
      <c r="G33" s="74"/>
      <c r="H33" s="39" t="s">
        <v>45</v>
      </c>
      <c r="I33" s="35">
        <f>I30</f>
        <v>145</v>
      </c>
      <c r="J33" s="40">
        <f>J30</f>
        <v>86.275000000000006</v>
      </c>
    </row>
    <row r="34" spans="7:10" x14ac:dyDescent="0.25">
      <c r="G34" s="74"/>
      <c r="H34" s="41" t="s">
        <v>29</v>
      </c>
      <c r="I34" s="42">
        <f>I32+I33</f>
        <v>295</v>
      </c>
      <c r="J34" s="43">
        <f>J32+J33</f>
        <v>191.27500000000001</v>
      </c>
    </row>
    <row r="35" spans="7:10" x14ac:dyDescent="0.25">
      <c r="G35" s="74"/>
      <c r="H35" s="44" t="s">
        <v>22</v>
      </c>
      <c r="I35" s="45">
        <f>0.26375*I34</f>
        <v>77.806249999999991</v>
      </c>
      <c r="J35" s="46">
        <f>0.26375*J34</f>
        <v>50.448781249999996</v>
      </c>
    </row>
    <row r="36" spans="7:10" x14ac:dyDescent="0.25">
      <c r="G36" s="74"/>
      <c r="H36" s="47" t="s">
        <v>44</v>
      </c>
      <c r="I36" s="48">
        <v>0</v>
      </c>
      <c r="J36" s="49">
        <f>Tabelle1[[#Totals],[St. auf Vorabp.]]</f>
        <v>0</v>
      </c>
    </row>
    <row r="37" spans="7:10" ht="15.75" thickBot="1" x14ac:dyDescent="0.3">
      <c r="G37" s="74"/>
      <c r="H37" s="50" t="s">
        <v>23</v>
      </c>
      <c r="I37" s="45">
        <v>0</v>
      </c>
      <c r="J37" s="46">
        <f>J28</f>
        <v>21.75</v>
      </c>
    </row>
    <row r="38" spans="7:10" ht="15.75" thickTop="1" x14ac:dyDescent="0.25">
      <c r="G38" s="74"/>
      <c r="H38" s="51" t="s">
        <v>24</v>
      </c>
      <c r="I38" s="65">
        <f>I35</f>
        <v>77.806249999999991</v>
      </c>
      <c r="J38" s="66">
        <f>SUM(J35:J37)</f>
        <v>72.198781249999996</v>
      </c>
    </row>
    <row r="39" spans="7:10" x14ac:dyDescent="0.25">
      <c r="G39" s="74"/>
      <c r="H39" s="44" t="s">
        <v>25</v>
      </c>
      <c r="I39" s="67">
        <f>I22+I27</f>
        <v>295</v>
      </c>
      <c r="J39" s="68"/>
    </row>
    <row r="40" spans="7:10" x14ac:dyDescent="0.25">
      <c r="G40" s="74"/>
      <c r="H40" s="52" t="s">
        <v>18</v>
      </c>
      <c r="I40" s="53">
        <f>I38/I39</f>
        <v>0.26374999999999998</v>
      </c>
      <c r="J40" s="54">
        <f>J38/I39</f>
        <v>0.24474163135593219</v>
      </c>
    </row>
    <row r="41" spans="7:10" x14ac:dyDescent="0.25">
      <c r="G41" s="73"/>
    </row>
  </sheetData>
  <mergeCells count="5">
    <mergeCell ref="G22:G25"/>
    <mergeCell ref="G27:G30"/>
    <mergeCell ref="G32:G40"/>
    <mergeCell ref="F23:F26"/>
    <mergeCell ref="F28:F31"/>
  </mergeCells>
  <conditionalFormatting sqref="E8:P18">
    <cfRule type="cellIs" dxfId="10" priority="1" operator="lessThan">
      <formula>0</formula>
    </cfRule>
  </conditionalFormatting>
  <pageMargins left="0.7" right="0.7" top="0.78740157499999996" bottom="0.78740157499999996" header="0.3" footer="0.3"/>
  <pageSetup paperSize="9" orientation="portrait" verticalDpi="597"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Adju</dc:creator>
  <cp:lastModifiedBy>Adju</cp:lastModifiedBy>
  <dcterms:created xsi:type="dcterms:W3CDTF">2018-08-24T14:07:20Z</dcterms:created>
  <dcterms:modified xsi:type="dcterms:W3CDTF">2018-09-05T13:31:25Z</dcterms:modified>
</cp:coreProperties>
</file>