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ohlehalde\"/>
    </mc:Choice>
  </mc:AlternateContent>
  <bookViews>
    <workbookView xWindow="0" yWindow="0" windowWidth="23040" windowHeight="7752" tabRatio="759"/>
  </bookViews>
  <sheets>
    <sheet name="LEER" sheetId="25" r:id="rId1"/>
    <sheet name="evan" sheetId="24" r:id="rId2"/>
    <sheet name="Mogo" sheetId="20" r:id="rId3"/>
    <sheet name="Ekosem" sheetId="19" r:id="rId4"/>
    <sheet name="Ferratum" sheetId="18" r:id="rId5"/>
    <sheet name="USA" sheetId="17" r:id="rId6"/>
    <sheet name="IKB" sheetId="16" r:id="rId7"/>
    <sheet name="NLB" sheetId="14" r:id="rId8"/>
    <sheet name="PCC" sheetId="12" r:id="rId9"/>
    <sheet name="Türkei" sheetId="11" r:id="rId10"/>
    <sheet name="Tabelle2" sheetId="6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25" l="1"/>
  <c r="B33" i="25" s="1"/>
  <c r="C32" i="25" s="1"/>
  <c r="D31" i="25"/>
  <c r="E31" i="25" s="1"/>
  <c r="F26" i="25"/>
  <c r="F19" i="25"/>
  <c r="E18" i="25"/>
  <c r="C18" i="25"/>
  <c r="E16" i="25"/>
  <c r="E25" i="25" s="1"/>
  <c r="C16" i="25"/>
  <c r="E11" i="25"/>
  <c r="B31" i="25" s="1"/>
  <c r="C11" i="25"/>
  <c r="C26" i="25" s="1"/>
  <c r="F9" i="25"/>
  <c r="A33" i="25" l="1"/>
  <c r="C25" i="25"/>
  <c r="F25" i="25" s="1"/>
  <c r="F16" i="25"/>
  <c r="C17" i="25"/>
  <c r="C30" i="25" s="1"/>
  <c r="E17" i="25"/>
  <c r="E24" i="25" s="1"/>
  <c r="B30" i="25"/>
  <c r="B34" i="25"/>
  <c r="D33" i="25" s="1"/>
  <c r="D32" i="25"/>
  <c r="E32" i="25" s="1"/>
  <c r="A34" i="25"/>
  <c r="E26" i="25"/>
  <c r="K18" i="24"/>
  <c r="E18" i="24"/>
  <c r="H32" i="24"/>
  <c r="G33" i="24" s="1"/>
  <c r="B32" i="24"/>
  <c r="J31" i="24"/>
  <c r="K31" i="24" s="1"/>
  <c r="D31" i="24"/>
  <c r="E31" i="24" s="1"/>
  <c r="L26" i="24"/>
  <c r="F26" i="24"/>
  <c r="L19" i="24"/>
  <c r="F19" i="24"/>
  <c r="I18" i="24"/>
  <c r="C18" i="24"/>
  <c r="F18" i="24" s="1"/>
  <c r="K16" i="24"/>
  <c r="I16" i="24"/>
  <c r="L16" i="24" s="1"/>
  <c r="E16" i="24"/>
  <c r="E25" i="24" s="1"/>
  <c r="C16" i="24"/>
  <c r="F16" i="24" s="1"/>
  <c r="K11" i="24"/>
  <c r="K17" i="24" s="1"/>
  <c r="K24" i="24" s="1"/>
  <c r="I11" i="24"/>
  <c r="E11" i="24"/>
  <c r="B31" i="24" s="1"/>
  <c r="C11" i="24"/>
  <c r="B30" i="24" s="1"/>
  <c r="L9" i="24"/>
  <c r="F9" i="24"/>
  <c r="C24" i="25" l="1"/>
  <c r="D30" i="25"/>
  <c r="E30" i="25" s="1"/>
  <c r="B35" i="25"/>
  <c r="D34" i="25" s="1"/>
  <c r="A35" i="25"/>
  <c r="C33" i="25"/>
  <c r="E33" i="25" s="1"/>
  <c r="I17" i="24"/>
  <c r="J30" i="24" s="1"/>
  <c r="K25" i="24"/>
  <c r="I25" i="24"/>
  <c r="H33" i="24"/>
  <c r="G34" i="24" s="1"/>
  <c r="C17" i="24"/>
  <c r="C26" i="24"/>
  <c r="H31" i="24"/>
  <c r="C25" i="24"/>
  <c r="F25" i="24" s="1"/>
  <c r="E26" i="24"/>
  <c r="A33" i="24"/>
  <c r="I26" i="24"/>
  <c r="B33" i="24"/>
  <c r="D32" i="24" s="1"/>
  <c r="K26" i="24"/>
  <c r="E17" i="24"/>
  <c r="E24" i="24" s="1"/>
  <c r="H30" i="24"/>
  <c r="I42" i="6"/>
  <c r="L42" i="6" s="1"/>
  <c r="J42" i="6"/>
  <c r="K42" i="6"/>
  <c r="I41" i="6"/>
  <c r="J41" i="6"/>
  <c r="K41" i="6"/>
  <c r="L41" i="6"/>
  <c r="I40" i="6"/>
  <c r="L40" i="6" s="1"/>
  <c r="J40" i="6"/>
  <c r="K40" i="6"/>
  <c r="I39" i="6"/>
  <c r="L39" i="6" s="1"/>
  <c r="J39" i="6"/>
  <c r="K39" i="6"/>
  <c r="C12" i="12"/>
  <c r="C34" i="25" l="1"/>
  <c r="E34" i="25" s="1"/>
  <c r="B36" i="25"/>
  <c r="D35" i="25" s="1"/>
  <c r="A36" i="25"/>
  <c r="I30" i="24"/>
  <c r="K30" i="24" s="1"/>
  <c r="I24" i="24"/>
  <c r="C30" i="24"/>
  <c r="C24" i="24"/>
  <c r="L25" i="24"/>
  <c r="I32" i="24"/>
  <c r="H34" i="24"/>
  <c r="G35" i="24" s="1"/>
  <c r="J32" i="24"/>
  <c r="K32" i="24" s="1"/>
  <c r="D30" i="24"/>
  <c r="C32" i="24"/>
  <c r="E32" i="24" s="1"/>
  <c r="B34" i="24"/>
  <c r="C33" i="24" s="1"/>
  <c r="A34" i="24"/>
  <c r="J20" i="6"/>
  <c r="C35" i="25" l="1"/>
  <c r="E35" i="25" s="1"/>
  <c r="A37" i="25"/>
  <c r="B37" i="25"/>
  <c r="C36" i="25" s="1"/>
  <c r="E30" i="24"/>
  <c r="H35" i="24"/>
  <c r="I34" i="24" s="1"/>
  <c r="J33" i="24"/>
  <c r="I33" i="24"/>
  <c r="D33" i="24"/>
  <c r="E33" i="24" s="1"/>
  <c r="B35" i="24"/>
  <c r="C34" i="24" s="1"/>
  <c r="A35" i="24"/>
  <c r="C37" i="25" l="1"/>
  <c r="A38" i="25"/>
  <c r="B38" i="25"/>
  <c r="D37" i="25"/>
  <c r="D36" i="25"/>
  <c r="E36" i="25" s="1"/>
  <c r="K33" i="24"/>
  <c r="J34" i="24"/>
  <c r="K34" i="24" s="1"/>
  <c r="H36" i="24"/>
  <c r="H37" i="24" s="1"/>
  <c r="G36" i="24"/>
  <c r="B36" i="24"/>
  <c r="C35" i="24" s="1"/>
  <c r="A36" i="24"/>
  <c r="D34" i="24"/>
  <c r="E34" i="24" s="1"/>
  <c r="L20" i="6"/>
  <c r="K20" i="6"/>
  <c r="I7" i="6"/>
  <c r="I8" i="6"/>
  <c r="I10" i="6"/>
  <c r="I18" i="6"/>
  <c r="I12" i="6"/>
  <c r="I13" i="6"/>
  <c r="I15" i="6"/>
  <c r="I16" i="6"/>
  <c r="I17" i="6"/>
  <c r="I21" i="6"/>
  <c r="I11" i="6"/>
  <c r="I14" i="6"/>
  <c r="I19" i="6"/>
  <c r="I9" i="6"/>
  <c r="J18" i="6"/>
  <c r="J15" i="6"/>
  <c r="J17" i="6"/>
  <c r="J21" i="6"/>
  <c r="J11" i="6"/>
  <c r="J14" i="6"/>
  <c r="J19" i="6"/>
  <c r="J9" i="6"/>
  <c r="I38" i="6"/>
  <c r="L38" i="6" s="1"/>
  <c r="J38" i="6"/>
  <c r="K38" i="6"/>
  <c r="U8" i="19"/>
  <c r="X8" i="19" s="1"/>
  <c r="C21" i="11"/>
  <c r="U11" i="19"/>
  <c r="T30" i="19"/>
  <c r="V29" i="19"/>
  <c r="W29" i="19" s="1"/>
  <c r="X24" i="19"/>
  <c r="X18" i="19"/>
  <c r="W17" i="19"/>
  <c r="W15" i="19"/>
  <c r="W23" i="19" s="1"/>
  <c r="W10" i="19"/>
  <c r="T29" i="19" s="1"/>
  <c r="U10" i="19"/>
  <c r="T28" i="19" s="1"/>
  <c r="Z31" i="19"/>
  <c r="AA30" i="19" s="1"/>
  <c r="Z30" i="19"/>
  <c r="N31" i="19"/>
  <c r="N30" i="19"/>
  <c r="H30" i="19"/>
  <c r="H31" i="19" s="1"/>
  <c r="J29" i="19"/>
  <c r="K29" i="19" s="1"/>
  <c r="L24" i="19"/>
  <c r="L18" i="19"/>
  <c r="K17" i="19"/>
  <c r="I17" i="19"/>
  <c r="L17" i="19" s="1"/>
  <c r="K15" i="19"/>
  <c r="K23" i="19" s="1"/>
  <c r="I15" i="19"/>
  <c r="L15" i="19" s="1"/>
  <c r="K10" i="19"/>
  <c r="H29" i="19" s="1"/>
  <c r="I10" i="19"/>
  <c r="I16" i="19" s="1"/>
  <c r="L8" i="19"/>
  <c r="H29" i="20"/>
  <c r="G30" i="20" s="1"/>
  <c r="B29" i="20"/>
  <c r="J28" i="20"/>
  <c r="K28" i="20" s="1"/>
  <c r="D28" i="20"/>
  <c r="E28" i="20" s="1"/>
  <c r="L23" i="20"/>
  <c r="F23" i="20"/>
  <c r="L17" i="20"/>
  <c r="F17" i="20"/>
  <c r="E16" i="20"/>
  <c r="C16" i="20"/>
  <c r="F16" i="20" s="1"/>
  <c r="K14" i="20"/>
  <c r="K22" i="20" s="1"/>
  <c r="E14" i="20"/>
  <c r="C14" i="20"/>
  <c r="F14" i="20" s="1"/>
  <c r="K9" i="20"/>
  <c r="H28" i="20" s="1"/>
  <c r="I9" i="20"/>
  <c r="E9" i="20"/>
  <c r="B28" i="20" s="1"/>
  <c r="C9" i="20"/>
  <c r="B27" i="20" s="1"/>
  <c r="I7" i="20"/>
  <c r="I14" i="20" s="1"/>
  <c r="F7" i="20"/>
  <c r="E37" i="25" l="1"/>
  <c r="E22" i="20"/>
  <c r="I15" i="20"/>
  <c r="I27" i="20" s="1"/>
  <c r="H30" i="20"/>
  <c r="G31" i="20" s="1"/>
  <c r="B39" i="25"/>
  <c r="D38" i="25" s="1"/>
  <c r="A39" i="25"/>
  <c r="J35" i="24"/>
  <c r="G37" i="24"/>
  <c r="G38" i="24" s="1"/>
  <c r="I35" i="24"/>
  <c r="J36" i="24"/>
  <c r="I36" i="24"/>
  <c r="H38" i="24"/>
  <c r="J37" i="24" s="1"/>
  <c r="B37" i="24"/>
  <c r="D36" i="24" s="1"/>
  <c r="C36" i="24"/>
  <c r="A37" i="24"/>
  <c r="D35" i="24"/>
  <c r="E35" i="24" s="1"/>
  <c r="U17" i="19"/>
  <c r="X17" i="19" s="1"/>
  <c r="U15" i="19"/>
  <c r="X15" i="19" s="1"/>
  <c r="U24" i="19"/>
  <c r="W24" i="19"/>
  <c r="W16" i="19"/>
  <c r="S31" i="19"/>
  <c r="T31" i="19"/>
  <c r="T32" i="19" s="1"/>
  <c r="U16" i="19"/>
  <c r="Z32" i="19"/>
  <c r="AA31" i="19" s="1"/>
  <c r="N32" i="19"/>
  <c r="O31" i="19" s="1"/>
  <c r="O30" i="19"/>
  <c r="I23" i="19"/>
  <c r="L23" i="19" s="1"/>
  <c r="G31" i="19"/>
  <c r="G32" i="19" s="1"/>
  <c r="J30" i="19"/>
  <c r="I30" i="19"/>
  <c r="I24" i="19"/>
  <c r="H28" i="19"/>
  <c r="K16" i="19"/>
  <c r="J28" i="19"/>
  <c r="H32" i="19"/>
  <c r="I31" i="19" s="1"/>
  <c r="I28" i="19"/>
  <c r="K24" i="19"/>
  <c r="I16" i="20"/>
  <c r="L16" i="20" s="1"/>
  <c r="K15" i="20"/>
  <c r="I23" i="20"/>
  <c r="H27" i="20"/>
  <c r="L14" i="20"/>
  <c r="C15" i="20"/>
  <c r="E15" i="20"/>
  <c r="C23" i="20"/>
  <c r="A30" i="20"/>
  <c r="E23" i="20"/>
  <c r="B30" i="20"/>
  <c r="D29" i="20" s="1"/>
  <c r="C22" i="20"/>
  <c r="F22" i="20" s="1"/>
  <c r="L7" i="20"/>
  <c r="K23" i="20"/>
  <c r="Y31" i="19"/>
  <c r="AB29" i="19"/>
  <c r="AC29" i="19" s="1"/>
  <c r="AD24" i="19"/>
  <c r="AD18" i="19"/>
  <c r="AC15" i="19"/>
  <c r="AC23" i="19" s="1"/>
  <c r="AC10" i="19"/>
  <c r="Z29" i="19" s="1"/>
  <c r="AA10" i="19"/>
  <c r="Z28" i="19" s="1"/>
  <c r="AA15" i="19"/>
  <c r="M31" i="19"/>
  <c r="B30" i="19"/>
  <c r="P29" i="19"/>
  <c r="Q29" i="19" s="1"/>
  <c r="D29" i="19"/>
  <c r="E29" i="19" s="1"/>
  <c r="R24" i="19"/>
  <c r="F24" i="19"/>
  <c r="E23" i="19"/>
  <c r="R18" i="19"/>
  <c r="F18" i="19"/>
  <c r="E17" i="19"/>
  <c r="C17" i="19"/>
  <c r="F17" i="19" s="1"/>
  <c r="Q15" i="19"/>
  <c r="Q23" i="19" s="1"/>
  <c r="E15" i="19"/>
  <c r="C15" i="19"/>
  <c r="F15" i="19" s="1"/>
  <c r="Q10" i="19"/>
  <c r="N29" i="19" s="1"/>
  <c r="O10" i="19"/>
  <c r="O24" i="19" s="1"/>
  <c r="E10" i="19"/>
  <c r="B29" i="19" s="1"/>
  <c r="C10" i="19"/>
  <c r="O15" i="19"/>
  <c r="F8" i="19"/>
  <c r="H31" i="20" l="1"/>
  <c r="I30" i="20" s="1"/>
  <c r="I29" i="20"/>
  <c r="J29" i="20"/>
  <c r="K29" i="20" s="1"/>
  <c r="K35" i="24"/>
  <c r="C38" i="25"/>
  <c r="E38" i="25" s="1"/>
  <c r="B40" i="25"/>
  <c r="D39" i="25" s="1"/>
  <c r="A40" i="25"/>
  <c r="C39" i="25"/>
  <c r="I37" i="24"/>
  <c r="K37" i="24" s="1"/>
  <c r="K36" i="24"/>
  <c r="E36" i="24"/>
  <c r="A38" i="24"/>
  <c r="B38" i="24"/>
  <c r="C37" i="24" s="1"/>
  <c r="H39" i="24"/>
  <c r="J38" i="24" s="1"/>
  <c r="G39" i="24"/>
  <c r="J31" i="19"/>
  <c r="U28" i="19"/>
  <c r="U23" i="19"/>
  <c r="X23" i="19" s="1"/>
  <c r="S32" i="19"/>
  <c r="S33" i="19" s="1"/>
  <c r="U30" i="19"/>
  <c r="T33" i="19"/>
  <c r="V31" i="19"/>
  <c r="U31" i="19"/>
  <c r="V30" i="19"/>
  <c r="V28" i="19"/>
  <c r="AB30" i="19"/>
  <c r="AC30" i="19" s="1"/>
  <c r="Z33" i="19"/>
  <c r="AB32" i="19" s="1"/>
  <c r="AB31" i="19"/>
  <c r="AC31" i="19" s="1"/>
  <c r="N33" i="19"/>
  <c r="P32" i="19" s="1"/>
  <c r="P30" i="19"/>
  <c r="Q30" i="19" s="1"/>
  <c r="P31" i="19"/>
  <c r="Q31" i="19" s="1"/>
  <c r="K30" i="19"/>
  <c r="O17" i="19"/>
  <c r="R17" i="19" s="1"/>
  <c r="B28" i="19"/>
  <c r="H33" i="19"/>
  <c r="J32" i="19" s="1"/>
  <c r="G33" i="19"/>
  <c r="K28" i="19"/>
  <c r="J27" i="20"/>
  <c r="K27" i="20" s="1"/>
  <c r="I22" i="20"/>
  <c r="L22" i="20" s="1"/>
  <c r="H32" i="20"/>
  <c r="J31" i="20" s="1"/>
  <c r="D27" i="20"/>
  <c r="C27" i="20"/>
  <c r="J30" i="20"/>
  <c r="K30" i="20" s="1"/>
  <c r="B31" i="20"/>
  <c r="D30" i="20" s="1"/>
  <c r="A31" i="20"/>
  <c r="C29" i="20"/>
  <c r="E29" i="20" s="1"/>
  <c r="AC24" i="19"/>
  <c r="AC16" i="19"/>
  <c r="AD15" i="19"/>
  <c r="AA16" i="19"/>
  <c r="AA28" i="19" s="1"/>
  <c r="AA24" i="19"/>
  <c r="AA17" i="19"/>
  <c r="AD17" i="19" s="1"/>
  <c r="AD8" i="19"/>
  <c r="Y32" i="19"/>
  <c r="Y33" i="19" s="1"/>
  <c r="N28" i="19"/>
  <c r="C16" i="19"/>
  <c r="C28" i="19" s="1"/>
  <c r="R15" i="19"/>
  <c r="E16" i="19"/>
  <c r="C24" i="19"/>
  <c r="A31" i="19"/>
  <c r="O16" i="19"/>
  <c r="E24" i="19"/>
  <c r="B31" i="19"/>
  <c r="C30" i="19" s="1"/>
  <c r="Q16" i="19"/>
  <c r="C23" i="19"/>
  <c r="F23" i="19" s="1"/>
  <c r="R8" i="19"/>
  <c r="Q24" i="19"/>
  <c r="I34" i="6"/>
  <c r="I35" i="6"/>
  <c r="L35" i="6" s="1"/>
  <c r="I36" i="6"/>
  <c r="L36" i="6" s="1"/>
  <c r="I37" i="6"/>
  <c r="L37" i="6" s="1"/>
  <c r="J34" i="6"/>
  <c r="J35" i="6"/>
  <c r="J36" i="6"/>
  <c r="J37" i="6"/>
  <c r="K34" i="6"/>
  <c r="K35" i="6"/>
  <c r="K36" i="6"/>
  <c r="K37" i="6"/>
  <c r="L34" i="6"/>
  <c r="I28" i="6"/>
  <c r="I29" i="6"/>
  <c r="I30" i="6"/>
  <c r="I31" i="6"/>
  <c r="I32" i="6"/>
  <c r="I33" i="6"/>
  <c r="J28" i="6"/>
  <c r="J29" i="6"/>
  <c r="J32" i="6"/>
  <c r="J33" i="6"/>
  <c r="L9" i="6"/>
  <c r="K9" i="6"/>
  <c r="L19" i="6"/>
  <c r="K19" i="6"/>
  <c r="L14" i="6"/>
  <c r="K14" i="6"/>
  <c r="L11" i="6"/>
  <c r="K11" i="6"/>
  <c r="I7" i="18"/>
  <c r="I14" i="18" s="1"/>
  <c r="C9" i="18"/>
  <c r="B25" i="18" s="1"/>
  <c r="H27" i="18"/>
  <c r="G28" i="18" s="1"/>
  <c r="B27" i="18"/>
  <c r="A28" i="18" s="1"/>
  <c r="J26" i="18"/>
  <c r="K26" i="18" s="1"/>
  <c r="D26" i="18"/>
  <c r="E26" i="18" s="1"/>
  <c r="L21" i="18"/>
  <c r="F21" i="18"/>
  <c r="K20" i="18"/>
  <c r="L15" i="18"/>
  <c r="F15" i="18"/>
  <c r="E14" i="18"/>
  <c r="C14" i="18"/>
  <c r="F14" i="18" s="1"/>
  <c r="K12" i="18"/>
  <c r="E12" i="18"/>
  <c r="E20" i="18" s="1"/>
  <c r="C12" i="18"/>
  <c r="F12" i="18" s="1"/>
  <c r="K9" i="18"/>
  <c r="H26" i="18" s="1"/>
  <c r="I9" i="18"/>
  <c r="I21" i="18" s="1"/>
  <c r="E9" i="18"/>
  <c r="E13" i="18" s="1"/>
  <c r="F7" i="18"/>
  <c r="I32" i="19" l="1"/>
  <c r="G32" i="20"/>
  <c r="G33" i="20" s="1"/>
  <c r="E39" i="25"/>
  <c r="A41" i="25"/>
  <c r="B41" i="25"/>
  <c r="C40" i="25" s="1"/>
  <c r="I38" i="24"/>
  <c r="K38" i="24" s="1"/>
  <c r="D37" i="24"/>
  <c r="E37" i="24" s="1"/>
  <c r="B39" i="24"/>
  <c r="C38" i="24" s="1"/>
  <c r="A39" i="24"/>
  <c r="H40" i="24"/>
  <c r="I39" i="24" s="1"/>
  <c r="G40" i="24"/>
  <c r="S34" i="19"/>
  <c r="U32" i="19"/>
  <c r="V32" i="19"/>
  <c r="W28" i="19"/>
  <c r="O23" i="19"/>
  <c r="R23" i="19" s="1"/>
  <c r="O28" i="19"/>
  <c r="T34" i="19"/>
  <c r="T35" i="19" s="1"/>
  <c r="W31" i="19"/>
  <c r="W30" i="19"/>
  <c r="AA32" i="19"/>
  <c r="AC32" i="19" s="1"/>
  <c r="Z34" i="19"/>
  <c r="O32" i="19"/>
  <c r="Q32" i="19" s="1"/>
  <c r="N34" i="19"/>
  <c r="M32" i="19"/>
  <c r="D30" i="19"/>
  <c r="E30" i="19" s="1"/>
  <c r="K31" i="19"/>
  <c r="K32" i="19"/>
  <c r="H34" i="19"/>
  <c r="J33" i="19" s="1"/>
  <c r="G34" i="19"/>
  <c r="E27" i="20"/>
  <c r="I31" i="20"/>
  <c r="K31" i="20" s="1"/>
  <c r="C30" i="20"/>
  <c r="E30" i="20" s="1"/>
  <c r="H33" i="20"/>
  <c r="J32" i="20" s="1"/>
  <c r="B32" i="20"/>
  <c r="C31" i="20" s="1"/>
  <c r="A32" i="20"/>
  <c r="Y34" i="19"/>
  <c r="AB28" i="19"/>
  <c r="AC28" i="19" s="1"/>
  <c r="AA23" i="19"/>
  <c r="AD23" i="19" s="1"/>
  <c r="D28" i="19"/>
  <c r="E28" i="19" s="1"/>
  <c r="B32" i="19"/>
  <c r="A32" i="19"/>
  <c r="P28" i="19"/>
  <c r="I12" i="18"/>
  <c r="L12" i="18" s="1"/>
  <c r="L7" i="18"/>
  <c r="H28" i="18"/>
  <c r="I27" i="18" s="1"/>
  <c r="C13" i="18"/>
  <c r="D25" i="18" s="1"/>
  <c r="C21" i="18"/>
  <c r="H25" i="18"/>
  <c r="L14" i="18"/>
  <c r="I13" i="18"/>
  <c r="E21" i="18"/>
  <c r="B28" i="18"/>
  <c r="C27" i="18" s="1"/>
  <c r="K13" i="18"/>
  <c r="C20" i="18"/>
  <c r="F20" i="18" s="1"/>
  <c r="B26" i="18"/>
  <c r="G29" i="18"/>
  <c r="H29" i="18"/>
  <c r="I28" i="18" s="1"/>
  <c r="K21" i="18"/>
  <c r="I33" i="19" l="1"/>
  <c r="A42" i="25"/>
  <c r="B42" i="25"/>
  <c r="D41" i="25" s="1"/>
  <c r="D40" i="25"/>
  <c r="E40" i="25" s="1"/>
  <c r="J39" i="24"/>
  <c r="K39" i="24" s="1"/>
  <c r="D38" i="24"/>
  <c r="E38" i="24" s="1"/>
  <c r="B40" i="24"/>
  <c r="D39" i="24" s="1"/>
  <c r="C39" i="24"/>
  <c r="A40" i="24"/>
  <c r="G41" i="24"/>
  <c r="H41" i="24"/>
  <c r="I40" i="24" s="1"/>
  <c r="W32" i="19"/>
  <c r="V33" i="19"/>
  <c r="U33" i="19"/>
  <c r="Q28" i="19"/>
  <c r="U34" i="19"/>
  <c r="V34" i="19"/>
  <c r="S35" i="19"/>
  <c r="S36" i="19" s="1"/>
  <c r="T36" i="19"/>
  <c r="V35" i="19" s="1"/>
  <c r="Z35" i="19"/>
  <c r="AA34" i="19" s="1"/>
  <c r="AA33" i="19"/>
  <c r="AB33" i="19"/>
  <c r="AC33" i="19" s="1"/>
  <c r="N35" i="19"/>
  <c r="P34" i="19"/>
  <c r="O34" i="19"/>
  <c r="P33" i="19"/>
  <c r="O33" i="19"/>
  <c r="K33" i="19"/>
  <c r="D32" i="19"/>
  <c r="C31" i="19"/>
  <c r="C32" i="19"/>
  <c r="D31" i="19"/>
  <c r="J34" i="19"/>
  <c r="I34" i="19"/>
  <c r="G35" i="19"/>
  <c r="H35" i="19"/>
  <c r="D31" i="20"/>
  <c r="E31" i="20" s="1"/>
  <c r="I32" i="20"/>
  <c r="K32" i="20" s="1"/>
  <c r="G34" i="20"/>
  <c r="H34" i="20"/>
  <c r="J33" i="20" s="1"/>
  <c r="A33" i="20"/>
  <c r="B33" i="20"/>
  <c r="C32" i="20" s="1"/>
  <c r="Y35" i="19"/>
  <c r="M33" i="19"/>
  <c r="B33" i="19"/>
  <c r="A33" i="19"/>
  <c r="M34" i="19"/>
  <c r="I20" i="18"/>
  <c r="L20" i="18" s="1"/>
  <c r="J27" i="18"/>
  <c r="K27" i="18" s="1"/>
  <c r="C25" i="18"/>
  <c r="E25" i="18" s="1"/>
  <c r="D27" i="18"/>
  <c r="E27" i="18" s="1"/>
  <c r="J25" i="18"/>
  <c r="I25" i="18"/>
  <c r="H30" i="18"/>
  <c r="J29" i="18" s="1"/>
  <c r="G30" i="18"/>
  <c r="J28" i="18"/>
  <c r="K28" i="18" s="1"/>
  <c r="B29" i="18"/>
  <c r="D28" i="18" s="1"/>
  <c r="A29" i="18"/>
  <c r="I20" i="17"/>
  <c r="G44" i="17"/>
  <c r="H44" i="17"/>
  <c r="I44" i="17" s="1"/>
  <c r="H45" i="17"/>
  <c r="I8" i="17"/>
  <c r="A47" i="17"/>
  <c r="B47" i="17"/>
  <c r="C9" i="17"/>
  <c r="C21" i="17" s="1"/>
  <c r="B28" i="17"/>
  <c r="B29" i="17" s="1"/>
  <c r="B30" i="17" s="1"/>
  <c r="H27" i="17"/>
  <c r="G28" i="17" s="1"/>
  <c r="B27" i="17"/>
  <c r="A28" i="17" s="1"/>
  <c r="J26" i="17"/>
  <c r="K26" i="17" s="1"/>
  <c r="D26" i="17"/>
  <c r="E26" i="17" s="1"/>
  <c r="L21" i="17"/>
  <c r="F21" i="17"/>
  <c r="L15" i="17"/>
  <c r="F15" i="17"/>
  <c r="I14" i="17"/>
  <c r="L14" i="17" s="1"/>
  <c r="E14" i="17"/>
  <c r="C14" i="17"/>
  <c r="F14" i="17" s="1"/>
  <c r="K12" i="17"/>
  <c r="K20" i="17" s="1"/>
  <c r="I12" i="17"/>
  <c r="E12" i="17"/>
  <c r="E20" i="17" s="1"/>
  <c r="C12" i="17"/>
  <c r="K9" i="17"/>
  <c r="K21" i="17" s="1"/>
  <c r="I9" i="17"/>
  <c r="H25" i="17" s="1"/>
  <c r="E9" i="17"/>
  <c r="E13" i="17" s="1"/>
  <c r="L7" i="17"/>
  <c r="F7" i="17"/>
  <c r="I9" i="16"/>
  <c r="C13" i="16"/>
  <c r="U35" i="19" l="1"/>
  <c r="C41" i="25"/>
  <c r="E41" i="25" s="1"/>
  <c r="B43" i="25"/>
  <c r="D42" i="25" s="1"/>
  <c r="A43" i="25"/>
  <c r="J40" i="24"/>
  <c r="K40" i="24" s="1"/>
  <c r="E39" i="24"/>
  <c r="D40" i="24"/>
  <c r="B41" i="24"/>
  <c r="C40" i="24" s="1"/>
  <c r="A41" i="24"/>
  <c r="H42" i="24"/>
  <c r="J41" i="24" s="1"/>
  <c r="G42" i="24"/>
  <c r="W33" i="19"/>
  <c r="W35" i="19"/>
  <c r="Q34" i="19"/>
  <c r="W34" i="19"/>
  <c r="S37" i="19"/>
  <c r="T37" i="19"/>
  <c r="U36" i="19" s="1"/>
  <c r="AB34" i="19"/>
  <c r="AC34" i="19" s="1"/>
  <c r="AB35" i="19"/>
  <c r="AA35" i="19"/>
  <c r="Z36" i="19"/>
  <c r="Q33" i="19"/>
  <c r="O35" i="19"/>
  <c r="N36" i="19"/>
  <c r="P35" i="19"/>
  <c r="D33" i="19"/>
  <c r="C33" i="19"/>
  <c r="I35" i="19"/>
  <c r="J35" i="19"/>
  <c r="K34" i="19"/>
  <c r="H36" i="19"/>
  <c r="G36" i="19"/>
  <c r="D32" i="20"/>
  <c r="E32" i="20" s="1"/>
  <c r="B34" i="20"/>
  <c r="D33" i="20" s="1"/>
  <c r="A34" i="20"/>
  <c r="H35" i="20"/>
  <c r="J34" i="20" s="1"/>
  <c r="G35" i="20"/>
  <c r="I33" i="20"/>
  <c r="Y36" i="19"/>
  <c r="M35" i="19"/>
  <c r="E32" i="19"/>
  <c r="E31" i="19"/>
  <c r="A34" i="19"/>
  <c r="B34" i="19"/>
  <c r="C28" i="18"/>
  <c r="H31" i="18"/>
  <c r="J30" i="18" s="1"/>
  <c r="G31" i="18"/>
  <c r="B30" i="18"/>
  <c r="D29" i="18" s="1"/>
  <c r="A30" i="18"/>
  <c r="K25" i="18"/>
  <c r="I29" i="18"/>
  <c r="K29" i="18" s="1"/>
  <c r="G45" i="17"/>
  <c r="H46" i="17"/>
  <c r="J44" i="17"/>
  <c r="K44" i="17" s="1"/>
  <c r="G46" i="17"/>
  <c r="I13" i="17"/>
  <c r="I25" i="17" s="1"/>
  <c r="I22" i="17" s="1"/>
  <c r="B48" i="17"/>
  <c r="D47" i="17" s="1"/>
  <c r="A48" i="17"/>
  <c r="C13" i="17"/>
  <c r="D25" i="17" s="1"/>
  <c r="B25" i="17"/>
  <c r="C27" i="17"/>
  <c r="D27" i="17"/>
  <c r="E27" i="17" s="1"/>
  <c r="C20" i="17"/>
  <c r="F20" i="17" s="1"/>
  <c r="H26" i="17"/>
  <c r="K13" i="17"/>
  <c r="E21" i="17"/>
  <c r="I21" i="17"/>
  <c r="B26" i="17"/>
  <c r="A29" i="17"/>
  <c r="B31" i="17"/>
  <c r="D30" i="17" s="1"/>
  <c r="C28" i="17"/>
  <c r="F12" i="17"/>
  <c r="D28" i="17"/>
  <c r="A30" i="17"/>
  <c r="A31" i="17" s="1"/>
  <c r="L12" i="17"/>
  <c r="H28" i="17"/>
  <c r="I27" i="17" s="1"/>
  <c r="D29" i="17"/>
  <c r="C29" i="17"/>
  <c r="L20" i="17"/>
  <c r="AC35" i="19" l="1"/>
  <c r="B44" i="25"/>
  <c r="A44" i="25"/>
  <c r="C42" i="25"/>
  <c r="E42" i="25" s="1"/>
  <c r="I41" i="24"/>
  <c r="K41" i="24" s="1"/>
  <c r="B42" i="24"/>
  <c r="D41" i="24" s="1"/>
  <c r="A42" i="24"/>
  <c r="E40" i="24"/>
  <c r="H43" i="24"/>
  <c r="I42" i="24" s="1"/>
  <c r="G43" i="24"/>
  <c r="V36" i="19"/>
  <c r="W36" i="19" s="1"/>
  <c r="Q35" i="19"/>
  <c r="T38" i="19"/>
  <c r="U37" i="19" s="1"/>
  <c r="S38" i="19"/>
  <c r="AA36" i="19"/>
  <c r="Z37" i="19"/>
  <c r="AB36" i="19"/>
  <c r="N37" i="19"/>
  <c r="P36" i="19"/>
  <c r="O36" i="19"/>
  <c r="C34" i="19"/>
  <c r="D34" i="19"/>
  <c r="J36" i="19"/>
  <c r="I36" i="19"/>
  <c r="K35" i="19"/>
  <c r="H37" i="19"/>
  <c r="G37" i="19"/>
  <c r="C33" i="20"/>
  <c r="E33" i="20" s="1"/>
  <c r="I34" i="20"/>
  <c r="K34" i="20" s="1"/>
  <c r="B35" i="20"/>
  <c r="A35" i="20"/>
  <c r="H36" i="20"/>
  <c r="J35" i="20" s="1"/>
  <c r="G36" i="20"/>
  <c r="K33" i="20"/>
  <c r="Y37" i="19"/>
  <c r="B35" i="19"/>
  <c r="A35" i="19"/>
  <c r="E33" i="19"/>
  <c r="M36" i="19"/>
  <c r="I30" i="18"/>
  <c r="K30" i="18" s="1"/>
  <c r="A31" i="18"/>
  <c r="B31" i="18"/>
  <c r="G32" i="18"/>
  <c r="H32" i="18"/>
  <c r="E28" i="18"/>
  <c r="C29" i="18"/>
  <c r="E29" i="18" s="1"/>
  <c r="H47" i="17"/>
  <c r="J46" i="17" s="1"/>
  <c r="K46" i="17" s="1"/>
  <c r="I46" i="17"/>
  <c r="G47" i="17"/>
  <c r="I45" i="17"/>
  <c r="J45" i="17"/>
  <c r="K45" i="17" s="1"/>
  <c r="A49" i="17"/>
  <c r="B49" i="17"/>
  <c r="C47" i="17"/>
  <c r="E47" i="17" s="1"/>
  <c r="E28" i="17"/>
  <c r="C25" i="17"/>
  <c r="C22" i="17" s="1"/>
  <c r="E29" i="17"/>
  <c r="J25" i="17"/>
  <c r="K25" i="17" s="1"/>
  <c r="C30" i="17"/>
  <c r="E30" i="17" s="1"/>
  <c r="B32" i="17"/>
  <c r="D31" i="17" s="1"/>
  <c r="A32" i="17"/>
  <c r="H29" i="17"/>
  <c r="I28" i="17" s="1"/>
  <c r="G29" i="17"/>
  <c r="J27" i="17"/>
  <c r="K27" i="17" s="1"/>
  <c r="AC36" i="19" l="1"/>
  <c r="A45" i="25"/>
  <c r="B45" i="25"/>
  <c r="I35" i="20"/>
  <c r="K35" i="20" s="1"/>
  <c r="D44" i="25"/>
  <c r="C43" i="25"/>
  <c r="D43" i="25"/>
  <c r="J42" i="24"/>
  <c r="K42" i="24" s="1"/>
  <c r="C41" i="24"/>
  <c r="E41" i="24" s="1"/>
  <c r="B43" i="24"/>
  <c r="D42" i="24" s="1"/>
  <c r="C42" i="24"/>
  <c r="A43" i="24"/>
  <c r="H44" i="24"/>
  <c r="I43" i="24" s="1"/>
  <c r="G44" i="24"/>
  <c r="V37" i="19"/>
  <c r="W37" i="19" s="1"/>
  <c r="S39" i="19"/>
  <c r="T39" i="19"/>
  <c r="V38" i="19" s="1"/>
  <c r="AB37" i="19"/>
  <c r="AA37" i="19"/>
  <c r="Z38" i="19"/>
  <c r="P37" i="19"/>
  <c r="O37" i="19"/>
  <c r="N38" i="19"/>
  <c r="Q36" i="19"/>
  <c r="C35" i="19"/>
  <c r="D35" i="19"/>
  <c r="J37" i="19"/>
  <c r="I37" i="19"/>
  <c r="H38" i="19"/>
  <c r="G38" i="19"/>
  <c r="K36" i="19"/>
  <c r="B36" i="20"/>
  <c r="D35" i="20" s="1"/>
  <c r="A36" i="20"/>
  <c r="H37" i="20"/>
  <c r="J36" i="20" s="1"/>
  <c r="G37" i="20"/>
  <c r="D34" i="20"/>
  <c r="E34" i="20" s="1"/>
  <c r="C34" i="20"/>
  <c r="Y38" i="19"/>
  <c r="E34" i="19"/>
  <c r="M37" i="19"/>
  <c r="B36" i="19"/>
  <c r="A36" i="19"/>
  <c r="A32" i="18"/>
  <c r="B32" i="18"/>
  <c r="D31" i="18" s="1"/>
  <c r="G33" i="18"/>
  <c r="H33" i="18"/>
  <c r="J31" i="18"/>
  <c r="D30" i="18"/>
  <c r="I31" i="18"/>
  <c r="C30" i="18"/>
  <c r="E25" i="17"/>
  <c r="I47" i="17"/>
  <c r="G48" i="17"/>
  <c r="H48" i="17"/>
  <c r="J28" i="17"/>
  <c r="K28" i="17" s="1"/>
  <c r="B50" i="17"/>
  <c r="C49" i="17" s="1"/>
  <c r="A50" i="17"/>
  <c r="C48" i="17"/>
  <c r="D48" i="17"/>
  <c r="E48" i="17" s="1"/>
  <c r="C31" i="17"/>
  <c r="E31" i="17" s="1"/>
  <c r="A33" i="17"/>
  <c r="B33" i="17"/>
  <c r="D32" i="17" s="1"/>
  <c r="H30" i="17"/>
  <c r="G30" i="17"/>
  <c r="C45" i="25" l="1"/>
  <c r="A46" i="25"/>
  <c r="B46" i="25"/>
  <c r="D45" i="25"/>
  <c r="E43" i="25"/>
  <c r="C44" i="25"/>
  <c r="E44" i="25" s="1"/>
  <c r="J43" i="24"/>
  <c r="K43" i="24" s="1"/>
  <c r="H45" i="24"/>
  <c r="J44" i="24" s="1"/>
  <c r="G45" i="24"/>
  <c r="D43" i="24"/>
  <c r="B44" i="24"/>
  <c r="C43" i="24" s="1"/>
  <c r="A44" i="24"/>
  <c r="E42" i="24"/>
  <c r="U38" i="19"/>
  <c r="W38" i="19" s="1"/>
  <c r="Q37" i="19"/>
  <c r="T40" i="19"/>
  <c r="V39" i="19" s="1"/>
  <c r="S40" i="19"/>
  <c r="AA38" i="19"/>
  <c r="Z39" i="19"/>
  <c r="AB38" i="19"/>
  <c r="AC37" i="19"/>
  <c r="N39" i="19"/>
  <c r="P38" i="19"/>
  <c r="O38" i="19"/>
  <c r="C36" i="19"/>
  <c r="D36" i="19"/>
  <c r="J38" i="19"/>
  <c r="I38" i="19"/>
  <c r="K37" i="19"/>
  <c r="G39" i="19"/>
  <c r="H39" i="19"/>
  <c r="G38" i="20"/>
  <c r="H38" i="20"/>
  <c r="J37" i="20" s="1"/>
  <c r="C35" i="20"/>
  <c r="E35" i="20" s="1"/>
  <c r="A37" i="20"/>
  <c r="B37" i="20"/>
  <c r="D36" i="20" s="1"/>
  <c r="I36" i="20"/>
  <c r="K36" i="20" s="1"/>
  <c r="Y39" i="19"/>
  <c r="E35" i="19"/>
  <c r="M38" i="19"/>
  <c r="B37" i="19"/>
  <c r="A37" i="19"/>
  <c r="H34" i="18"/>
  <c r="J33" i="18" s="1"/>
  <c r="G34" i="18"/>
  <c r="I32" i="18"/>
  <c r="C31" i="18"/>
  <c r="E31" i="18" s="1"/>
  <c r="B33" i="18"/>
  <c r="C32" i="18" s="1"/>
  <c r="A33" i="18"/>
  <c r="E30" i="18"/>
  <c r="K31" i="18"/>
  <c r="J32" i="18"/>
  <c r="G49" i="17"/>
  <c r="H49" i="17"/>
  <c r="I48" i="17" s="1"/>
  <c r="J47" i="17"/>
  <c r="K47" i="17" s="1"/>
  <c r="D49" i="17"/>
  <c r="E49" i="17" s="1"/>
  <c r="A51" i="17"/>
  <c r="B51" i="17"/>
  <c r="C50" i="17" s="1"/>
  <c r="G31" i="17"/>
  <c r="H31" i="17"/>
  <c r="I30" i="17" s="1"/>
  <c r="I29" i="17"/>
  <c r="J29" i="17"/>
  <c r="K29" i="17" s="1"/>
  <c r="B34" i="17"/>
  <c r="A34" i="17"/>
  <c r="C32" i="17"/>
  <c r="E45" i="25" l="1"/>
  <c r="B47" i="25"/>
  <c r="D46" i="25"/>
  <c r="A47" i="25"/>
  <c r="C46" i="25"/>
  <c r="I44" i="24"/>
  <c r="K44" i="24" s="1"/>
  <c r="E43" i="24"/>
  <c r="J45" i="24"/>
  <c r="H46" i="24"/>
  <c r="I45" i="24"/>
  <c r="G46" i="24"/>
  <c r="B45" i="24"/>
  <c r="C44" i="24" s="1"/>
  <c r="A45" i="24"/>
  <c r="D44" i="24"/>
  <c r="U39" i="19"/>
  <c r="Q38" i="19"/>
  <c r="W39" i="19"/>
  <c r="T41" i="19"/>
  <c r="U40" i="19" s="1"/>
  <c r="S41" i="19"/>
  <c r="V40" i="19"/>
  <c r="AC38" i="19"/>
  <c r="AB39" i="19"/>
  <c r="AA39" i="19"/>
  <c r="Z40" i="19"/>
  <c r="O39" i="19"/>
  <c r="N40" i="19"/>
  <c r="P39" i="19"/>
  <c r="C37" i="19"/>
  <c r="D37" i="19"/>
  <c r="K38" i="19"/>
  <c r="I39" i="19"/>
  <c r="J39" i="19"/>
  <c r="G40" i="19"/>
  <c r="H40" i="19"/>
  <c r="H39" i="20"/>
  <c r="I38" i="20" s="1"/>
  <c r="G39" i="20"/>
  <c r="C36" i="20"/>
  <c r="E36" i="20" s="1"/>
  <c r="I37" i="20"/>
  <c r="K37" i="20" s="1"/>
  <c r="B38" i="20"/>
  <c r="C37" i="20" s="1"/>
  <c r="A38" i="20"/>
  <c r="Y40" i="19"/>
  <c r="M39" i="19"/>
  <c r="E36" i="19"/>
  <c r="B38" i="19"/>
  <c r="A38" i="19"/>
  <c r="I33" i="18"/>
  <c r="K33" i="18" s="1"/>
  <c r="K32" i="18"/>
  <c r="D32" i="18"/>
  <c r="E32" i="18" s="1"/>
  <c r="B34" i="18"/>
  <c r="D33" i="18" s="1"/>
  <c r="A34" i="18"/>
  <c r="H35" i="18"/>
  <c r="I34" i="18" s="1"/>
  <c r="G35" i="18"/>
  <c r="J48" i="17"/>
  <c r="K48" i="17" s="1"/>
  <c r="G50" i="17"/>
  <c r="H50" i="17"/>
  <c r="D50" i="17"/>
  <c r="E50" i="17" s="1"/>
  <c r="A52" i="17"/>
  <c r="B52" i="17"/>
  <c r="B35" i="17"/>
  <c r="D34" i="17" s="1"/>
  <c r="A35" i="17"/>
  <c r="C34" i="17"/>
  <c r="C33" i="17"/>
  <c r="H32" i="17"/>
  <c r="J31" i="17" s="1"/>
  <c r="G32" i="17"/>
  <c r="D33" i="17"/>
  <c r="E32" i="17"/>
  <c r="J30" i="17"/>
  <c r="K30" i="17" s="1"/>
  <c r="AC39" i="19" l="1"/>
  <c r="E46" i="25"/>
  <c r="B48" i="25"/>
  <c r="C47" i="25"/>
  <c r="C27" i="25" s="1"/>
  <c r="D47" i="25"/>
  <c r="A48" i="25"/>
  <c r="J38" i="20"/>
  <c r="K38" i="20" s="1"/>
  <c r="E44" i="24"/>
  <c r="A46" i="24"/>
  <c r="D45" i="24"/>
  <c r="C45" i="24"/>
  <c r="B46" i="24"/>
  <c r="J46" i="24"/>
  <c r="H47" i="24"/>
  <c r="I46" i="24"/>
  <c r="G47" i="24"/>
  <c r="K45" i="24"/>
  <c r="W40" i="19"/>
  <c r="T42" i="19"/>
  <c r="V41" i="19" s="1"/>
  <c r="S42" i="19"/>
  <c r="Z41" i="19"/>
  <c r="AB40" i="19"/>
  <c r="AA40" i="19"/>
  <c r="Q39" i="19"/>
  <c r="N41" i="19"/>
  <c r="P40" i="19"/>
  <c r="O40" i="19"/>
  <c r="K39" i="19"/>
  <c r="D38" i="19"/>
  <c r="C38" i="19"/>
  <c r="J40" i="19"/>
  <c r="I40" i="19"/>
  <c r="H41" i="19"/>
  <c r="G41" i="19"/>
  <c r="D37" i="20"/>
  <c r="E37" i="20" s="1"/>
  <c r="H40" i="20"/>
  <c r="J39" i="20" s="1"/>
  <c r="G40" i="20"/>
  <c r="B39" i="20"/>
  <c r="D38" i="20" s="1"/>
  <c r="A39" i="20"/>
  <c r="Y41" i="19"/>
  <c r="B39" i="19"/>
  <c r="A39" i="19"/>
  <c r="M40" i="19"/>
  <c r="C33" i="18"/>
  <c r="E33" i="18" s="1"/>
  <c r="J34" i="18"/>
  <c r="K34" i="18" s="1"/>
  <c r="G36" i="18"/>
  <c r="H36" i="18"/>
  <c r="J35" i="18" s="1"/>
  <c r="B35" i="18"/>
  <c r="C34" i="18" s="1"/>
  <c r="A35" i="18"/>
  <c r="G51" i="17"/>
  <c r="H51" i="17"/>
  <c r="J49" i="17"/>
  <c r="K49" i="17" s="1"/>
  <c r="I49" i="17"/>
  <c r="B53" i="17"/>
  <c r="A53" i="17"/>
  <c r="D51" i="17"/>
  <c r="E51" i="17" s="1"/>
  <c r="C51" i="17"/>
  <c r="E34" i="17"/>
  <c r="E33" i="17"/>
  <c r="H33" i="17"/>
  <c r="J32" i="17" s="1"/>
  <c r="G33" i="17"/>
  <c r="B36" i="17"/>
  <c r="D35" i="17" s="1"/>
  <c r="A36" i="17"/>
  <c r="I31" i="17"/>
  <c r="K31" i="17" s="1"/>
  <c r="E47" i="25" l="1"/>
  <c r="E27" i="25" s="1"/>
  <c r="D48" i="25"/>
  <c r="A49" i="25"/>
  <c r="B49" i="25"/>
  <c r="C48" i="25"/>
  <c r="E45" i="24"/>
  <c r="H48" i="24"/>
  <c r="I47" i="24"/>
  <c r="I27" i="24" s="1"/>
  <c r="G48" i="24"/>
  <c r="J47" i="24"/>
  <c r="K46" i="24"/>
  <c r="D46" i="24"/>
  <c r="B47" i="24"/>
  <c r="C46" i="24"/>
  <c r="A47" i="24"/>
  <c r="U41" i="19"/>
  <c r="W41" i="19" s="1"/>
  <c r="T43" i="19"/>
  <c r="V42" i="19" s="1"/>
  <c r="S43" i="19"/>
  <c r="U42" i="19"/>
  <c r="AC40" i="19"/>
  <c r="AB41" i="19"/>
  <c r="AA41" i="19"/>
  <c r="Z42" i="19"/>
  <c r="Q40" i="19"/>
  <c r="P41" i="19"/>
  <c r="O41" i="19"/>
  <c r="N42" i="19"/>
  <c r="D39" i="19"/>
  <c r="C39" i="19"/>
  <c r="J41" i="19"/>
  <c r="I41" i="19"/>
  <c r="H42" i="19"/>
  <c r="G42" i="19"/>
  <c r="K40" i="19"/>
  <c r="B40" i="20"/>
  <c r="D39" i="20" s="1"/>
  <c r="A40" i="20"/>
  <c r="I39" i="20"/>
  <c r="K39" i="20" s="1"/>
  <c r="H41" i="20"/>
  <c r="G41" i="20"/>
  <c r="C38" i="20"/>
  <c r="E38" i="20" s="1"/>
  <c r="Y42" i="19"/>
  <c r="E37" i="19"/>
  <c r="M41" i="19"/>
  <c r="E38" i="19"/>
  <c r="B40" i="19"/>
  <c r="A40" i="19"/>
  <c r="G37" i="18"/>
  <c r="H37" i="18"/>
  <c r="I36" i="18" s="1"/>
  <c r="I35" i="18"/>
  <c r="K35" i="18" s="1"/>
  <c r="B36" i="18"/>
  <c r="D35" i="18" s="1"/>
  <c r="A36" i="18"/>
  <c r="D34" i="18"/>
  <c r="E34" i="18" s="1"/>
  <c r="G52" i="17"/>
  <c r="H52" i="17"/>
  <c r="J51" i="17" s="1"/>
  <c r="J50" i="17"/>
  <c r="K50" i="17" s="1"/>
  <c r="I50" i="17"/>
  <c r="I32" i="17"/>
  <c r="K32" i="17" s="1"/>
  <c r="B54" i="17"/>
  <c r="A54" i="17"/>
  <c r="C52" i="17"/>
  <c r="D52" i="17"/>
  <c r="E52" i="17" s="1"/>
  <c r="C35" i="17"/>
  <c r="E35" i="17" s="1"/>
  <c r="A37" i="17"/>
  <c r="B37" i="17"/>
  <c r="D36" i="17" s="1"/>
  <c r="H34" i="17"/>
  <c r="G34" i="17"/>
  <c r="E48" i="25" l="1"/>
  <c r="B50" i="25"/>
  <c r="D49" i="25"/>
  <c r="C49" i="25"/>
  <c r="A50" i="25"/>
  <c r="K47" i="24"/>
  <c r="K27" i="24" s="1"/>
  <c r="G49" i="24"/>
  <c r="H49" i="24"/>
  <c r="J48" i="24"/>
  <c r="I48" i="24"/>
  <c r="D47" i="24"/>
  <c r="B48" i="24"/>
  <c r="C47" i="24"/>
  <c r="C27" i="24" s="1"/>
  <c r="A48" i="24"/>
  <c r="E46" i="24"/>
  <c r="W42" i="19"/>
  <c r="U43" i="19"/>
  <c r="T44" i="19"/>
  <c r="S44" i="19"/>
  <c r="V43" i="19"/>
  <c r="AA42" i="19"/>
  <c r="Z43" i="19"/>
  <c r="AB42" i="19"/>
  <c r="AC41" i="19"/>
  <c r="N43" i="19"/>
  <c r="P42" i="19"/>
  <c r="O42" i="19"/>
  <c r="Q41" i="19"/>
  <c r="D40" i="19"/>
  <c r="C40" i="19"/>
  <c r="K41" i="19"/>
  <c r="J42" i="19"/>
  <c r="I42" i="19"/>
  <c r="G43" i="19"/>
  <c r="H43" i="19"/>
  <c r="G42" i="20"/>
  <c r="H42" i="20"/>
  <c r="J41" i="20" s="1"/>
  <c r="C39" i="20"/>
  <c r="E39" i="20" s="1"/>
  <c r="I40" i="20"/>
  <c r="A41" i="20"/>
  <c r="B41" i="20"/>
  <c r="C40" i="20" s="1"/>
  <c r="J40" i="20"/>
  <c r="Y43" i="19"/>
  <c r="E39" i="19"/>
  <c r="M42" i="19"/>
  <c r="B41" i="19"/>
  <c r="A41" i="19"/>
  <c r="J36" i="18"/>
  <c r="K36" i="18" s="1"/>
  <c r="H38" i="18"/>
  <c r="I37" i="18" s="1"/>
  <c r="G38" i="18"/>
  <c r="B37" i="18"/>
  <c r="D36" i="18" s="1"/>
  <c r="A37" i="18"/>
  <c r="C35" i="18"/>
  <c r="E35" i="18" s="1"/>
  <c r="H53" i="17"/>
  <c r="J52" i="17" s="1"/>
  <c r="G53" i="17"/>
  <c r="I51" i="17"/>
  <c r="K51" i="17" s="1"/>
  <c r="A55" i="17"/>
  <c r="B55" i="17"/>
  <c r="C54" i="17" s="1"/>
  <c r="D53" i="17"/>
  <c r="E53" i="17" s="1"/>
  <c r="C53" i="17"/>
  <c r="H35" i="17"/>
  <c r="J34" i="17" s="1"/>
  <c r="G35" i="17"/>
  <c r="J33" i="17"/>
  <c r="K33" i="17" s="1"/>
  <c r="B38" i="17"/>
  <c r="C37" i="17" s="1"/>
  <c r="A38" i="17"/>
  <c r="C36" i="17"/>
  <c r="E36" i="17" s="1"/>
  <c r="I33" i="17"/>
  <c r="E49" i="25" l="1"/>
  <c r="C50" i="25"/>
  <c r="D50" i="25"/>
  <c r="A51" i="25"/>
  <c r="B51" i="25"/>
  <c r="K48" i="24"/>
  <c r="E47" i="24"/>
  <c r="E27" i="24" s="1"/>
  <c r="J49" i="24"/>
  <c r="H50" i="24"/>
  <c r="I49" i="24"/>
  <c r="G50" i="24"/>
  <c r="D48" i="24"/>
  <c r="B49" i="24"/>
  <c r="C48" i="24"/>
  <c r="A49" i="24"/>
  <c r="W43" i="19"/>
  <c r="S45" i="19"/>
  <c r="V44" i="19"/>
  <c r="U44" i="19"/>
  <c r="T45" i="19"/>
  <c r="AC42" i="19"/>
  <c r="AB43" i="19"/>
  <c r="AA43" i="19"/>
  <c r="Z44" i="19"/>
  <c r="Q42" i="19"/>
  <c r="O43" i="19"/>
  <c r="N44" i="19"/>
  <c r="P43" i="19"/>
  <c r="D41" i="19"/>
  <c r="C41" i="19"/>
  <c r="I43" i="19"/>
  <c r="J43" i="19"/>
  <c r="H44" i="19"/>
  <c r="G44" i="19"/>
  <c r="K42" i="19"/>
  <c r="D40" i="20"/>
  <c r="E40" i="20" s="1"/>
  <c r="K40" i="20"/>
  <c r="H43" i="20"/>
  <c r="J42" i="20"/>
  <c r="G43" i="20"/>
  <c r="I42" i="20"/>
  <c r="I41" i="20"/>
  <c r="K41" i="20" s="1"/>
  <c r="B42" i="20"/>
  <c r="D41" i="20" s="1"/>
  <c r="A42" i="20"/>
  <c r="Y44" i="19"/>
  <c r="M43" i="19"/>
  <c r="A42" i="19"/>
  <c r="B42" i="19"/>
  <c r="E40" i="19"/>
  <c r="J37" i="18"/>
  <c r="K37" i="18" s="1"/>
  <c r="C36" i="18"/>
  <c r="E36" i="18" s="1"/>
  <c r="H39" i="18"/>
  <c r="J38" i="18" s="1"/>
  <c r="G39" i="18"/>
  <c r="B38" i="18"/>
  <c r="C37" i="18" s="1"/>
  <c r="A38" i="18"/>
  <c r="G54" i="17"/>
  <c r="H54" i="17"/>
  <c r="I53" i="17" s="1"/>
  <c r="I52" i="17"/>
  <c r="K52" i="17" s="1"/>
  <c r="D54" i="17"/>
  <c r="E54" i="17" s="1"/>
  <c r="A56" i="17"/>
  <c r="B56" i="17"/>
  <c r="D55" i="17" s="1"/>
  <c r="D37" i="17"/>
  <c r="E37" i="17" s="1"/>
  <c r="B39" i="17"/>
  <c r="D38" i="17" s="1"/>
  <c r="A39" i="17"/>
  <c r="C38" i="17"/>
  <c r="I34" i="17"/>
  <c r="K34" i="17" s="1"/>
  <c r="G36" i="17"/>
  <c r="H36" i="17"/>
  <c r="J35" i="17" s="1"/>
  <c r="C51" i="25" l="1"/>
  <c r="D51" i="25"/>
  <c r="A52" i="25"/>
  <c r="B52" i="25"/>
  <c r="E50" i="25"/>
  <c r="E48" i="24"/>
  <c r="D49" i="24"/>
  <c r="B50" i="24"/>
  <c r="C49" i="24"/>
  <c r="A50" i="24"/>
  <c r="J50" i="24"/>
  <c r="H51" i="24"/>
  <c r="I50" i="24"/>
  <c r="G51" i="24"/>
  <c r="K49" i="24"/>
  <c r="Q43" i="19"/>
  <c r="W44" i="19"/>
  <c r="T46" i="19"/>
  <c r="S46" i="19"/>
  <c r="U45" i="19"/>
  <c r="U25" i="19" s="1"/>
  <c r="V45" i="19"/>
  <c r="Z45" i="19"/>
  <c r="AA44" i="19"/>
  <c r="AB44" i="19"/>
  <c r="AC44" i="19" s="1"/>
  <c r="AC43" i="19"/>
  <c r="N45" i="19"/>
  <c r="P44" i="19"/>
  <c r="O44" i="19"/>
  <c r="C42" i="19"/>
  <c r="D42" i="19"/>
  <c r="J44" i="19"/>
  <c r="I44" i="19"/>
  <c r="K43" i="19"/>
  <c r="H45" i="19"/>
  <c r="G45" i="19"/>
  <c r="K42" i="20"/>
  <c r="C41" i="20"/>
  <c r="E41" i="20" s="1"/>
  <c r="H44" i="20"/>
  <c r="J43" i="20"/>
  <c r="G44" i="20"/>
  <c r="I43" i="20"/>
  <c r="B43" i="20"/>
  <c r="D42" i="20" s="1"/>
  <c r="A43" i="20"/>
  <c r="Y45" i="19"/>
  <c r="E41" i="19"/>
  <c r="M44" i="19"/>
  <c r="B43" i="19"/>
  <c r="A43" i="19"/>
  <c r="I38" i="18"/>
  <c r="K38" i="18" s="1"/>
  <c r="D37" i="18"/>
  <c r="E37" i="18" s="1"/>
  <c r="B39" i="18"/>
  <c r="C38" i="18" s="1"/>
  <c r="A39" i="18"/>
  <c r="G40" i="18"/>
  <c r="H40" i="18"/>
  <c r="I39" i="18" s="1"/>
  <c r="H55" i="17"/>
  <c r="I54" i="17" s="1"/>
  <c r="G55" i="17"/>
  <c r="J53" i="17"/>
  <c r="K53" i="17" s="1"/>
  <c r="D56" i="17"/>
  <c r="A57" i="17"/>
  <c r="B57" i="17"/>
  <c r="C55" i="17"/>
  <c r="E55" i="17" s="1"/>
  <c r="E38" i="17"/>
  <c r="I35" i="17"/>
  <c r="K35" i="17" s="1"/>
  <c r="B40" i="17"/>
  <c r="D39" i="17" s="1"/>
  <c r="A40" i="17"/>
  <c r="H37" i="17"/>
  <c r="J36" i="17" s="1"/>
  <c r="G37" i="17"/>
  <c r="B53" i="25" l="1"/>
  <c r="C52" i="25"/>
  <c r="D52" i="25"/>
  <c r="A53" i="25"/>
  <c r="E51" i="25"/>
  <c r="E21" i="25" s="1"/>
  <c r="E22" i="25" s="1"/>
  <c r="J51" i="24"/>
  <c r="I51" i="24"/>
  <c r="K50" i="24"/>
  <c r="D50" i="24"/>
  <c r="B51" i="24"/>
  <c r="C50" i="24"/>
  <c r="A51" i="24"/>
  <c r="E49" i="24"/>
  <c r="L21" i="24"/>
  <c r="L23" i="24" s="1"/>
  <c r="I21" i="24"/>
  <c r="W45" i="19"/>
  <c r="W25" i="19" s="1"/>
  <c r="V46" i="19"/>
  <c r="U46" i="19"/>
  <c r="T47" i="19"/>
  <c r="S47" i="19"/>
  <c r="AB45" i="19"/>
  <c r="AA45" i="19"/>
  <c r="AA25" i="19" s="1"/>
  <c r="Z46" i="19"/>
  <c r="Q44" i="19"/>
  <c r="P45" i="19"/>
  <c r="O45" i="19"/>
  <c r="N46" i="19"/>
  <c r="C43" i="19"/>
  <c r="D43" i="19"/>
  <c r="J45" i="19"/>
  <c r="I45" i="19"/>
  <c r="I25" i="19" s="1"/>
  <c r="H46" i="19"/>
  <c r="G46" i="19"/>
  <c r="K44" i="19"/>
  <c r="K43" i="20"/>
  <c r="B44" i="20"/>
  <c r="D43" i="20" s="1"/>
  <c r="A44" i="20"/>
  <c r="H45" i="20"/>
  <c r="J44" i="20"/>
  <c r="G45" i="20"/>
  <c r="I44" i="20"/>
  <c r="I24" i="20" s="1"/>
  <c r="C42" i="20"/>
  <c r="E42" i="20" s="1"/>
  <c r="Y46" i="19"/>
  <c r="B44" i="19"/>
  <c r="A44" i="19"/>
  <c r="E42" i="19"/>
  <c r="M45" i="19"/>
  <c r="J39" i="18"/>
  <c r="K39" i="18" s="1"/>
  <c r="D38" i="18"/>
  <c r="E38" i="18" s="1"/>
  <c r="A40" i="18"/>
  <c r="B40" i="18"/>
  <c r="D39" i="18" s="1"/>
  <c r="H41" i="18"/>
  <c r="I40" i="18" s="1"/>
  <c r="G41" i="18"/>
  <c r="J54" i="17"/>
  <c r="K54" i="17" s="1"/>
  <c r="G56" i="17"/>
  <c r="H56" i="17"/>
  <c r="I36" i="17"/>
  <c r="K36" i="17" s="1"/>
  <c r="B58" i="17"/>
  <c r="A58" i="17"/>
  <c r="C56" i="17"/>
  <c r="E56" i="17" s="1"/>
  <c r="C39" i="17"/>
  <c r="E39" i="17" s="1"/>
  <c r="A41" i="17"/>
  <c r="B41" i="17"/>
  <c r="D40" i="17" s="1"/>
  <c r="H38" i="17"/>
  <c r="I37" i="17" s="1"/>
  <c r="G38" i="17"/>
  <c r="AC45" i="19" l="1"/>
  <c r="E52" i="25"/>
  <c r="A54" i="25"/>
  <c r="B54" i="25"/>
  <c r="C53" i="25"/>
  <c r="D53" i="25"/>
  <c r="E53" i="25" s="1"/>
  <c r="K51" i="24"/>
  <c r="K21" i="24" s="1"/>
  <c r="K22" i="24" s="1"/>
  <c r="F21" i="24"/>
  <c r="F23" i="24" s="1"/>
  <c r="C21" i="24"/>
  <c r="K23" i="24"/>
  <c r="I23" i="24"/>
  <c r="I22" i="24"/>
  <c r="D51" i="24"/>
  <c r="C51" i="24"/>
  <c r="E50" i="24"/>
  <c r="T48" i="19"/>
  <c r="S48" i="19"/>
  <c r="V47" i="19"/>
  <c r="U47" i="19"/>
  <c r="W46" i="19"/>
  <c r="AA46" i="19"/>
  <c r="Z47" i="19"/>
  <c r="AB46" i="19"/>
  <c r="N47" i="19"/>
  <c r="P46" i="19"/>
  <c r="O46" i="19"/>
  <c r="Q45" i="19"/>
  <c r="C44" i="19"/>
  <c r="D44" i="19"/>
  <c r="K45" i="19"/>
  <c r="K25" i="19" s="1"/>
  <c r="J46" i="19"/>
  <c r="I46" i="19"/>
  <c r="G47" i="19"/>
  <c r="H47" i="19"/>
  <c r="K44" i="20"/>
  <c r="K24" i="20" s="1"/>
  <c r="G46" i="20"/>
  <c r="I45" i="20"/>
  <c r="J45" i="20"/>
  <c r="H46" i="20"/>
  <c r="C43" i="20"/>
  <c r="E43" i="20" s="1"/>
  <c r="A45" i="20"/>
  <c r="B45" i="20"/>
  <c r="C44" i="20" s="1"/>
  <c r="D44" i="20"/>
  <c r="AC25" i="19"/>
  <c r="Y47" i="19"/>
  <c r="M46" i="19"/>
  <c r="O25" i="19"/>
  <c r="B45" i="19"/>
  <c r="A45" i="19"/>
  <c r="E43" i="19"/>
  <c r="J40" i="18"/>
  <c r="K40" i="18" s="1"/>
  <c r="C39" i="18"/>
  <c r="E39" i="18" s="1"/>
  <c r="H42" i="18"/>
  <c r="J41" i="18" s="1"/>
  <c r="G42" i="18"/>
  <c r="I41" i="18"/>
  <c r="B41" i="18"/>
  <c r="C40" i="18" s="1"/>
  <c r="A41" i="18"/>
  <c r="G57" i="17"/>
  <c r="H57" i="17"/>
  <c r="I56" i="17" s="1"/>
  <c r="J56" i="17"/>
  <c r="J55" i="17"/>
  <c r="K55" i="17" s="1"/>
  <c r="I55" i="17"/>
  <c r="J37" i="17"/>
  <c r="K37" i="17" s="1"/>
  <c r="C58" i="17"/>
  <c r="D58" i="17"/>
  <c r="E58" i="17" s="1"/>
  <c r="A59" i="17"/>
  <c r="B59" i="17"/>
  <c r="D57" i="17"/>
  <c r="E57" i="17" s="1"/>
  <c r="C57" i="17"/>
  <c r="C40" i="17"/>
  <c r="E40" i="17" s="1"/>
  <c r="H39" i="17"/>
  <c r="I38" i="17" s="1"/>
  <c r="G39" i="17"/>
  <c r="B42" i="17"/>
  <c r="D41" i="17" s="1"/>
  <c r="A42" i="17"/>
  <c r="AC46" i="19" l="1"/>
  <c r="C54" i="25"/>
  <c r="D54" i="25"/>
  <c r="A55" i="25"/>
  <c r="B55" i="25"/>
  <c r="E51" i="24"/>
  <c r="E21" i="24" s="1"/>
  <c r="E22" i="24" s="1"/>
  <c r="C22" i="24"/>
  <c r="E23" i="24"/>
  <c r="C23" i="24"/>
  <c r="W47" i="19"/>
  <c r="V48" i="19"/>
  <c r="T49" i="19"/>
  <c r="S49" i="19"/>
  <c r="U48" i="19"/>
  <c r="AB47" i="19"/>
  <c r="AA47" i="19"/>
  <c r="Z48" i="19"/>
  <c r="Q46" i="19"/>
  <c r="O47" i="19"/>
  <c r="P47" i="19"/>
  <c r="N48" i="19"/>
  <c r="K46" i="19"/>
  <c r="C45" i="19"/>
  <c r="C25" i="19" s="1"/>
  <c r="D45" i="19"/>
  <c r="I47" i="19"/>
  <c r="J47" i="19"/>
  <c r="G48" i="19"/>
  <c r="H48" i="19"/>
  <c r="K45" i="20"/>
  <c r="C24" i="20"/>
  <c r="H47" i="20"/>
  <c r="J46" i="20"/>
  <c r="G47" i="20"/>
  <c r="I46" i="20"/>
  <c r="E44" i="20"/>
  <c r="E24" i="20" s="1"/>
  <c r="B46" i="20"/>
  <c r="D45" i="20"/>
  <c r="A46" i="20"/>
  <c r="C45" i="20"/>
  <c r="Y48" i="19"/>
  <c r="E44" i="19"/>
  <c r="A46" i="19"/>
  <c r="B46" i="19"/>
  <c r="Q25" i="19"/>
  <c r="M47" i="19"/>
  <c r="D40" i="18"/>
  <c r="E40" i="18" s="1"/>
  <c r="B42" i="18"/>
  <c r="C41" i="18" s="1"/>
  <c r="A42" i="18"/>
  <c r="K41" i="18"/>
  <c r="H43" i="18"/>
  <c r="J42" i="18" s="1"/>
  <c r="G43" i="18"/>
  <c r="K56" i="17"/>
  <c r="G58" i="17"/>
  <c r="H58" i="17"/>
  <c r="I57" i="17" s="1"/>
  <c r="J38" i="17"/>
  <c r="K38" i="17" s="1"/>
  <c r="A60" i="17"/>
  <c r="B60" i="17"/>
  <c r="C41" i="17"/>
  <c r="E41" i="17" s="1"/>
  <c r="B43" i="17"/>
  <c r="D42" i="17" s="1"/>
  <c r="A43" i="17"/>
  <c r="G40" i="17"/>
  <c r="H40" i="17"/>
  <c r="I39" i="17" s="1"/>
  <c r="B56" i="25" l="1"/>
  <c r="C55" i="25"/>
  <c r="A56" i="25"/>
  <c r="D55" i="25"/>
  <c r="E54" i="25"/>
  <c r="Q47" i="19"/>
  <c r="X20" i="19"/>
  <c r="X22" i="19" s="1"/>
  <c r="U20" i="19"/>
  <c r="V49" i="19"/>
  <c r="U49" i="19"/>
  <c r="W48" i="19"/>
  <c r="Z49" i="19"/>
  <c r="AB48" i="19"/>
  <c r="AA48" i="19"/>
  <c r="AC47" i="19"/>
  <c r="N49" i="19"/>
  <c r="P48" i="19"/>
  <c r="O48" i="19"/>
  <c r="D46" i="19"/>
  <c r="C46" i="19"/>
  <c r="J48" i="19"/>
  <c r="I48" i="19"/>
  <c r="K47" i="19"/>
  <c r="H49" i="19"/>
  <c r="G49" i="19"/>
  <c r="K46" i="20"/>
  <c r="E45" i="20"/>
  <c r="B47" i="20"/>
  <c r="D46" i="20"/>
  <c r="A47" i="20"/>
  <c r="C46" i="20"/>
  <c r="H48" i="20"/>
  <c r="J47" i="20"/>
  <c r="G48" i="20"/>
  <c r="I47" i="20"/>
  <c r="Y49" i="19"/>
  <c r="B47" i="19"/>
  <c r="A47" i="19"/>
  <c r="E45" i="19"/>
  <c r="E25" i="19" s="1"/>
  <c r="M48" i="19"/>
  <c r="I42" i="18"/>
  <c r="I22" i="18" s="1"/>
  <c r="D41" i="18"/>
  <c r="E41" i="18" s="1"/>
  <c r="G44" i="18"/>
  <c r="H44" i="18"/>
  <c r="I43" i="18" s="1"/>
  <c r="A43" i="18"/>
  <c r="B43" i="18"/>
  <c r="D42" i="18" s="1"/>
  <c r="J57" i="17"/>
  <c r="K57" i="17" s="1"/>
  <c r="G59" i="17"/>
  <c r="H59" i="17"/>
  <c r="J39" i="17"/>
  <c r="K39" i="17" s="1"/>
  <c r="B61" i="17"/>
  <c r="C60" i="17" s="1"/>
  <c r="D60" i="17"/>
  <c r="A61" i="17"/>
  <c r="C59" i="17"/>
  <c r="D59" i="17"/>
  <c r="C42" i="17"/>
  <c r="H41" i="17"/>
  <c r="I40" i="17" s="1"/>
  <c r="G41" i="17"/>
  <c r="B44" i="17"/>
  <c r="C43" i="17" s="1"/>
  <c r="D43" i="17"/>
  <c r="A44" i="17"/>
  <c r="E55" i="25" l="1"/>
  <c r="A57" i="25"/>
  <c r="B57" i="25"/>
  <c r="D56" i="25"/>
  <c r="C56" i="25"/>
  <c r="K47" i="20"/>
  <c r="W49" i="19"/>
  <c r="W20" i="19" s="1"/>
  <c r="W21" i="19" s="1"/>
  <c r="W22" i="19"/>
  <c r="U22" i="19"/>
  <c r="U21" i="19"/>
  <c r="AC48" i="19"/>
  <c r="AB49" i="19"/>
  <c r="AA49" i="19"/>
  <c r="Q48" i="19"/>
  <c r="O49" i="19"/>
  <c r="P49" i="19"/>
  <c r="D47" i="19"/>
  <c r="C47" i="19"/>
  <c r="J49" i="19"/>
  <c r="I49" i="19"/>
  <c r="K48" i="19"/>
  <c r="L20" i="19"/>
  <c r="L22" i="19" s="1"/>
  <c r="I20" i="19"/>
  <c r="B48" i="20"/>
  <c r="D47" i="20"/>
  <c r="A48" i="20"/>
  <c r="C47" i="20"/>
  <c r="J48" i="20"/>
  <c r="I48" i="20"/>
  <c r="L19" i="20"/>
  <c r="L21" i="20" s="1"/>
  <c r="I19" i="20"/>
  <c r="E46" i="20"/>
  <c r="AA20" i="19"/>
  <c r="AD20" i="19"/>
  <c r="AD22" i="19" s="1"/>
  <c r="M49" i="19"/>
  <c r="E46" i="19"/>
  <c r="B48" i="19"/>
  <c r="A48" i="19"/>
  <c r="C42" i="18"/>
  <c r="C22" i="18" s="1"/>
  <c r="J43" i="18"/>
  <c r="K43" i="18" s="1"/>
  <c r="K42" i="18"/>
  <c r="K22" i="18" s="1"/>
  <c r="A44" i="18"/>
  <c r="B44" i="18"/>
  <c r="D43" i="18"/>
  <c r="C43" i="18"/>
  <c r="G45" i="18"/>
  <c r="H45" i="18"/>
  <c r="J44" i="18" s="1"/>
  <c r="G60" i="17"/>
  <c r="H60" i="17"/>
  <c r="J59" i="17" s="1"/>
  <c r="J58" i="17"/>
  <c r="K58" i="17" s="1"/>
  <c r="I58" i="17"/>
  <c r="J40" i="17"/>
  <c r="K40" i="17" s="1"/>
  <c r="E59" i="17"/>
  <c r="E60" i="17"/>
  <c r="B62" i="17"/>
  <c r="A62" i="17"/>
  <c r="E42" i="17"/>
  <c r="E43" i="17"/>
  <c r="A45" i="17"/>
  <c r="B45" i="17"/>
  <c r="C44" i="17" s="1"/>
  <c r="H42" i="17"/>
  <c r="J41" i="17" s="1"/>
  <c r="G42" i="17"/>
  <c r="AC49" i="19" l="1"/>
  <c r="E56" i="25"/>
  <c r="A58" i="25"/>
  <c r="B58" i="25"/>
  <c r="D57" i="25"/>
  <c r="C57" i="25"/>
  <c r="K48" i="20"/>
  <c r="K19" i="20" s="1"/>
  <c r="K20" i="20" s="1"/>
  <c r="Q49" i="19"/>
  <c r="K49" i="19"/>
  <c r="K20" i="19" s="1"/>
  <c r="K21" i="19" s="1"/>
  <c r="D48" i="19"/>
  <c r="C48" i="19"/>
  <c r="E47" i="19"/>
  <c r="K22" i="19"/>
  <c r="I22" i="19"/>
  <c r="I21" i="19"/>
  <c r="I20" i="20"/>
  <c r="K21" i="20"/>
  <c r="I21" i="20"/>
  <c r="C19" i="20"/>
  <c r="F19" i="20"/>
  <c r="F21" i="20" s="1"/>
  <c r="E47" i="20"/>
  <c r="D48" i="20"/>
  <c r="C48" i="20"/>
  <c r="AC20" i="19"/>
  <c r="AC21" i="19" s="1"/>
  <c r="AC22" i="19"/>
  <c r="AA22" i="19"/>
  <c r="AA21" i="19"/>
  <c r="B49" i="19"/>
  <c r="A49" i="19"/>
  <c r="O20" i="19"/>
  <c r="R20" i="19"/>
  <c r="R22" i="19" s="1"/>
  <c r="E42" i="18"/>
  <c r="E22" i="18" s="1"/>
  <c r="I44" i="18"/>
  <c r="K44" i="18" s="1"/>
  <c r="H46" i="18"/>
  <c r="J45" i="18" s="1"/>
  <c r="G46" i="18"/>
  <c r="E43" i="18"/>
  <c r="B45" i="18"/>
  <c r="D44" i="18"/>
  <c r="A45" i="18"/>
  <c r="C44" i="18"/>
  <c r="I59" i="17"/>
  <c r="K59" i="17" s="1"/>
  <c r="H61" i="17"/>
  <c r="J60" i="17" s="1"/>
  <c r="G61" i="17"/>
  <c r="I41" i="17"/>
  <c r="K41" i="17" s="1"/>
  <c r="A63" i="17"/>
  <c r="B63" i="17"/>
  <c r="D61" i="17"/>
  <c r="E61" i="17" s="1"/>
  <c r="C61" i="17"/>
  <c r="D44" i="17"/>
  <c r="E44" i="17" s="1"/>
  <c r="B46" i="17"/>
  <c r="C45" i="17" s="1"/>
  <c r="A46" i="17"/>
  <c r="G43" i="17"/>
  <c r="H43" i="17"/>
  <c r="J42" i="17" s="1"/>
  <c r="E57" i="25" l="1"/>
  <c r="D58" i="25"/>
  <c r="A59" i="25"/>
  <c r="B59" i="25"/>
  <c r="C58" i="25"/>
  <c r="D49" i="19"/>
  <c r="E49" i="19" s="1"/>
  <c r="C49" i="19"/>
  <c r="E48" i="20"/>
  <c r="E19" i="20" s="1"/>
  <c r="E20" i="20" s="1"/>
  <c r="E21" i="20"/>
  <c r="C21" i="20"/>
  <c r="C20" i="20"/>
  <c r="Q20" i="19"/>
  <c r="Q21" i="19" s="1"/>
  <c r="O21" i="19"/>
  <c r="O22" i="19"/>
  <c r="Q22" i="19"/>
  <c r="F20" i="19"/>
  <c r="F22" i="19" s="1"/>
  <c r="C20" i="19"/>
  <c r="E48" i="19"/>
  <c r="E44" i="18"/>
  <c r="I45" i="18"/>
  <c r="K45" i="18" s="1"/>
  <c r="B46" i="18"/>
  <c r="D45" i="18"/>
  <c r="A46" i="18"/>
  <c r="C45" i="18"/>
  <c r="I17" i="18"/>
  <c r="L17" i="18"/>
  <c r="J46" i="18"/>
  <c r="K46" i="18" s="1"/>
  <c r="I46" i="18"/>
  <c r="K60" i="17"/>
  <c r="G62" i="17"/>
  <c r="H62" i="17"/>
  <c r="I61" i="17" s="1"/>
  <c r="I60" i="17"/>
  <c r="I42" i="17"/>
  <c r="A64" i="17"/>
  <c r="B64" i="17"/>
  <c r="D62" i="17"/>
  <c r="E62" i="17" s="1"/>
  <c r="C62" i="17"/>
  <c r="D45" i="17"/>
  <c r="E45" i="17" s="1"/>
  <c r="I43" i="17"/>
  <c r="D46" i="17"/>
  <c r="E46" i="17" s="1"/>
  <c r="C46" i="17"/>
  <c r="D59" i="25" l="1"/>
  <c r="E59" i="25" s="1"/>
  <c r="A60" i="25"/>
  <c r="C59" i="25"/>
  <c r="B60" i="25"/>
  <c r="E58" i="25"/>
  <c r="E20" i="19"/>
  <c r="E21" i="19" s="1"/>
  <c r="E22" i="19"/>
  <c r="C22" i="19"/>
  <c r="C21" i="19"/>
  <c r="K17" i="18"/>
  <c r="K18" i="18" s="1"/>
  <c r="L19" i="18"/>
  <c r="K19" i="18"/>
  <c r="I18" i="18"/>
  <c r="I19" i="18"/>
  <c r="F17" i="18"/>
  <c r="F19" i="18" s="1"/>
  <c r="C17" i="18"/>
  <c r="E45" i="18"/>
  <c r="C46" i="18"/>
  <c r="D46" i="18"/>
  <c r="H63" i="17"/>
  <c r="I62" i="17" s="1"/>
  <c r="G63" i="17"/>
  <c r="J61" i="17"/>
  <c r="K61" i="17" s="1"/>
  <c r="J43" i="17"/>
  <c r="K43" i="17" s="1"/>
  <c r="K42" i="17"/>
  <c r="D64" i="17"/>
  <c r="E64" i="17" s="1"/>
  <c r="A65" i="17"/>
  <c r="B65" i="17"/>
  <c r="C64" i="17"/>
  <c r="D63" i="17"/>
  <c r="E63" i="17" s="1"/>
  <c r="C63" i="17"/>
  <c r="E17" i="17"/>
  <c r="E18" i="17" s="1"/>
  <c r="D60" i="25" l="1"/>
  <c r="C60" i="25"/>
  <c r="A61" i="25"/>
  <c r="B61" i="25"/>
  <c r="E46" i="18"/>
  <c r="E17" i="18" s="1"/>
  <c r="E18" i="18" s="1"/>
  <c r="E19" i="18"/>
  <c r="C19" i="18"/>
  <c r="C18" i="18"/>
  <c r="J62" i="17"/>
  <c r="K62" i="17" s="1"/>
  <c r="G64" i="17"/>
  <c r="H64" i="17"/>
  <c r="B66" i="17"/>
  <c r="C65" i="17" s="1"/>
  <c r="A66" i="17"/>
  <c r="D65" i="17"/>
  <c r="E60" i="25" l="1"/>
  <c r="A62" i="25"/>
  <c r="D61" i="25"/>
  <c r="C61" i="25"/>
  <c r="B62" i="25"/>
  <c r="G65" i="17"/>
  <c r="H65" i="17"/>
  <c r="J64" i="17" s="1"/>
  <c r="K64" i="17" s="1"/>
  <c r="I64" i="17"/>
  <c r="J63" i="17"/>
  <c r="K63" i="17" s="1"/>
  <c r="I63" i="17"/>
  <c r="E65" i="17"/>
  <c r="A67" i="17"/>
  <c r="B67" i="17"/>
  <c r="E61" i="25" l="1"/>
  <c r="D62" i="25"/>
  <c r="A63" i="25"/>
  <c r="C62" i="25"/>
  <c r="B63" i="25"/>
  <c r="G66" i="17"/>
  <c r="H66" i="17"/>
  <c r="A68" i="17"/>
  <c r="B68" i="17"/>
  <c r="D67" i="17"/>
  <c r="E67" i="17" s="1"/>
  <c r="C67" i="17"/>
  <c r="D66" i="17"/>
  <c r="C66" i="17"/>
  <c r="K17" i="17"/>
  <c r="K18" i="17" s="1"/>
  <c r="B64" i="25" l="1"/>
  <c r="C63" i="25"/>
  <c r="D63" i="25"/>
  <c r="A64" i="25"/>
  <c r="E62" i="25"/>
  <c r="G67" i="17"/>
  <c r="H67" i="17"/>
  <c r="J65" i="17"/>
  <c r="K65" i="17" s="1"/>
  <c r="I65" i="17"/>
  <c r="E66" i="17"/>
  <c r="B69" i="17"/>
  <c r="D68" i="17" s="1"/>
  <c r="E68" i="17" s="1"/>
  <c r="C68" i="17"/>
  <c r="A69" i="17"/>
  <c r="E63" i="25" l="1"/>
  <c r="A65" i="25"/>
  <c r="D64" i="25"/>
  <c r="B65" i="25"/>
  <c r="C64" i="25"/>
  <c r="E22" i="17"/>
  <c r="G68" i="17"/>
  <c r="H68" i="17"/>
  <c r="I67" i="17" s="1"/>
  <c r="J66" i="17"/>
  <c r="K66" i="17" s="1"/>
  <c r="I66" i="17"/>
  <c r="C69" i="17"/>
  <c r="D69" i="17"/>
  <c r="E69" i="17" s="1"/>
  <c r="B70" i="17"/>
  <c r="A70" i="17"/>
  <c r="B66" i="25" l="1"/>
  <c r="D65" i="25"/>
  <c r="A66" i="25"/>
  <c r="C65" i="25"/>
  <c r="E64" i="25"/>
  <c r="J67" i="17"/>
  <c r="K67" i="17" s="1"/>
  <c r="H69" i="17"/>
  <c r="G69" i="17"/>
  <c r="A71" i="17"/>
  <c r="B71" i="17"/>
  <c r="C70" i="17"/>
  <c r="D70" i="17"/>
  <c r="E70" i="17" s="1"/>
  <c r="A67" i="25" l="1"/>
  <c r="C66" i="25"/>
  <c r="D66" i="25"/>
  <c r="B67" i="25"/>
  <c r="E65" i="25"/>
  <c r="G70" i="17"/>
  <c r="H70" i="17"/>
  <c r="I69" i="17" s="1"/>
  <c r="J68" i="17"/>
  <c r="K68" i="17" s="1"/>
  <c r="I68" i="17"/>
  <c r="C71" i="17"/>
  <c r="D71" i="17"/>
  <c r="E71" i="17" s="1"/>
  <c r="A72" i="17"/>
  <c r="B72" i="17"/>
  <c r="E66" i="25" l="1"/>
  <c r="A68" i="25"/>
  <c r="B68" i="25"/>
  <c r="D67" i="25"/>
  <c r="C67" i="25"/>
  <c r="H71" i="17"/>
  <c r="I70" i="17" s="1"/>
  <c r="G71" i="17"/>
  <c r="J69" i="17"/>
  <c r="K69" i="17" s="1"/>
  <c r="D72" i="17"/>
  <c r="A73" i="17"/>
  <c r="C72" i="17"/>
  <c r="B73" i="17"/>
  <c r="E67" i="25" l="1"/>
  <c r="C68" i="25"/>
  <c r="B69" i="25"/>
  <c r="A69" i="25"/>
  <c r="D68" i="25"/>
  <c r="J70" i="17"/>
  <c r="K70" i="17" s="1"/>
  <c r="G72" i="17"/>
  <c r="H72" i="17"/>
  <c r="B74" i="17"/>
  <c r="C73" i="17"/>
  <c r="D73" i="17"/>
  <c r="A74" i="17"/>
  <c r="E72" i="17"/>
  <c r="E68" i="25" l="1"/>
  <c r="A70" i="25"/>
  <c r="D69" i="25"/>
  <c r="B70" i="25"/>
  <c r="C69" i="25"/>
  <c r="G73" i="17"/>
  <c r="H73" i="17"/>
  <c r="I72" i="17" s="1"/>
  <c r="J72" i="17"/>
  <c r="J71" i="17"/>
  <c r="K71" i="17" s="1"/>
  <c r="I71" i="17"/>
  <c r="E73" i="17"/>
  <c r="C74" i="17"/>
  <c r="D74" i="17"/>
  <c r="A75" i="17"/>
  <c r="B75" i="17"/>
  <c r="C70" i="25" l="1"/>
  <c r="D70" i="25"/>
  <c r="B71" i="25"/>
  <c r="A71" i="25"/>
  <c r="E69" i="25"/>
  <c r="K72" i="17"/>
  <c r="K22" i="17" s="1"/>
  <c r="I73" i="17"/>
  <c r="J73" i="17"/>
  <c r="K73" i="17" s="1"/>
  <c r="G74" i="17"/>
  <c r="H74" i="17"/>
  <c r="A76" i="17"/>
  <c r="D75" i="17"/>
  <c r="E75" i="17" s="1"/>
  <c r="B76" i="17"/>
  <c r="C75" i="17"/>
  <c r="E74" i="17"/>
  <c r="A72" i="25" l="1"/>
  <c r="B72" i="25"/>
  <c r="C71" i="25"/>
  <c r="D71" i="25"/>
  <c r="E71" i="25" s="1"/>
  <c r="E70" i="25"/>
  <c r="I74" i="17"/>
  <c r="J74" i="17"/>
  <c r="K74" i="17" s="1"/>
  <c r="G75" i="17"/>
  <c r="H75" i="17"/>
  <c r="B77" i="17"/>
  <c r="D76" i="17"/>
  <c r="E76" i="17" s="1"/>
  <c r="C76" i="17"/>
  <c r="A77" i="17"/>
  <c r="B73" i="25" l="1"/>
  <c r="A73" i="25"/>
  <c r="C72" i="25"/>
  <c r="D72" i="25"/>
  <c r="E72" i="25" s="1"/>
  <c r="G76" i="17"/>
  <c r="H76" i="17"/>
  <c r="I75" i="17"/>
  <c r="J75" i="17"/>
  <c r="C77" i="17"/>
  <c r="D77" i="17"/>
  <c r="E77" i="17" s="1"/>
  <c r="B78" i="17"/>
  <c r="A78" i="17"/>
  <c r="A74" i="25" l="1"/>
  <c r="D73" i="25"/>
  <c r="C73" i="25"/>
  <c r="B74" i="25"/>
  <c r="K75" i="17"/>
  <c r="I76" i="17"/>
  <c r="J76" i="17"/>
  <c r="K76" i="17" s="1"/>
  <c r="H77" i="17"/>
  <c r="G77" i="17"/>
  <c r="A79" i="17"/>
  <c r="B79" i="17"/>
  <c r="C78" i="17"/>
  <c r="D78" i="17"/>
  <c r="E78" i="17" s="1"/>
  <c r="C74" i="25" l="1"/>
  <c r="B75" i="25"/>
  <c r="D74" i="25"/>
  <c r="A75" i="25"/>
  <c r="E73" i="25"/>
  <c r="J77" i="17"/>
  <c r="K77" i="17" s="1"/>
  <c r="G78" i="17"/>
  <c r="H78" i="17"/>
  <c r="I77" i="17"/>
  <c r="C79" i="17"/>
  <c r="D79" i="17"/>
  <c r="E79" i="17" s="1"/>
  <c r="A80" i="17"/>
  <c r="B80" i="17"/>
  <c r="E74" i="25" l="1"/>
  <c r="C75" i="25"/>
  <c r="A76" i="25"/>
  <c r="B76" i="25"/>
  <c r="D75" i="25"/>
  <c r="H79" i="17"/>
  <c r="I78" i="17"/>
  <c r="J78" i="17"/>
  <c r="K78" i="17" s="1"/>
  <c r="G79" i="17"/>
  <c r="D80" i="17"/>
  <c r="E80" i="17" s="1"/>
  <c r="A81" i="17"/>
  <c r="C80" i="17"/>
  <c r="B81" i="17"/>
  <c r="E75" i="25" l="1"/>
  <c r="C76" i="25"/>
  <c r="A77" i="25"/>
  <c r="D76" i="25"/>
  <c r="B77" i="25"/>
  <c r="I79" i="17"/>
  <c r="J79" i="17"/>
  <c r="K79" i="17" s="1"/>
  <c r="G80" i="17"/>
  <c r="H80" i="17"/>
  <c r="B82" i="17"/>
  <c r="A82" i="17"/>
  <c r="C81" i="17"/>
  <c r="D81" i="17"/>
  <c r="E81" i="17" s="1"/>
  <c r="A78" i="25" l="1"/>
  <c r="B78" i="25"/>
  <c r="C77" i="25"/>
  <c r="D77" i="25"/>
  <c r="E77" i="25" s="1"/>
  <c r="E76" i="25"/>
  <c r="G81" i="17"/>
  <c r="H81" i="17"/>
  <c r="I80" i="17"/>
  <c r="J80" i="17"/>
  <c r="C82" i="17"/>
  <c r="A83" i="17"/>
  <c r="D82" i="17"/>
  <c r="B83" i="17"/>
  <c r="C78" i="25" l="1"/>
  <c r="D78" i="25"/>
  <c r="A79" i="25"/>
  <c r="B79" i="25"/>
  <c r="K80" i="17"/>
  <c r="I81" i="17"/>
  <c r="G82" i="17"/>
  <c r="J81" i="17"/>
  <c r="K81" i="17" s="1"/>
  <c r="H82" i="17"/>
  <c r="A84" i="17"/>
  <c r="B84" i="17"/>
  <c r="D83" i="17"/>
  <c r="C83" i="17"/>
  <c r="E82" i="17"/>
  <c r="D79" i="25" l="1"/>
  <c r="A80" i="25"/>
  <c r="B80" i="25"/>
  <c r="C79" i="25"/>
  <c r="E78" i="25"/>
  <c r="I82" i="17"/>
  <c r="J82" i="17"/>
  <c r="K82" i="17" s="1"/>
  <c r="G83" i="17"/>
  <c r="H83" i="17"/>
  <c r="B85" i="17"/>
  <c r="D84" i="17"/>
  <c r="C84" i="17"/>
  <c r="A85" i="17"/>
  <c r="E83" i="17"/>
  <c r="E79" i="25" l="1"/>
  <c r="A81" i="25"/>
  <c r="B81" i="25"/>
  <c r="C80" i="25"/>
  <c r="D80" i="25"/>
  <c r="G84" i="17"/>
  <c r="H84" i="17"/>
  <c r="J83" i="17"/>
  <c r="K83" i="17" s="1"/>
  <c r="I83" i="17"/>
  <c r="C85" i="17"/>
  <c r="D85" i="17"/>
  <c r="E85" i="17" s="1"/>
  <c r="B86" i="17"/>
  <c r="A86" i="17"/>
  <c r="E84" i="17"/>
  <c r="E80" i="25" l="1"/>
  <c r="C21" i="25"/>
  <c r="F21" i="25"/>
  <c r="F23" i="25" s="1"/>
  <c r="D81" i="25"/>
  <c r="C81" i="25"/>
  <c r="I84" i="17"/>
  <c r="J84" i="17"/>
  <c r="K84" i="17" s="1"/>
  <c r="G85" i="17"/>
  <c r="H85" i="17"/>
  <c r="A87" i="17"/>
  <c r="B87" i="17"/>
  <c r="C86" i="17"/>
  <c r="D86" i="17"/>
  <c r="E86" i="17" s="1"/>
  <c r="E81" i="25" l="1"/>
  <c r="C22" i="25"/>
  <c r="C23" i="25"/>
  <c r="E23" i="25"/>
  <c r="J85" i="17"/>
  <c r="G86" i="17"/>
  <c r="H86" i="17"/>
  <c r="I85" i="17"/>
  <c r="C87" i="17"/>
  <c r="D87" i="17"/>
  <c r="E87" i="17" s="1"/>
  <c r="A88" i="17"/>
  <c r="B88" i="17"/>
  <c r="H87" i="17" l="1"/>
  <c r="I86" i="17"/>
  <c r="J86" i="17"/>
  <c r="K86" i="17" s="1"/>
  <c r="G87" i="17"/>
  <c r="K85" i="17"/>
  <c r="D88" i="17"/>
  <c r="A89" i="17"/>
  <c r="B89" i="17"/>
  <c r="C88" i="17"/>
  <c r="I87" i="17" l="1"/>
  <c r="J87" i="17"/>
  <c r="G88" i="17"/>
  <c r="H88" i="17"/>
  <c r="B90" i="17"/>
  <c r="C89" i="17"/>
  <c r="A90" i="17"/>
  <c r="D89" i="17"/>
  <c r="E89" i="17" s="1"/>
  <c r="E88" i="17"/>
  <c r="G89" i="17" l="1"/>
  <c r="H89" i="17"/>
  <c r="I88" i="17"/>
  <c r="J88" i="17"/>
  <c r="K88" i="17" s="1"/>
  <c r="K87" i="17"/>
  <c r="C90" i="17"/>
  <c r="D90" i="17"/>
  <c r="E90" i="17" s="1"/>
  <c r="A91" i="17"/>
  <c r="B91" i="17"/>
  <c r="I89" i="17" l="1"/>
  <c r="J89" i="17"/>
  <c r="G90" i="17"/>
  <c r="H90" i="17"/>
  <c r="A92" i="17"/>
  <c r="D91" i="17"/>
  <c r="B92" i="17"/>
  <c r="C91" i="17"/>
  <c r="I90" i="17" l="1"/>
  <c r="J90" i="17"/>
  <c r="K90" i="17" s="1"/>
  <c r="G91" i="17"/>
  <c r="H91" i="17"/>
  <c r="K89" i="17"/>
  <c r="B93" i="17"/>
  <c r="D92" i="17"/>
  <c r="C92" i="17"/>
  <c r="A93" i="17"/>
  <c r="E91" i="17"/>
  <c r="G92" i="17" l="1"/>
  <c r="H92" i="17"/>
  <c r="J91" i="17"/>
  <c r="K91" i="17" s="1"/>
  <c r="I91" i="17"/>
  <c r="E92" i="17"/>
  <c r="C93" i="17"/>
  <c r="D93" i="17"/>
  <c r="E93" i="17" s="1"/>
  <c r="B94" i="17"/>
  <c r="A94" i="17"/>
  <c r="I92" i="17" l="1"/>
  <c r="J92" i="17"/>
  <c r="K92" i="17" s="1"/>
  <c r="H93" i="17"/>
  <c r="G93" i="17"/>
  <c r="C17" i="17"/>
  <c r="F17" i="17"/>
  <c r="F19" i="17" s="1"/>
  <c r="C94" i="17"/>
  <c r="D94" i="17"/>
  <c r="E94" i="17" s="1"/>
  <c r="I17" i="17" l="1"/>
  <c r="L17" i="17"/>
  <c r="L19" i="17" s="1"/>
  <c r="J93" i="17"/>
  <c r="I93" i="17"/>
  <c r="C18" i="17"/>
  <c r="C19" i="17"/>
  <c r="E19" i="17"/>
  <c r="K93" i="17" l="1"/>
  <c r="I18" i="17"/>
  <c r="I19" i="17"/>
  <c r="K19" i="17"/>
  <c r="H27" i="16" l="1"/>
  <c r="H28" i="16" s="1"/>
  <c r="B27" i="16"/>
  <c r="J26" i="16"/>
  <c r="K26" i="16" s="1"/>
  <c r="D26" i="16"/>
  <c r="E26" i="16" s="1"/>
  <c r="L21" i="16"/>
  <c r="F21" i="16"/>
  <c r="K20" i="16"/>
  <c r="L15" i="16"/>
  <c r="F15" i="16"/>
  <c r="I14" i="16"/>
  <c r="I20" i="16" s="1"/>
  <c r="E14" i="16"/>
  <c r="C14" i="16"/>
  <c r="F14" i="16" s="1"/>
  <c r="L12" i="16"/>
  <c r="K12" i="16"/>
  <c r="I12" i="16"/>
  <c r="E12" i="16"/>
  <c r="E20" i="16" s="1"/>
  <c r="C12" i="16"/>
  <c r="K9" i="16"/>
  <c r="H26" i="16" s="1"/>
  <c r="E9" i="16"/>
  <c r="E13" i="16" s="1"/>
  <c r="B25" i="16"/>
  <c r="L7" i="16"/>
  <c r="F7" i="16"/>
  <c r="L20" i="16" l="1"/>
  <c r="G28" i="16"/>
  <c r="G29" i="16" s="1"/>
  <c r="D25" i="16"/>
  <c r="C21" i="16"/>
  <c r="I21" i="16"/>
  <c r="I13" i="16"/>
  <c r="J27" i="16"/>
  <c r="K27" i="16" s="1"/>
  <c r="K21" i="16"/>
  <c r="K13" i="16"/>
  <c r="E21" i="16"/>
  <c r="B26" i="16"/>
  <c r="H29" i="16"/>
  <c r="J28" i="16" s="1"/>
  <c r="L14" i="16"/>
  <c r="H25" i="16"/>
  <c r="I27" i="16"/>
  <c r="A28" i="16"/>
  <c r="B28" i="16"/>
  <c r="C27" i="16" s="1"/>
  <c r="F12" i="16"/>
  <c r="C20" i="16"/>
  <c r="F20" i="16" s="1"/>
  <c r="K21" i="6"/>
  <c r="L21" i="6"/>
  <c r="C25" i="16" l="1"/>
  <c r="E25" i="16" s="1"/>
  <c r="D27" i="16"/>
  <c r="E27" i="16" s="1"/>
  <c r="J25" i="16"/>
  <c r="I25" i="16"/>
  <c r="B29" i="16"/>
  <c r="C28" i="16" s="1"/>
  <c r="A29" i="16"/>
  <c r="G30" i="16"/>
  <c r="H30" i="16"/>
  <c r="J29" i="16" s="1"/>
  <c r="I28" i="16"/>
  <c r="K28" i="16" s="1"/>
  <c r="L33" i="6"/>
  <c r="K33" i="6"/>
  <c r="D28" i="16" l="1"/>
  <c r="E28" i="16" s="1"/>
  <c r="K25" i="16"/>
  <c r="H31" i="16"/>
  <c r="G31" i="16"/>
  <c r="A30" i="16"/>
  <c r="B30" i="16"/>
  <c r="D29" i="16" s="1"/>
  <c r="I29" i="16"/>
  <c r="K29" i="16" s="1"/>
  <c r="D63" i="6"/>
  <c r="D64" i="6"/>
  <c r="D66" i="6"/>
  <c r="D67" i="6"/>
  <c r="D68" i="6"/>
  <c r="D69" i="6"/>
  <c r="D70" i="6"/>
  <c r="D71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62" i="6"/>
  <c r="C63" i="6"/>
  <c r="C64" i="6"/>
  <c r="C66" i="6"/>
  <c r="C67" i="6"/>
  <c r="C68" i="6"/>
  <c r="C70" i="6"/>
  <c r="C71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K28" i="6"/>
  <c r="K29" i="6"/>
  <c r="K30" i="6"/>
  <c r="K31" i="6"/>
  <c r="K32" i="6"/>
  <c r="K7" i="6"/>
  <c r="K8" i="6"/>
  <c r="K10" i="6"/>
  <c r="K18" i="6"/>
  <c r="K12" i="6"/>
  <c r="K13" i="6"/>
  <c r="K15" i="6"/>
  <c r="K16" i="6"/>
  <c r="K17" i="6"/>
  <c r="H32" i="16" l="1"/>
  <c r="I31" i="16" s="1"/>
  <c r="G32" i="16"/>
  <c r="I30" i="16"/>
  <c r="B31" i="16"/>
  <c r="C30" i="16" s="1"/>
  <c r="A31" i="16"/>
  <c r="C29" i="16"/>
  <c r="J30" i="16"/>
  <c r="K30" i="16" s="1"/>
  <c r="D51" i="6"/>
  <c r="C49" i="6"/>
  <c r="C55" i="6"/>
  <c r="D58" i="6"/>
  <c r="C53" i="6"/>
  <c r="D49" i="6"/>
  <c r="C59" i="6"/>
  <c r="D55" i="6"/>
  <c r="D50" i="6"/>
  <c r="C58" i="6"/>
  <c r="C50" i="6"/>
  <c r="D53" i="6"/>
  <c r="D52" i="6"/>
  <c r="D59" i="6"/>
  <c r="A32" i="16" l="1"/>
  <c r="B32" i="16"/>
  <c r="H33" i="16"/>
  <c r="G33" i="16"/>
  <c r="J31" i="16"/>
  <c r="K31" i="16" s="1"/>
  <c r="D30" i="16"/>
  <c r="E30" i="16" s="1"/>
  <c r="E29" i="16"/>
  <c r="G34" i="16" l="1"/>
  <c r="H34" i="16"/>
  <c r="I33" i="16" s="1"/>
  <c r="J33" i="16"/>
  <c r="B33" i="16"/>
  <c r="D32" i="16" s="1"/>
  <c r="A33" i="16"/>
  <c r="C31" i="16"/>
  <c r="D31" i="16"/>
  <c r="J32" i="16"/>
  <c r="I32" i="16"/>
  <c r="L28" i="6"/>
  <c r="L29" i="6"/>
  <c r="L30" i="6"/>
  <c r="L31" i="6"/>
  <c r="L32" i="6"/>
  <c r="L7" i="6"/>
  <c r="L8" i="6"/>
  <c r="L18" i="6"/>
  <c r="C69" i="6" s="1"/>
  <c r="L13" i="6"/>
  <c r="L15" i="6"/>
  <c r="L16" i="6"/>
  <c r="L17" i="6"/>
  <c r="D57" i="6"/>
  <c r="D56" i="6"/>
  <c r="J12" i="6"/>
  <c r="J10" i="6"/>
  <c r="J7" i="6"/>
  <c r="C52" i="6"/>
  <c r="C56" i="6"/>
  <c r="J16" i="6" l="1"/>
  <c r="C57" i="6" s="1"/>
  <c r="C51" i="6"/>
  <c r="D72" i="6"/>
  <c r="L12" i="6"/>
  <c r="L10" i="6"/>
  <c r="C62" i="6" s="1"/>
  <c r="C72" i="6"/>
  <c r="K32" i="16"/>
  <c r="C32" i="16"/>
  <c r="E32" i="16" s="1"/>
  <c r="E31" i="16"/>
  <c r="K33" i="16"/>
  <c r="A34" i="16"/>
  <c r="B34" i="16"/>
  <c r="C33" i="16" s="1"/>
  <c r="H35" i="16"/>
  <c r="I34" i="16" s="1"/>
  <c r="G35" i="16"/>
  <c r="C65" i="6"/>
  <c r="D65" i="6"/>
  <c r="M27" i="6"/>
  <c r="M6" i="6"/>
  <c r="F31" i="6"/>
  <c r="F30" i="6"/>
  <c r="E8" i="12"/>
  <c r="K8" i="12"/>
  <c r="F13" i="6"/>
  <c r="J13" i="6" s="1"/>
  <c r="F8" i="6"/>
  <c r="J8" i="6" s="1"/>
  <c r="J30" i="6" l="1"/>
  <c r="D48" i="6" s="1"/>
  <c r="J31" i="6"/>
  <c r="D54" i="6" s="1"/>
  <c r="C54" i="6"/>
  <c r="J34" i="16"/>
  <c r="K34" i="16" s="1"/>
  <c r="D33" i="16"/>
  <c r="E33" i="16" s="1"/>
  <c r="B35" i="16"/>
  <c r="D34" i="16" s="1"/>
  <c r="A35" i="16"/>
  <c r="G36" i="16"/>
  <c r="H36" i="16"/>
  <c r="J35" i="16" s="1"/>
  <c r="C48" i="6"/>
  <c r="N6" i="6"/>
  <c r="K9" i="14"/>
  <c r="H26" i="14" s="1"/>
  <c r="E9" i="14"/>
  <c r="E13" i="14" s="1"/>
  <c r="C15" i="14"/>
  <c r="F15" i="14" s="1"/>
  <c r="H27" i="14"/>
  <c r="G28" i="14" s="1"/>
  <c r="B27" i="14"/>
  <c r="L21" i="14"/>
  <c r="F21" i="14"/>
  <c r="L15" i="14"/>
  <c r="K14" i="14"/>
  <c r="I14" i="14"/>
  <c r="E14" i="14"/>
  <c r="C14" i="14"/>
  <c r="K12" i="14"/>
  <c r="I12" i="14"/>
  <c r="L12" i="14" s="1"/>
  <c r="E12" i="14"/>
  <c r="C12" i="14"/>
  <c r="I21" i="14"/>
  <c r="C21" i="14"/>
  <c r="L7" i="14"/>
  <c r="F7" i="14"/>
  <c r="K2" i="14"/>
  <c r="T27" i="12"/>
  <c r="T28" i="12" s="1"/>
  <c r="S27" i="12"/>
  <c r="T26" i="12"/>
  <c r="V25" i="12"/>
  <c r="W25" i="12" s="1"/>
  <c r="T25" i="12"/>
  <c r="X20" i="12"/>
  <c r="W20" i="12"/>
  <c r="X14" i="12"/>
  <c r="W14" i="12"/>
  <c r="W13" i="12"/>
  <c r="U13" i="12"/>
  <c r="X13" i="12" s="1"/>
  <c r="W12" i="12"/>
  <c r="W11" i="12"/>
  <c r="W19" i="12" s="1"/>
  <c r="U11" i="12"/>
  <c r="U8" i="12"/>
  <c r="T24" i="12" s="1"/>
  <c r="X6" i="12"/>
  <c r="W1" i="12"/>
  <c r="N27" i="12"/>
  <c r="N28" i="12" s="1"/>
  <c r="M27" i="12"/>
  <c r="N26" i="12"/>
  <c r="P25" i="12"/>
  <c r="Q25" i="12" s="1"/>
  <c r="N25" i="12"/>
  <c r="R20" i="12"/>
  <c r="Q20" i="12"/>
  <c r="R14" i="12"/>
  <c r="Q14" i="12"/>
  <c r="Q13" i="12"/>
  <c r="O13" i="12"/>
  <c r="R13" i="12" s="1"/>
  <c r="Q11" i="12"/>
  <c r="Q19" i="12" s="1"/>
  <c r="O11" i="12"/>
  <c r="O8" i="12"/>
  <c r="N24" i="12" s="1"/>
  <c r="R6" i="12"/>
  <c r="Q1" i="12"/>
  <c r="Q12" i="12" s="1"/>
  <c r="K1" i="12"/>
  <c r="E1" i="12"/>
  <c r="H26" i="12"/>
  <c r="H27" i="12" s="1"/>
  <c r="H28" i="12" s="1"/>
  <c r="H25" i="12"/>
  <c r="L20" i="12"/>
  <c r="K20" i="12"/>
  <c r="K14" i="12"/>
  <c r="L14" i="12"/>
  <c r="K13" i="12"/>
  <c r="I13" i="12"/>
  <c r="K12" i="12"/>
  <c r="K11" i="12"/>
  <c r="I11" i="12"/>
  <c r="H24" i="12"/>
  <c r="L6" i="12"/>
  <c r="B24" i="12"/>
  <c r="B26" i="12"/>
  <c r="A27" i="12" s="1"/>
  <c r="B25" i="12"/>
  <c r="F20" i="12"/>
  <c r="E20" i="12"/>
  <c r="E14" i="12"/>
  <c r="F14" i="12"/>
  <c r="E13" i="12"/>
  <c r="C13" i="12"/>
  <c r="E12" i="12"/>
  <c r="D25" i="12" s="1"/>
  <c r="E25" i="12" s="1"/>
  <c r="E11" i="12"/>
  <c r="C11" i="12"/>
  <c r="F6" i="12"/>
  <c r="E19" i="11"/>
  <c r="C19" i="11"/>
  <c r="C24" i="11"/>
  <c r="C13" i="11"/>
  <c r="E13" i="11"/>
  <c r="C12" i="11"/>
  <c r="E12" i="11"/>
  <c r="C11" i="11"/>
  <c r="C14" i="11"/>
  <c r="N27" i="6" l="1"/>
  <c r="O27" i="6" s="1"/>
  <c r="L13" i="12"/>
  <c r="I35" i="16"/>
  <c r="K35" i="16" s="1"/>
  <c r="C34" i="16"/>
  <c r="E34" i="16" s="1"/>
  <c r="H37" i="16"/>
  <c r="I36" i="16" s="1"/>
  <c r="G37" i="16"/>
  <c r="J36" i="16"/>
  <c r="D35" i="16"/>
  <c r="E35" i="16" s="1"/>
  <c r="A36" i="16"/>
  <c r="C35" i="16"/>
  <c r="B36" i="16"/>
  <c r="K21" i="14"/>
  <c r="G27" i="12"/>
  <c r="K19" i="12"/>
  <c r="J25" i="12"/>
  <c r="K25" i="12" s="1"/>
  <c r="E19" i="12"/>
  <c r="F13" i="12"/>
  <c r="K13" i="14"/>
  <c r="J26" i="14" s="1"/>
  <c r="K26" i="14" s="1"/>
  <c r="L14" i="14"/>
  <c r="B26" i="14"/>
  <c r="E21" i="14"/>
  <c r="H28" i="14"/>
  <c r="F12" i="14"/>
  <c r="D26" i="14"/>
  <c r="E26" i="14" s="1"/>
  <c r="E20" i="14"/>
  <c r="F14" i="14"/>
  <c r="B25" i="14"/>
  <c r="K20" i="14"/>
  <c r="C20" i="14"/>
  <c r="I20" i="14"/>
  <c r="C13" i="14"/>
  <c r="D25" i="14" s="1"/>
  <c r="H25" i="14"/>
  <c r="A28" i="14"/>
  <c r="B28" i="14"/>
  <c r="D27" i="14" s="1"/>
  <c r="I13" i="14"/>
  <c r="J25" i="14" s="1"/>
  <c r="U20" i="12"/>
  <c r="V26" i="12"/>
  <c r="U12" i="12"/>
  <c r="U24" i="12" s="1"/>
  <c r="T29" i="12"/>
  <c r="V28" i="12" s="1"/>
  <c r="U27" i="12"/>
  <c r="V27" i="12"/>
  <c r="W27" i="12" s="1"/>
  <c r="X11" i="12"/>
  <c r="U19" i="12"/>
  <c r="X19" i="12" s="1"/>
  <c r="U26" i="12"/>
  <c r="S28" i="12"/>
  <c r="P26" i="12"/>
  <c r="O20" i="12"/>
  <c r="O12" i="12"/>
  <c r="O24" i="12" s="1"/>
  <c r="N29" i="12"/>
  <c r="P28" i="12" s="1"/>
  <c r="O27" i="12"/>
  <c r="P27" i="12"/>
  <c r="Q27" i="12" s="1"/>
  <c r="R11" i="12"/>
  <c r="O19" i="12"/>
  <c r="R19" i="12" s="1"/>
  <c r="O26" i="12"/>
  <c r="M28" i="12"/>
  <c r="I12" i="12"/>
  <c r="J24" i="12" s="1"/>
  <c r="J26" i="12"/>
  <c r="H29" i="12"/>
  <c r="I28" i="12" s="1"/>
  <c r="J28" i="12"/>
  <c r="I20" i="12"/>
  <c r="I27" i="12"/>
  <c r="J27" i="12"/>
  <c r="K27" i="12" s="1"/>
  <c r="L11" i="12"/>
  <c r="I19" i="12"/>
  <c r="L19" i="12" s="1"/>
  <c r="I26" i="12"/>
  <c r="G28" i="12"/>
  <c r="G29" i="12" s="1"/>
  <c r="D24" i="12"/>
  <c r="C20" i="12"/>
  <c r="B27" i="12"/>
  <c r="F11" i="12"/>
  <c r="C19" i="12"/>
  <c r="F19" i="12" s="1"/>
  <c r="F13" i="11"/>
  <c r="E11" i="11"/>
  <c r="F6" i="11"/>
  <c r="F20" i="11"/>
  <c r="K36" i="16" l="1"/>
  <c r="B37" i="16"/>
  <c r="D36" i="16" s="1"/>
  <c r="A37" i="16"/>
  <c r="C36" i="16"/>
  <c r="G38" i="16"/>
  <c r="H38" i="16"/>
  <c r="J37" i="16"/>
  <c r="K37" i="16" s="1"/>
  <c r="I37" i="16"/>
  <c r="H29" i="14"/>
  <c r="J28" i="14" s="1"/>
  <c r="F20" i="14"/>
  <c r="J27" i="14"/>
  <c r="I27" i="14"/>
  <c r="G29" i="14"/>
  <c r="G30" i="14" s="1"/>
  <c r="C27" i="14"/>
  <c r="E27" i="14" s="1"/>
  <c r="I25" i="14"/>
  <c r="K25" i="14" s="1"/>
  <c r="B29" i="14"/>
  <c r="D28" i="14" s="1"/>
  <c r="A29" i="14"/>
  <c r="L20" i="14"/>
  <c r="C25" i="14"/>
  <c r="E25" i="14" s="1"/>
  <c r="V24" i="12"/>
  <c r="W24" i="12" s="1"/>
  <c r="U28" i="12"/>
  <c r="W28" i="12" s="1"/>
  <c r="W26" i="12"/>
  <c r="S29" i="12"/>
  <c r="S30" i="12" s="1"/>
  <c r="T30" i="12"/>
  <c r="V29" i="12" s="1"/>
  <c r="O28" i="12"/>
  <c r="Q28" i="12" s="1"/>
  <c r="P24" i="12"/>
  <c r="Q24" i="12" s="1"/>
  <c r="M29" i="12"/>
  <c r="N30" i="12"/>
  <c r="O29" i="12" s="1"/>
  <c r="M30" i="12"/>
  <c r="Q26" i="12"/>
  <c r="K26" i="12"/>
  <c r="K28" i="12"/>
  <c r="I24" i="12"/>
  <c r="G30" i="12"/>
  <c r="H30" i="12"/>
  <c r="J29" i="12" s="1"/>
  <c r="C24" i="12"/>
  <c r="B28" i="12"/>
  <c r="D27" i="12" s="1"/>
  <c r="A28" i="12"/>
  <c r="C26" i="12"/>
  <c r="D26" i="12"/>
  <c r="F11" i="11"/>
  <c r="E26" i="12" l="1"/>
  <c r="E24" i="12"/>
  <c r="E36" i="16"/>
  <c r="A38" i="16"/>
  <c r="C37" i="16"/>
  <c r="B38" i="16"/>
  <c r="D37" i="16"/>
  <c r="E37" i="16" s="1"/>
  <c r="H39" i="16"/>
  <c r="J38" i="16"/>
  <c r="K38" i="16" s="1"/>
  <c r="G39" i="16"/>
  <c r="I38" i="16"/>
  <c r="K24" i="12"/>
  <c r="I18" i="12"/>
  <c r="I28" i="14"/>
  <c r="K28" i="14" s="1"/>
  <c r="H30" i="14"/>
  <c r="J29" i="14" s="1"/>
  <c r="K27" i="14"/>
  <c r="C28" i="14"/>
  <c r="E28" i="14" s="1"/>
  <c r="B30" i="14"/>
  <c r="D29" i="14" s="1"/>
  <c r="A30" i="14"/>
  <c r="T31" i="12"/>
  <c r="U30" i="12" s="1"/>
  <c r="S31" i="12"/>
  <c r="U29" i="12"/>
  <c r="N31" i="12"/>
  <c r="P30" i="12" s="1"/>
  <c r="M31" i="12"/>
  <c r="P29" i="12"/>
  <c r="Q29" i="12" s="1"/>
  <c r="I29" i="12"/>
  <c r="K29" i="12" s="1"/>
  <c r="H31" i="12"/>
  <c r="J30" i="12" s="1"/>
  <c r="G31" i="12"/>
  <c r="C27" i="12"/>
  <c r="E27" i="12" s="1"/>
  <c r="B29" i="12"/>
  <c r="A29" i="12"/>
  <c r="I39" i="16" l="1"/>
  <c r="H40" i="16"/>
  <c r="G40" i="16"/>
  <c r="J39" i="16"/>
  <c r="B39" i="16"/>
  <c r="D38" i="16"/>
  <c r="A39" i="16"/>
  <c r="C38" i="16"/>
  <c r="I29" i="14"/>
  <c r="H31" i="14"/>
  <c r="J30" i="14" s="1"/>
  <c r="G31" i="14"/>
  <c r="C29" i="14"/>
  <c r="E29" i="14" s="1"/>
  <c r="B31" i="14"/>
  <c r="D30" i="14" s="1"/>
  <c r="A31" i="14"/>
  <c r="H32" i="14"/>
  <c r="J31" i="14" s="1"/>
  <c r="K29" i="14"/>
  <c r="V30" i="12"/>
  <c r="W30" i="12" s="1"/>
  <c r="T32" i="12"/>
  <c r="S32" i="12"/>
  <c r="W29" i="12"/>
  <c r="M32" i="12"/>
  <c r="N32" i="12"/>
  <c r="O31" i="12" s="1"/>
  <c r="O30" i="12"/>
  <c r="Q30" i="12" s="1"/>
  <c r="I30" i="12"/>
  <c r="K30" i="12" s="1"/>
  <c r="H32" i="12"/>
  <c r="J31" i="12" s="1"/>
  <c r="G32" i="12"/>
  <c r="A30" i="12"/>
  <c r="B30" i="12"/>
  <c r="D29" i="12" s="1"/>
  <c r="C28" i="12"/>
  <c r="D28" i="12"/>
  <c r="E28" i="12" l="1"/>
  <c r="K39" i="16"/>
  <c r="E38" i="16"/>
  <c r="D39" i="16"/>
  <c r="A40" i="16"/>
  <c r="C39" i="16"/>
  <c r="B40" i="16"/>
  <c r="H41" i="16"/>
  <c r="J40" i="16"/>
  <c r="K40" i="16" s="1"/>
  <c r="G41" i="16"/>
  <c r="I40" i="16"/>
  <c r="I30" i="14"/>
  <c r="K30" i="14" s="1"/>
  <c r="G32" i="14"/>
  <c r="I31" i="12"/>
  <c r="K31" i="12" s="1"/>
  <c r="C30" i="14"/>
  <c r="H33" i="14"/>
  <c r="I32" i="14" s="1"/>
  <c r="G33" i="14"/>
  <c r="I31" i="14"/>
  <c r="E30" i="14"/>
  <c r="B32" i="14"/>
  <c r="C31" i="14" s="1"/>
  <c r="A32" i="14"/>
  <c r="S33" i="12"/>
  <c r="T33" i="12"/>
  <c r="U32" i="12" s="1"/>
  <c r="U31" i="12"/>
  <c r="V31" i="12"/>
  <c r="W31" i="12" s="1"/>
  <c r="P31" i="12"/>
  <c r="Q31" i="12" s="1"/>
  <c r="M33" i="12"/>
  <c r="N33" i="12"/>
  <c r="P32" i="12" s="1"/>
  <c r="G33" i="12"/>
  <c r="J32" i="12"/>
  <c r="H33" i="12"/>
  <c r="I32" i="12" s="1"/>
  <c r="B31" i="12"/>
  <c r="D30" i="12" s="1"/>
  <c r="A31" i="12"/>
  <c r="C29" i="12"/>
  <c r="E29" i="12" s="1"/>
  <c r="E39" i="16" l="1"/>
  <c r="G42" i="16"/>
  <c r="H42" i="16"/>
  <c r="J41" i="16"/>
  <c r="I41" i="16"/>
  <c r="B41" i="16"/>
  <c r="D40" i="16"/>
  <c r="A41" i="16"/>
  <c r="C40" i="16"/>
  <c r="J32" i="14"/>
  <c r="K32" i="14" s="1"/>
  <c r="D31" i="14"/>
  <c r="E31" i="14" s="1"/>
  <c r="K31" i="14"/>
  <c r="H34" i="14"/>
  <c r="I33" i="14" s="1"/>
  <c r="G34" i="14"/>
  <c r="A33" i="14"/>
  <c r="B33" i="14"/>
  <c r="C32" i="14" s="1"/>
  <c r="T34" i="12"/>
  <c r="U33" i="12" s="1"/>
  <c r="S34" i="12"/>
  <c r="V32" i="12"/>
  <c r="W32" i="12" s="1"/>
  <c r="O32" i="12"/>
  <c r="N34" i="12"/>
  <c r="M34" i="12"/>
  <c r="P33" i="12"/>
  <c r="O33" i="12"/>
  <c r="Q32" i="12"/>
  <c r="H34" i="12"/>
  <c r="G34" i="12"/>
  <c r="J33" i="12"/>
  <c r="I33" i="12"/>
  <c r="K32" i="12"/>
  <c r="B32" i="12"/>
  <c r="A32" i="12"/>
  <c r="C30" i="12"/>
  <c r="E30" i="12" s="1"/>
  <c r="E40" i="16" l="1"/>
  <c r="A42" i="16"/>
  <c r="C41" i="16"/>
  <c r="B42" i="16"/>
  <c r="D41" i="16"/>
  <c r="E41" i="16" s="1"/>
  <c r="K41" i="16"/>
  <c r="H43" i="16"/>
  <c r="J42" i="16"/>
  <c r="K42" i="16" s="1"/>
  <c r="G43" i="16"/>
  <c r="I42" i="16"/>
  <c r="I22" i="16" s="1"/>
  <c r="J33" i="14"/>
  <c r="K33" i="14" s="1"/>
  <c r="D32" i="14"/>
  <c r="E32" i="14" s="1"/>
  <c r="H35" i="14"/>
  <c r="J34" i="14" s="1"/>
  <c r="G35" i="14"/>
  <c r="B34" i="14"/>
  <c r="D33" i="14" s="1"/>
  <c r="A34" i="14"/>
  <c r="V33" i="12"/>
  <c r="W33" i="12" s="1"/>
  <c r="S35" i="12"/>
  <c r="T35" i="12"/>
  <c r="V34" i="12" s="1"/>
  <c r="Q33" i="12"/>
  <c r="P34" i="12"/>
  <c r="O34" i="12"/>
  <c r="N35" i="12"/>
  <c r="M35" i="12"/>
  <c r="K33" i="12"/>
  <c r="J34" i="12"/>
  <c r="I34" i="12"/>
  <c r="H35" i="12"/>
  <c r="G35" i="12"/>
  <c r="A33" i="12"/>
  <c r="B33" i="12"/>
  <c r="C32" i="12" s="1"/>
  <c r="D31" i="12"/>
  <c r="C31" i="12"/>
  <c r="K22" i="16" l="1"/>
  <c r="H44" i="16"/>
  <c r="G44" i="16"/>
  <c r="J43" i="16"/>
  <c r="I43" i="16"/>
  <c r="B43" i="16"/>
  <c r="D42" i="16"/>
  <c r="C42" i="16"/>
  <c r="C22" i="16" s="1"/>
  <c r="A43" i="16"/>
  <c r="I34" i="14"/>
  <c r="K34" i="14" s="1"/>
  <c r="C33" i="14"/>
  <c r="E33" i="14" s="1"/>
  <c r="H36" i="14"/>
  <c r="J35" i="14" s="1"/>
  <c r="G36" i="14"/>
  <c r="C34" i="14"/>
  <c r="B35" i="14"/>
  <c r="D34" i="14" s="1"/>
  <c r="A35" i="14"/>
  <c r="U34" i="12"/>
  <c r="W34" i="12" s="1"/>
  <c r="T36" i="12"/>
  <c r="U35" i="12" s="1"/>
  <c r="S36" i="12"/>
  <c r="Q34" i="12"/>
  <c r="N36" i="12"/>
  <c r="M36" i="12"/>
  <c r="P35" i="12"/>
  <c r="O35" i="12"/>
  <c r="H36" i="12"/>
  <c r="G36" i="12"/>
  <c r="J35" i="12"/>
  <c r="I35" i="12"/>
  <c r="K34" i="12"/>
  <c r="E31" i="12"/>
  <c r="B34" i="12"/>
  <c r="A34" i="12"/>
  <c r="D32" i="12"/>
  <c r="E32" i="12" s="1"/>
  <c r="E42" i="16" l="1"/>
  <c r="E22" i="16" s="1"/>
  <c r="B44" i="16"/>
  <c r="C43" i="16"/>
  <c r="D43" i="16"/>
  <c r="E43" i="16" s="1"/>
  <c r="A44" i="16"/>
  <c r="K43" i="16"/>
  <c r="H45" i="16"/>
  <c r="J44" i="16"/>
  <c r="G45" i="16"/>
  <c r="I44" i="16"/>
  <c r="I35" i="14"/>
  <c r="K35" i="14" s="1"/>
  <c r="H37" i="14"/>
  <c r="J36" i="14" s="1"/>
  <c r="G37" i="14"/>
  <c r="B36" i="14"/>
  <c r="D35" i="14" s="1"/>
  <c r="C35" i="14"/>
  <c r="A36" i="14"/>
  <c r="E34" i="14"/>
  <c r="V35" i="12"/>
  <c r="W35" i="12" s="1"/>
  <c r="T37" i="12"/>
  <c r="U36" i="12" s="1"/>
  <c r="S37" i="12"/>
  <c r="V36" i="12"/>
  <c r="Q35" i="12"/>
  <c r="P36" i="12"/>
  <c r="N37" i="12"/>
  <c r="M37" i="12"/>
  <c r="O36" i="12"/>
  <c r="H37" i="12"/>
  <c r="G37" i="12"/>
  <c r="I36" i="12"/>
  <c r="J36" i="12"/>
  <c r="K36" i="12" s="1"/>
  <c r="K35" i="12"/>
  <c r="B35" i="12"/>
  <c r="D34" i="12" s="1"/>
  <c r="A35" i="12"/>
  <c r="C33" i="12"/>
  <c r="D33" i="12"/>
  <c r="C34" i="12" l="1"/>
  <c r="E34" i="12" s="1"/>
  <c r="K44" i="16"/>
  <c r="H46" i="16"/>
  <c r="J45" i="16"/>
  <c r="I45" i="16"/>
  <c r="G46" i="16"/>
  <c r="B45" i="16"/>
  <c r="D44" i="16"/>
  <c r="A45" i="16"/>
  <c r="C44" i="16"/>
  <c r="I36" i="14"/>
  <c r="K36" i="14" s="1"/>
  <c r="E35" i="14"/>
  <c r="B37" i="14"/>
  <c r="C36" i="14" s="1"/>
  <c r="A37" i="14"/>
  <c r="H38" i="14"/>
  <c r="I37" i="14" s="1"/>
  <c r="G38" i="14"/>
  <c r="W36" i="12"/>
  <c r="V37" i="12"/>
  <c r="S38" i="12"/>
  <c r="U37" i="12"/>
  <c r="T38" i="12"/>
  <c r="P37" i="12"/>
  <c r="O37" i="12"/>
  <c r="M38" i="12"/>
  <c r="N38" i="12"/>
  <c r="Q36" i="12"/>
  <c r="J37" i="12"/>
  <c r="K37" i="12" s="1"/>
  <c r="G38" i="12"/>
  <c r="I37" i="12"/>
  <c r="H38" i="12"/>
  <c r="E33" i="12"/>
  <c r="B36" i="12"/>
  <c r="A36" i="12"/>
  <c r="K45" i="16" l="1"/>
  <c r="E44" i="16"/>
  <c r="A46" i="16"/>
  <c r="C45" i="16"/>
  <c r="B46" i="16"/>
  <c r="D45" i="16"/>
  <c r="E45" i="16" s="1"/>
  <c r="L17" i="16"/>
  <c r="L19" i="16" s="1"/>
  <c r="I17" i="16"/>
  <c r="J46" i="16"/>
  <c r="I46" i="16"/>
  <c r="J37" i="14"/>
  <c r="K37" i="14" s="1"/>
  <c r="D36" i="14"/>
  <c r="E36" i="14" s="1"/>
  <c r="B38" i="14"/>
  <c r="C37" i="14" s="1"/>
  <c r="A38" i="14"/>
  <c r="H39" i="14"/>
  <c r="J38" i="14" s="1"/>
  <c r="G39" i="14"/>
  <c r="T39" i="12"/>
  <c r="S39" i="12"/>
  <c r="V38" i="12"/>
  <c r="U38" i="12"/>
  <c r="W37" i="12"/>
  <c r="Q37" i="12"/>
  <c r="N39" i="12"/>
  <c r="M39" i="12"/>
  <c r="O38" i="12"/>
  <c r="P38" i="12"/>
  <c r="Q38" i="12" s="1"/>
  <c r="H39" i="12"/>
  <c r="G39" i="12"/>
  <c r="J38" i="12"/>
  <c r="I38" i="12"/>
  <c r="B37" i="12"/>
  <c r="A37" i="12"/>
  <c r="C35" i="12"/>
  <c r="D35" i="12"/>
  <c r="E35" i="12" l="1"/>
  <c r="K46" i="16"/>
  <c r="K17" i="16" s="1"/>
  <c r="K18" i="16" s="1"/>
  <c r="D46" i="16"/>
  <c r="C46" i="16"/>
  <c r="K19" i="16"/>
  <c r="I18" i="16"/>
  <c r="I19" i="16"/>
  <c r="C17" i="16"/>
  <c r="F17" i="16"/>
  <c r="F19" i="16" s="1"/>
  <c r="I38" i="14"/>
  <c r="K38" i="14" s="1"/>
  <c r="D37" i="14"/>
  <c r="E37" i="14" s="1"/>
  <c r="H40" i="14"/>
  <c r="I39" i="14" s="1"/>
  <c r="G40" i="14"/>
  <c r="D38" i="14"/>
  <c r="B39" i="14"/>
  <c r="C38" i="14" s="1"/>
  <c r="A39" i="14"/>
  <c r="W38" i="12"/>
  <c r="U39" i="12"/>
  <c r="V39" i="12"/>
  <c r="T40" i="12"/>
  <c r="S40" i="12"/>
  <c r="O39" i="12"/>
  <c r="M40" i="12"/>
  <c r="N40" i="12"/>
  <c r="P39" i="12"/>
  <c r="Q39" i="12" s="1"/>
  <c r="I39" i="12"/>
  <c r="J39" i="12"/>
  <c r="H40" i="12"/>
  <c r="G40" i="12"/>
  <c r="K38" i="12"/>
  <c r="A38" i="12"/>
  <c r="B38" i="12"/>
  <c r="D37" i="12" s="1"/>
  <c r="C36" i="12"/>
  <c r="D36" i="12"/>
  <c r="E36" i="12" l="1"/>
  <c r="E46" i="16"/>
  <c r="E17" i="16" s="1"/>
  <c r="E18" i="16" s="1"/>
  <c r="C19" i="16"/>
  <c r="C18" i="16"/>
  <c r="E19" i="16"/>
  <c r="J39" i="14"/>
  <c r="K39" i="14" s="1"/>
  <c r="E38" i="14"/>
  <c r="H41" i="14"/>
  <c r="I40" i="14" s="1"/>
  <c r="G41" i="14"/>
  <c r="B40" i="14"/>
  <c r="D39" i="14" s="1"/>
  <c r="A40" i="14"/>
  <c r="S41" i="12"/>
  <c r="V40" i="12"/>
  <c r="U40" i="12"/>
  <c r="T41" i="12"/>
  <c r="W39" i="12"/>
  <c r="M41" i="12"/>
  <c r="P40" i="12"/>
  <c r="O40" i="12"/>
  <c r="N41" i="12"/>
  <c r="K39" i="12"/>
  <c r="G41" i="12"/>
  <c r="J40" i="12"/>
  <c r="I40" i="12"/>
  <c r="H41" i="12"/>
  <c r="C37" i="12"/>
  <c r="E37" i="12" s="1"/>
  <c r="B39" i="12"/>
  <c r="D38" i="12" s="1"/>
  <c r="A39" i="12"/>
  <c r="J40" i="14" l="1"/>
  <c r="K40" i="14" s="1"/>
  <c r="C39" i="14"/>
  <c r="E39" i="14" s="1"/>
  <c r="H42" i="14"/>
  <c r="I41" i="14" s="1"/>
  <c r="G42" i="14"/>
  <c r="A41" i="14"/>
  <c r="B41" i="14"/>
  <c r="D40" i="14" s="1"/>
  <c r="W40" i="12"/>
  <c r="T42" i="12"/>
  <c r="U41" i="12"/>
  <c r="U21" i="12" s="1"/>
  <c r="S42" i="12"/>
  <c r="V41" i="12"/>
  <c r="W41" i="12" s="1"/>
  <c r="W21" i="12" s="1"/>
  <c r="P41" i="12"/>
  <c r="N42" i="12"/>
  <c r="M42" i="12"/>
  <c r="O41" i="12"/>
  <c r="O21" i="12" s="1"/>
  <c r="Q40" i="12"/>
  <c r="K40" i="12"/>
  <c r="H42" i="12"/>
  <c r="G42" i="12"/>
  <c r="J41" i="12"/>
  <c r="I41" i="12"/>
  <c r="I21" i="12" s="1"/>
  <c r="B40" i="12"/>
  <c r="A40" i="12"/>
  <c r="C38" i="12"/>
  <c r="E38" i="12" s="1"/>
  <c r="J41" i="14" l="1"/>
  <c r="K41" i="14" s="1"/>
  <c r="C40" i="14"/>
  <c r="E40" i="14" s="1"/>
  <c r="B42" i="14"/>
  <c r="C41" i="14" s="1"/>
  <c r="A42" i="14"/>
  <c r="H43" i="14"/>
  <c r="I42" i="14" s="1"/>
  <c r="I22" i="14" s="1"/>
  <c r="G43" i="14"/>
  <c r="V42" i="12"/>
  <c r="U42" i="12"/>
  <c r="S43" i="12"/>
  <c r="T43" i="12"/>
  <c r="P42" i="12"/>
  <c r="O42" i="12"/>
  <c r="N43" i="12"/>
  <c r="M43" i="12"/>
  <c r="Q41" i="12"/>
  <c r="Q21" i="12" s="1"/>
  <c r="J42" i="12"/>
  <c r="I42" i="12"/>
  <c r="H43" i="12"/>
  <c r="G43" i="12"/>
  <c r="K41" i="12"/>
  <c r="K21" i="12" s="1"/>
  <c r="A41" i="12"/>
  <c r="B41" i="12"/>
  <c r="D39" i="12"/>
  <c r="C39" i="12"/>
  <c r="J42" i="14" l="1"/>
  <c r="K42" i="14" s="1"/>
  <c r="K22" i="14" s="1"/>
  <c r="D41" i="14"/>
  <c r="E41" i="14" s="1"/>
  <c r="H44" i="14"/>
  <c r="I43" i="14" s="1"/>
  <c r="G44" i="14"/>
  <c r="B43" i="14"/>
  <c r="D42" i="14" s="1"/>
  <c r="A43" i="14"/>
  <c r="T44" i="12"/>
  <c r="S44" i="12"/>
  <c r="V43" i="12"/>
  <c r="U43" i="12"/>
  <c r="W42" i="12"/>
  <c r="N44" i="12"/>
  <c r="M44" i="12"/>
  <c r="P43" i="12"/>
  <c r="O43" i="12"/>
  <c r="Q42" i="12"/>
  <c r="H44" i="12"/>
  <c r="G44" i="12"/>
  <c r="J43" i="12"/>
  <c r="I43" i="12"/>
  <c r="K42" i="12"/>
  <c r="E39" i="12"/>
  <c r="B42" i="12"/>
  <c r="A42" i="12"/>
  <c r="C40" i="12"/>
  <c r="D40" i="12"/>
  <c r="E40" i="12" l="1"/>
  <c r="J43" i="14"/>
  <c r="K43" i="14" s="1"/>
  <c r="C42" i="14"/>
  <c r="C22" i="14" s="1"/>
  <c r="B44" i="14"/>
  <c r="D43" i="14" s="1"/>
  <c r="A44" i="14"/>
  <c r="H45" i="14"/>
  <c r="J44" i="14" s="1"/>
  <c r="G45" i="14"/>
  <c r="W43" i="12"/>
  <c r="V44" i="12"/>
  <c r="U44" i="12"/>
  <c r="T45" i="12"/>
  <c r="S45" i="12"/>
  <c r="Q43" i="12"/>
  <c r="N45" i="12"/>
  <c r="M45" i="12"/>
  <c r="O44" i="12"/>
  <c r="P44" i="12"/>
  <c r="I44" i="12"/>
  <c r="H45" i="12"/>
  <c r="G45" i="12"/>
  <c r="J44" i="12"/>
  <c r="K43" i="12"/>
  <c r="B43" i="12"/>
  <c r="A43" i="12"/>
  <c r="C41" i="12"/>
  <c r="D41" i="12"/>
  <c r="I44" i="14" l="1"/>
  <c r="K44" i="14" s="1"/>
  <c r="E42" i="14"/>
  <c r="E22" i="14" s="1"/>
  <c r="C43" i="14"/>
  <c r="E43" i="14" s="1"/>
  <c r="D44" i="14"/>
  <c r="B45" i="14"/>
  <c r="C44" i="14" s="1"/>
  <c r="A45" i="14"/>
  <c r="H46" i="14"/>
  <c r="J45" i="14" s="1"/>
  <c r="G46" i="14"/>
  <c r="X16" i="12"/>
  <c r="X18" i="12" s="1"/>
  <c r="U16" i="12"/>
  <c r="V45" i="12"/>
  <c r="U45" i="12"/>
  <c r="W44" i="12"/>
  <c r="Q44" i="12"/>
  <c r="O16" i="12"/>
  <c r="R16" i="12"/>
  <c r="R18" i="12" s="1"/>
  <c r="P45" i="12"/>
  <c r="O45" i="12"/>
  <c r="K44" i="12"/>
  <c r="L16" i="12"/>
  <c r="L18" i="12" s="1"/>
  <c r="I16" i="12"/>
  <c r="J45" i="12"/>
  <c r="I45" i="12"/>
  <c r="E41" i="12"/>
  <c r="E21" i="12" s="1"/>
  <c r="B44" i="12"/>
  <c r="A44" i="12"/>
  <c r="C42" i="12"/>
  <c r="D42" i="12"/>
  <c r="E42" i="12" s="1"/>
  <c r="I45" i="14" l="1"/>
  <c r="K45" i="14" s="1"/>
  <c r="E44" i="14"/>
  <c r="B46" i="14"/>
  <c r="C45" i="14" s="1"/>
  <c r="A46" i="14"/>
  <c r="D45" i="14"/>
  <c r="I17" i="14"/>
  <c r="L17" i="14"/>
  <c r="J46" i="14"/>
  <c r="I46" i="14"/>
  <c r="W45" i="12"/>
  <c r="W16" i="12" s="1"/>
  <c r="W17" i="12" s="1"/>
  <c r="U17" i="12"/>
  <c r="W18" i="12"/>
  <c r="U18" i="12"/>
  <c r="Q45" i="12"/>
  <c r="Q16" i="12" s="1"/>
  <c r="Q17" i="12" s="1"/>
  <c r="O17" i="12"/>
  <c r="Q18" i="12"/>
  <c r="O18" i="12"/>
  <c r="K45" i="12"/>
  <c r="K16" i="12" s="1"/>
  <c r="K17" i="12" s="1"/>
  <c r="K18" i="12"/>
  <c r="I17" i="12"/>
  <c r="B45" i="12"/>
  <c r="D44" i="12" s="1"/>
  <c r="A45" i="12"/>
  <c r="C43" i="12"/>
  <c r="D43" i="12"/>
  <c r="C44" i="12" l="1"/>
  <c r="E44" i="12" s="1"/>
  <c r="L19" i="14"/>
  <c r="K46" i="14"/>
  <c r="K17" i="14" s="1"/>
  <c r="K18" i="14" s="1"/>
  <c r="I19" i="14"/>
  <c r="I18" i="14"/>
  <c r="E45" i="14"/>
  <c r="F17" i="14"/>
  <c r="C17" i="14"/>
  <c r="D46" i="14"/>
  <c r="C46" i="14"/>
  <c r="E43" i="12"/>
  <c r="C16" i="12"/>
  <c r="F16" i="12"/>
  <c r="D45" i="12"/>
  <c r="C45" i="12"/>
  <c r="C21" i="12" s="1"/>
  <c r="K19" i="14" l="1"/>
  <c r="F19" i="14"/>
  <c r="E46" i="14"/>
  <c r="E17" i="14" s="1"/>
  <c r="E18" i="14" s="1"/>
  <c r="E19" i="14"/>
  <c r="C19" i="14"/>
  <c r="C18" i="14"/>
  <c r="E45" i="12"/>
  <c r="E16" i="12" s="1"/>
  <c r="E17" i="12" s="1"/>
  <c r="C18" i="12"/>
  <c r="C17" i="12"/>
  <c r="F18" i="12"/>
  <c r="E18" i="12" l="1"/>
  <c r="B26" i="11" l="1"/>
  <c r="E14" i="11"/>
  <c r="F14" i="11" l="1"/>
  <c r="F19" i="11"/>
  <c r="A27" i="11"/>
  <c r="C20" i="11"/>
  <c r="E20" i="11"/>
  <c r="B24" i="11"/>
  <c r="B27" i="11"/>
  <c r="D26" i="11" s="1"/>
  <c r="B25" i="11"/>
  <c r="C26" i="11" l="1"/>
  <c r="E26" i="11" s="1"/>
  <c r="D25" i="11"/>
  <c r="E25" i="11" s="1"/>
  <c r="A28" i="11"/>
  <c r="B28" i="11"/>
  <c r="C27" i="11" s="1"/>
  <c r="D24" i="11"/>
  <c r="D27" i="11" l="1"/>
  <c r="E27" i="11" s="1"/>
  <c r="B29" i="11"/>
  <c r="D28" i="11" s="1"/>
  <c r="A29" i="11"/>
  <c r="E24" i="11"/>
  <c r="A30" i="11" l="1"/>
  <c r="C28" i="11"/>
  <c r="B30" i="11"/>
  <c r="C29" i="11" s="1"/>
  <c r="D29" i="11" l="1"/>
  <c r="E29" i="11" s="1"/>
  <c r="E28" i="11"/>
  <c r="A31" i="11"/>
  <c r="B31" i="11"/>
  <c r="D30" i="11" s="1"/>
  <c r="A32" i="11" l="1"/>
  <c r="B32" i="11"/>
  <c r="C30" i="11"/>
  <c r="E30" i="11" l="1"/>
  <c r="B33" i="11"/>
  <c r="D32" i="11" s="1"/>
  <c r="A33" i="11"/>
  <c r="D31" i="11"/>
  <c r="E31" i="11" s="1"/>
  <c r="C31" i="11"/>
  <c r="B34" i="11" l="1"/>
  <c r="A34" i="11"/>
  <c r="C32" i="11"/>
  <c r="E32" i="11" s="1"/>
  <c r="B35" i="11" l="1"/>
  <c r="A35" i="11"/>
  <c r="C33" i="11"/>
  <c r="D33" i="11"/>
  <c r="E33" i="11" s="1"/>
  <c r="A36" i="11" l="1"/>
  <c r="B36" i="11"/>
  <c r="C35" i="11" s="1"/>
  <c r="C34" i="11"/>
  <c r="D34" i="11"/>
  <c r="E34" i="11" s="1"/>
  <c r="B37" i="11" l="1"/>
  <c r="C36" i="11" s="1"/>
  <c r="A37" i="11"/>
  <c r="D35" i="11"/>
  <c r="E35" i="11" s="1"/>
  <c r="B38" i="11" l="1"/>
  <c r="D37" i="11" s="1"/>
  <c r="A38" i="11"/>
  <c r="D36" i="11"/>
  <c r="E36" i="11" s="1"/>
  <c r="C37" i="11" l="1"/>
  <c r="E37" i="11" s="1"/>
  <c r="A39" i="11"/>
  <c r="B39" i="11"/>
  <c r="D38" i="11" s="1"/>
  <c r="C38" i="11" l="1"/>
  <c r="A40" i="11"/>
  <c r="B40" i="11"/>
  <c r="D39" i="11" s="1"/>
  <c r="C39" i="11" l="1"/>
  <c r="E39" i="11" s="1"/>
  <c r="E38" i="11"/>
  <c r="B41" i="11"/>
  <c r="D40" i="11" s="1"/>
  <c r="A41" i="11"/>
  <c r="C40" i="11" l="1"/>
  <c r="E40" i="11" s="1"/>
  <c r="B42" i="11"/>
  <c r="C41" i="11" s="1"/>
  <c r="A42" i="11"/>
  <c r="D41" i="11" l="1"/>
  <c r="E41" i="11" s="1"/>
  <c r="E21" i="11" s="1"/>
  <c r="A43" i="11"/>
  <c r="B43" i="11"/>
  <c r="C42" i="11" s="1"/>
  <c r="D42" i="11" l="1"/>
  <c r="E42" i="11" s="1"/>
  <c r="B44" i="11"/>
  <c r="D43" i="11" s="1"/>
  <c r="A44" i="11"/>
  <c r="C43" i="11" l="1"/>
  <c r="E43" i="11" s="1"/>
  <c r="A45" i="11"/>
  <c r="B45" i="11"/>
  <c r="C44" i="11" s="1"/>
  <c r="D44" i="11" l="1"/>
  <c r="E44" i="11" s="1"/>
  <c r="C45" i="11"/>
  <c r="D45" i="11"/>
  <c r="C16" i="11"/>
  <c r="F16" i="11"/>
  <c r="F18" i="11" l="1"/>
  <c r="C18" i="11"/>
  <c r="E45" i="11"/>
  <c r="E16" i="11" s="1"/>
  <c r="E17" i="11" s="1"/>
  <c r="C17" i="11"/>
  <c r="E18" i="11" l="1"/>
  <c r="O6" i="6" l="1"/>
</calcChain>
</file>

<file path=xl/sharedStrings.xml><?xml version="1.0" encoding="utf-8"?>
<sst xmlns="http://schemas.openxmlformats.org/spreadsheetml/2006/main" count="494" uniqueCount="82">
  <si>
    <t>Stückzins</t>
  </si>
  <si>
    <t>Consors</t>
  </si>
  <si>
    <t>Zusatz</t>
  </si>
  <si>
    <t>Zahlungen</t>
  </si>
  <si>
    <t>Rendite</t>
  </si>
  <si>
    <t>€</t>
  </si>
  <si>
    <t>Laufzeit</t>
  </si>
  <si>
    <t>NLB</t>
  </si>
  <si>
    <t>Türkei</t>
  </si>
  <si>
    <t>Spalte1</t>
  </si>
  <si>
    <t>1.Zins</t>
  </si>
  <si>
    <t>Fällig</t>
  </si>
  <si>
    <t>Zinssatz</t>
  </si>
  <si>
    <t>G/V</t>
  </si>
  <si>
    <t>Zahlungen/a</t>
  </si>
  <si>
    <t xml:space="preserve">A162AP </t>
  </si>
  <si>
    <t xml:space="preserve">A14KJ3 </t>
  </si>
  <si>
    <t xml:space="preserve">A13SH3 </t>
  </si>
  <si>
    <t>Nominale</t>
  </si>
  <si>
    <t>Wechselkurs</t>
  </si>
  <si>
    <t>Kaufkurs</t>
  </si>
  <si>
    <t>WENN(ISTZAHL(B26);WENN(B27="";D$3/D$4*SUMMEWENN(C$7:E$7;"&lt;"&amp;B26;C$6:E$6)+SUMMEWENN(C$7:E$7;"&lt;"&amp;B26;C$6:E$6);D$3/D$4*SUMMEWENN(C$7:E$7;"&lt;"&amp;B26;C$6:E$6));"")</t>
  </si>
  <si>
    <t>WENN(ISTZAHL(B26);WENN(B27="";D$3/D$4*SUMMEWENN(C$8:E$8;"&lt;"&amp;B26;C$6:E$6)/C$7+SUMMEWENN(C$8:E$8;"&lt;"&amp;B26;C$6:E$6)/C$7;D$3/D$4*SUMMEWENN(C$8:E$8;"&lt;"&amp;B26;C$6:E$6)/C$7);2);"")</t>
  </si>
  <si>
    <t>VW</t>
  </si>
  <si>
    <t>NLB2HC</t>
  </si>
  <si>
    <t>NLB2HD</t>
  </si>
  <si>
    <t>DIC</t>
  </si>
  <si>
    <t>IKB (27)</t>
  </si>
  <si>
    <t>NLB (23)</t>
  </si>
  <si>
    <t>Türkei (30)</t>
  </si>
  <si>
    <t>VW (23 ?)</t>
  </si>
  <si>
    <t>PCC (20)</t>
  </si>
  <si>
    <t>Auschüttungs-Datum</t>
  </si>
  <si>
    <t>Name Fälligkeit</t>
  </si>
  <si>
    <t>Zins</t>
  </si>
  <si>
    <t>Periode</t>
  </si>
  <si>
    <t>Nennwert</t>
  </si>
  <si>
    <t>Ertrag</t>
  </si>
  <si>
    <t>Wechsel-kurs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</si>
  <si>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</si>
  <si>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</si>
  <si>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</si>
  <si>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</si>
  <si>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</si>
  <si>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</si>
  <si>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</si>
  <si>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</si>
  <si>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</si>
  <si>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</si>
  <si>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</si>
  <si>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</si>
  <si>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monat</t>
  </si>
  <si>
    <t>Spalte2</t>
  </si>
  <si>
    <t>moant</t>
  </si>
  <si>
    <t>Spalte3</t>
  </si>
  <si>
    <t>Thyssen</t>
  </si>
  <si>
    <t>A2GSGU</t>
  </si>
  <si>
    <t>A1ATDE</t>
  </si>
  <si>
    <t xml:space="preserve">A1GQ4S </t>
  </si>
  <si>
    <t>A2TSDS</t>
  </si>
  <si>
    <t>A2LQLF</t>
  </si>
  <si>
    <t>Ferratum</t>
  </si>
  <si>
    <t xml:space="preserve">A1MLSJ </t>
  </si>
  <si>
    <t xml:space="preserve">A1R0RZ </t>
  </si>
  <si>
    <t>A2YNR0</t>
  </si>
  <si>
    <t>A2TSEM</t>
  </si>
  <si>
    <t>A191NY</t>
  </si>
  <si>
    <t>Rückzahlung</t>
  </si>
  <si>
    <t>KÜNDIGUNG</t>
  </si>
  <si>
    <t>Ekosem</t>
  </si>
  <si>
    <t>PCC</t>
  </si>
  <si>
    <t>(KÜNDIGUNG)</t>
  </si>
  <si>
    <t xml:space="preserve">A19L42 </t>
  </si>
  <si>
    <t>Nachkauf</t>
  </si>
  <si>
    <t>Kaufdatum</t>
  </si>
  <si>
    <t>Ro</t>
  </si>
  <si>
    <t>Di</t>
  </si>
  <si>
    <t>Kaufpreis</t>
  </si>
  <si>
    <t>XYZ123</t>
  </si>
  <si>
    <t>Kursdatum</t>
  </si>
  <si>
    <t>Gesamt</t>
  </si>
  <si>
    <t>Zahlungen/Jahr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</si>
</sst>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0.0000%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14" fontId="0" fillId="0" borderId="0" xfId="0" applyNumberFormat="1"/>
    <xf numFmtId="16" fontId="0" fillId="0" borderId="0" xfId="0" applyNumberFormat="1"/>
    <xf numFmtId="10" fontId="0" fillId="0" borderId="0" xfId="1" applyNumberFormat="1" applyFont="1"/>
    <xf numFmtId="10" fontId="2" fillId="2" borderId="0" xfId="0" applyNumberFormat="1" applyFont="1" applyFill="1"/>
    <xf numFmtId="14" fontId="0" fillId="3" borderId="0" xfId="0" applyNumberFormat="1" applyFill="1"/>
    <xf numFmtId="10" fontId="0" fillId="3" borderId="0" xfId="0" applyNumberFormat="1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165" fontId="0" fillId="0" borderId="0" xfId="2" applyNumberFormat="1" applyFont="1"/>
    <xf numFmtId="9" fontId="0" fillId="0" borderId="0" xfId="0" applyNumberFormat="1"/>
    <xf numFmtId="43" fontId="0" fillId="0" borderId="0" xfId="2" applyFont="1"/>
    <xf numFmtId="0" fontId="3" fillId="0" borderId="0" xfId="0" applyFont="1" applyAlignment="1">
      <alignment vertical="center"/>
    </xf>
    <xf numFmtId="43" fontId="0" fillId="0" borderId="0" xfId="0" applyNumberFormat="1"/>
    <xf numFmtId="43" fontId="0" fillId="6" borderId="0" xfId="2" applyFont="1" applyFill="1"/>
    <xf numFmtId="10" fontId="6" fillId="4" borderId="0" xfId="1" applyNumberFormat="1" applyFont="1" applyFill="1"/>
    <xf numFmtId="0" fontId="7" fillId="0" borderId="0" xfId="0" applyFont="1"/>
    <xf numFmtId="0" fontId="0" fillId="7" borderId="0" xfId="0" applyFill="1"/>
    <xf numFmtId="0" fontId="7" fillId="7" borderId="0" xfId="0" applyFont="1" applyFill="1"/>
    <xf numFmtId="0" fontId="3" fillId="2" borderId="0" xfId="0" applyFont="1" applyFill="1" applyAlignment="1">
      <alignment vertical="center"/>
    </xf>
    <xf numFmtId="10" fontId="5" fillId="4" borderId="0" xfId="1" applyNumberFormat="1" applyFont="1" applyFill="1"/>
    <xf numFmtId="0" fontId="0" fillId="0" borderId="0" xfId="0" applyNumberFormat="1"/>
    <xf numFmtId="9" fontId="4" fillId="5" borderId="0" xfId="0" applyNumberFormat="1" applyFont="1" applyFill="1"/>
    <xf numFmtId="165" fontId="5" fillId="0" borderId="0" xfId="2" applyNumberFormat="1" applyFont="1"/>
    <xf numFmtId="10" fontId="5" fillId="0" borderId="0" xfId="1" applyNumberFormat="1" applyFont="1"/>
    <xf numFmtId="1" fontId="0" fillId="0" borderId="0" xfId="0" applyNumberFormat="1"/>
    <xf numFmtId="165" fontId="5" fillId="0" borderId="0" xfId="2" applyNumberFormat="1" applyFont="1" applyAlignment="1">
      <alignment wrapText="1"/>
    </xf>
    <xf numFmtId="10" fontId="5" fillId="0" borderId="0" xfId="1" applyNumberFormat="1" applyFont="1" applyAlignment="1">
      <alignment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0" fontId="0" fillId="8" borderId="0" xfId="0" applyNumberFormat="1" applyFill="1"/>
    <xf numFmtId="14" fontId="0" fillId="8" borderId="0" xfId="0" applyNumberFormat="1" applyFill="1"/>
    <xf numFmtId="0" fontId="0" fillId="8" borderId="0" xfId="0" applyFill="1"/>
    <xf numFmtId="14" fontId="0" fillId="3" borderId="2" xfId="0" applyNumberFormat="1" applyFill="1" applyBorder="1"/>
    <xf numFmtId="14" fontId="0" fillId="3" borderId="3" xfId="0" applyNumberFormat="1" applyFill="1" applyBorder="1"/>
    <xf numFmtId="0" fontId="0" fillId="3" borderId="2" xfId="0" applyFill="1" applyBorder="1"/>
    <xf numFmtId="0" fontId="0" fillId="3" borderId="4" xfId="0" applyFill="1" applyBorder="1"/>
    <xf numFmtId="10" fontId="2" fillId="2" borderId="1" xfId="0" applyNumberFormat="1" applyFont="1" applyFill="1" applyBorder="1"/>
    <xf numFmtId="10" fontId="0" fillId="3" borderId="3" xfId="0" applyNumberFormat="1" applyFill="1" applyBorder="1"/>
    <xf numFmtId="0" fontId="0" fillId="7" borderId="5" xfId="0" applyFill="1" applyBorder="1"/>
    <xf numFmtId="0" fontId="0" fillId="0" borderId="6" xfId="0" applyBorder="1"/>
    <xf numFmtId="0" fontId="0" fillId="0" borderId="7" xfId="0" applyBorder="1"/>
    <xf numFmtId="0" fontId="0" fillId="7" borderId="8" xfId="0" applyFill="1" applyBorder="1"/>
    <xf numFmtId="0" fontId="0" fillId="0" borderId="0" xfId="0" applyBorder="1"/>
    <xf numFmtId="0" fontId="0" fillId="0" borderId="9" xfId="0" applyBorder="1"/>
    <xf numFmtId="9" fontId="0" fillId="0" borderId="0" xfId="0" applyNumberFormat="1" applyBorder="1"/>
    <xf numFmtId="0" fontId="0" fillId="3" borderId="0" xfId="0" applyFill="1" applyBorder="1"/>
    <xf numFmtId="0" fontId="0" fillId="3" borderId="9" xfId="0" applyFill="1" applyBorder="1"/>
    <xf numFmtId="16" fontId="0" fillId="0" borderId="0" xfId="0" applyNumberFormat="1" applyBorder="1"/>
    <xf numFmtId="9" fontId="4" fillId="5" borderId="0" xfId="0" applyNumberFormat="1" applyFont="1" applyFill="1" applyBorder="1"/>
    <xf numFmtId="43" fontId="0" fillId="0" borderId="0" xfId="2" applyFont="1" applyBorder="1"/>
    <xf numFmtId="43" fontId="0" fillId="0" borderId="9" xfId="2" applyFont="1" applyBorder="1"/>
    <xf numFmtId="43" fontId="0" fillId="0" borderId="0" xfId="0" applyNumberFormat="1" applyBorder="1"/>
    <xf numFmtId="10" fontId="0" fillId="0" borderId="0" xfId="1" applyNumberFormat="1" applyFont="1" applyBorder="1"/>
    <xf numFmtId="0" fontId="7" fillId="7" borderId="8" xfId="0" applyFont="1" applyFill="1" applyBorder="1"/>
    <xf numFmtId="0" fontId="7" fillId="0" borderId="0" xfId="0" applyFont="1" applyBorder="1"/>
    <xf numFmtId="10" fontId="5" fillId="4" borderId="0" xfId="1" applyNumberFormat="1" applyFont="1" applyFill="1" applyBorder="1"/>
    <xf numFmtId="10" fontId="6" fillId="4" borderId="9" xfId="1" applyNumberFormat="1" applyFont="1" applyFill="1" applyBorder="1"/>
    <xf numFmtId="10" fontId="0" fillId="0" borderId="9" xfId="1" applyNumberFormat="1" applyFont="1" applyBorder="1"/>
    <xf numFmtId="2" fontId="0" fillId="0" borderId="0" xfId="0" applyNumberFormat="1" applyBorder="1"/>
    <xf numFmtId="2" fontId="0" fillId="0" borderId="9" xfId="0" applyNumberFormat="1" applyBorder="1"/>
    <xf numFmtId="14" fontId="0" fillId="0" borderId="0" xfId="0" applyNumberFormat="1" applyBorder="1"/>
    <xf numFmtId="43" fontId="0" fillId="6" borderId="0" xfId="2" applyFont="1" applyFill="1" applyBorder="1"/>
  </cellXfs>
  <cellStyles count="3">
    <cellStyle name="Komma" xfId="2" builtinId="3"/>
    <cellStyle name="Prozent" xfId="1" builtinId="5"/>
    <cellStyle name="Standard" xfId="0" builtinId="0"/>
  </cellStyles>
  <dxfs count="16"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numFmt numFmtId="164" formatCode="0.0000%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164" formatCode="0.0000%"/>
    </dxf>
    <dxf>
      <numFmt numFmtId="19" formatCode="dd/mm/yyyy"/>
    </dxf>
    <dxf>
      <font>
        <b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Cashflow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Tabelle2!$C$47</c:f>
              <c:strCache>
                <c:ptCount val="1"/>
                <c:pt idx="0">
                  <c:v>Di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Tabelle2!$B$48:$B$59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Tabelle2!$C$48:$C$59</c:f>
              <c:numCache>
                <c:formatCode>General</c:formatCode>
                <c:ptCount val="12"/>
                <c:pt idx="0">
                  <c:v>32.239999999999995</c:v>
                </c:pt>
                <c:pt idx="1">
                  <c:v>21.26</c:v>
                </c:pt>
                <c:pt idx="2">
                  <c:v>0</c:v>
                </c:pt>
                <c:pt idx="3">
                  <c:v>7.5</c:v>
                </c:pt>
                <c:pt idx="4">
                  <c:v>6.88</c:v>
                </c:pt>
                <c:pt idx="5">
                  <c:v>0</c:v>
                </c:pt>
                <c:pt idx="6">
                  <c:v>32.239999999999995</c:v>
                </c:pt>
                <c:pt idx="7">
                  <c:v>6.88</c:v>
                </c:pt>
                <c:pt idx="8">
                  <c:v>25.63</c:v>
                </c:pt>
                <c:pt idx="9">
                  <c:v>51.25</c:v>
                </c:pt>
                <c:pt idx="10">
                  <c:v>6.88</c:v>
                </c:pt>
                <c:pt idx="11">
                  <c:v>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6-41C6-A6F4-FC007F764EA8}"/>
            </c:ext>
          </c:extLst>
        </c:ser>
        <c:ser>
          <c:idx val="1"/>
          <c:order val="1"/>
          <c:tx>
            <c:strRef>
              <c:f>Tabelle2!$D$47</c:f>
              <c:strCache>
                <c:ptCount val="1"/>
                <c:pt idx="0">
                  <c:v>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Tabelle2!$B$48:$B$59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Tabelle2!$D$48:$D$59</c:f>
              <c:numCache>
                <c:formatCode>General</c:formatCode>
                <c:ptCount val="12"/>
                <c:pt idx="0">
                  <c:v>24.74</c:v>
                </c:pt>
                <c:pt idx="1">
                  <c:v>21.26</c:v>
                </c:pt>
                <c:pt idx="2">
                  <c:v>5</c:v>
                </c:pt>
                <c:pt idx="3">
                  <c:v>0</c:v>
                </c:pt>
                <c:pt idx="4">
                  <c:v>6.88</c:v>
                </c:pt>
                <c:pt idx="5">
                  <c:v>5</c:v>
                </c:pt>
                <c:pt idx="6">
                  <c:v>24.74</c:v>
                </c:pt>
                <c:pt idx="7">
                  <c:v>6.88</c:v>
                </c:pt>
                <c:pt idx="8">
                  <c:v>30.63</c:v>
                </c:pt>
                <c:pt idx="9">
                  <c:v>41.25</c:v>
                </c:pt>
                <c:pt idx="10">
                  <c:v>6.88</c:v>
                </c:pt>
                <c:pt idx="11">
                  <c:v>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86-41C6-A6F4-FC007F764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4152384"/>
        <c:axId val="574157960"/>
      </c:barChart>
      <c:catAx>
        <c:axId val="57415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4157960"/>
        <c:crosses val="autoZero"/>
        <c:auto val="1"/>
        <c:lblAlgn val="ctr"/>
        <c:lblOffset val="100"/>
        <c:noMultiLvlLbl val="0"/>
      </c:catAx>
      <c:valAx>
        <c:axId val="57415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415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978062117235346"/>
          <c:y val="0.22743000874890634"/>
          <c:w val="0.14599409448818898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Fälligkeit</a:t>
            </a:r>
            <a:r>
              <a:rPr lang="de-DE" sz="1400" b="0" i="0" u="none" strike="noStrike" baseline="0"/>
              <a:t>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Tabelle2!$C$61</c:f>
              <c:strCache>
                <c:ptCount val="1"/>
                <c:pt idx="0">
                  <c:v>Di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Tabelle2!$B$62:$B$92</c:f>
              <c:numCache>
                <c:formatCode>General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Tabelle2!$C$62:$C$92</c:f>
              <c:numCache>
                <c:formatCode>General</c:formatCode>
                <c:ptCount val="31"/>
                <c:pt idx="0">
                  <c:v>500</c:v>
                </c:pt>
                <c:pt idx="1">
                  <c:v>0</c:v>
                </c:pt>
                <c:pt idx="2">
                  <c:v>1000</c:v>
                </c:pt>
                <c:pt idx="3">
                  <c:v>1000</c:v>
                </c:pt>
                <c:pt idx="4">
                  <c:v>500</c:v>
                </c:pt>
                <c:pt idx="5">
                  <c:v>0</c:v>
                </c:pt>
                <c:pt idx="6">
                  <c:v>0</c:v>
                </c:pt>
                <c:pt idx="7">
                  <c:v>500</c:v>
                </c:pt>
                <c:pt idx="8">
                  <c:v>0</c:v>
                </c:pt>
                <c:pt idx="9">
                  <c:v>0</c:v>
                </c:pt>
                <c:pt idx="10">
                  <c:v>600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F8-416E-9A09-9676040F2602}"/>
            </c:ext>
          </c:extLst>
        </c:ser>
        <c:ser>
          <c:idx val="1"/>
          <c:order val="1"/>
          <c:tx>
            <c:strRef>
              <c:f>Tabelle2!$D$61</c:f>
              <c:strCache>
                <c:ptCount val="1"/>
                <c:pt idx="0">
                  <c:v>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Tabelle2!$B$62:$B$92</c:f>
              <c:numCache>
                <c:formatCode>General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Tabelle2!$D$62:$D$92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1000</c:v>
                </c:pt>
                <c:pt idx="3">
                  <c:v>1500</c:v>
                </c:pt>
                <c:pt idx="4">
                  <c:v>1000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600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F8-416E-9A09-9676040F2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9514576"/>
        <c:axId val="449507360"/>
      </c:barChart>
      <c:catAx>
        <c:axId val="44951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9507360"/>
        <c:crosses val="autoZero"/>
        <c:auto val="1"/>
        <c:lblAlgn val="ctr"/>
        <c:lblOffset val="100"/>
        <c:noMultiLvlLbl val="0"/>
      </c:catAx>
      <c:valAx>
        <c:axId val="44950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951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631372</xdr:colOff>
      <xdr:row>4</xdr:row>
      <xdr:rowOff>21771</xdr:rowOff>
    </xdr:from>
    <xdr:to>
      <xdr:col>22</xdr:col>
      <xdr:colOff>435429</xdr:colOff>
      <xdr:row>15</xdr:row>
      <xdr:rowOff>108857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664028</xdr:colOff>
      <xdr:row>17</xdr:row>
      <xdr:rowOff>76200</xdr:rowOff>
    </xdr:from>
    <xdr:to>
      <xdr:col>25</xdr:col>
      <xdr:colOff>370114</xdr:colOff>
      <xdr:row>32</xdr:row>
      <xdr:rowOff>174171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le1" displayName="Tabelle1" ref="B6:L21" totalsRowShown="0" headerRowDxfId="15">
  <autoFilter ref="B6:L21"/>
  <sortState ref="B7:L21">
    <sortCondition ref="B6:B21"/>
  </sortState>
  <tableColumns count="11">
    <tableColumn id="1" name="Auschüttungs-Datum" dataDxfId="14"/>
    <tableColumn id="2" name="Name Fälligkeit"/>
    <tableColumn id="11" name="Spalte2"/>
    <tableColumn id="7" name="Periode"/>
    <tableColumn id="3" name="Zins" dataDxfId="13"/>
    <tableColumn id="4" name="Nennwert"/>
    <tableColumn id="5" name="Wechsel-kurs" dataDxfId="12"/>
    <tableColumn id="9" name="Spalte1" dataDxfId="11">
      <calculatedColumnFormula>1/Tabelle1[[#This Row],[Periode]]</calculatedColumnFormula>
    </tableColumn>
    <tableColumn id="6" name="Ertrag" dataDxfId="10">
      <calculatedColumnFormula>ROUND(Tabelle1[[#This Row],[Zins]]*Tabelle1[[#This Row],[Nennwert]]/Tabelle1[[#This Row],[Wechsel-kurs]]/Tabelle1[[#This Row],[Periode]],2)</calculatedColumnFormula>
    </tableColumn>
    <tableColumn id="8" name="monat" dataDxfId="9">
      <calculatedColumnFormula>MONTH(Tabelle1[[#This Row],[Auschüttungs-Datum]])</calculatedColumnFormula>
    </tableColumn>
    <tableColumn id="12" name="Spalte3" dataDxfId="8">
      <calculatedColumnFormula>Tabelle1[[#This Row],[Nennwert]]*Tabelle1[[#This Row],[Wechsel-kurs]]*Tabelle1[[#This Row],[Spalte1]]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B27:L42" totalsRowShown="0" headerRowDxfId="7">
  <autoFilter ref="B27:L42"/>
  <tableColumns count="11">
    <tableColumn id="1" name="Auschüttungs-Datum" dataDxfId="6"/>
    <tableColumn id="2" name="Name Fälligkeit"/>
    <tableColumn id="8" name="Spalte2"/>
    <tableColumn id="7" name="Periode"/>
    <tableColumn id="3" name="Zins" dataDxfId="5"/>
    <tableColumn id="4" name="Nennwert"/>
    <tableColumn id="5" name="Wechsel-kurs"/>
    <tableColumn id="9" name="Spalte1" dataDxfId="4">
      <calculatedColumnFormula>1/Tabelle2[[#This Row],[Periode]]</calculatedColumnFormula>
    </tableColumn>
    <tableColumn id="6" name="Ertrag" dataDxfId="3">
      <calculatedColumnFormula>ROUND(Tabelle2[[#This Row],[Zins]]*Tabelle2[[#This Row],[Nennwert]]/Tabelle2[[#This Row],[Wechsel-kurs]]/Tabelle2[[#This Row],[Periode]],2)</calculatedColumnFormula>
    </tableColumn>
    <tableColumn id="10" name="moant" dataDxfId="2">
      <calculatedColumnFormula>MONTH(Tabelle2[[#This Row],[Auschüttungs-Datum]])</calculatedColumnFormula>
    </tableColumn>
    <tableColumn id="11" name="Spalte3" dataDxfId="1">
      <calculatedColumnFormula>Tabelle2[[#This Row],[Nennwert]]*Tabelle2[[#This Row],[Wechsel-kurs]]*Tabelle2[[#This Row],[Spalte1]]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zoomScale="70" zoomScaleNormal="70" workbookViewId="0">
      <selection activeCell="F3" sqref="F3"/>
    </sheetView>
  </sheetViews>
  <sheetFormatPr baseColWidth="10" defaultRowHeight="14.4" x14ac:dyDescent="0.3"/>
  <cols>
    <col min="1" max="1" width="11.6640625" style="46" customWidth="1"/>
    <col min="2" max="2" width="12.88671875" style="47" customWidth="1"/>
    <col min="3" max="3" width="15.21875" style="47" customWidth="1"/>
    <col min="4" max="5" width="11.6640625" style="47" customWidth="1"/>
    <col min="6" max="6" width="11.6640625" style="48" customWidth="1"/>
  </cols>
  <sheetData>
    <row r="1" spans="1:6" ht="15" thickBot="1" x14ac:dyDescent="0.35">
      <c r="A1" s="43"/>
      <c r="B1" s="44" t="s">
        <v>78</v>
      </c>
      <c r="C1" s="44"/>
      <c r="D1" s="44"/>
      <c r="E1" s="44"/>
      <c r="F1" s="45"/>
    </row>
    <row r="2" spans="1:6" x14ac:dyDescent="0.3">
      <c r="C2" s="47" t="s">
        <v>10</v>
      </c>
      <c r="D2" s="37"/>
    </row>
    <row r="3" spans="1:6" x14ac:dyDescent="0.3">
      <c r="C3" s="47" t="s">
        <v>11</v>
      </c>
      <c r="D3" s="38"/>
    </row>
    <row r="4" spans="1:6" x14ac:dyDescent="0.3">
      <c r="C4" s="47" t="s">
        <v>12</v>
      </c>
      <c r="D4" s="42"/>
    </row>
    <row r="5" spans="1:6" ht="15" thickBot="1" x14ac:dyDescent="0.35">
      <c r="C5" s="47" t="s">
        <v>81</v>
      </c>
      <c r="D5" s="40">
        <v>1</v>
      </c>
    </row>
    <row r="6" spans="1:6" x14ac:dyDescent="0.3">
      <c r="C6" s="47" t="s">
        <v>67</v>
      </c>
      <c r="D6" s="49">
        <v>1</v>
      </c>
    </row>
    <row r="7" spans="1:6" x14ac:dyDescent="0.3">
      <c r="D7" s="49"/>
    </row>
    <row r="8" spans="1:6" ht="15" thickBot="1" x14ac:dyDescent="0.35">
      <c r="E8" s="47" t="s">
        <v>73</v>
      </c>
      <c r="F8" s="48" t="s">
        <v>80</v>
      </c>
    </row>
    <row r="9" spans="1:6" x14ac:dyDescent="0.3">
      <c r="B9" s="47" t="s">
        <v>18</v>
      </c>
      <c r="C9" s="39">
        <v>5000</v>
      </c>
      <c r="E9" s="50">
        <v>0</v>
      </c>
      <c r="F9" s="48">
        <f>SUM(C9:E9)</f>
        <v>5000</v>
      </c>
    </row>
    <row r="10" spans="1:6" ht="15" thickBot="1" x14ac:dyDescent="0.35">
      <c r="B10" s="47" t="s">
        <v>19</v>
      </c>
      <c r="C10" s="40">
        <v>1</v>
      </c>
      <c r="E10" s="50">
        <v>1</v>
      </c>
      <c r="F10" s="51"/>
    </row>
    <row r="11" spans="1:6" ht="15" thickBot="1" x14ac:dyDescent="0.35">
      <c r="B11" s="47" t="s">
        <v>79</v>
      </c>
      <c r="C11" s="52">
        <f ca="1">TODAY()</f>
        <v>43712</v>
      </c>
      <c r="E11" s="52">
        <f ca="1">TODAY()</f>
        <v>43712</v>
      </c>
    </row>
    <row r="12" spans="1:6" ht="28.2" customHeight="1" thickBot="1" x14ac:dyDescent="0.35">
      <c r="B12" s="47" t="s">
        <v>79</v>
      </c>
      <c r="C12" s="41">
        <v>1</v>
      </c>
      <c r="E12" s="53">
        <v>0.9</v>
      </c>
    </row>
    <row r="16" spans="1:6" x14ac:dyDescent="0.3">
      <c r="C16" s="54">
        <f>ROUND(C9*C12/C10,2)</f>
        <v>5000</v>
      </c>
      <c r="E16" s="54">
        <f>ROUND(E9*E12/E10,2)</f>
        <v>0</v>
      </c>
      <c r="F16" s="55">
        <f>C16+IF(E$9&gt;0,E16,)</f>
        <v>5000</v>
      </c>
    </row>
    <row r="17" spans="1:6" x14ac:dyDescent="0.3">
      <c r="B17" s="54" t="s">
        <v>0</v>
      </c>
      <c r="C17" s="54">
        <f ca="1">IFERROR(ROUND(ACCRINT(D2-365/D5,D2,C11+3,D4,C9,1,1)/C10,2),0)</f>
        <v>0</v>
      </c>
      <c r="D17" s="56"/>
      <c r="E17" s="54">
        <f ca="1">IFERROR(ROUND(ACCRINT(E2-365/D5,E2,E11+2,D4,E9,1,1)/E10,2),0)</f>
        <v>0</v>
      </c>
    </row>
    <row r="18" spans="1:6" x14ac:dyDescent="0.3">
      <c r="B18" s="54" t="s">
        <v>1</v>
      </c>
      <c r="C18" s="54">
        <f>MAX(9.95,4.95+ROUND(C9*C12/C10*0.25%,2))</f>
        <v>17.45</v>
      </c>
      <c r="D18" s="57"/>
      <c r="E18" s="54">
        <f>IF(E9&gt;0,MAX(9.95,4.95+ROUND(E9*E12*0.25%,2)),0)</f>
        <v>0</v>
      </c>
      <c r="F18" s="55"/>
    </row>
    <row r="19" spans="1:6" x14ac:dyDescent="0.3">
      <c r="B19" s="54" t="s">
        <v>2</v>
      </c>
      <c r="C19" s="54"/>
      <c r="E19" s="54"/>
      <c r="F19" s="55">
        <f>C19+IF(E$9&gt;0,E19,)</f>
        <v>0</v>
      </c>
    </row>
    <row r="20" spans="1:6" x14ac:dyDescent="0.3">
      <c r="B20" s="54"/>
      <c r="C20" s="54"/>
      <c r="E20" s="54"/>
    </row>
    <row r="21" spans="1:6" x14ac:dyDescent="0.3">
      <c r="B21" s="47" t="s">
        <v>3</v>
      </c>
      <c r="C21" s="47">
        <f>MAX(A:A)</f>
        <v>1</v>
      </c>
      <c r="E21" s="47">
        <f ca="1">COUNTIF(E30:E51,"&gt;0")</f>
        <v>0</v>
      </c>
      <c r="F21" s="48">
        <f>MAX(A:A)</f>
        <v>1</v>
      </c>
    </row>
    <row r="22" spans="1:6" x14ac:dyDescent="0.3">
      <c r="B22" s="47" t="s">
        <v>5</v>
      </c>
      <c r="C22" s="47">
        <f>ROUND(C21*D$4*C$9/D$5/C10,2)</f>
        <v>0</v>
      </c>
      <c r="E22" s="47">
        <f ca="1">ROUND(E21*D$4*E$9/D$5/E10,2)</f>
        <v>0</v>
      </c>
    </row>
    <row r="23" spans="1:6" s="18" customFormat="1" ht="23.4" x14ac:dyDescent="0.45">
      <c r="A23" s="58"/>
      <c r="B23" s="59" t="s">
        <v>4</v>
      </c>
      <c r="C23" s="60">
        <f ca="1">IFERROR(
XIRR(
OFFSET(C30,,,C21+COUNT(C$9:E$9),),
OFFSET(B30,,,C21+COUNT(C$9:E$9),)),
0)</f>
        <v>0</v>
      </c>
      <c r="D23" s="47"/>
      <c r="E23" s="60">
        <f ca="1">IFERROR(
XIRR(
OFFSET(E31,,,C21+1,),
OFFSET(B31,,,C21+1,)),
0)</f>
        <v>0</v>
      </c>
      <c r="F23" s="61">
        <f ca="1">IFERROR(
XIRR(
OFFSET(D30,,,F21+COUNT(C9:E9),),
OFFSET(B30,,,F21+COUNT(C9:E9),)),
0)</f>
        <v>0</v>
      </c>
    </row>
    <row r="24" spans="1:6" x14ac:dyDescent="0.3">
      <c r="B24" s="47" t="s">
        <v>77</v>
      </c>
      <c r="C24" s="56">
        <f ca="1">SUM(C16:C19)</f>
        <v>5017.45</v>
      </c>
      <c r="E24" s="56">
        <f ca="1">SUM(E16:E19)</f>
        <v>0</v>
      </c>
    </row>
    <row r="25" spans="1:6" x14ac:dyDescent="0.3">
      <c r="B25" s="47" t="s">
        <v>20</v>
      </c>
      <c r="C25" s="57">
        <f>(C16+C18+C19)*C10/C9</f>
        <v>1.00349</v>
      </c>
      <c r="E25" s="57">
        <f>IFERROR((E16+E18+E19)*E10/E9,0)</f>
        <v>0</v>
      </c>
      <c r="F25" s="62">
        <f>(C25*C9+E25*E9)/F9</f>
        <v>1.00349</v>
      </c>
    </row>
    <row r="26" spans="1:6" x14ac:dyDescent="0.3">
      <c r="B26" s="47" t="s">
        <v>6</v>
      </c>
      <c r="C26" s="63">
        <f ca="1">(D3-C11)/365</f>
        <v>-119.75890410958904</v>
      </c>
      <c r="D26" s="63"/>
      <c r="E26" s="63">
        <f ca="1">(D3-E11)/365</f>
        <v>-119.75890410958904</v>
      </c>
      <c r="F26" s="64">
        <f ca="1">(D3-TODAY())/365</f>
        <v>-119.75890410958904</v>
      </c>
    </row>
    <row r="27" spans="1:6" x14ac:dyDescent="0.3">
      <c r="B27" s="47" t="s">
        <v>13</v>
      </c>
      <c r="C27" s="56">
        <f ca="1">SUM(C30:C47)</f>
        <v>-17.449999999999818</v>
      </c>
      <c r="E27" s="56">
        <f ca="1">SUM(E30:E47)</f>
        <v>-5000</v>
      </c>
    </row>
    <row r="28" spans="1:6" x14ac:dyDescent="0.3">
      <c r="B28" s="54"/>
      <c r="C28" s="54"/>
      <c r="E28" s="54"/>
    </row>
    <row r="30" spans="1:6" x14ac:dyDescent="0.3">
      <c r="B30" s="65">
        <f ca="1">C11</f>
        <v>43712</v>
      </c>
      <c r="C30" s="56">
        <f ca="1">-SUM(C16:C19)</f>
        <v>-5017.45</v>
      </c>
      <c r="D30" s="54">
        <f ca="1">IF(C9&gt;0,-SUM(C16:C19),0)</f>
        <v>-5017.45</v>
      </c>
      <c r="E30" s="56">
        <f t="shared" ref="E30:E32" ca="1" si="0">IFERROR(D30-C30,"")</f>
        <v>0</v>
      </c>
    </row>
    <row r="31" spans="1:6" x14ac:dyDescent="0.3">
      <c r="B31" s="65">
        <f ca="1">E11</f>
        <v>43712</v>
      </c>
      <c r="D31" s="54">
        <f>IF(E9&gt;0,-SUM(E16:E19),0)</f>
        <v>0</v>
      </c>
      <c r="E31" s="56">
        <f t="shared" si="0"/>
        <v>0</v>
      </c>
    </row>
    <row r="32" spans="1:6" x14ac:dyDescent="0.3">
      <c r="A32" s="46">
        <v>1</v>
      </c>
      <c r="B32" s="65">
        <f>D2</f>
        <v>0</v>
      </c>
      <c r="C32" s="47">
        <f t="shared" ref="C32:C44" si="1">IF(ISNUMBER(B32),ROUND(IF(B33="",(D$4*C$9/D$5+C$9*D$6)/C$10,D$4*C$9/D$5/C$10),2),"")</f>
        <v>5000</v>
      </c>
      <c r="D32" s="66">
        <f t="shared" ref="D32:D44" ca="1" si="2">IF(ISNUMBER(B32),ROUND(IF(B33="",D$4/D$5*SUMIF(C$11:E$11,"&lt;"&amp;B32,C$9:E$9)/C$10+SUMIF(C$11:E$11,"&lt;"&amp;B32,C$9:E$9)*D$6/C$10,D$4/D$5*SUMIF(C$11:E$11,"&lt;"&amp;B32,C$9:E$9)/C$10),2),"")</f>
        <v>0</v>
      </c>
      <c r="E32" s="56">
        <f t="shared" ca="1" si="0"/>
        <v>-5000</v>
      </c>
    </row>
    <row r="33" spans="1:5" x14ac:dyDescent="0.3">
      <c r="A33" s="46" t="str">
        <f>IF(AND(B32&lt;D$3,B32&lt;&gt;0),A32+1,"")</f>
        <v/>
      </c>
      <c r="B33" s="65" t="str">
        <f>IF(AND(B32&lt;D$3,B32&lt;&gt;0),DATE(IF(MONTH(B32)&gt;(12-12/D$5),YEAR(B32)+1,YEAR(B32)),IF(MONTH(B32)&gt;(12-12/D$5),MONTH(B32)-(12-12/D$5),MONTH(B32)+12/D$5),DAY(B32)),"")</f>
        <v/>
      </c>
      <c r="C33" s="47" t="str">
        <f t="shared" si="1"/>
        <v/>
      </c>
      <c r="D33" s="66" t="str">
        <f t="shared" si="2"/>
        <v/>
      </c>
      <c r="E33" s="56" t="str">
        <f>IFERROR(D33-C33,"")</f>
        <v/>
      </c>
    </row>
    <row r="34" spans="1:5" x14ac:dyDescent="0.3">
      <c r="A34" s="46" t="str">
        <f t="shared" ref="A34:A44" si="3">IF(AND(B33&lt;D$3,B33&lt;&gt;0),A33+1,"")</f>
        <v/>
      </c>
      <c r="B34" s="65" t="str">
        <f t="shared" ref="B34:B44" si="4">IF(AND(B33&lt;D$3,B33&lt;&gt;0),DATE(IF(MONTH(B33)&gt;(12-12/D$5),YEAR(B33)+1,YEAR(B33)),IF(MONTH(B33)&gt;(12-12/D$5),MONTH(B33)-(12-12/D$5),MONTH(B33)+12/D$5),DAY(B33)),"")</f>
        <v/>
      </c>
      <c r="C34" s="47" t="str">
        <f t="shared" si="1"/>
        <v/>
      </c>
      <c r="D34" s="66" t="str">
        <f t="shared" si="2"/>
        <v/>
      </c>
      <c r="E34" s="56" t="str">
        <f t="shared" ref="E34:E44" si="5">IFERROR(D34-C34,"")</f>
        <v/>
      </c>
    </row>
    <row r="35" spans="1:5" x14ac:dyDescent="0.3">
      <c r="A35" s="46" t="str">
        <f t="shared" si="3"/>
        <v/>
      </c>
      <c r="B35" s="65" t="str">
        <f t="shared" si="4"/>
        <v/>
      </c>
      <c r="C35" s="47" t="str">
        <f t="shared" si="1"/>
        <v/>
      </c>
      <c r="D35" s="66" t="str">
        <f t="shared" si="2"/>
        <v/>
      </c>
      <c r="E35" s="56" t="str">
        <f t="shared" si="5"/>
        <v/>
      </c>
    </row>
    <row r="36" spans="1:5" x14ac:dyDescent="0.3">
      <c r="A36" s="46" t="str">
        <f t="shared" si="3"/>
        <v/>
      </c>
      <c r="B36" s="65" t="str">
        <f t="shared" si="4"/>
        <v/>
      </c>
      <c r="C36" s="47" t="str">
        <f t="shared" si="1"/>
        <v/>
      </c>
      <c r="D36" s="66" t="str">
        <f t="shared" si="2"/>
        <v/>
      </c>
      <c r="E36" s="56" t="str">
        <f t="shared" si="5"/>
        <v/>
      </c>
    </row>
    <row r="37" spans="1:5" x14ac:dyDescent="0.3">
      <c r="A37" s="46" t="str">
        <f t="shared" si="3"/>
        <v/>
      </c>
      <c r="B37" s="65" t="str">
        <f t="shared" si="4"/>
        <v/>
      </c>
      <c r="C37" s="47" t="str">
        <f t="shared" si="1"/>
        <v/>
      </c>
      <c r="D37" s="66" t="str">
        <f t="shared" si="2"/>
        <v/>
      </c>
      <c r="E37" s="56" t="str">
        <f t="shared" si="5"/>
        <v/>
      </c>
    </row>
    <row r="38" spans="1:5" x14ac:dyDescent="0.3">
      <c r="A38" s="46" t="str">
        <f t="shared" si="3"/>
        <v/>
      </c>
      <c r="B38" s="65" t="str">
        <f t="shared" si="4"/>
        <v/>
      </c>
      <c r="C38" s="47" t="str">
        <f t="shared" si="1"/>
        <v/>
      </c>
      <c r="D38" s="66" t="str">
        <f t="shared" si="2"/>
        <v/>
      </c>
      <c r="E38" s="56" t="str">
        <f t="shared" si="5"/>
        <v/>
      </c>
    </row>
    <row r="39" spans="1:5" x14ac:dyDescent="0.3">
      <c r="A39" s="46" t="str">
        <f t="shared" si="3"/>
        <v/>
      </c>
      <c r="B39" s="65" t="str">
        <f t="shared" si="4"/>
        <v/>
      </c>
      <c r="C39" s="47" t="str">
        <f t="shared" si="1"/>
        <v/>
      </c>
      <c r="D39" s="66" t="str">
        <f t="shared" si="2"/>
        <v/>
      </c>
      <c r="E39" s="56" t="str">
        <f t="shared" si="5"/>
        <v/>
      </c>
    </row>
    <row r="40" spans="1:5" x14ac:dyDescent="0.3">
      <c r="A40" s="46" t="str">
        <f t="shared" si="3"/>
        <v/>
      </c>
      <c r="B40" s="65" t="str">
        <f t="shared" si="4"/>
        <v/>
      </c>
      <c r="C40" s="47" t="str">
        <f t="shared" si="1"/>
        <v/>
      </c>
      <c r="D40" s="66" t="str">
        <f t="shared" si="2"/>
        <v/>
      </c>
      <c r="E40" s="56" t="str">
        <f t="shared" si="5"/>
        <v/>
      </c>
    </row>
    <row r="41" spans="1:5" x14ac:dyDescent="0.3">
      <c r="A41" s="46" t="str">
        <f t="shared" si="3"/>
        <v/>
      </c>
      <c r="B41" s="65" t="str">
        <f t="shared" si="4"/>
        <v/>
      </c>
      <c r="C41" s="47" t="str">
        <f t="shared" si="1"/>
        <v/>
      </c>
      <c r="D41" s="66" t="str">
        <f t="shared" si="2"/>
        <v/>
      </c>
      <c r="E41" s="56" t="str">
        <f t="shared" si="5"/>
        <v/>
      </c>
    </row>
    <row r="42" spans="1:5" x14ac:dyDescent="0.3">
      <c r="A42" s="46" t="str">
        <f t="shared" si="3"/>
        <v/>
      </c>
      <c r="B42" s="65" t="str">
        <f t="shared" si="4"/>
        <v/>
      </c>
      <c r="C42" s="47" t="str">
        <f t="shared" si="1"/>
        <v/>
      </c>
      <c r="D42" s="66" t="str">
        <f t="shared" si="2"/>
        <v/>
      </c>
      <c r="E42" s="56" t="str">
        <f t="shared" si="5"/>
        <v/>
      </c>
    </row>
    <row r="43" spans="1:5" x14ac:dyDescent="0.3">
      <c r="A43" s="46" t="str">
        <f t="shared" si="3"/>
        <v/>
      </c>
      <c r="B43" s="65" t="str">
        <f t="shared" si="4"/>
        <v/>
      </c>
      <c r="C43" s="47" t="str">
        <f t="shared" si="1"/>
        <v/>
      </c>
      <c r="D43" s="66" t="str">
        <f t="shared" si="2"/>
        <v/>
      </c>
      <c r="E43" s="56" t="str">
        <f t="shared" si="5"/>
        <v/>
      </c>
    </row>
    <row r="44" spans="1:5" x14ac:dyDescent="0.3">
      <c r="A44" s="46" t="str">
        <f t="shared" si="3"/>
        <v/>
      </c>
      <c r="B44" s="65" t="str">
        <f t="shared" si="4"/>
        <v/>
      </c>
      <c r="C44" s="47" t="str">
        <f t="shared" si="1"/>
        <v/>
      </c>
      <c r="D44" s="66" t="str">
        <f t="shared" si="2"/>
        <v/>
      </c>
      <c r="E44" s="56" t="str">
        <f t="shared" si="5"/>
        <v/>
      </c>
    </row>
    <row r="45" spans="1:5" x14ac:dyDescent="0.3">
      <c r="A45" s="46" t="str">
        <f t="shared" ref="A45:A69" si="6">IF(AND(B44&lt;D$3,B44&lt;&gt;0),A44+1,"")</f>
        <v/>
      </c>
      <c r="B45" s="65" t="str">
        <f t="shared" ref="B45:B69" si="7">IF(AND(B44&lt;D$3,B44&lt;&gt;0),DATE(IF(MONTH(B44)&gt;(12-12/D$5),YEAR(B44)+1,YEAR(B44)),IF(MONTH(B44)&gt;(12-12/D$5),MONTH(B44)-(12-12/D$5),MONTH(B44)+12/D$5),DAY(B44)),"")</f>
        <v/>
      </c>
      <c r="C45" s="47" t="str">
        <f t="shared" ref="C45:C69" si="8">IF(ISNUMBER(B45),ROUND(IF(B46="",(D$4*C$9/D$5+C$9*D$6)/C$10,D$4*C$9/D$5/C$10),2),"")</f>
        <v/>
      </c>
      <c r="D45" s="66" t="str">
        <f t="shared" ref="D45:D69" si="9">IF(ISNUMBER(B45),ROUND(IF(B46="",D$4/D$5*SUMIF(C$11:E$11,"&lt;"&amp;B45,C$9:E$9)/C$10+SUMIF(C$11:E$11,"&lt;"&amp;B45,C$9:E$9)*D$6/C$10,D$4/D$5*SUMIF(C$11:E$11,"&lt;"&amp;B45,C$9:E$9)/C$10),2),"")</f>
        <v/>
      </c>
      <c r="E45" s="56" t="str">
        <f t="shared" ref="E45:E69" si="10">IFERROR(D45-C45,"")</f>
        <v/>
      </c>
    </row>
    <row r="46" spans="1:5" x14ac:dyDescent="0.3">
      <c r="A46" s="46" t="str">
        <f t="shared" si="6"/>
        <v/>
      </c>
      <c r="B46" s="65" t="str">
        <f t="shared" si="7"/>
        <v/>
      </c>
      <c r="C46" s="47" t="str">
        <f t="shared" si="8"/>
        <v/>
      </c>
      <c r="D46" s="66" t="str">
        <f t="shared" si="9"/>
        <v/>
      </c>
      <c r="E46" s="56" t="str">
        <f t="shared" si="10"/>
        <v/>
      </c>
    </row>
    <row r="47" spans="1:5" x14ac:dyDescent="0.3">
      <c r="A47" s="46" t="str">
        <f t="shared" si="6"/>
        <v/>
      </c>
      <c r="B47" s="65" t="str">
        <f t="shared" si="7"/>
        <v/>
      </c>
      <c r="C47" s="47" t="str">
        <f t="shared" si="8"/>
        <v/>
      </c>
      <c r="D47" s="66" t="str">
        <f t="shared" si="9"/>
        <v/>
      </c>
      <c r="E47" s="56" t="str">
        <f t="shared" si="10"/>
        <v/>
      </c>
    </row>
    <row r="48" spans="1:5" x14ac:dyDescent="0.3">
      <c r="A48" s="46" t="str">
        <f t="shared" si="6"/>
        <v/>
      </c>
      <c r="B48" s="65" t="str">
        <f t="shared" si="7"/>
        <v/>
      </c>
      <c r="C48" s="47" t="str">
        <f t="shared" si="8"/>
        <v/>
      </c>
      <c r="D48" s="66" t="str">
        <f t="shared" si="9"/>
        <v/>
      </c>
      <c r="E48" s="56" t="str">
        <f t="shared" si="10"/>
        <v/>
      </c>
    </row>
    <row r="49" spans="1:5" x14ac:dyDescent="0.3">
      <c r="A49" s="46" t="str">
        <f t="shared" si="6"/>
        <v/>
      </c>
      <c r="B49" s="65" t="str">
        <f t="shared" si="7"/>
        <v/>
      </c>
      <c r="C49" s="47" t="str">
        <f t="shared" si="8"/>
        <v/>
      </c>
      <c r="D49" s="66" t="str">
        <f t="shared" si="9"/>
        <v/>
      </c>
      <c r="E49" s="56" t="str">
        <f t="shared" si="10"/>
        <v/>
      </c>
    </row>
    <row r="50" spans="1:5" x14ac:dyDescent="0.3">
      <c r="A50" s="46" t="str">
        <f t="shared" si="6"/>
        <v/>
      </c>
      <c r="B50" s="65" t="str">
        <f t="shared" si="7"/>
        <v/>
      </c>
      <c r="C50" s="47" t="str">
        <f t="shared" si="8"/>
        <v/>
      </c>
      <c r="D50" s="66" t="str">
        <f t="shared" si="9"/>
        <v/>
      </c>
      <c r="E50" s="56" t="str">
        <f t="shared" si="10"/>
        <v/>
      </c>
    </row>
    <row r="51" spans="1:5" x14ac:dyDescent="0.3">
      <c r="A51" s="46" t="str">
        <f t="shared" si="6"/>
        <v/>
      </c>
      <c r="B51" s="65" t="str">
        <f t="shared" si="7"/>
        <v/>
      </c>
      <c r="C51" s="47" t="str">
        <f t="shared" si="8"/>
        <v/>
      </c>
      <c r="D51" s="66" t="str">
        <f t="shared" si="9"/>
        <v/>
      </c>
      <c r="E51" s="56" t="str">
        <f t="shared" si="10"/>
        <v/>
      </c>
    </row>
    <row r="52" spans="1:5" x14ac:dyDescent="0.3">
      <c r="A52" s="46" t="str">
        <f t="shared" si="6"/>
        <v/>
      </c>
      <c r="B52" s="65" t="str">
        <f t="shared" si="7"/>
        <v/>
      </c>
      <c r="C52" s="47" t="str">
        <f t="shared" si="8"/>
        <v/>
      </c>
      <c r="D52" s="66" t="str">
        <f t="shared" si="9"/>
        <v/>
      </c>
      <c r="E52" s="56" t="str">
        <f t="shared" si="10"/>
        <v/>
      </c>
    </row>
    <row r="53" spans="1:5" x14ac:dyDescent="0.3">
      <c r="A53" s="46" t="str">
        <f t="shared" si="6"/>
        <v/>
      </c>
      <c r="B53" s="65" t="str">
        <f t="shared" si="7"/>
        <v/>
      </c>
      <c r="C53" s="47" t="str">
        <f t="shared" si="8"/>
        <v/>
      </c>
      <c r="D53" s="66" t="str">
        <f t="shared" si="9"/>
        <v/>
      </c>
      <c r="E53" s="56" t="str">
        <f t="shared" si="10"/>
        <v/>
      </c>
    </row>
    <row r="54" spans="1:5" x14ac:dyDescent="0.3">
      <c r="A54" s="46" t="str">
        <f t="shared" si="6"/>
        <v/>
      </c>
      <c r="B54" s="65" t="str">
        <f t="shared" si="7"/>
        <v/>
      </c>
      <c r="C54" s="47" t="str">
        <f t="shared" si="8"/>
        <v/>
      </c>
      <c r="D54" s="66" t="str">
        <f t="shared" si="9"/>
        <v/>
      </c>
      <c r="E54" s="56" t="str">
        <f t="shared" si="10"/>
        <v/>
      </c>
    </row>
    <row r="55" spans="1:5" x14ac:dyDescent="0.3">
      <c r="A55" s="46" t="str">
        <f t="shared" si="6"/>
        <v/>
      </c>
      <c r="B55" s="65" t="str">
        <f t="shared" si="7"/>
        <v/>
      </c>
      <c r="C55" s="47" t="str">
        <f t="shared" si="8"/>
        <v/>
      </c>
      <c r="D55" s="66" t="str">
        <f t="shared" si="9"/>
        <v/>
      </c>
      <c r="E55" s="56" t="str">
        <f t="shared" si="10"/>
        <v/>
      </c>
    </row>
    <row r="56" spans="1:5" x14ac:dyDescent="0.3">
      <c r="A56" s="46" t="str">
        <f t="shared" si="6"/>
        <v/>
      </c>
      <c r="B56" s="65" t="str">
        <f t="shared" si="7"/>
        <v/>
      </c>
      <c r="C56" s="47" t="str">
        <f t="shared" si="8"/>
        <v/>
      </c>
      <c r="D56" s="66" t="str">
        <f t="shared" si="9"/>
        <v/>
      </c>
      <c r="E56" s="56" t="str">
        <f t="shared" si="10"/>
        <v/>
      </c>
    </row>
    <row r="57" spans="1:5" x14ac:dyDescent="0.3">
      <c r="A57" s="46" t="str">
        <f t="shared" si="6"/>
        <v/>
      </c>
      <c r="B57" s="65" t="str">
        <f t="shared" si="7"/>
        <v/>
      </c>
      <c r="C57" s="47" t="str">
        <f t="shared" si="8"/>
        <v/>
      </c>
      <c r="D57" s="66" t="str">
        <f t="shared" si="9"/>
        <v/>
      </c>
      <c r="E57" s="56" t="str">
        <f t="shared" si="10"/>
        <v/>
      </c>
    </row>
    <row r="58" spans="1:5" x14ac:dyDescent="0.3">
      <c r="A58" s="46" t="str">
        <f t="shared" si="6"/>
        <v/>
      </c>
      <c r="B58" s="65" t="str">
        <f t="shared" si="7"/>
        <v/>
      </c>
      <c r="C58" s="47" t="str">
        <f t="shared" si="8"/>
        <v/>
      </c>
      <c r="D58" s="66" t="str">
        <f t="shared" si="9"/>
        <v/>
      </c>
      <c r="E58" s="56" t="str">
        <f t="shared" si="10"/>
        <v/>
      </c>
    </row>
    <row r="59" spans="1:5" x14ac:dyDescent="0.3">
      <c r="A59" s="46" t="str">
        <f t="shared" si="6"/>
        <v/>
      </c>
      <c r="B59" s="65" t="str">
        <f t="shared" si="7"/>
        <v/>
      </c>
      <c r="C59" s="47" t="str">
        <f t="shared" si="8"/>
        <v/>
      </c>
      <c r="D59" s="66" t="str">
        <f t="shared" si="9"/>
        <v/>
      </c>
      <c r="E59" s="56" t="str">
        <f t="shared" si="10"/>
        <v/>
      </c>
    </row>
    <row r="60" spans="1:5" x14ac:dyDescent="0.3">
      <c r="A60" s="46" t="str">
        <f t="shared" si="6"/>
        <v/>
      </c>
      <c r="B60" s="65" t="str">
        <f t="shared" si="7"/>
        <v/>
      </c>
      <c r="C60" s="47" t="str">
        <f t="shared" si="8"/>
        <v/>
      </c>
      <c r="D60" s="66" t="str">
        <f t="shared" si="9"/>
        <v/>
      </c>
      <c r="E60" s="56" t="str">
        <f t="shared" si="10"/>
        <v/>
      </c>
    </row>
    <row r="61" spans="1:5" x14ac:dyDescent="0.3">
      <c r="A61" s="46" t="str">
        <f t="shared" si="6"/>
        <v/>
      </c>
      <c r="B61" s="65" t="str">
        <f t="shared" si="7"/>
        <v/>
      </c>
      <c r="C61" s="47" t="str">
        <f t="shared" si="8"/>
        <v/>
      </c>
      <c r="D61" s="66" t="str">
        <f t="shared" si="9"/>
        <v/>
      </c>
      <c r="E61" s="56" t="str">
        <f t="shared" si="10"/>
        <v/>
      </c>
    </row>
    <row r="62" spans="1:5" x14ac:dyDescent="0.3">
      <c r="A62" s="46" t="str">
        <f t="shared" si="6"/>
        <v/>
      </c>
      <c r="B62" s="65" t="str">
        <f t="shared" si="7"/>
        <v/>
      </c>
      <c r="C62" s="47" t="str">
        <f t="shared" si="8"/>
        <v/>
      </c>
      <c r="D62" s="66" t="str">
        <f t="shared" si="9"/>
        <v/>
      </c>
      <c r="E62" s="56" t="str">
        <f t="shared" si="10"/>
        <v/>
      </c>
    </row>
    <row r="63" spans="1:5" x14ac:dyDescent="0.3">
      <c r="A63" s="46" t="str">
        <f t="shared" si="6"/>
        <v/>
      </c>
      <c r="B63" s="65" t="str">
        <f t="shared" si="7"/>
        <v/>
      </c>
      <c r="C63" s="47" t="str">
        <f t="shared" si="8"/>
        <v/>
      </c>
      <c r="D63" s="66" t="str">
        <f t="shared" si="9"/>
        <v/>
      </c>
      <c r="E63" s="56" t="str">
        <f t="shared" si="10"/>
        <v/>
      </c>
    </row>
    <row r="64" spans="1:5" x14ac:dyDescent="0.3">
      <c r="A64" s="46" t="str">
        <f t="shared" si="6"/>
        <v/>
      </c>
      <c r="B64" s="65" t="str">
        <f t="shared" si="7"/>
        <v/>
      </c>
      <c r="C64" s="47" t="str">
        <f t="shared" si="8"/>
        <v/>
      </c>
      <c r="D64" s="66" t="str">
        <f t="shared" si="9"/>
        <v/>
      </c>
      <c r="E64" s="56" t="str">
        <f t="shared" si="10"/>
        <v/>
      </c>
    </row>
    <row r="65" spans="1:5" x14ac:dyDescent="0.3">
      <c r="A65" s="46" t="str">
        <f t="shared" si="6"/>
        <v/>
      </c>
      <c r="B65" s="65" t="str">
        <f t="shared" si="7"/>
        <v/>
      </c>
      <c r="C65" s="47" t="str">
        <f t="shared" si="8"/>
        <v/>
      </c>
      <c r="D65" s="66" t="str">
        <f t="shared" si="9"/>
        <v/>
      </c>
      <c r="E65" s="56" t="str">
        <f t="shared" si="10"/>
        <v/>
      </c>
    </row>
    <row r="66" spans="1:5" x14ac:dyDescent="0.3">
      <c r="A66" s="46" t="str">
        <f t="shared" si="6"/>
        <v/>
      </c>
      <c r="B66" s="65" t="str">
        <f t="shared" si="7"/>
        <v/>
      </c>
      <c r="C66" s="47" t="str">
        <f t="shared" si="8"/>
        <v/>
      </c>
      <c r="D66" s="66" t="str">
        <f t="shared" si="9"/>
        <v/>
      </c>
      <c r="E66" s="56" t="str">
        <f t="shared" si="10"/>
        <v/>
      </c>
    </row>
    <row r="67" spans="1:5" x14ac:dyDescent="0.3">
      <c r="A67" s="46" t="str">
        <f t="shared" si="6"/>
        <v/>
      </c>
      <c r="B67" s="65" t="str">
        <f t="shared" si="7"/>
        <v/>
      </c>
      <c r="C67" s="47" t="str">
        <f t="shared" si="8"/>
        <v/>
      </c>
      <c r="D67" s="66" t="str">
        <f t="shared" si="9"/>
        <v/>
      </c>
      <c r="E67" s="56" t="str">
        <f t="shared" si="10"/>
        <v/>
      </c>
    </row>
    <row r="68" spans="1:5" x14ac:dyDescent="0.3">
      <c r="A68" s="46" t="str">
        <f t="shared" si="6"/>
        <v/>
      </c>
      <c r="B68" s="65" t="str">
        <f t="shared" si="7"/>
        <v/>
      </c>
      <c r="C68" s="47" t="str">
        <f t="shared" si="8"/>
        <v/>
      </c>
      <c r="D68" s="66" t="str">
        <f t="shared" si="9"/>
        <v/>
      </c>
      <c r="E68" s="56" t="str">
        <f t="shared" si="10"/>
        <v/>
      </c>
    </row>
    <row r="69" spans="1:5" x14ac:dyDescent="0.3">
      <c r="A69" s="46" t="str">
        <f t="shared" si="6"/>
        <v/>
      </c>
      <c r="B69" s="65" t="str">
        <f t="shared" si="7"/>
        <v/>
      </c>
      <c r="C69" s="47" t="str">
        <f t="shared" si="8"/>
        <v/>
      </c>
      <c r="D69" s="66" t="str">
        <f t="shared" si="9"/>
        <v/>
      </c>
      <c r="E69" s="56" t="str">
        <f t="shared" si="10"/>
        <v/>
      </c>
    </row>
    <row r="70" spans="1:5" x14ac:dyDescent="0.3">
      <c r="A70" s="46" t="str">
        <f t="shared" ref="A70:A81" si="11">IF(AND(B69&lt;D$3,B69&lt;&gt;0),A69+1,"")</f>
        <v/>
      </c>
      <c r="B70" s="65" t="str">
        <f t="shared" ref="B70:B81" si="12">IF(AND(B69&lt;D$3,B69&lt;&gt;0),DATE(IF(MONTH(B69)&gt;(12-12/D$5),YEAR(B69)+1,YEAR(B69)),IF(MONTH(B69)&gt;(12-12/D$5),MONTH(B69)-(12-12/D$5),MONTH(B69)+12/D$5),DAY(B69)),"")</f>
        <v/>
      </c>
      <c r="C70" s="47" t="str">
        <f t="shared" ref="C70:C81" si="13">IF(ISNUMBER(B70),ROUND(IF(B71="",(D$4*C$9/D$5+C$9*D$6)/C$10,D$4*C$9/D$5/C$10),2),"")</f>
        <v/>
      </c>
      <c r="D70" s="66" t="str">
        <f t="shared" ref="D70:D81" si="14">IF(ISNUMBER(B70),ROUND(IF(B71="",D$4/D$5*SUMIF(C$11:E$11,"&lt;"&amp;B70,C$9:E$9)/C$10+SUMIF(C$11:E$11,"&lt;"&amp;B70,C$9:E$9)*D$6/C$10,D$4/D$5*SUMIF(C$11:E$11,"&lt;"&amp;B70,C$9:E$9)/C$10),2),"")</f>
        <v/>
      </c>
      <c r="E70" s="56" t="str">
        <f t="shared" ref="E70:E81" si="15">IFERROR(D70-C70,"")</f>
        <v/>
      </c>
    </row>
    <row r="71" spans="1:5" x14ac:dyDescent="0.3">
      <c r="A71" s="46" t="str">
        <f t="shared" si="11"/>
        <v/>
      </c>
      <c r="B71" s="65" t="str">
        <f t="shared" si="12"/>
        <v/>
      </c>
      <c r="C71" s="47" t="str">
        <f t="shared" si="13"/>
        <v/>
      </c>
      <c r="D71" s="66" t="str">
        <f t="shared" si="14"/>
        <v/>
      </c>
      <c r="E71" s="56" t="str">
        <f t="shared" si="15"/>
        <v/>
      </c>
    </row>
    <row r="72" spans="1:5" x14ac:dyDescent="0.3">
      <c r="A72" s="46" t="str">
        <f t="shared" si="11"/>
        <v/>
      </c>
      <c r="B72" s="65" t="str">
        <f t="shared" si="12"/>
        <v/>
      </c>
      <c r="C72" s="47" t="str">
        <f t="shared" si="13"/>
        <v/>
      </c>
      <c r="D72" s="66" t="str">
        <f t="shared" si="14"/>
        <v/>
      </c>
      <c r="E72" s="56" t="str">
        <f t="shared" si="15"/>
        <v/>
      </c>
    </row>
    <row r="73" spans="1:5" x14ac:dyDescent="0.3">
      <c r="A73" s="46" t="str">
        <f t="shared" si="11"/>
        <v/>
      </c>
      <c r="B73" s="65" t="str">
        <f t="shared" si="12"/>
        <v/>
      </c>
      <c r="C73" s="47" t="str">
        <f t="shared" si="13"/>
        <v/>
      </c>
      <c r="D73" s="66" t="str">
        <f t="shared" si="14"/>
        <v/>
      </c>
      <c r="E73" s="56" t="str">
        <f t="shared" si="15"/>
        <v/>
      </c>
    </row>
    <row r="74" spans="1:5" x14ac:dyDescent="0.3">
      <c r="A74" s="46" t="str">
        <f t="shared" si="11"/>
        <v/>
      </c>
      <c r="B74" s="65" t="str">
        <f t="shared" si="12"/>
        <v/>
      </c>
      <c r="C74" s="47" t="str">
        <f t="shared" si="13"/>
        <v/>
      </c>
      <c r="D74" s="66" t="str">
        <f t="shared" si="14"/>
        <v/>
      </c>
      <c r="E74" s="56" t="str">
        <f t="shared" si="15"/>
        <v/>
      </c>
    </row>
    <row r="75" spans="1:5" x14ac:dyDescent="0.3">
      <c r="A75" s="46" t="str">
        <f t="shared" si="11"/>
        <v/>
      </c>
      <c r="B75" s="65" t="str">
        <f t="shared" si="12"/>
        <v/>
      </c>
      <c r="C75" s="47" t="str">
        <f t="shared" si="13"/>
        <v/>
      </c>
      <c r="D75" s="66" t="str">
        <f t="shared" si="14"/>
        <v/>
      </c>
      <c r="E75" s="56" t="str">
        <f t="shared" si="15"/>
        <v/>
      </c>
    </row>
    <row r="76" spans="1:5" x14ac:dyDescent="0.3">
      <c r="A76" s="46" t="str">
        <f t="shared" si="11"/>
        <v/>
      </c>
      <c r="B76" s="65" t="str">
        <f t="shared" si="12"/>
        <v/>
      </c>
      <c r="C76" s="47" t="str">
        <f t="shared" si="13"/>
        <v/>
      </c>
      <c r="D76" s="66" t="str">
        <f t="shared" si="14"/>
        <v/>
      </c>
      <c r="E76" s="56" t="str">
        <f t="shared" si="15"/>
        <v/>
      </c>
    </row>
    <row r="77" spans="1:5" x14ac:dyDescent="0.3">
      <c r="A77" s="46" t="str">
        <f t="shared" si="11"/>
        <v/>
      </c>
      <c r="B77" s="65" t="str">
        <f t="shared" si="12"/>
        <v/>
      </c>
      <c r="C77" s="47" t="str">
        <f t="shared" si="13"/>
        <v/>
      </c>
      <c r="D77" s="66" t="str">
        <f t="shared" si="14"/>
        <v/>
      </c>
      <c r="E77" s="56" t="str">
        <f t="shared" si="15"/>
        <v/>
      </c>
    </row>
    <row r="78" spans="1:5" x14ac:dyDescent="0.3">
      <c r="A78" s="46" t="str">
        <f t="shared" si="11"/>
        <v/>
      </c>
      <c r="B78" s="65" t="str">
        <f t="shared" si="12"/>
        <v/>
      </c>
      <c r="C78" s="47" t="str">
        <f t="shared" si="13"/>
        <v/>
      </c>
      <c r="D78" s="66" t="str">
        <f t="shared" si="14"/>
        <v/>
      </c>
      <c r="E78" s="56" t="str">
        <f t="shared" si="15"/>
        <v/>
      </c>
    </row>
    <row r="79" spans="1:5" x14ac:dyDescent="0.3">
      <c r="A79" s="46" t="str">
        <f t="shared" si="11"/>
        <v/>
      </c>
      <c r="B79" s="65" t="str">
        <f t="shared" si="12"/>
        <v/>
      </c>
      <c r="C79" s="47" t="str">
        <f t="shared" si="13"/>
        <v/>
      </c>
      <c r="D79" s="66" t="str">
        <f t="shared" si="14"/>
        <v/>
      </c>
      <c r="E79" s="56" t="str">
        <f t="shared" si="15"/>
        <v/>
      </c>
    </row>
    <row r="80" spans="1:5" x14ac:dyDescent="0.3">
      <c r="A80" s="46" t="str">
        <f t="shared" si="11"/>
        <v/>
      </c>
      <c r="B80" s="65" t="str">
        <f t="shared" si="12"/>
        <v/>
      </c>
      <c r="C80" s="47" t="str">
        <f t="shared" si="13"/>
        <v/>
      </c>
      <c r="D80" s="66" t="str">
        <f t="shared" si="14"/>
        <v/>
      </c>
      <c r="E80" s="56" t="str">
        <f t="shared" si="15"/>
        <v/>
      </c>
    </row>
    <row r="81" spans="1:5" x14ac:dyDescent="0.3">
      <c r="A81" s="46" t="str">
        <f t="shared" si="11"/>
        <v/>
      </c>
      <c r="B81" s="65" t="str">
        <f t="shared" si="12"/>
        <v/>
      </c>
      <c r="C81" s="47" t="str">
        <f t="shared" si="13"/>
        <v/>
      </c>
      <c r="D81" s="66" t="str">
        <f t="shared" si="14"/>
        <v/>
      </c>
      <c r="E81" s="56" t="str">
        <f t="shared" si="15"/>
        <v/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="70" zoomScaleNormal="70" workbookViewId="0">
      <selection activeCell="D25" sqref="D25"/>
    </sheetView>
  </sheetViews>
  <sheetFormatPr baseColWidth="10" defaultRowHeight="14.4" x14ac:dyDescent="0.3"/>
  <cols>
    <col min="1" max="1" width="11.5546875" style="19"/>
    <col min="3" max="3" width="13.6640625" customWidth="1"/>
    <col min="4" max="4" width="21.5546875" customWidth="1"/>
    <col min="5" max="5" width="11.6640625" bestFit="1" customWidth="1"/>
    <col min="6" max="6" width="13.109375" bestFit="1" customWidth="1"/>
  </cols>
  <sheetData>
    <row r="1" spans="2:8" ht="17.399999999999999" x14ac:dyDescent="0.3">
      <c r="B1" s="14">
        <v>451038</v>
      </c>
      <c r="C1" t="s">
        <v>10</v>
      </c>
      <c r="D1" s="5">
        <v>43296</v>
      </c>
      <c r="E1" s="5">
        <v>43296</v>
      </c>
    </row>
    <row r="2" spans="2:8" x14ac:dyDescent="0.3">
      <c r="C2" t="s">
        <v>11</v>
      </c>
      <c r="D2" s="5">
        <v>47498</v>
      </c>
      <c r="H2" s="1"/>
    </row>
    <row r="3" spans="2:8" x14ac:dyDescent="0.3">
      <c r="C3" t="s">
        <v>12</v>
      </c>
      <c r="D3" s="6">
        <v>0.11874999999999999</v>
      </c>
    </row>
    <row r="4" spans="2:8" x14ac:dyDescent="0.3">
      <c r="C4" t="s">
        <v>14</v>
      </c>
      <c r="D4">
        <v>2</v>
      </c>
      <c r="G4" s="1"/>
    </row>
    <row r="5" spans="2:8" x14ac:dyDescent="0.3">
      <c r="G5" s="1"/>
    </row>
    <row r="6" spans="2:8" x14ac:dyDescent="0.3">
      <c r="B6" t="s">
        <v>18</v>
      </c>
      <c r="C6" s="7">
        <v>3000</v>
      </c>
      <c r="E6" s="7">
        <v>0</v>
      </c>
      <c r="F6">
        <f>SUM(C6:E6)</f>
        <v>3000</v>
      </c>
    </row>
    <row r="7" spans="2:8" x14ac:dyDescent="0.3">
      <c r="B7" t="s">
        <v>19</v>
      </c>
      <c r="C7" s="7">
        <v>1.1848000000000001</v>
      </c>
      <c r="E7" s="7">
        <v>1.1848000000000001</v>
      </c>
      <c r="F7" s="7">
        <v>1.1399999999999999</v>
      </c>
    </row>
    <row r="8" spans="2:8" x14ac:dyDescent="0.3">
      <c r="C8" s="2">
        <v>43235</v>
      </c>
      <c r="E8" s="2">
        <v>43235</v>
      </c>
    </row>
    <row r="9" spans="2:8" x14ac:dyDescent="0.3">
      <c r="C9" s="4">
        <v>1.3474999999999999</v>
      </c>
      <c r="E9" s="12">
        <v>1.28</v>
      </c>
    </row>
    <row r="11" spans="2:8" x14ac:dyDescent="0.3">
      <c r="C11" s="13">
        <f>ROUND(C6*C9/C7,2)</f>
        <v>3411.97</v>
      </c>
      <c r="E11" s="13">
        <f>ROUND(E6*E9/E7,2)</f>
        <v>0</v>
      </c>
      <c r="F11" s="13">
        <f>C11+IF(E$6&gt;0,E11,)</f>
        <v>3411.97</v>
      </c>
    </row>
    <row r="12" spans="2:8" x14ac:dyDescent="0.3">
      <c r="B12" s="13" t="s">
        <v>0</v>
      </c>
      <c r="C12" s="13">
        <f>IFERROR(ROUND(ACCRINT(D1-365/D4,D1,C8+2,D3,C6,1,1)/C7,2),0)</f>
        <v>102.15</v>
      </c>
      <c r="D12" s="15"/>
      <c r="E12" s="13">
        <f>IFERROR(ROUND(ACCRINT(E1-365/D4,E1,E8+2,D3,E6,1,1)/E7,2),0)</f>
        <v>0</v>
      </c>
    </row>
    <row r="13" spans="2:8" x14ac:dyDescent="0.3">
      <c r="B13" s="13" t="s">
        <v>1</v>
      </c>
      <c r="C13" s="13">
        <f>MAX(9.95,4.95+ROUND(C6*C9/C7*0.25%,2))</f>
        <v>13.48</v>
      </c>
      <c r="D13" s="3"/>
      <c r="E13" s="13">
        <f>MAX(9.95,4.95+ROUND(E6*E9*0.25%,2))</f>
        <v>9.9499999999999993</v>
      </c>
      <c r="F13" s="13">
        <f>C13+IF(E$6&gt;0,E13,)</f>
        <v>13.48</v>
      </c>
    </row>
    <row r="14" spans="2:8" x14ac:dyDescent="0.3">
      <c r="B14" s="13" t="s">
        <v>2</v>
      </c>
      <c r="C14" s="13">
        <f>2.5+1.51</f>
        <v>4.01</v>
      </c>
      <c r="E14" s="13">
        <f>IF(ISNUMBER(E6),10,0)</f>
        <v>10</v>
      </c>
      <c r="F14" s="13">
        <f>C14+IF(E$6&gt;0,E14,)</f>
        <v>4.01</v>
      </c>
    </row>
    <row r="15" spans="2:8" x14ac:dyDescent="0.3">
      <c r="B15" s="13"/>
      <c r="C15" s="13"/>
      <c r="E15" s="13"/>
    </row>
    <row r="16" spans="2:8" x14ac:dyDescent="0.3">
      <c r="B16" t="s">
        <v>3</v>
      </c>
      <c r="C16">
        <f>MAX(A:A)</f>
        <v>20</v>
      </c>
      <c r="E16">
        <f>COUNTIF(E24:E45,"&gt;0")</f>
        <v>0</v>
      </c>
      <c r="F16">
        <f>MAX(A:A)</f>
        <v>20</v>
      </c>
    </row>
    <row r="17" spans="1:6" x14ac:dyDescent="0.3">
      <c r="B17" t="s">
        <v>5</v>
      </c>
      <c r="C17">
        <f>ROUND(C16*D$3*C$6/D$4/C7,2)</f>
        <v>3006.84</v>
      </c>
      <c r="E17">
        <f>ROUND(E16*D$3*E$6/D$4/E7,2)</f>
        <v>0</v>
      </c>
    </row>
    <row r="18" spans="1:6" s="18" customFormat="1" ht="23.4" x14ac:dyDescent="0.45">
      <c r="A18" s="20"/>
      <c r="B18" s="18" t="s">
        <v>4</v>
      </c>
      <c r="C18" s="22">
        <f ca="1">IFERROR(
XIRR(
OFFSET(C24,,,C16+COUNT(C$6:E$6),),
OFFSET(B24,,,C16+COUNT(C$6:E$6),)),
0)</f>
        <v>6.9064459204673787E-2</v>
      </c>
      <c r="D18"/>
      <c r="E18" s="22">
        <f ca="1">IFERROR(
XIRR(
OFFSET(E25,,,C16+1,),
OFFSET(B25,,,C16+1,)),
0)</f>
        <v>0</v>
      </c>
      <c r="F18" s="17">
        <f ca="1">IFERROR(
XIRR(
OFFSET(D24,,,F16+COUNT(C6:E6),),
OFFSET(B24,,,F16+COUNT(C6:E6),)),
0)</f>
        <v>6.9064459204673787E-2</v>
      </c>
    </row>
    <row r="19" spans="1:6" x14ac:dyDescent="0.3">
      <c r="B19" t="s">
        <v>20</v>
      </c>
      <c r="C19" s="3">
        <f>(C11+C13+C14)*C7/C6</f>
        <v>1.3544080693333334</v>
      </c>
      <c r="E19" s="3">
        <f>IFERROR((E11+E13+E14)*E7/E6,0)</f>
        <v>0</v>
      </c>
      <c r="F19" s="3">
        <f>(C19*C6+E19*E6)/F6</f>
        <v>1.3544080693333334</v>
      </c>
    </row>
    <row r="20" spans="1:6" x14ac:dyDescent="0.3">
      <c r="B20" t="s">
        <v>6</v>
      </c>
      <c r="C20" s="8">
        <f>(D2-C8)/365</f>
        <v>11.67945205479452</v>
      </c>
      <c r="D20" s="8"/>
      <c r="E20" s="8">
        <f>(D2-E8)/365</f>
        <v>11.67945205479452</v>
      </c>
      <c r="F20" s="8">
        <f ca="1">(D2-TODAY())/365</f>
        <v>10.372602739726027</v>
      </c>
    </row>
    <row r="21" spans="1:6" x14ac:dyDescent="0.3">
      <c r="B21" t="s">
        <v>13</v>
      </c>
      <c r="C21" s="15">
        <f>SUM(C24:C48)</f>
        <v>2007.2600000000007</v>
      </c>
      <c r="E21" s="15">
        <f>SUM(E24:E41)</f>
        <v>0</v>
      </c>
    </row>
    <row r="22" spans="1:6" x14ac:dyDescent="0.3">
      <c r="B22" s="13"/>
      <c r="C22" s="13"/>
      <c r="E22" s="13"/>
    </row>
    <row r="24" spans="1:6" x14ac:dyDescent="0.3">
      <c r="B24" s="1">
        <f>C8</f>
        <v>43235</v>
      </c>
      <c r="C24" s="15">
        <f>-SUM(C11:C14)</f>
        <v>-3531.61</v>
      </c>
      <c r="D24" s="13">
        <f>IF(C6&gt;0,-SUM(C11:C14),0)</f>
        <v>-3531.61</v>
      </c>
      <c r="E24" s="15">
        <f t="shared" ref="E24:E45" si="0">IFERROR(D24-C24,"")</f>
        <v>0</v>
      </c>
    </row>
    <row r="25" spans="1:6" x14ac:dyDescent="0.3">
      <c r="B25" s="1">
        <f>E8</f>
        <v>43235</v>
      </c>
      <c r="D25" s="13">
        <f>IF(E6&gt;0,-SUM(E11:E14),0)</f>
        <v>0</v>
      </c>
      <c r="E25" s="15">
        <f t="shared" si="0"/>
        <v>0</v>
      </c>
    </row>
    <row r="26" spans="1:6" x14ac:dyDescent="0.3">
      <c r="A26" s="19">
        <v>1</v>
      </c>
      <c r="B26" s="1">
        <f>D1</f>
        <v>43296</v>
      </c>
      <c r="C26">
        <f>IF(ISNUMBER(B26),ROUND(IF(B27="",(D$3*C$6/D$4+C$6)/C$7,D$3*C$6/D$4/C$7),2),"")</f>
        <v>150.34</v>
      </c>
      <c r="D26" s="16">
        <f>IF(ISNUMBER(B26),ROUND(IF(B27="",D$3/D$4*SUMIF(C$8:E$8,"&lt;"&amp;B26,C$6:E$6)/C$7+SUMIF(C$8:E$8,"&lt;"&amp;B26,C$6:E$6)/C$7,D$3/D$4*SUMIF(C$8:E$8,"&lt;"&amp;B26,C$6:E$6)/C$7),2),"")</f>
        <v>150.34</v>
      </c>
      <c r="E26" s="15">
        <f t="shared" si="0"/>
        <v>0</v>
      </c>
    </row>
    <row r="27" spans="1:6" x14ac:dyDescent="0.3">
      <c r="A27" s="19">
        <f>IF(AND(B26&lt;D$2,B26&lt;&gt;0),A26+1,"")</f>
        <v>2</v>
      </c>
      <c r="B27" s="1">
        <f>IF(AND(B26&lt;D$2,B26&lt;&gt;0),DATE(IF(MONTH(B26)&gt;(12-12/D$4),YEAR(B26)+1,YEAR(B26)),IF(MONTH(B26)&gt;(12-12/D$4),MONTH(B26)-(12-12/D$4),MONTH(B26)+12/D$4),DAY(B26)),"")</f>
        <v>43480</v>
      </c>
      <c r="C27">
        <f t="shared" ref="C27:C45" si="1">IF(ISNUMBER(B27),ROUND(IF(B28="",(D$3*C$6/D$4+C$6)/C$7,D$3*C$6/D$4/C$7),2),"")</f>
        <v>150.34</v>
      </c>
      <c r="D27" s="16">
        <f t="shared" ref="D27:D37" si="2">IF(ISNUMBER(B27),ROUND(IF(B28="",D$3/D$4*SUMIF(C$8:E$8,"&lt;"&amp;B27,C$6:E$6)/C$7+SUMIF(C$8:E$8,"&lt;"&amp;B27,C$6:E$6)/C$7,D$3/D$4*SUMIF(C$8:E$8,"&lt;"&amp;B27,C$6:E$6)/C$7),2),"")</f>
        <v>150.34</v>
      </c>
      <c r="E27" s="15">
        <f t="shared" si="0"/>
        <v>0</v>
      </c>
    </row>
    <row r="28" spans="1:6" x14ac:dyDescent="0.3">
      <c r="A28" s="19">
        <f t="shared" ref="A28:A37" si="3">IF(AND(B27&lt;D$2,B27&lt;&gt;0),A27+1,"")</f>
        <v>3</v>
      </c>
      <c r="B28" s="1">
        <f t="shared" ref="B28:B37" si="4">IF(AND(B27&lt;D$2,B27&lt;&gt;0),DATE(IF(MONTH(B27)&gt;(12-12/D$4),YEAR(B27)+1,YEAR(B27)),IF(MONTH(B27)&gt;(12-12/D$4),MONTH(B27)-(12-12/D$4),MONTH(B27)+12/D$4),DAY(B27)),"")</f>
        <v>43661</v>
      </c>
      <c r="C28">
        <f t="shared" si="1"/>
        <v>150.34</v>
      </c>
      <c r="D28" s="16">
        <f t="shared" si="2"/>
        <v>150.34</v>
      </c>
      <c r="E28" s="15">
        <f t="shared" si="0"/>
        <v>0</v>
      </c>
    </row>
    <row r="29" spans="1:6" x14ac:dyDescent="0.3">
      <c r="A29" s="19">
        <f t="shared" si="3"/>
        <v>4</v>
      </c>
      <c r="B29" s="1">
        <f t="shared" si="4"/>
        <v>43845</v>
      </c>
      <c r="C29">
        <f t="shared" si="1"/>
        <v>150.34</v>
      </c>
      <c r="D29" s="16">
        <f t="shared" si="2"/>
        <v>150.34</v>
      </c>
      <c r="E29" s="15">
        <f t="shared" si="0"/>
        <v>0</v>
      </c>
    </row>
    <row r="30" spans="1:6" x14ac:dyDescent="0.3">
      <c r="A30" s="19">
        <f t="shared" si="3"/>
        <v>5</v>
      </c>
      <c r="B30" s="1">
        <f t="shared" si="4"/>
        <v>44027</v>
      </c>
      <c r="C30">
        <f t="shared" si="1"/>
        <v>150.34</v>
      </c>
      <c r="D30" s="16">
        <f t="shared" si="2"/>
        <v>150.34</v>
      </c>
      <c r="E30" s="15">
        <f t="shared" si="0"/>
        <v>0</v>
      </c>
    </row>
    <row r="31" spans="1:6" x14ac:dyDescent="0.3">
      <c r="A31" s="19">
        <f t="shared" si="3"/>
        <v>6</v>
      </c>
      <c r="B31" s="1">
        <f t="shared" si="4"/>
        <v>44211</v>
      </c>
      <c r="C31">
        <f t="shared" si="1"/>
        <v>150.34</v>
      </c>
      <c r="D31" s="16">
        <f t="shared" si="2"/>
        <v>150.34</v>
      </c>
      <c r="E31" s="15">
        <f t="shared" si="0"/>
        <v>0</v>
      </c>
    </row>
    <row r="32" spans="1:6" x14ac:dyDescent="0.3">
      <c r="A32" s="19">
        <f t="shared" si="3"/>
        <v>7</v>
      </c>
      <c r="B32" s="1">
        <f t="shared" si="4"/>
        <v>44392</v>
      </c>
      <c r="C32">
        <f t="shared" si="1"/>
        <v>150.34</v>
      </c>
      <c r="D32" s="16">
        <f t="shared" si="2"/>
        <v>150.34</v>
      </c>
      <c r="E32" s="15">
        <f t="shared" si="0"/>
        <v>0</v>
      </c>
    </row>
    <row r="33" spans="1:5" x14ac:dyDescent="0.3">
      <c r="A33" s="19">
        <f t="shared" si="3"/>
        <v>8</v>
      </c>
      <c r="B33" s="1">
        <f t="shared" si="4"/>
        <v>44576</v>
      </c>
      <c r="C33">
        <f t="shared" si="1"/>
        <v>150.34</v>
      </c>
      <c r="D33" s="16">
        <f t="shared" si="2"/>
        <v>150.34</v>
      </c>
      <c r="E33" s="15">
        <f t="shared" si="0"/>
        <v>0</v>
      </c>
    </row>
    <row r="34" spans="1:5" x14ac:dyDescent="0.3">
      <c r="A34" s="19">
        <f t="shared" si="3"/>
        <v>9</v>
      </c>
      <c r="B34" s="1">
        <f t="shared" si="4"/>
        <v>44757</v>
      </c>
      <c r="C34">
        <f t="shared" si="1"/>
        <v>150.34</v>
      </c>
      <c r="D34" s="16">
        <f t="shared" si="2"/>
        <v>150.34</v>
      </c>
      <c r="E34" s="15">
        <f t="shared" si="0"/>
        <v>0</v>
      </c>
    </row>
    <row r="35" spans="1:5" x14ac:dyDescent="0.3">
      <c r="A35" s="19">
        <f t="shared" si="3"/>
        <v>10</v>
      </c>
      <c r="B35" s="1">
        <f t="shared" si="4"/>
        <v>44941</v>
      </c>
      <c r="C35">
        <f t="shared" si="1"/>
        <v>150.34</v>
      </c>
      <c r="D35" s="16">
        <f t="shared" si="2"/>
        <v>150.34</v>
      </c>
      <c r="E35" s="15">
        <f t="shared" si="0"/>
        <v>0</v>
      </c>
    </row>
    <row r="36" spans="1:5" x14ac:dyDescent="0.3">
      <c r="A36" s="19">
        <f t="shared" si="3"/>
        <v>11</v>
      </c>
      <c r="B36" s="1">
        <f t="shared" si="4"/>
        <v>45122</v>
      </c>
      <c r="C36">
        <f t="shared" si="1"/>
        <v>150.34</v>
      </c>
      <c r="D36" s="16">
        <f t="shared" si="2"/>
        <v>150.34</v>
      </c>
      <c r="E36" s="15">
        <f t="shared" si="0"/>
        <v>0</v>
      </c>
    </row>
    <row r="37" spans="1:5" x14ac:dyDescent="0.3">
      <c r="A37" s="19">
        <f t="shared" si="3"/>
        <v>12</v>
      </c>
      <c r="B37" s="1">
        <f t="shared" si="4"/>
        <v>45306</v>
      </c>
      <c r="C37">
        <f t="shared" si="1"/>
        <v>150.34</v>
      </c>
      <c r="D37" s="16">
        <f t="shared" si="2"/>
        <v>150.34</v>
      </c>
      <c r="E37" s="15">
        <f t="shared" si="0"/>
        <v>0</v>
      </c>
    </row>
    <row r="38" spans="1:5" x14ac:dyDescent="0.3">
      <c r="A38" s="19">
        <f t="shared" ref="A38:A45" si="5">IF(AND(B37&lt;D$2,B37&lt;&gt;0),A37+1,"")</f>
        <v>13</v>
      </c>
      <c r="B38" s="1">
        <f t="shared" ref="B38:B45" si="6">IF(AND(B37&lt;D$2,B37&lt;&gt;0),DATE(IF(MONTH(B37)&gt;(12-12/D$4),YEAR(B37)+1,YEAR(B37)),IF(MONTH(B37)&gt;(12-12/D$4),MONTH(B37)-(12-12/D$4),MONTH(B37)+12/D$4),DAY(B37)),"")</f>
        <v>45488</v>
      </c>
      <c r="C38">
        <f t="shared" si="1"/>
        <v>150.34</v>
      </c>
      <c r="D38" s="16">
        <f t="shared" ref="D38:D45" si="7">IF(ISNUMBER(B38),ROUND(IF(B39="",D$3/D$4*SUMIF(C$8:E$8,"&lt;"&amp;B38,C$6:E$6)/C$7+SUMIF(C$8:E$8,"&lt;"&amp;B38,C$6:E$6)/C$7,D$3/D$4*SUMIF(C$8:E$8,"&lt;"&amp;B38,C$6:E$6)/C$7),2),"")</f>
        <v>150.34</v>
      </c>
      <c r="E38" s="15">
        <f t="shared" si="0"/>
        <v>0</v>
      </c>
    </row>
    <row r="39" spans="1:5" x14ac:dyDescent="0.3">
      <c r="A39" s="19">
        <f t="shared" si="5"/>
        <v>14</v>
      </c>
      <c r="B39" s="1">
        <f t="shared" si="6"/>
        <v>45672</v>
      </c>
      <c r="C39">
        <f t="shared" si="1"/>
        <v>150.34</v>
      </c>
      <c r="D39" s="16">
        <f t="shared" si="7"/>
        <v>150.34</v>
      </c>
      <c r="E39" s="15">
        <f t="shared" si="0"/>
        <v>0</v>
      </c>
    </row>
    <row r="40" spans="1:5" x14ac:dyDescent="0.3">
      <c r="A40" s="19">
        <f t="shared" si="5"/>
        <v>15</v>
      </c>
      <c r="B40" s="1">
        <f t="shared" si="6"/>
        <v>45853</v>
      </c>
      <c r="C40">
        <f t="shared" si="1"/>
        <v>150.34</v>
      </c>
      <c r="D40" s="16">
        <f t="shared" si="7"/>
        <v>150.34</v>
      </c>
      <c r="E40" s="15">
        <f t="shared" si="0"/>
        <v>0</v>
      </c>
    </row>
    <row r="41" spans="1:5" x14ac:dyDescent="0.3">
      <c r="A41" s="19">
        <f t="shared" si="5"/>
        <v>16</v>
      </c>
      <c r="B41" s="1">
        <f t="shared" si="6"/>
        <v>46037</v>
      </c>
      <c r="C41">
        <f t="shared" si="1"/>
        <v>150.34</v>
      </c>
      <c r="D41" s="16">
        <f t="shared" si="7"/>
        <v>150.34</v>
      </c>
      <c r="E41" s="15">
        <f t="shared" si="0"/>
        <v>0</v>
      </c>
    </row>
    <row r="42" spans="1:5" x14ac:dyDescent="0.3">
      <c r="A42" s="19">
        <f t="shared" si="5"/>
        <v>17</v>
      </c>
      <c r="B42" s="1">
        <f t="shared" si="6"/>
        <v>46218</v>
      </c>
      <c r="C42">
        <f t="shared" si="1"/>
        <v>150.34</v>
      </c>
      <c r="D42" s="16">
        <f t="shared" si="7"/>
        <v>150.34</v>
      </c>
      <c r="E42" s="15">
        <f t="shared" si="0"/>
        <v>0</v>
      </c>
    </row>
    <row r="43" spans="1:5" x14ac:dyDescent="0.3">
      <c r="A43" s="19">
        <f t="shared" si="5"/>
        <v>18</v>
      </c>
      <c r="B43" s="1">
        <f t="shared" si="6"/>
        <v>46402</v>
      </c>
      <c r="C43">
        <f t="shared" si="1"/>
        <v>150.34</v>
      </c>
      <c r="D43" s="16">
        <f t="shared" si="7"/>
        <v>150.34</v>
      </c>
      <c r="E43" s="15">
        <f t="shared" si="0"/>
        <v>0</v>
      </c>
    </row>
    <row r="44" spans="1:5" x14ac:dyDescent="0.3">
      <c r="A44" s="19">
        <f t="shared" si="5"/>
        <v>19</v>
      </c>
      <c r="B44" s="1">
        <f t="shared" si="6"/>
        <v>46583</v>
      </c>
      <c r="C44">
        <f t="shared" si="1"/>
        <v>150.34</v>
      </c>
      <c r="D44" s="16">
        <f t="shared" si="7"/>
        <v>150.34</v>
      </c>
      <c r="E44" s="15">
        <f t="shared" si="0"/>
        <v>0</v>
      </c>
    </row>
    <row r="45" spans="1:5" x14ac:dyDescent="0.3">
      <c r="A45" s="19">
        <f t="shared" si="5"/>
        <v>20</v>
      </c>
      <c r="B45" s="1">
        <f t="shared" si="6"/>
        <v>46767</v>
      </c>
      <c r="C45">
        <f t="shared" si="1"/>
        <v>2682.41</v>
      </c>
      <c r="D45" s="16">
        <f t="shared" si="7"/>
        <v>2682.41</v>
      </c>
      <c r="E45" s="15">
        <f t="shared" si="0"/>
        <v>0</v>
      </c>
    </row>
    <row r="57" spans="3:3" x14ac:dyDescent="0.3">
      <c r="C57" t="s">
        <v>22</v>
      </c>
    </row>
    <row r="58" spans="3:3" x14ac:dyDescent="0.3">
      <c r="C58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92"/>
  <sheetViews>
    <sheetView topLeftCell="A3" zoomScale="70" zoomScaleNormal="70" workbookViewId="0">
      <selection activeCell="Z15" sqref="A7:Z15"/>
    </sheetView>
  </sheetViews>
  <sheetFormatPr baseColWidth="10" defaultRowHeight="14.4" x14ac:dyDescent="0.3"/>
  <cols>
    <col min="2" max="2" width="15.21875" style="1" customWidth="1"/>
    <col min="3" max="3" width="13.109375" customWidth="1"/>
    <col min="4" max="4" width="16.33203125" customWidth="1"/>
    <col min="6" max="6" width="12.77734375" customWidth="1"/>
    <col min="7" max="7" width="10.88671875" customWidth="1"/>
    <col min="8" max="8" width="13.88671875" customWidth="1"/>
    <col min="9" max="9" width="15.77734375" hidden="1" customWidth="1"/>
    <col min="10" max="10" width="8.6640625" customWidth="1"/>
    <col min="11" max="11" width="8.88671875" hidden="1" customWidth="1"/>
    <col min="12" max="12" width="4.109375" hidden="1" customWidth="1"/>
  </cols>
  <sheetData>
    <row r="6" spans="1:15" s="30" customFormat="1" ht="63" customHeight="1" x14ac:dyDescent="0.35">
      <c r="A6" s="30">
        <v>1</v>
      </c>
      <c r="B6" s="31" t="s">
        <v>32</v>
      </c>
      <c r="C6" s="32" t="s">
        <v>33</v>
      </c>
      <c r="D6" s="32" t="s">
        <v>52</v>
      </c>
      <c r="E6" s="32" t="s">
        <v>35</v>
      </c>
      <c r="F6" s="33" t="s">
        <v>34</v>
      </c>
      <c r="G6" s="32" t="s">
        <v>36</v>
      </c>
      <c r="H6" s="32" t="s">
        <v>38</v>
      </c>
      <c r="I6" s="32" t="s">
        <v>9</v>
      </c>
      <c r="J6" s="32" t="s">
        <v>37</v>
      </c>
      <c r="K6" s="32" t="s">
        <v>51</v>
      </c>
      <c r="L6" s="32" t="s">
        <v>54</v>
      </c>
      <c r="M6" s="28">
        <f>SUMPRODUCT(Tabelle1[Nennwert],Tabelle1[Wechsel-kurs],Tabelle1[Spalte1])</f>
        <v>4100</v>
      </c>
      <c r="N6" s="28">
        <f>SUM(Tabelle1[Ertrag])</f>
        <v>233.26</v>
      </c>
      <c r="O6" s="29">
        <f>N6/M6</f>
        <v>5.6892682926829266E-2</v>
      </c>
    </row>
    <row r="7" spans="1:15" x14ac:dyDescent="0.3">
      <c r="B7" s="1">
        <v>43466</v>
      </c>
      <c r="C7" t="s">
        <v>31</v>
      </c>
      <c r="D7">
        <v>2020</v>
      </c>
      <c r="E7">
        <v>4</v>
      </c>
      <c r="F7" s="9">
        <v>0.06</v>
      </c>
      <c r="G7">
        <v>500</v>
      </c>
      <c r="H7" s="27">
        <v>1</v>
      </c>
      <c r="I7" s="8">
        <f>1/Tabelle1[[#This Row],[Periode]]</f>
        <v>0.25</v>
      </c>
      <c r="J7" s="23">
        <f>ROUND(Tabelle1[[#This Row],[Zins]]*Tabelle1[[#This Row],[Nennwert]]/Tabelle1[[#This Row],[Wechsel-kurs]]/Tabelle1[[#This Row],[Periode]],2)</f>
        <v>7.5</v>
      </c>
      <c r="K7" s="23">
        <f>MONTH(Tabelle1[[#This Row],[Auschüttungs-Datum]])</f>
        <v>1</v>
      </c>
      <c r="L7">
        <f>Tabelle1[[#This Row],[Nennwert]]*Tabelle1[[#This Row],[Wechsel-kurs]]*Tabelle1[[#This Row],[Spalte1]]</f>
        <v>125</v>
      </c>
    </row>
    <row r="8" spans="1:15" x14ac:dyDescent="0.3">
      <c r="B8" s="1">
        <v>43483</v>
      </c>
      <c r="C8" t="s">
        <v>29</v>
      </c>
      <c r="D8">
        <v>2030</v>
      </c>
      <c r="E8">
        <v>2</v>
      </c>
      <c r="F8" s="10">
        <f>11.875%</f>
        <v>0.11874999999999999</v>
      </c>
      <c r="G8">
        <v>500</v>
      </c>
      <c r="H8" s="8">
        <v>1.2</v>
      </c>
      <c r="I8" s="8">
        <f>1/Tabelle1[[#This Row],[Periode]]</f>
        <v>0.5</v>
      </c>
      <c r="J8">
        <f>ROUND(Tabelle1[[#This Row],[Zins]]*Tabelle1[[#This Row],[Nennwert]]/Tabelle1[[#This Row],[Wechsel-kurs]]/Tabelle1[[#This Row],[Periode]],2)</f>
        <v>24.74</v>
      </c>
      <c r="K8">
        <f>MONTH(Tabelle1[[#This Row],[Auschüttungs-Datum]])</f>
        <v>1</v>
      </c>
      <c r="L8">
        <f>Tabelle1[[#This Row],[Nennwert]]*Tabelle1[[#This Row],[Wechsel-kurs]]*Tabelle1[[#This Row],[Spalte1]]</f>
        <v>300</v>
      </c>
    </row>
    <row r="9" spans="1:15" x14ac:dyDescent="0.3">
      <c r="B9" s="1">
        <v>43523</v>
      </c>
      <c r="C9" t="s">
        <v>61</v>
      </c>
      <c r="D9">
        <v>2022</v>
      </c>
      <c r="E9">
        <v>4</v>
      </c>
      <c r="F9" s="9">
        <v>5.5E-2</v>
      </c>
      <c r="G9">
        <v>500</v>
      </c>
      <c r="H9" s="8">
        <v>1</v>
      </c>
      <c r="I9" s="8">
        <f>1/Tabelle1[[#This Row],[Periode]]</f>
        <v>0.25</v>
      </c>
      <c r="J9" s="23">
        <f>ROUND(Tabelle1[[#This Row],[Zins]]*Tabelle1[[#This Row],[Nennwert]]/Tabelle1[[#This Row],[Wechsel-kurs]]/Tabelle1[[#This Row],[Periode]],2)</f>
        <v>6.88</v>
      </c>
      <c r="K9" s="23">
        <f>MONTH(Tabelle1[[#This Row],[Auschüttungs-Datum]])</f>
        <v>2</v>
      </c>
      <c r="L9" s="23">
        <f>Tabelle1[[#This Row],[Nennwert]]*Tabelle1[[#This Row],[Wechsel-kurs]]*Tabelle1[[#This Row],[Spalte1]]</f>
        <v>125</v>
      </c>
    </row>
    <row r="10" spans="1:15" x14ac:dyDescent="0.3">
      <c r="B10" s="1">
        <v>43556</v>
      </c>
      <c r="C10" t="s">
        <v>31</v>
      </c>
      <c r="D10">
        <v>2020</v>
      </c>
      <c r="E10">
        <v>4</v>
      </c>
      <c r="F10" s="9">
        <v>0.06</v>
      </c>
      <c r="G10">
        <v>500</v>
      </c>
      <c r="H10" s="27">
        <v>1</v>
      </c>
      <c r="I10" s="8">
        <f>1/Tabelle1[[#This Row],[Periode]]</f>
        <v>0.25</v>
      </c>
      <c r="J10" s="23">
        <f>ROUND(Tabelle1[[#This Row],[Zins]]*Tabelle1[[#This Row],[Nennwert]]/Tabelle1[[#This Row],[Wechsel-kurs]]/Tabelle1[[#This Row],[Periode]],2)</f>
        <v>7.5</v>
      </c>
      <c r="K10" s="23">
        <f>MONTH(Tabelle1[[#This Row],[Auschüttungs-Datum]])</f>
        <v>4</v>
      </c>
      <c r="L10">
        <f>Tabelle1[[#This Row],[Nennwert]]*Tabelle1[[#This Row],[Wechsel-kurs]]*Tabelle1[[#This Row],[Spalte1]]</f>
        <v>125</v>
      </c>
    </row>
    <row r="11" spans="1:15" x14ac:dyDescent="0.3">
      <c r="B11" s="1">
        <v>43612</v>
      </c>
      <c r="C11" t="s">
        <v>61</v>
      </c>
      <c r="D11">
        <v>2022</v>
      </c>
      <c r="E11">
        <v>4</v>
      </c>
      <c r="F11" s="9">
        <v>5.5E-2</v>
      </c>
      <c r="G11">
        <v>500</v>
      </c>
      <c r="H11" s="8">
        <v>1</v>
      </c>
      <c r="I11" s="8">
        <f>1/Tabelle1[[#This Row],[Periode]]</f>
        <v>0.25</v>
      </c>
      <c r="J11" s="23">
        <f>ROUND(Tabelle1[[#This Row],[Zins]]*Tabelle1[[#This Row],[Nennwert]]/Tabelle1[[#This Row],[Wechsel-kurs]]/Tabelle1[[#This Row],[Periode]],2)</f>
        <v>6.88</v>
      </c>
      <c r="K11" s="23">
        <f>MONTH(Tabelle1[[#This Row],[Auschüttungs-Datum]])</f>
        <v>5</v>
      </c>
      <c r="L11" s="23">
        <f>Tabelle1[[#This Row],[Nennwert]]*Tabelle1[[#This Row],[Wechsel-kurs]]*Tabelle1[[#This Row],[Spalte1]]</f>
        <v>125</v>
      </c>
    </row>
    <row r="12" spans="1:15" x14ac:dyDescent="0.3">
      <c r="B12" s="1">
        <v>43647</v>
      </c>
      <c r="C12" t="s">
        <v>31</v>
      </c>
      <c r="D12">
        <v>2020</v>
      </c>
      <c r="E12">
        <v>4</v>
      </c>
      <c r="F12" s="9">
        <v>0.06</v>
      </c>
      <c r="G12">
        <v>500</v>
      </c>
      <c r="H12" s="27">
        <v>1</v>
      </c>
      <c r="I12" s="8">
        <f>1/Tabelle1[[#This Row],[Periode]]</f>
        <v>0.25</v>
      </c>
      <c r="J12" s="23">
        <f>ROUND(Tabelle1[[#This Row],[Zins]]*Tabelle1[[#This Row],[Nennwert]]/Tabelle1[[#This Row],[Wechsel-kurs]]/Tabelle1[[#This Row],[Periode]],2)</f>
        <v>7.5</v>
      </c>
      <c r="K12" s="23">
        <f>MONTH(Tabelle1[[#This Row],[Auschüttungs-Datum]])</f>
        <v>7</v>
      </c>
      <c r="L12">
        <f>Tabelle1[[#This Row],[Nennwert]]*Tabelle1[[#This Row],[Wechsel-kurs]]*Tabelle1[[#This Row],[Spalte1]]</f>
        <v>125</v>
      </c>
    </row>
    <row r="13" spans="1:15" x14ac:dyDescent="0.3">
      <c r="B13" s="1">
        <v>43664</v>
      </c>
      <c r="C13" t="s">
        <v>29</v>
      </c>
      <c r="D13">
        <v>2030</v>
      </c>
      <c r="E13">
        <v>2</v>
      </c>
      <c r="F13" s="10">
        <f>11.875%</f>
        <v>0.11874999999999999</v>
      </c>
      <c r="G13">
        <v>500</v>
      </c>
      <c r="H13" s="8">
        <v>1.2</v>
      </c>
      <c r="I13" s="8">
        <f>1/Tabelle1[[#This Row],[Periode]]</f>
        <v>0.5</v>
      </c>
      <c r="J13">
        <f>ROUND(Tabelle1[[#This Row],[Zins]]*Tabelle1[[#This Row],[Nennwert]]/Tabelle1[[#This Row],[Wechsel-kurs]]/Tabelle1[[#This Row],[Periode]],2)</f>
        <v>24.74</v>
      </c>
      <c r="K13">
        <f>MONTH(Tabelle1[[#This Row],[Auschüttungs-Datum]])</f>
        <v>7</v>
      </c>
      <c r="L13">
        <f>Tabelle1[[#This Row],[Nennwert]]*Tabelle1[[#This Row],[Wechsel-kurs]]*Tabelle1[[#This Row],[Spalte1]]</f>
        <v>300</v>
      </c>
    </row>
    <row r="14" spans="1:15" x14ac:dyDescent="0.3">
      <c r="B14" s="1">
        <v>43704</v>
      </c>
      <c r="C14" t="s">
        <v>61</v>
      </c>
      <c r="D14">
        <v>2022</v>
      </c>
      <c r="E14">
        <v>4</v>
      </c>
      <c r="F14" s="9">
        <v>5.5E-2</v>
      </c>
      <c r="G14">
        <v>500</v>
      </c>
      <c r="H14" s="8">
        <v>1</v>
      </c>
      <c r="I14" s="8">
        <f>1/Tabelle1[[#This Row],[Periode]]</f>
        <v>0.25</v>
      </c>
      <c r="J14" s="23">
        <f>ROUND(Tabelle1[[#This Row],[Zins]]*Tabelle1[[#This Row],[Nennwert]]/Tabelle1[[#This Row],[Wechsel-kurs]]/Tabelle1[[#This Row],[Periode]],2)</f>
        <v>6.88</v>
      </c>
      <c r="K14" s="23">
        <f>MONTH(Tabelle1[[#This Row],[Auschüttungs-Datum]])</f>
        <v>8</v>
      </c>
      <c r="L14" s="23">
        <f>Tabelle1[[#This Row],[Nennwert]]*Tabelle1[[#This Row],[Wechsel-kurs]]*Tabelle1[[#This Row],[Spalte1]]</f>
        <v>125</v>
      </c>
    </row>
    <row r="15" spans="1:15" x14ac:dyDescent="0.3">
      <c r="B15" s="1">
        <v>43712</v>
      </c>
      <c r="C15" t="s">
        <v>30</v>
      </c>
      <c r="D15">
        <v>2023</v>
      </c>
      <c r="E15">
        <v>1</v>
      </c>
      <c r="F15" s="9">
        <v>5.1249999999999997E-2</v>
      </c>
      <c r="G15">
        <v>500</v>
      </c>
      <c r="H15" s="27">
        <v>1</v>
      </c>
      <c r="I15" s="8">
        <f>1/Tabelle1[[#This Row],[Periode]]</f>
        <v>1</v>
      </c>
      <c r="J15" s="23">
        <f>ROUND(Tabelle1[[#This Row],[Zins]]*Tabelle1[[#This Row],[Nennwert]]/Tabelle1[[#This Row],[Wechsel-kurs]]/Tabelle1[[#This Row],[Periode]],2)</f>
        <v>25.63</v>
      </c>
      <c r="K15" s="23">
        <f>MONTH(Tabelle1[[#This Row],[Auschüttungs-Datum]])</f>
        <v>9</v>
      </c>
      <c r="L15">
        <f>Tabelle1[[#This Row],[Nennwert]]*Tabelle1[[#This Row],[Wechsel-kurs]]*Tabelle1[[#This Row],[Spalte1]]</f>
        <v>500</v>
      </c>
    </row>
    <row r="16" spans="1:15" x14ac:dyDescent="0.3">
      <c r="B16" s="1">
        <v>43739</v>
      </c>
      <c r="C16" t="s">
        <v>31</v>
      </c>
      <c r="D16">
        <v>2020</v>
      </c>
      <c r="E16">
        <v>4</v>
      </c>
      <c r="F16" s="9">
        <v>0.06</v>
      </c>
      <c r="G16">
        <v>500</v>
      </c>
      <c r="H16" s="27">
        <v>1</v>
      </c>
      <c r="I16" s="8">
        <f>1/Tabelle1[[#This Row],[Periode]]</f>
        <v>0.25</v>
      </c>
      <c r="J16" s="23">
        <f>ROUND(Tabelle1[[#This Row],[Zins]]*Tabelle1[[#This Row],[Nennwert]]/Tabelle1[[#This Row],[Wechsel-kurs]]/Tabelle1[[#This Row],[Periode]],2)</f>
        <v>7.5</v>
      </c>
      <c r="K16" s="23">
        <f>MONTH(Tabelle1[[#This Row],[Auschüttungs-Datum]])</f>
        <v>10</v>
      </c>
      <c r="L16">
        <f>Tabelle1[[#This Row],[Nennwert]]*Tabelle1[[#This Row],[Wechsel-kurs]]*Tabelle1[[#This Row],[Spalte1]]</f>
        <v>125</v>
      </c>
    </row>
    <row r="17" spans="1:15" x14ac:dyDescent="0.3">
      <c r="B17" s="1">
        <v>43740</v>
      </c>
      <c r="C17" t="s">
        <v>28</v>
      </c>
      <c r="D17">
        <v>2023</v>
      </c>
      <c r="E17">
        <v>1</v>
      </c>
      <c r="F17" s="9">
        <v>4.7500000000000001E-2</v>
      </c>
      <c r="G17">
        <v>500</v>
      </c>
      <c r="H17" s="27">
        <v>1</v>
      </c>
      <c r="I17" s="8">
        <f>1/Tabelle1[[#This Row],[Periode]]</f>
        <v>1</v>
      </c>
      <c r="J17">
        <f>ROUND(Tabelle1[[#This Row],[Zins]]*Tabelle1[[#This Row],[Nennwert]]/Tabelle1[[#This Row],[Wechsel-kurs]]/Tabelle1[[#This Row],[Periode]],2)</f>
        <v>23.75</v>
      </c>
      <c r="K17">
        <f>MONTH(Tabelle1[[#This Row],[Auschüttungs-Datum]])</f>
        <v>10</v>
      </c>
      <c r="L17">
        <f>Tabelle1[[#This Row],[Nennwert]]*Tabelle1[[#This Row],[Wechsel-kurs]]*Tabelle1[[#This Row],[Spalte1]]</f>
        <v>500</v>
      </c>
    </row>
    <row r="18" spans="1:15" x14ac:dyDescent="0.3">
      <c r="B18" s="1">
        <v>43763</v>
      </c>
      <c r="C18" t="s">
        <v>27</v>
      </c>
      <c r="D18">
        <v>2027</v>
      </c>
      <c r="E18">
        <v>1</v>
      </c>
      <c r="F18" s="9">
        <v>0.04</v>
      </c>
      <c r="G18">
        <v>500</v>
      </c>
      <c r="H18" s="27">
        <v>1</v>
      </c>
      <c r="I18" s="8">
        <f>1/Tabelle1[[#This Row],[Periode]]</f>
        <v>1</v>
      </c>
      <c r="J18">
        <f>ROUND(Tabelle1[[#This Row],[Zins]]*Tabelle1[[#This Row],[Nennwert]]/Tabelle1[[#This Row],[Wechsel-kurs]]/Tabelle1[[#This Row],[Periode]],2)</f>
        <v>20</v>
      </c>
      <c r="K18">
        <f>MONTH(Tabelle1[[#This Row],[Auschüttungs-Datum]])</f>
        <v>10</v>
      </c>
      <c r="L18">
        <f>Tabelle1[[#This Row],[Nennwert]]*Tabelle1[[#This Row],[Wechsel-kurs]]*Tabelle1[[#This Row],[Spalte1]]</f>
        <v>500</v>
      </c>
    </row>
    <row r="19" spans="1:15" x14ac:dyDescent="0.3">
      <c r="B19" s="1">
        <v>43796</v>
      </c>
      <c r="C19" t="s">
        <v>61</v>
      </c>
      <c r="D19">
        <v>2022</v>
      </c>
      <c r="E19">
        <v>4</v>
      </c>
      <c r="F19" s="9">
        <v>5.5E-2</v>
      </c>
      <c r="G19">
        <v>500</v>
      </c>
      <c r="H19" s="8">
        <v>1</v>
      </c>
      <c r="I19" s="8">
        <f>1/Tabelle1[[#This Row],[Periode]]</f>
        <v>0.25</v>
      </c>
      <c r="J19" s="23">
        <f>ROUND(Tabelle1[[#This Row],[Zins]]*Tabelle1[[#This Row],[Nennwert]]/Tabelle1[[#This Row],[Wechsel-kurs]]/Tabelle1[[#This Row],[Periode]],2)</f>
        <v>6.88</v>
      </c>
      <c r="K19" s="23">
        <f>MONTH(Tabelle1[[#This Row],[Auschüttungs-Datum]])</f>
        <v>11</v>
      </c>
      <c r="L19" s="23">
        <f>Tabelle1[[#This Row],[Nennwert]]*Tabelle1[[#This Row],[Wechsel-kurs]]*Tabelle1[[#This Row],[Spalte1]]</f>
        <v>125</v>
      </c>
    </row>
    <row r="20" spans="1:15" x14ac:dyDescent="0.3">
      <c r="B20" s="1">
        <v>43806</v>
      </c>
      <c r="C20" t="s">
        <v>69</v>
      </c>
      <c r="D20">
        <v>2022</v>
      </c>
      <c r="E20">
        <v>1</v>
      </c>
      <c r="F20" s="9">
        <v>8.5000000000000006E-2</v>
      </c>
      <c r="G20">
        <v>500</v>
      </c>
      <c r="H20" s="8">
        <v>1</v>
      </c>
      <c r="I20" s="8">
        <v>1</v>
      </c>
      <c r="J20" s="23">
        <f>ROUND(Tabelle1[[#This Row],[Zins]]*Tabelle1[[#This Row],[Nennwert]]/Tabelle1[[#This Row],[Wechsel-kurs]]/Tabelle1[[#This Row],[Periode]],2)</f>
        <v>42.5</v>
      </c>
      <c r="K20" s="23">
        <f>MONTH(Tabelle1[[#This Row],[Auschüttungs-Datum]])</f>
        <v>12</v>
      </c>
      <c r="L20" s="23">
        <f>Tabelle1[[#This Row],[Nennwert]]*Tabelle1[[#This Row],[Wechsel-kurs]]*Tabelle1[[#This Row],[Spalte1]]</f>
        <v>500</v>
      </c>
    </row>
    <row r="21" spans="1:15" x14ac:dyDescent="0.3">
      <c r="B21" s="1">
        <v>45344</v>
      </c>
      <c r="C21" t="s">
        <v>55</v>
      </c>
      <c r="D21">
        <v>2024</v>
      </c>
      <c r="E21">
        <v>1</v>
      </c>
      <c r="F21" s="9">
        <v>2.8750000000000001E-2</v>
      </c>
      <c r="G21">
        <v>500</v>
      </c>
      <c r="H21" s="8">
        <v>1</v>
      </c>
      <c r="I21" s="8">
        <f>1/Tabelle1[[#This Row],[Periode]]</f>
        <v>1</v>
      </c>
      <c r="J21" s="23">
        <f>ROUND(Tabelle1[[#This Row],[Zins]]*Tabelle1[[#This Row],[Nennwert]]/Tabelle1[[#This Row],[Wechsel-kurs]]/Tabelle1[[#This Row],[Periode]],2)</f>
        <v>14.38</v>
      </c>
      <c r="K21" s="23">
        <f>MONTH(Tabelle1[[#This Row],[Auschüttungs-Datum]])</f>
        <v>2</v>
      </c>
      <c r="L21" s="23">
        <f>Tabelle1[[#This Row],[Nennwert]]*Tabelle1[[#This Row],[Wechsel-kurs]]*Tabelle1[[#This Row],[Spalte1]]</f>
        <v>500</v>
      </c>
    </row>
    <row r="22" spans="1:15" x14ac:dyDescent="0.3">
      <c r="F22" s="9"/>
      <c r="H22" s="8"/>
      <c r="I22" s="8"/>
      <c r="J22" s="23"/>
      <c r="K22" s="23"/>
      <c r="L22" s="23"/>
    </row>
    <row r="23" spans="1:15" x14ac:dyDescent="0.3">
      <c r="F23" s="9"/>
      <c r="H23" s="8"/>
      <c r="I23" s="8"/>
      <c r="J23" s="23"/>
      <c r="K23" s="23"/>
      <c r="L23" s="23"/>
    </row>
    <row r="27" spans="1:15" ht="45" customHeight="1" x14ac:dyDescent="0.35">
      <c r="A27">
        <v>2</v>
      </c>
      <c r="B27" s="31" t="s">
        <v>32</v>
      </c>
      <c r="C27" s="32" t="s">
        <v>33</v>
      </c>
      <c r="D27" s="32" t="s">
        <v>52</v>
      </c>
      <c r="E27" s="32" t="s">
        <v>35</v>
      </c>
      <c r="F27" s="33" t="s">
        <v>34</v>
      </c>
      <c r="G27" s="32" t="s">
        <v>36</v>
      </c>
      <c r="H27" s="32" t="s">
        <v>38</v>
      </c>
      <c r="I27" s="32" t="s">
        <v>9</v>
      </c>
      <c r="J27" s="32" t="s">
        <v>37</v>
      </c>
      <c r="K27" s="32" t="s">
        <v>53</v>
      </c>
      <c r="L27" s="32" t="s">
        <v>54</v>
      </c>
      <c r="M27" s="28">
        <f>SUMPRODUCT(Tabelle2[Nennwert],Tabelle2[Wechsel-kurs],Tabelle2[Spalte1])</f>
        <v>4100</v>
      </c>
      <c r="N27" s="25">
        <f>SUM(Tabelle2[Ertrag])</f>
        <v>220.75999999999996</v>
      </c>
      <c r="O27" s="26">
        <f>N27/M27</f>
        <v>5.3843902439024378E-2</v>
      </c>
    </row>
    <row r="28" spans="1:15" ht="16.8" customHeight="1" x14ac:dyDescent="0.3">
      <c r="B28" s="1">
        <v>45201</v>
      </c>
      <c r="C28" t="s">
        <v>26</v>
      </c>
      <c r="D28">
        <v>2023</v>
      </c>
      <c r="E28">
        <v>1</v>
      </c>
      <c r="F28" s="9">
        <v>3.5000000000000003E-2</v>
      </c>
      <c r="G28">
        <v>500</v>
      </c>
      <c r="H28">
        <v>1</v>
      </c>
      <c r="I28" s="27">
        <f>1/Tabelle2[[#This Row],[Periode]]</f>
        <v>1</v>
      </c>
      <c r="J28" s="23">
        <f>ROUND(Tabelle2[[#This Row],[Zins]]*Tabelle2[[#This Row],[Nennwert]]/Tabelle2[[#This Row],[Wechsel-kurs]]/Tabelle2[[#This Row],[Periode]],2)</f>
        <v>17.5</v>
      </c>
      <c r="K28" s="23">
        <f>MONTH(Tabelle2[[#This Row],[Auschüttungs-Datum]])</f>
        <v>10</v>
      </c>
      <c r="L28">
        <f>Tabelle2[[#This Row],[Nennwert]]*Tabelle2[[#This Row],[Wechsel-kurs]]*Tabelle2[[#This Row],[Spalte1]]</f>
        <v>500</v>
      </c>
      <c r="M28" s="11"/>
    </row>
    <row r="29" spans="1:15" x14ac:dyDescent="0.3">
      <c r="B29" s="1">
        <v>45201</v>
      </c>
      <c r="C29" t="s">
        <v>7</v>
      </c>
      <c r="D29">
        <v>2023</v>
      </c>
      <c r="E29">
        <v>1</v>
      </c>
      <c r="F29" s="9">
        <v>4.7500000000000001E-2</v>
      </c>
      <c r="G29">
        <v>500</v>
      </c>
      <c r="H29">
        <v>1</v>
      </c>
      <c r="I29" s="27">
        <f>1/Tabelle2[[#This Row],[Periode]]</f>
        <v>1</v>
      </c>
      <c r="J29">
        <f>ROUND(Tabelle2[[#This Row],[Zins]]*Tabelle2[[#This Row],[Nennwert]]/Tabelle2[[#This Row],[Wechsel-kurs]]/Tabelle2[[#This Row],[Periode]],2)</f>
        <v>23.75</v>
      </c>
      <c r="K29">
        <f>MONTH(Tabelle2[[#This Row],[Auschüttungs-Datum]])</f>
        <v>10</v>
      </c>
      <c r="L29">
        <f>Tabelle2[[#This Row],[Nennwert]]*Tabelle2[[#This Row],[Wechsel-kurs]]*Tabelle2[[#This Row],[Spalte1]]</f>
        <v>500</v>
      </c>
    </row>
    <row r="30" spans="1:15" x14ac:dyDescent="0.3">
      <c r="B30" s="1">
        <v>47501</v>
      </c>
      <c r="C30" t="s">
        <v>8</v>
      </c>
      <c r="D30">
        <v>2030</v>
      </c>
      <c r="E30">
        <v>2</v>
      </c>
      <c r="F30" s="10">
        <f>11.875%</f>
        <v>0.11874999999999999</v>
      </c>
      <c r="G30">
        <v>500</v>
      </c>
      <c r="H30">
        <v>1.2</v>
      </c>
      <c r="I30" s="27">
        <f>1/Tabelle2[[#This Row],[Periode]]</f>
        <v>0.5</v>
      </c>
      <c r="J30">
        <f>ROUND(Tabelle2[[#This Row],[Zins]]*Tabelle2[[#This Row],[Nennwert]]/Tabelle2[[#This Row],[Wechsel-kurs]]/Tabelle2[[#This Row],[Periode]],2)</f>
        <v>24.74</v>
      </c>
      <c r="K30">
        <f>MONTH(Tabelle2[[#This Row],[Auschüttungs-Datum]])</f>
        <v>1</v>
      </c>
      <c r="L30">
        <f>Tabelle2[[#This Row],[Nennwert]]*Tabelle2[[#This Row],[Wechsel-kurs]]*Tabelle2[[#This Row],[Spalte1]]</f>
        <v>300</v>
      </c>
    </row>
    <row r="31" spans="1:15" x14ac:dyDescent="0.3">
      <c r="B31" s="1">
        <v>47682</v>
      </c>
      <c r="C31" t="s">
        <v>8</v>
      </c>
      <c r="D31">
        <v>2030</v>
      </c>
      <c r="E31">
        <v>2</v>
      </c>
      <c r="F31" s="10">
        <f>11.875%</f>
        <v>0.11874999999999999</v>
      </c>
      <c r="G31">
        <v>500</v>
      </c>
      <c r="H31">
        <v>1.2</v>
      </c>
      <c r="I31" s="27">
        <f>1/Tabelle2[[#This Row],[Periode]]</f>
        <v>0.5</v>
      </c>
      <c r="J31">
        <f>ROUND(Tabelle2[[#This Row],[Zins]]*Tabelle2[[#This Row],[Nennwert]]/Tabelle2[[#This Row],[Wechsel-kurs]]/Tabelle2[[#This Row],[Periode]],2)</f>
        <v>24.74</v>
      </c>
      <c r="K31">
        <f>MONTH(Tabelle2[[#This Row],[Auschüttungs-Datum]])</f>
        <v>7</v>
      </c>
      <c r="L31">
        <f>Tabelle2[[#This Row],[Nennwert]]*Tabelle2[[#This Row],[Wechsel-kurs]]*Tabelle2[[#This Row],[Spalte1]]</f>
        <v>300</v>
      </c>
    </row>
    <row r="32" spans="1:15" x14ac:dyDescent="0.3">
      <c r="B32" s="1">
        <v>45173</v>
      </c>
      <c r="C32" t="s">
        <v>23</v>
      </c>
      <c r="D32">
        <v>2023</v>
      </c>
      <c r="E32">
        <v>1</v>
      </c>
      <c r="F32" s="9">
        <v>5.1249999999999997E-2</v>
      </c>
      <c r="G32">
        <v>500</v>
      </c>
      <c r="H32">
        <v>1</v>
      </c>
      <c r="I32" s="27">
        <f>1/Tabelle2[[#This Row],[Periode]]</f>
        <v>1</v>
      </c>
      <c r="J32" s="23">
        <f>ROUND(Tabelle2[[#This Row],[Zins]]*Tabelle2[[#This Row],[Nennwert]]/Tabelle2[[#This Row],[Wechsel-kurs]]/Tabelle2[[#This Row],[Periode]],2)</f>
        <v>25.63</v>
      </c>
      <c r="K32" s="23">
        <f>MONTH(Tabelle2[[#This Row],[Auschüttungs-Datum]])</f>
        <v>9</v>
      </c>
      <c r="L32">
        <f>Tabelle2[[#This Row],[Nennwert]]*Tabelle2[[#This Row],[Wechsel-kurs]]*Tabelle2[[#This Row],[Spalte1]]</f>
        <v>500</v>
      </c>
    </row>
    <row r="33" spans="1:12" x14ac:dyDescent="0.3">
      <c r="B33" s="1">
        <v>45344</v>
      </c>
      <c r="C33" t="s">
        <v>55</v>
      </c>
      <c r="D33">
        <v>2024</v>
      </c>
      <c r="E33">
        <v>1</v>
      </c>
      <c r="F33" s="9">
        <v>2.8750000000000001E-2</v>
      </c>
      <c r="G33">
        <v>500</v>
      </c>
      <c r="H33">
        <v>1</v>
      </c>
      <c r="I33" s="27">
        <f>1/Tabelle2[[#This Row],[Periode]]</f>
        <v>1</v>
      </c>
      <c r="J33" s="23">
        <f>ROUND(Tabelle2[[#This Row],[Zins]]*Tabelle2[[#This Row],[Nennwert]]/Tabelle2[[#This Row],[Wechsel-kurs]]/Tabelle2[[#This Row],[Periode]],2)</f>
        <v>14.38</v>
      </c>
      <c r="K33" s="23">
        <f>MONTH(Tabelle2[[#This Row],[Auschüttungs-Datum]])</f>
        <v>2</v>
      </c>
      <c r="L33" s="23">
        <f>Tabelle2[[#This Row],[Nennwert]]*Tabelle2[[#This Row],[Wechsel-kurs]]*Tabelle2[[#This Row],[Spalte1]]</f>
        <v>500</v>
      </c>
    </row>
    <row r="34" spans="1:12" x14ac:dyDescent="0.3">
      <c r="B34" s="1">
        <v>43612</v>
      </c>
      <c r="C34" t="s">
        <v>61</v>
      </c>
      <c r="D34">
        <v>2022</v>
      </c>
      <c r="E34">
        <v>4</v>
      </c>
      <c r="F34" s="9">
        <v>5.5E-2</v>
      </c>
      <c r="G34">
        <v>500</v>
      </c>
      <c r="H34" s="8">
        <v>1</v>
      </c>
      <c r="I34" s="27">
        <f>1/Tabelle2[[#This Row],[Periode]]</f>
        <v>0.25</v>
      </c>
      <c r="J34" s="23">
        <f>ROUND(Tabelle2[[#This Row],[Zins]]*Tabelle2[[#This Row],[Nennwert]]/Tabelle2[[#This Row],[Wechsel-kurs]]/Tabelle2[[#This Row],[Periode]],2)</f>
        <v>6.88</v>
      </c>
      <c r="K34" s="23">
        <f>MONTH(Tabelle2[[#This Row],[Auschüttungs-Datum]])</f>
        <v>5</v>
      </c>
      <c r="L34" s="23">
        <f>Tabelle2[[#This Row],[Nennwert]]*Tabelle2[[#This Row],[Wechsel-kurs]]*Tabelle2[[#This Row],[Spalte1]]</f>
        <v>125</v>
      </c>
    </row>
    <row r="35" spans="1:12" x14ac:dyDescent="0.3">
      <c r="B35" s="1">
        <v>43704</v>
      </c>
      <c r="C35" t="s">
        <v>61</v>
      </c>
      <c r="D35">
        <v>2022</v>
      </c>
      <c r="E35">
        <v>4</v>
      </c>
      <c r="F35" s="9">
        <v>5.5E-2</v>
      </c>
      <c r="G35">
        <v>500</v>
      </c>
      <c r="H35" s="8">
        <v>1</v>
      </c>
      <c r="I35" s="27">
        <f>1/Tabelle2[[#This Row],[Periode]]</f>
        <v>0.25</v>
      </c>
      <c r="J35" s="23">
        <f>ROUND(Tabelle2[[#This Row],[Zins]]*Tabelle2[[#This Row],[Nennwert]]/Tabelle2[[#This Row],[Wechsel-kurs]]/Tabelle2[[#This Row],[Periode]],2)</f>
        <v>6.88</v>
      </c>
      <c r="K35" s="23">
        <f>MONTH(Tabelle2[[#This Row],[Auschüttungs-Datum]])</f>
        <v>8</v>
      </c>
      <c r="L35" s="23">
        <f>Tabelle2[[#This Row],[Nennwert]]*Tabelle2[[#This Row],[Wechsel-kurs]]*Tabelle2[[#This Row],[Spalte1]]</f>
        <v>125</v>
      </c>
    </row>
    <row r="36" spans="1:12" x14ac:dyDescent="0.3">
      <c r="B36" s="1">
        <v>43796</v>
      </c>
      <c r="C36" t="s">
        <v>61</v>
      </c>
      <c r="D36">
        <v>2022</v>
      </c>
      <c r="E36">
        <v>4</v>
      </c>
      <c r="F36" s="9">
        <v>5.5E-2</v>
      </c>
      <c r="G36">
        <v>500</v>
      </c>
      <c r="H36" s="8">
        <v>1</v>
      </c>
      <c r="I36" s="27">
        <f>1/Tabelle2[[#This Row],[Periode]]</f>
        <v>0.25</v>
      </c>
      <c r="J36" s="23">
        <f>ROUND(Tabelle2[[#This Row],[Zins]]*Tabelle2[[#This Row],[Nennwert]]/Tabelle2[[#This Row],[Wechsel-kurs]]/Tabelle2[[#This Row],[Periode]],2)</f>
        <v>6.88</v>
      </c>
      <c r="K36" s="23">
        <f>MONTH(Tabelle2[[#This Row],[Auschüttungs-Datum]])</f>
        <v>11</v>
      </c>
      <c r="L36" s="23">
        <f>Tabelle2[[#This Row],[Nennwert]]*Tabelle2[[#This Row],[Wechsel-kurs]]*Tabelle2[[#This Row],[Spalte1]]</f>
        <v>125</v>
      </c>
    </row>
    <row r="37" spans="1:12" x14ac:dyDescent="0.3">
      <c r="B37" s="1">
        <v>43523</v>
      </c>
      <c r="C37" t="s">
        <v>61</v>
      </c>
      <c r="D37">
        <v>2022</v>
      </c>
      <c r="E37">
        <v>4</v>
      </c>
      <c r="F37" s="9">
        <v>5.5E-2</v>
      </c>
      <c r="G37">
        <v>500</v>
      </c>
      <c r="H37" s="8">
        <v>1</v>
      </c>
      <c r="I37" s="27">
        <f>1/Tabelle2[[#This Row],[Periode]]</f>
        <v>0.25</v>
      </c>
      <c r="J37" s="23">
        <f>ROUND(Tabelle2[[#This Row],[Zins]]*Tabelle2[[#This Row],[Nennwert]]/Tabelle2[[#This Row],[Wechsel-kurs]]/Tabelle2[[#This Row],[Periode]],2)</f>
        <v>6.88</v>
      </c>
      <c r="K37" s="23">
        <f>MONTH(Tabelle2[[#This Row],[Auschüttungs-Datum]])</f>
        <v>2</v>
      </c>
      <c r="L37" s="23">
        <f>Tabelle2[[#This Row],[Nennwert]]*Tabelle2[[#This Row],[Wechsel-kurs]]*Tabelle2[[#This Row],[Spalte1]]</f>
        <v>125</v>
      </c>
    </row>
    <row r="38" spans="1:12" x14ac:dyDescent="0.3">
      <c r="B38" s="1">
        <v>43806</v>
      </c>
      <c r="C38" t="s">
        <v>69</v>
      </c>
      <c r="D38">
        <v>2022</v>
      </c>
      <c r="E38">
        <v>1</v>
      </c>
      <c r="F38" s="9">
        <v>8.5000000000000006E-2</v>
      </c>
      <c r="G38">
        <v>500</v>
      </c>
      <c r="H38">
        <v>1</v>
      </c>
      <c r="I38" s="27">
        <f>1/Tabelle2[[#This Row],[Periode]]</f>
        <v>1</v>
      </c>
      <c r="J38" s="23">
        <f>ROUND(Tabelle2[[#This Row],[Zins]]*Tabelle2[[#This Row],[Nennwert]]/Tabelle2[[#This Row],[Wechsel-kurs]]/Tabelle2[[#This Row],[Periode]],2)</f>
        <v>42.5</v>
      </c>
      <c r="K38" s="23">
        <f>MONTH(Tabelle2[[#This Row],[Auschüttungs-Datum]])</f>
        <v>12</v>
      </c>
      <c r="L38" s="23">
        <f>Tabelle2[[#This Row],[Nennwert]]*Tabelle2[[#This Row],[Wechsel-kurs]]*Tabelle2[[#This Row],[Spalte1]]</f>
        <v>500</v>
      </c>
    </row>
    <row r="39" spans="1:12" x14ac:dyDescent="0.3">
      <c r="B39" s="1">
        <v>43738</v>
      </c>
      <c r="C39" t="s">
        <v>70</v>
      </c>
      <c r="D39">
        <v>2024</v>
      </c>
      <c r="E39">
        <v>4</v>
      </c>
      <c r="F39" s="9">
        <v>0.04</v>
      </c>
      <c r="G39">
        <v>500</v>
      </c>
      <c r="H39">
        <v>1</v>
      </c>
      <c r="I39" s="27">
        <f>1/Tabelle2[[#This Row],[Periode]]</f>
        <v>0.25</v>
      </c>
      <c r="J39" s="23">
        <f>ROUND(Tabelle2[[#This Row],[Zins]]*Tabelle2[[#This Row],[Nennwert]]/Tabelle2[[#This Row],[Wechsel-kurs]]/Tabelle2[[#This Row],[Periode]],2)</f>
        <v>5</v>
      </c>
      <c r="K39" s="23">
        <f>MONTH(Tabelle2[[#This Row],[Auschüttungs-Datum]])</f>
        <v>9</v>
      </c>
      <c r="L39" s="23">
        <f>Tabelle2[[#This Row],[Nennwert]]*Tabelle2[[#This Row],[Wechsel-kurs]]*Tabelle2[[#This Row],[Spalte1]]</f>
        <v>125</v>
      </c>
    </row>
    <row r="40" spans="1:12" x14ac:dyDescent="0.3">
      <c r="B40" s="1">
        <v>43829</v>
      </c>
      <c r="C40" t="s">
        <v>70</v>
      </c>
      <c r="D40">
        <v>2024</v>
      </c>
      <c r="E40">
        <v>4</v>
      </c>
      <c r="F40" s="9">
        <v>0.04</v>
      </c>
      <c r="G40">
        <v>500</v>
      </c>
      <c r="H40">
        <v>1</v>
      </c>
      <c r="I40" s="27">
        <f>1/Tabelle2[[#This Row],[Periode]]</f>
        <v>0.25</v>
      </c>
      <c r="J40" s="23">
        <f>ROUND(Tabelle2[[#This Row],[Zins]]*Tabelle2[[#This Row],[Nennwert]]/Tabelle2[[#This Row],[Wechsel-kurs]]/Tabelle2[[#This Row],[Periode]],2)</f>
        <v>5</v>
      </c>
      <c r="K40" s="23">
        <f>MONTH(Tabelle2[[#This Row],[Auschüttungs-Datum]])</f>
        <v>12</v>
      </c>
      <c r="L40" s="23">
        <f>Tabelle2[[#This Row],[Nennwert]]*Tabelle2[[#This Row],[Wechsel-kurs]]*Tabelle2[[#This Row],[Spalte1]]</f>
        <v>125</v>
      </c>
    </row>
    <row r="41" spans="1:12" x14ac:dyDescent="0.3">
      <c r="B41" s="1">
        <v>43920</v>
      </c>
      <c r="C41" t="s">
        <v>70</v>
      </c>
      <c r="D41">
        <v>2024</v>
      </c>
      <c r="E41">
        <v>4</v>
      </c>
      <c r="F41" s="9">
        <v>0.04</v>
      </c>
      <c r="G41">
        <v>500</v>
      </c>
      <c r="H41">
        <v>1</v>
      </c>
      <c r="I41" s="27">
        <f>1/Tabelle2[[#This Row],[Periode]]</f>
        <v>0.25</v>
      </c>
      <c r="J41" s="23">
        <f>ROUND(Tabelle2[[#This Row],[Zins]]*Tabelle2[[#This Row],[Nennwert]]/Tabelle2[[#This Row],[Wechsel-kurs]]/Tabelle2[[#This Row],[Periode]],2)</f>
        <v>5</v>
      </c>
      <c r="K41" s="23">
        <f>MONTH(Tabelle2[[#This Row],[Auschüttungs-Datum]])</f>
        <v>3</v>
      </c>
      <c r="L41" s="23">
        <f>Tabelle2[[#This Row],[Nennwert]]*Tabelle2[[#This Row],[Wechsel-kurs]]*Tabelle2[[#This Row],[Spalte1]]</f>
        <v>125</v>
      </c>
    </row>
    <row r="42" spans="1:12" x14ac:dyDescent="0.3">
      <c r="B42" s="1">
        <v>44012</v>
      </c>
      <c r="C42" t="s">
        <v>70</v>
      </c>
      <c r="D42">
        <v>2024</v>
      </c>
      <c r="E42">
        <v>4</v>
      </c>
      <c r="F42" s="9">
        <v>0.04</v>
      </c>
      <c r="G42">
        <v>500</v>
      </c>
      <c r="H42">
        <v>1</v>
      </c>
      <c r="I42" s="27">
        <f>1/Tabelle2[[#This Row],[Periode]]</f>
        <v>0.25</v>
      </c>
      <c r="J42" s="23">
        <f>ROUND(Tabelle2[[#This Row],[Zins]]*Tabelle2[[#This Row],[Nennwert]]/Tabelle2[[#This Row],[Wechsel-kurs]]/Tabelle2[[#This Row],[Periode]],2)</f>
        <v>5</v>
      </c>
      <c r="K42" s="23">
        <f>MONTH(Tabelle2[[#This Row],[Auschüttungs-Datum]])</f>
        <v>6</v>
      </c>
      <c r="L42" s="23">
        <f>Tabelle2[[#This Row],[Nennwert]]*Tabelle2[[#This Row],[Wechsel-kurs]]*Tabelle2[[#This Row],[Spalte1]]</f>
        <v>125</v>
      </c>
    </row>
    <row r="43" spans="1:12" x14ac:dyDescent="0.3">
      <c r="F43" s="9"/>
      <c r="I43" s="27"/>
      <c r="J43" s="23"/>
      <c r="K43" s="23"/>
      <c r="L43" s="23"/>
    </row>
    <row r="44" spans="1:12" x14ac:dyDescent="0.3">
      <c r="F44" s="9"/>
      <c r="I44" s="27"/>
      <c r="J44" s="23"/>
      <c r="K44" s="23"/>
      <c r="L44" s="23"/>
    </row>
    <row r="45" spans="1:12" x14ac:dyDescent="0.3">
      <c r="F45" s="9"/>
      <c r="I45" s="27"/>
      <c r="J45" s="23"/>
      <c r="K45" s="23"/>
      <c r="L45" s="23"/>
    </row>
    <row r="47" spans="1:12" x14ac:dyDescent="0.3">
      <c r="C47" s="1" t="s">
        <v>76</v>
      </c>
      <c r="D47" t="s">
        <v>75</v>
      </c>
    </row>
    <row r="48" spans="1:12" x14ac:dyDescent="0.3">
      <c r="A48" t="s">
        <v>39</v>
      </c>
      <c r="B48" s="23">
        <v>1</v>
      </c>
      <c r="C48" s="23">
        <f>SUMIF(Tabelle1[monat],B48,Tabelle1[Ertrag])</f>
        <v>32.239999999999995</v>
      </c>
      <c r="D48" s="23">
        <f>SUMIF(Tabelle2[moant],B48,Tabelle2[Ertrag])</f>
        <v>24.74</v>
      </c>
    </row>
    <row r="49" spans="1:4" x14ac:dyDescent="0.3">
      <c r="A49" t="s">
        <v>40</v>
      </c>
      <c r="B49" s="23">
        <v>2</v>
      </c>
      <c r="C49" s="23">
        <f>SUMIF(Tabelle1[monat],B49,Tabelle1[Ertrag])</f>
        <v>21.26</v>
      </c>
      <c r="D49" s="23">
        <f>SUMIF(Tabelle2[moant],B49,Tabelle2[Ertrag])</f>
        <v>21.26</v>
      </c>
    </row>
    <row r="50" spans="1:4" x14ac:dyDescent="0.3">
      <c r="A50" t="s">
        <v>41</v>
      </c>
      <c r="B50" s="23">
        <v>3</v>
      </c>
      <c r="C50" s="23">
        <f>SUMIF(Tabelle1[monat],B50,Tabelle1[Ertrag])</f>
        <v>0</v>
      </c>
      <c r="D50" s="23">
        <f>SUMIF(Tabelle2[moant],B50,Tabelle2[Ertrag])</f>
        <v>5</v>
      </c>
    </row>
    <row r="51" spans="1:4" x14ac:dyDescent="0.3">
      <c r="A51" t="s">
        <v>42</v>
      </c>
      <c r="B51" s="23">
        <v>4</v>
      </c>
      <c r="C51" s="23">
        <f>SUMIF(Tabelle1[monat],B51,Tabelle1[Ertrag])</f>
        <v>7.5</v>
      </c>
      <c r="D51" s="23">
        <f>SUMIF(Tabelle2[moant],B51,Tabelle2[Ertrag])</f>
        <v>0</v>
      </c>
    </row>
    <row r="52" spans="1:4" x14ac:dyDescent="0.3">
      <c r="A52" t="s">
        <v>43</v>
      </c>
      <c r="B52" s="23">
        <v>5</v>
      </c>
      <c r="C52" s="23">
        <f>SUMIF(Tabelle1[monat],B52,Tabelle1[Ertrag])</f>
        <v>6.88</v>
      </c>
      <c r="D52" s="23">
        <f>SUMIF(Tabelle2[moant],B52,Tabelle2[Ertrag])</f>
        <v>6.88</v>
      </c>
    </row>
    <row r="53" spans="1:4" x14ac:dyDescent="0.3">
      <c r="A53" t="s">
        <v>44</v>
      </c>
      <c r="B53" s="23">
        <v>6</v>
      </c>
      <c r="C53" s="23">
        <f>SUMIF(Tabelle1[monat],B53,Tabelle1[Ertrag])</f>
        <v>0</v>
      </c>
      <c r="D53" s="23">
        <f>SUMIF(Tabelle2[moant],B53,Tabelle2[Ertrag])</f>
        <v>5</v>
      </c>
    </row>
    <row r="54" spans="1:4" x14ac:dyDescent="0.3">
      <c r="A54" t="s">
        <v>45</v>
      </c>
      <c r="B54" s="23">
        <v>7</v>
      </c>
      <c r="C54" s="23">
        <f>SUMIF(Tabelle1[monat],B54,Tabelle1[Ertrag])</f>
        <v>32.239999999999995</v>
      </c>
      <c r="D54" s="23">
        <f>SUMIF(Tabelle2[moant],B54,Tabelle2[Ertrag])</f>
        <v>24.74</v>
      </c>
    </row>
    <row r="55" spans="1:4" x14ac:dyDescent="0.3">
      <c r="A55" t="s">
        <v>46</v>
      </c>
      <c r="B55" s="23">
        <v>8</v>
      </c>
      <c r="C55" s="23">
        <f>SUMIF(Tabelle1[monat],B55,Tabelle1[Ertrag])</f>
        <v>6.88</v>
      </c>
      <c r="D55" s="23">
        <f>SUMIF(Tabelle2[moant],B55,Tabelle2[Ertrag])</f>
        <v>6.88</v>
      </c>
    </row>
    <row r="56" spans="1:4" x14ac:dyDescent="0.3">
      <c r="A56" t="s">
        <v>47</v>
      </c>
      <c r="B56" s="23">
        <v>9</v>
      </c>
      <c r="C56" s="23">
        <f>SUMIF(Tabelle1[monat],B56,Tabelle1[Ertrag])</f>
        <v>25.63</v>
      </c>
      <c r="D56" s="23">
        <f>SUMIF(Tabelle2[moant],B56,Tabelle2[Ertrag])</f>
        <v>30.63</v>
      </c>
    </row>
    <row r="57" spans="1:4" x14ac:dyDescent="0.3">
      <c r="A57" t="s">
        <v>48</v>
      </c>
      <c r="B57" s="23">
        <v>10</v>
      </c>
      <c r="C57" s="23">
        <f>SUMIF(Tabelle1[monat],B57,Tabelle1[Ertrag])</f>
        <v>51.25</v>
      </c>
      <c r="D57" s="23">
        <f>SUMIF(Tabelle2[moant],B57,Tabelle2[Ertrag])</f>
        <v>41.25</v>
      </c>
    </row>
    <row r="58" spans="1:4" x14ac:dyDescent="0.3">
      <c r="A58" t="s">
        <v>49</v>
      </c>
      <c r="B58" s="23">
        <v>11</v>
      </c>
      <c r="C58" s="23">
        <f>SUMIF(Tabelle1[monat],B58,Tabelle1[Ertrag])</f>
        <v>6.88</v>
      </c>
      <c r="D58" s="23">
        <f>SUMIF(Tabelle2[moant],B58,Tabelle2[Ertrag])</f>
        <v>6.88</v>
      </c>
    </row>
    <row r="59" spans="1:4" x14ac:dyDescent="0.3">
      <c r="A59" t="s">
        <v>50</v>
      </c>
      <c r="B59" s="23">
        <v>12</v>
      </c>
      <c r="C59" s="23">
        <f>SUMIF(Tabelle1[monat],B59,Tabelle1[Ertrag])</f>
        <v>42.5</v>
      </c>
      <c r="D59" s="23">
        <f>SUMIF(Tabelle2[moant],B59,Tabelle2[Ertrag])</f>
        <v>47.5</v>
      </c>
    </row>
    <row r="61" spans="1:4" x14ac:dyDescent="0.3">
      <c r="C61" s="1" t="s">
        <v>76</v>
      </c>
      <c r="D61" t="s">
        <v>75</v>
      </c>
    </row>
    <row r="62" spans="1:4" x14ac:dyDescent="0.3">
      <c r="B62">
        <v>2020</v>
      </c>
      <c r="C62" s="23">
        <f>SUMIF(Tabelle1[Spalte2],B62,Tabelle1[Spalte3])</f>
        <v>500</v>
      </c>
      <c r="D62" s="23">
        <f>SUMIF(Tabelle2[Spalte2],B62,Tabelle2[Spalte3])</f>
        <v>0</v>
      </c>
    </row>
    <row r="63" spans="1:4" x14ac:dyDescent="0.3">
      <c r="B63">
        <v>2021</v>
      </c>
      <c r="C63" s="23">
        <f>SUMIF(Tabelle1[Spalte2],B63,Tabelle1[Spalte3])</f>
        <v>0</v>
      </c>
      <c r="D63" s="23">
        <f>SUMIF(Tabelle2[Spalte2],B63,Tabelle2[Spalte3])</f>
        <v>0</v>
      </c>
    </row>
    <row r="64" spans="1:4" x14ac:dyDescent="0.3">
      <c r="B64">
        <v>2022</v>
      </c>
      <c r="C64" s="23">
        <f>SUMIF(Tabelle1[Spalte2],B64,Tabelle1[Spalte3])</f>
        <v>1000</v>
      </c>
      <c r="D64" s="23">
        <f>SUMIF(Tabelle2[Spalte2],B64,Tabelle2[Spalte3])</f>
        <v>1000</v>
      </c>
    </row>
    <row r="65" spans="2:4" x14ac:dyDescent="0.3">
      <c r="B65">
        <v>2023</v>
      </c>
      <c r="C65" s="23">
        <f>SUMIF(Tabelle1[Spalte2],B65,Tabelle1[Spalte3])</f>
        <v>1000</v>
      </c>
      <c r="D65" s="23">
        <f>SUMIF(Tabelle2[Spalte2],B65,Tabelle2[Spalte3])</f>
        <v>1500</v>
      </c>
    </row>
    <row r="66" spans="2:4" x14ac:dyDescent="0.3">
      <c r="B66">
        <v>2024</v>
      </c>
      <c r="C66" s="23">
        <f>SUMIF(Tabelle1[Spalte2],B66,Tabelle1[Spalte3])</f>
        <v>500</v>
      </c>
      <c r="D66" s="23">
        <f>SUMIF(Tabelle2[Spalte2],B66,Tabelle2[Spalte3])</f>
        <v>1000</v>
      </c>
    </row>
    <row r="67" spans="2:4" x14ac:dyDescent="0.3">
      <c r="B67">
        <v>2025</v>
      </c>
      <c r="C67" s="23">
        <f>SUMIF(Tabelle1[Spalte2],B67,Tabelle1[Spalte3])</f>
        <v>0</v>
      </c>
      <c r="D67" s="23">
        <f>SUMIF(Tabelle2[Spalte2],B67,Tabelle2[Spalte3])</f>
        <v>0</v>
      </c>
    </row>
    <row r="68" spans="2:4" x14ac:dyDescent="0.3">
      <c r="B68">
        <v>2026</v>
      </c>
      <c r="C68" s="23">
        <f>SUMIF(Tabelle1[Spalte2],B68,Tabelle1[Spalte3])</f>
        <v>0</v>
      </c>
      <c r="D68" s="23">
        <f>SUMIF(Tabelle2[Spalte2],B68,Tabelle2[Spalte3])</f>
        <v>0</v>
      </c>
    </row>
    <row r="69" spans="2:4" x14ac:dyDescent="0.3">
      <c r="B69">
        <v>2027</v>
      </c>
      <c r="C69" s="23">
        <f>SUMIF(Tabelle1[Spalte2],B69,Tabelle1[Spalte3])</f>
        <v>500</v>
      </c>
      <c r="D69" s="23">
        <f>SUMIF(Tabelle2[Spalte2],B69,Tabelle2[Spalte3])</f>
        <v>0</v>
      </c>
    </row>
    <row r="70" spans="2:4" x14ac:dyDescent="0.3">
      <c r="B70">
        <v>2028</v>
      </c>
      <c r="C70" s="23">
        <f>SUMIF(Tabelle1[Spalte2],B70,Tabelle1[Spalte3])</f>
        <v>0</v>
      </c>
      <c r="D70" s="23">
        <f>SUMIF(Tabelle2[Spalte2],B70,Tabelle2[Spalte3])</f>
        <v>0</v>
      </c>
    </row>
    <row r="71" spans="2:4" x14ac:dyDescent="0.3">
      <c r="B71">
        <v>2029</v>
      </c>
      <c r="C71" s="23">
        <f>SUMIF(Tabelle1[Spalte2],B71,Tabelle1[Spalte3])</f>
        <v>0</v>
      </c>
      <c r="D71" s="23">
        <f>SUMIF(Tabelle2[Spalte2],B71,Tabelle2[Spalte3])</f>
        <v>0</v>
      </c>
    </row>
    <row r="72" spans="2:4" x14ac:dyDescent="0.3">
      <c r="B72">
        <v>2030</v>
      </c>
      <c r="C72" s="23">
        <f>SUMIF(Tabelle1[Spalte2],B72,Tabelle1[Spalte3])</f>
        <v>600</v>
      </c>
      <c r="D72" s="23">
        <f>SUMIF(Tabelle2[Spalte2],B72,Tabelle2[Spalte3])</f>
        <v>600</v>
      </c>
    </row>
    <row r="73" spans="2:4" x14ac:dyDescent="0.3">
      <c r="B73">
        <v>2031</v>
      </c>
      <c r="C73" s="23">
        <f>SUMIF(Tabelle1[Spalte2],B73,Tabelle1[Spalte3])</f>
        <v>0</v>
      </c>
      <c r="D73" s="23">
        <f>SUMIF(Tabelle2[Spalte2],B73,Tabelle2[Spalte3])</f>
        <v>0</v>
      </c>
    </row>
    <row r="74" spans="2:4" x14ac:dyDescent="0.3">
      <c r="B74">
        <v>2032</v>
      </c>
      <c r="C74" s="23">
        <f>SUMIF(Tabelle1[Spalte2],B74,Tabelle1[Spalte3])</f>
        <v>0</v>
      </c>
      <c r="D74" s="23">
        <f>SUMIF(Tabelle2[Spalte2],B74,Tabelle2[Spalte3])</f>
        <v>0</v>
      </c>
    </row>
    <row r="75" spans="2:4" x14ac:dyDescent="0.3">
      <c r="B75">
        <v>2033</v>
      </c>
      <c r="C75" s="23">
        <f>SUMIF(Tabelle1[Spalte2],B75,Tabelle1[Spalte3])</f>
        <v>0</v>
      </c>
      <c r="D75" s="23">
        <f>SUMIF(Tabelle2[Spalte2],B75,Tabelle2[Spalte3])</f>
        <v>0</v>
      </c>
    </row>
    <row r="76" spans="2:4" x14ac:dyDescent="0.3">
      <c r="B76">
        <v>2034</v>
      </c>
      <c r="C76" s="23">
        <f>SUMIF(Tabelle1[Spalte2],B76,Tabelle1[Spalte3])</f>
        <v>0</v>
      </c>
      <c r="D76" s="23">
        <f>SUMIF(Tabelle2[Spalte2],B76,Tabelle2[Spalte3])</f>
        <v>0</v>
      </c>
    </row>
    <row r="77" spans="2:4" x14ac:dyDescent="0.3">
      <c r="B77">
        <v>2035</v>
      </c>
      <c r="C77" s="23">
        <f>SUMIF(Tabelle1[Spalte2],B77,Tabelle1[Spalte3])</f>
        <v>0</v>
      </c>
      <c r="D77" s="23">
        <f>SUMIF(Tabelle2[Spalte2],B77,Tabelle2[Spalte3])</f>
        <v>0</v>
      </c>
    </row>
    <row r="78" spans="2:4" x14ac:dyDescent="0.3">
      <c r="B78">
        <v>2036</v>
      </c>
      <c r="C78" s="23">
        <f>SUMIF(Tabelle1[Spalte2],B78,Tabelle1[Spalte3])</f>
        <v>0</v>
      </c>
      <c r="D78" s="23">
        <f>SUMIF(Tabelle2[Spalte2],B78,Tabelle2[Spalte3])</f>
        <v>0</v>
      </c>
    </row>
    <row r="79" spans="2:4" x14ac:dyDescent="0.3">
      <c r="B79">
        <v>2037</v>
      </c>
      <c r="C79" s="23">
        <f>SUMIF(Tabelle1[Spalte2],B79,Tabelle1[Spalte3])</f>
        <v>0</v>
      </c>
      <c r="D79" s="23">
        <f>SUMIF(Tabelle2[Spalte2],B79,Tabelle2[Spalte3])</f>
        <v>0</v>
      </c>
    </row>
    <row r="80" spans="2:4" x14ac:dyDescent="0.3">
      <c r="B80">
        <v>2038</v>
      </c>
      <c r="C80" s="23">
        <f>SUMIF(Tabelle1[Spalte2],B80,Tabelle1[Spalte3])</f>
        <v>0</v>
      </c>
      <c r="D80" s="23">
        <f>SUMIF(Tabelle2[Spalte2],B80,Tabelle2[Spalte3])</f>
        <v>0</v>
      </c>
    </row>
    <row r="81" spans="2:4" x14ac:dyDescent="0.3">
      <c r="B81">
        <v>2039</v>
      </c>
      <c r="C81" s="23">
        <f>SUMIF(Tabelle1[Spalte2],B81,Tabelle1[Spalte3])</f>
        <v>0</v>
      </c>
      <c r="D81" s="23">
        <f>SUMIF(Tabelle2[Spalte2],B81,Tabelle2[Spalte3])</f>
        <v>0</v>
      </c>
    </row>
    <row r="82" spans="2:4" x14ac:dyDescent="0.3">
      <c r="B82">
        <v>2040</v>
      </c>
      <c r="C82" s="23">
        <f>SUMIF(Tabelle1[Spalte2],B82,Tabelle1[Spalte3])</f>
        <v>0</v>
      </c>
      <c r="D82" s="23">
        <f>SUMIF(Tabelle2[Spalte2],B82,Tabelle2[Spalte3])</f>
        <v>0</v>
      </c>
    </row>
    <row r="83" spans="2:4" x14ac:dyDescent="0.3">
      <c r="B83">
        <v>2041</v>
      </c>
      <c r="C83" s="23">
        <f>SUMIF(Tabelle1[Spalte2],B83,Tabelle1[Spalte3])</f>
        <v>0</v>
      </c>
      <c r="D83" s="23">
        <f>SUMIF(Tabelle2[Spalte2],B83,Tabelle2[Spalte3])</f>
        <v>0</v>
      </c>
    </row>
    <row r="84" spans="2:4" x14ac:dyDescent="0.3">
      <c r="B84">
        <v>2042</v>
      </c>
      <c r="C84" s="23">
        <f>SUMIF(Tabelle1[Spalte2],B84,Tabelle1[Spalte3])</f>
        <v>0</v>
      </c>
      <c r="D84" s="23">
        <f>SUMIF(Tabelle2[Spalte2],B84,Tabelle2[Spalte3])</f>
        <v>0</v>
      </c>
    </row>
    <row r="85" spans="2:4" x14ac:dyDescent="0.3">
      <c r="B85">
        <v>2043</v>
      </c>
      <c r="C85" s="23">
        <f>SUMIF(Tabelle1[Spalte2],B85,Tabelle1[Spalte3])</f>
        <v>0</v>
      </c>
      <c r="D85" s="23">
        <f>SUMIF(Tabelle2[Spalte2],B85,Tabelle2[Spalte3])</f>
        <v>0</v>
      </c>
    </row>
    <row r="86" spans="2:4" x14ac:dyDescent="0.3">
      <c r="B86">
        <v>2044</v>
      </c>
      <c r="C86" s="23">
        <f>SUMIF(Tabelle1[Spalte2],B86,Tabelle1[Spalte3])</f>
        <v>0</v>
      </c>
      <c r="D86" s="23">
        <f>SUMIF(Tabelle2[Spalte2],B86,Tabelle2[Spalte3])</f>
        <v>0</v>
      </c>
    </row>
    <row r="87" spans="2:4" x14ac:dyDescent="0.3">
      <c r="B87">
        <v>2045</v>
      </c>
      <c r="C87" s="23">
        <f>SUMIF(Tabelle1[Spalte2],B87,Tabelle1[Spalte3])</f>
        <v>0</v>
      </c>
      <c r="D87" s="23">
        <f>SUMIF(Tabelle2[Spalte2],B87,Tabelle2[Spalte3])</f>
        <v>0</v>
      </c>
    </row>
    <row r="88" spans="2:4" x14ac:dyDescent="0.3">
      <c r="B88">
        <v>2046</v>
      </c>
      <c r="C88" s="23">
        <f>SUMIF(Tabelle1[Spalte2],B88,Tabelle1[Spalte3])</f>
        <v>0</v>
      </c>
      <c r="D88" s="23">
        <f>SUMIF(Tabelle2[Spalte2],B88,Tabelle2[Spalte3])</f>
        <v>0</v>
      </c>
    </row>
    <row r="89" spans="2:4" x14ac:dyDescent="0.3">
      <c r="B89">
        <v>2047</v>
      </c>
      <c r="C89" s="23">
        <f>SUMIF(Tabelle1[Spalte2],B89,Tabelle1[Spalte3])</f>
        <v>0</v>
      </c>
      <c r="D89" s="23">
        <f>SUMIF(Tabelle2[Spalte2],B89,Tabelle2[Spalte3])</f>
        <v>0</v>
      </c>
    </row>
    <row r="90" spans="2:4" x14ac:dyDescent="0.3">
      <c r="B90">
        <v>2048</v>
      </c>
      <c r="C90" s="23">
        <f>SUMIF(Tabelle1[Spalte2],B90,Tabelle1[Spalte3])</f>
        <v>0</v>
      </c>
      <c r="D90" s="23">
        <f>SUMIF(Tabelle2[Spalte2],B90,Tabelle2[Spalte3])</f>
        <v>0</v>
      </c>
    </row>
    <row r="91" spans="2:4" x14ac:dyDescent="0.3">
      <c r="B91">
        <v>2049</v>
      </c>
      <c r="C91" s="23">
        <f>SUMIF(Tabelle1[Spalte2],B91,Tabelle1[Spalte3])</f>
        <v>0</v>
      </c>
      <c r="D91" s="23">
        <f>SUMIF(Tabelle2[Spalte2],B91,Tabelle2[Spalte3])</f>
        <v>0</v>
      </c>
    </row>
    <row r="92" spans="2:4" x14ac:dyDescent="0.3">
      <c r="B92">
        <v>2050</v>
      </c>
      <c r="C92" s="23">
        <f>SUMIF(Tabelle1[Spalte2],B92,Tabelle1[Spalte3])</f>
        <v>0</v>
      </c>
      <c r="D92" s="23">
        <f>SUMIF(Tabelle2[Spalte2],B92,Tabelle2[Spalte3])</f>
        <v>0</v>
      </c>
    </row>
  </sheetData>
  <conditionalFormatting sqref="B16">
    <cfRule type="timePeriod" dxfId="0" priority="1" timePeriod="lastWeek">
      <formula>AND(TODAY()-ROUNDDOWN(B16,0)&gt;=(WEEKDAY(TODAY())),TODAY()-ROUNDDOWN(B16,0)&lt;(WEEKDAY(TODAY())+7))</formula>
    </cfRule>
  </conditionalFormatting>
  <pageMargins left="0.7" right="0.7" top="0.78740157499999996" bottom="0.78740157499999996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4"/>
  <sheetViews>
    <sheetView zoomScale="70" zoomScaleNormal="70" workbookViewId="0">
      <selection activeCell="B42" sqref="B42"/>
    </sheetView>
  </sheetViews>
  <sheetFormatPr baseColWidth="10" defaultRowHeight="14.4" x14ac:dyDescent="0.3"/>
  <cols>
    <col min="1" max="1" width="11.21875" style="19" customWidth="1"/>
    <col min="2" max="2" width="13" customWidth="1"/>
    <col min="3" max="6" width="11.21875" customWidth="1"/>
    <col min="7" max="7" width="11.6640625" style="19" customWidth="1"/>
    <col min="8" max="12" width="11.6640625" customWidth="1"/>
  </cols>
  <sheetData>
    <row r="2" spans="2:12" ht="17.399999999999999" x14ac:dyDescent="0.3">
      <c r="B2" s="14" t="s">
        <v>72</v>
      </c>
      <c r="C2" t="s">
        <v>10</v>
      </c>
      <c r="D2" s="5">
        <v>43753</v>
      </c>
      <c r="E2" s="5"/>
      <c r="I2" t="s">
        <v>10</v>
      </c>
      <c r="J2" s="5">
        <v>43753</v>
      </c>
      <c r="K2" s="5"/>
    </row>
    <row r="3" spans="2:12" x14ac:dyDescent="0.3">
      <c r="C3" t="s">
        <v>11</v>
      </c>
      <c r="D3" s="5">
        <v>44119</v>
      </c>
      <c r="E3" s="36" t="s">
        <v>71</v>
      </c>
      <c r="I3" t="s">
        <v>11</v>
      </c>
      <c r="J3" s="5">
        <v>45945</v>
      </c>
    </row>
    <row r="4" spans="2:12" x14ac:dyDescent="0.3">
      <c r="C4" t="s">
        <v>12</v>
      </c>
      <c r="D4" s="6">
        <v>0.1</v>
      </c>
      <c r="I4" t="s">
        <v>12</v>
      </c>
      <c r="J4" s="6">
        <v>0.1</v>
      </c>
    </row>
    <row r="5" spans="2:12" x14ac:dyDescent="0.3">
      <c r="C5" t="s">
        <v>14</v>
      </c>
      <c r="D5">
        <v>2</v>
      </c>
      <c r="I5" t="s">
        <v>14</v>
      </c>
      <c r="J5">
        <v>2</v>
      </c>
    </row>
    <row r="6" spans="2:12" x14ac:dyDescent="0.3">
      <c r="C6" t="s">
        <v>67</v>
      </c>
      <c r="D6" s="34">
        <v>1.05</v>
      </c>
      <c r="I6" t="s">
        <v>67</v>
      </c>
      <c r="J6" s="12">
        <v>1</v>
      </c>
    </row>
    <row r="7" spans="2:12" x14ac:dyDescent="0.3">
      <c r="J7" s="12"/>
    </row>
    <row r="8" spans="2:12" x14ac:dyDescent="0.3">
      <c r="D8" s="12"/>
      <c r="E8" t="s">
        <v>73</v>
      </c>
      <c r="K8" t="s">
        <v>73</v>
      </c>
    </row>
    <row r="9" spans="2:12" x14ac:dyDescent="0.3">
      <c r="B9" t="s">
        <v>18</v>
      </c>
      <c r="C9" s="7">
        <v>5000</v>
      </c>
      <c r="E9" s="7">
        <v>0</v>
      </c>
      <c r="F9">
        <f>SUM(C9:E9)</f>
        <v>5000</v>
      </c>
      <c r="H9" t="s">
        <v>18</v>
      </c>
      <c r="I9" s="7">
        <v>5000</v>
      </c>
      <c r="K9" s="7">
        <v>0</v>
      </c>
      <c r="L9">
        <f>SUM(I9:K9)</f>
        <v>5000</v>
      </c>
    </row>
    <row r="10" spans="2:12" x14ac:dyDescent="0.3">
      <c r="B10" t="s">
        <v>19</v>
      </c>
      <c r="C10" s="7">
        <v>1.1000000000000001</v>
      </c>
      <c r="E10" s="7">
        <v>1</v>
      </c>
      <c r="F10" s="7">
        <v>1.1399999999999999</v>
      </c>
      <c r="H10" t="s">
        <v>19</v>
      </c>
      <c r="I10" s="7">
        <v>1.1000000000000001</v>
      </c>
      <c r="K10" s="7">
        <v>1</v>
      </c>
      <c r="L10" s="7"/>
    </row>
    <row r="11" spans="2:12" x14ac:dyDescent="0.3">
      <c r="B11" t="s">
        <v>74</v>
      </c>
      <c r="C11" s="1">
        <f ca="1">TODAY()</f>
        <v>43712</v>
      </c>
      <c r="E11" s="2">
        <f ca="1">TODAY()</f>
        <v>43712</v>
      </c>
      <c r="I11" s="2">
        <f ca="1">TODAY()</f>
        <v>43712</v>
      </c>
      <c r="K11" s="2">
        <f ca="1">TODAY()</f>
        <v>43712</v>
      </c>
    </row>
    <row r="12" spans="2:12" ht="15.6" x14ac:dyDescent="0.3">
      <c r="C12" s="4">
        <v>1.1200000000000001</v>
      </c>
      <c r="E12" s="24">
        <v>0.9</v>
      </c>
      <c r="I12" s="4">
        <v>1.1200000000000001</v>
      </c>
      <c r="K12" s="24">
        <v>0.9</v>
      </c>
    </row>
    <row r="13" spans="2:12" x14ac:dyDescent="0.3">
      <c r="I13">
        <v>102.8</v>
      </c>
    </row>
    <row r="16" spans="2:12" x14ac:dyDescent="0.3">
      <c r="C16" s="13">
        <f>ROUND(C9*C12/C10,2)</f>
        <v>5090.91</v>
      </c>
      <c r="E16" s="13">
        <f>ROUND(E9*E12/E10,2)</f>
        <v>0</v>
      </c>
      <c r="F16" s="13">
        <f>C16+IF(E$9&gt;0,E16,)</f>
        <v>5090.91</v>
      </c>
      <c r="I16" s="13">
        <f>ROUND(I9*I12/I10,2)</f>
        <v>5090.91</v>
      </c>
      <c r="K16" s="13">
        <f>ROUND(K9*K12/K10,2)</f>
        <v>0</v>
      </c>
      <c r="L16" s="13">
        <f>I16+IF(K$9&gt;0,K16,)</f>
        <v>5090.91</v>
      </c>
    </row>
    <row r="17" spans="1:12" x14ac:dyDescent="0.3">
      <c r="B17" s="13" t="s">
        <v>0</v>
      </c>
      <c r="C17" s="13">
        <f ca="1">IFERROR(ROUND(ACCRINT(D2-365/D5,D2,C11+3,D4,C9,1,1)/C10,2),0)</f>
        <v>180.57</v>
      </c>
      <c r="D17" s="15"/>
      <c r="E17" s="13">
        <f ca="1">IFERROR(ROUND(ACCRINT(E2-365/D5,E2,E11+2,D4,E9,1,1)/E10,2),0)</f>
        <v>0</v>
      </c>
      <c r="H17" s="13" t="s">
        <v>0</v>
      </c>
      <c r="I17" s="13">
        <f ca="1">IFERROR(ROUND(ACCRINT(J2-365/J5,J2,I11+3,J4,I9,1,1)/I10,2),0)</f>
        <v>180.57</v>
      </c>
      <c r="J17" s="15"/>
      <c r="K17" s="13">
        <f ca="1">IFERROR(ROUND(ACCRINT(K2-365/J5,K2,K11+2,J4,K9,1,1)/K10,2),0)</f>
        <v>0</v>
      </c>
    </row>
    <row r="18" spans="1:12" x14ac:dyDescent="0.3">
      <c r="B18" s="13" t="s">
        <v>1</v>
      </c>
      <c r="C18" s="13">
        <f>MAX(9.95,4.95+ROUND(C9*C12/C10*0.25%,2))</f>
        <v>17.68</v>
      </c>
      <c r="D18" s="3"/>
      <c r="E18" s="13">
        <f>IF(E9&gt;0,MAX(9.95,4.95+ROUND(E9*E12*0.25%,2)),0)</f>
        <v>0</v>
      </c>
      <c r="F18" s="13">
        <f>C18+IF(E$9&gt;0,E18,)</f>
        <v>17.68</v>
      </c>
      <c r="H18" s="13" t="s">
        <v>1</v>
      </c>
      <c r="I18" s="13">
        <f>MAX(9.95,4.95+ROUND(I9*I12/I10*0.25%,2))</f>
        <v>17.68</v>
      </c>
      <c r="J18" s="3"/>
      <c r="K18" s="13">
        <f>IF(K9&gt;0,MAX(9.95,4.95+ROUND(K9*K12*0.25%,2)),0)</f>
        <v>0</v>
      </c>
      <c r="L18" s="13"/>
    </row>
    <row r="19" spans="1:12" x14ac:dyDescent="0.3">
      <c r="B19" s="13" t="s">
        <v>2</v>
      </c>
      <c r="C19" s="13"/>
      <c r="E19" s="13"/>
      <c r="F19" s="13">
        <f>C19+IF(E$9&gt;0,E19,)</f>
        <v>0</v>
      </c>
      <c r="H19" s="13" t="s">
        <v>2</v>
      </c>
      <c r="I19" s="13"/>
      <c r="K19" s="13"/>
      <c r="L19" s="13">
        <f>I19+IF(K$9&gt;0,K19,)</f>
        <v>0</v>
      </c>
    </row>
    <row r="20" spans="1:12" x14ac:dyDescent="0.3">
      <c r="B20" s="13"/>
      <c r="C20" s="13"/>
      <c r="E20" s="13"/>
      <c r="H20" s="13"/>
      <c r="I20" s="13"/>
      <c r="K20" s="13"/>
    </row>
    <row r="21" spans="1:12" x14ac:dyDescent="0.3">
      <c r="B21" t="s">
        <v>3</v>
      </c>
      <c r="C21">
        <f>MAX(A:A)</f>
        <v>3</v>
      </c>
      <c r="E21">
        <f ca="1">COUNTIF(E30:E51,"&gt;0")</f>
        <v>0</v>
      </c>
      <c r="F21">
        <f>MAX(A:A)</f>
        <v>3</v>
      </c>
      <c r="H21" t="s">
        <v>3</v>
      </c>
      <c r="I21">
        <f>MAX(G:G)</f>
        <v>13</v>
      </c>
      <c r="K21">
        <f ca="1">COUNTIF(K30:K51,"&gt;0")</f>
        <v>0</v>
      </c>
      <c r="L21">
        <f>MAX(G:G)</f>
        <v>13</v>
      </c>
    </row>
    <row r="22" spans="1:12" x14ac:dyDescent="0.3">
      <c r="B22" t="s">
        <v>5</v>
      </c>
      <c r="C22">
        <f>ROUND(C21*D$4*C$9/D$5/C10,2)</f>
        <v>681.82</v>
      </c>
      <c r="E22">
        <f ca="1">ROUND(E21*D$4*E$9/D$5/E10,2)</f>
        <v>0</v>
      </c>
      <c r="H22" t="s">
        <v>5</v>
      </c>
      <c r="I22">
        <f>ROUND(I21*J$4*I$9/J$5/I10,2)</f>
        <v>2954.55</v>
      </c>
      <c r="K22">
        <f ca="1">ROUND(K21*J$4*K$9/J$5/K10,2)</f>
        <v>0</v>
      </c>
    </row>
    <row r="23" spans="1:12" s="18" customFormat="1" ht="23.4" x14ac:dyDescent="0.45">
      <c r="A23" s="20"/>
      <c r="B23" s="18" t="s">
        <v>4</v>
      </c>
      <c r="C23" s="22">
        <f ca="1">IFERROR(
XIRR(
OFFSET(C30,,,C21+COUNT(C$9:E$9),),
OFFSET(B30,,,C21+COUNT(C$9:E$9),)),
0)</f>
        <v>2.9708519577980038E-2</v>
      </c>
      <c r="D23"/>
      <c r="E23" s="22">
        <f ca="1">IFERROR(
XIRR(
OFFSET(E31,,,C21+1,),
OFFSET(B31,,,C21+1,)),
0)</f>
        <v>0</v>
      </c>
      <c r="F23" s="17">
        <f ca="1">IFERROR(
XIRR(
OFFSET(D30,,,F21+COUNT(C9:E9),),
OFFSET(B30,,,F21+COUNT(C9:E9),)),
0)</f>
        <v>2.9708519577980038E-2</v>
      </c>
      <c r="G23" s="20"/>
      <c r="H23" s="18" t="s">
        <v>4</v>
      </c>
      <c r="I23" s="22">
        <f ca="1">IFERROR(
XIRR(
OFFSET(I30,,,I21+COUNT(I$9:K$9),),
OFFSET(H30,,,I21+COUNT(I$9:K$9),)),
0)</f>
        <v>7.549594342708589E-2</v>
      </c>
      <c r="J23"/>
      <c r="K23" s="22">
        <f ca="1">IFERROR(
XIRR(
OFFSET(K31,,,I21+1,),
OFFSET(H31,,,I21+1,)),
0)</f>
        <v>0</v>
      </c>
      <c r="L23" s="17">
        <f ca="1">IFERROR(
XIRR(
OFFSET(J30,,,L21+COUNT(I9:K9),),
OFFSET(H30,,,L21+COUNT(I9:K9),)),
0)</f>
        <v>7.549594342708589E-2</v>
      </c>
    </row>
    <row r="24" spans="1:12" x14ac:dyDescent="0.3">
      <c r="B24" t="s">
        <v>77</v>
      </c>
      <c r="C24" s="15">
        <f ca="1">SUM(C16:C19)</f>
        <v>5289.16</v>
      </c>
      <c r="E24" s="15">
        <f ca="1">SUM(E16:E19)</f>
        <v>0</v>
      </c>
      <c r="H24" t="s">
        <v>77</v>
      </c>
      <c r="I24" s="15">
        <f ca="1">SUM(I16:I19)</f>
        <v>5289.16</v>
      </c>
      <c r="K24" s="15">
        <f ca="1">SUM(K16:K19)</f>
        <v>0</v>
      </c>
    </row>
    <row r="25" spans="1:12" x14ac:dyDescent="0.3">
      <c r="B25" t="s">
        <v>20</v>
      </c>
      <c r="C25" s="3">
        <f>(C16+C18+C19)*C10/C9</f>
        <v>1.1238898000000002</v>
      </c>
      <c r="E25" s="3">
        <f>IFERROR((E16+E18+E19)*E10/E9,0)</f>
        <v>0</v>
      </c>
      <c r="F25" s="3">
        <f>(C25*C9+E25*E9)/F9</f>
        <v>1.1238898000000002</v>
      </c>
      <c r="H25" t="s">
        <v>20</v>
      </c>
      <c r="I25" s="3">
        <f>(I16+I18+I19)*I10/I9</f>
        <v>1.1238898000000002</v>
      </c>
      <c r="K25" s="3">
        <f>IFERROR((K16+K18+K19)*K10/K9,0)</f>
        <v>0</v>
      </c>
      <c r="L25" s="3">
        <f>(I25*I9+K25*K9)/L9</f>
        <v>1.1238898000000002</v>
      </c>
    </row>
    <row r="26" spans="1:12" x14ac:dyDescent="0.3">
      <c r="B26" t="s">
        <v>6</v>
      </c>
      <c r="C26" s="8">
        <f ca="1">(D3-C11)/365</f>
        <v>1.1150684931506849</v>
      </c>
      <c r="D26" s="8"/>
      <c r="E26" s="8">
        <f ca="1">(D3-E11)/365</f>
        <v>1.1150684931506849</v>
      </c>
      <c r="F26" s="8">
        <f ca="1">(D3-TODAY())/365</f>
        <v>1.1150684931506849</v>
      </c>
      <c r="H26" t="s">
        <v>6</v>
      </c>
      <c r="I26" s="8">
        <f ca="1">(J3-I11)/365</f>
        <v>6.117808219178082</v>
      </c>
      <c r="J26" s="8"/>
      <c r="K26" s="8">
        <f ca="1">(J3-K11)/365</f>
        <v>6.117808219178082</v>
      </c>
      <c r="L26" s="8">
        <f ca="1">(J3-TODAY())/365</f>
        <v>6.117808219178082</v>
      </c>
    </row>
    <row r="27" spans="1:12" x14ac:dyDescent="0.3">
      <c r="B27" t="s">
        <v>13</v>
      </c>
      <c r="C27" s="15">
        <f ca="1">SUM(C30:C47)</f>
        <v>165.38000000000102</v>
      </c>
      <c r="E27" s="15">
        <f ca="1">SUM(E30:E47)</f>
        <v>0</v>
      </c>
      <c r="H27" t="s">
        <v>13</v>
      </c>
      <c r="I27" s="15">
        <f ca="1">SUM(I30:I47)</f>
        <v>2210.8100000000018</v>
      </c>
      <c r="K27" s="15">
        <f ca="1">SUM(K30:K47)</f>
        <v>0</v>
      </c>
    </row>
    <row r="28" spans="1:12" x14ac:dyDescent="0.3">
      <c r="B28" s="13"/>
      <c r="C28" s="13"/>
      <c r="E28" s="13"/>
      <c r="H28" s="13"/>
      <c r="I28" s="13"/>
      <c r="K28" s="13"/>
    </row>
    <row r="30" spans="1:12" x14ac:dyDescent="0.3">
      <c r="B30" s="1">
        <f ca="1">C11</f>
        <v>43712</v>
      </c>
      <c r="C30" s="15">
        <f ca="1">-SUM(C16:C19)</f>
        <v>-5289.16</v>
      </c>
      <c r="D30" s="13">
        <f ca="1">IF(C9&gt;0,-SUM(C16:C19),0)</f>
        <v>-5289.16</v>
      </c>
      <c r="E30" s="15">
        <f t="shared" ref="E30:E32" ca="1" si="0">IFERROR(D30-C30,"")</f>
        <v>0</v>
      </c>
      <c r="H30" s="1">
        <f ca="1">I11</f>
        <v>43712</v>
      </c>
      <c r="I30" s="15">
        <f ca="1">-SUM(I16:I19)</f>
        <v>-5289.16</v>
      </c>
      <c r="J30" s="13">
        <f ca="1">IF(I9&gt;0,-SUM(I16:I19),0)</f>
        <v>-5289.16</v>
      </c>
      <c r="K30" s="15">
        <f t="shared" ref="K30:K32" ca="1" si="1">IFERROR(J30-I30,"")</f>
        <v>0</v>
      </c>
    </row>
    <row r="31" spans="1:12" x14ac:dyDescent="0.3">
      <c r="B31" s="1">
        <f ca="1">E11</f>
        <v>43712</v>
      </c>
      <c r="D31" s="13">
        <f>IF(E9&gt;0,-SUM(E16:E19),0)</f>
        <v>0</v>
      </c>
      <c r="E31" s="15">
        <f t="shared" si="0"/>
        <v>0</v>
      </c>
      <c r="H31" s="1">
        <f ca="1">K11</f>
        <v>43712</v>
      </c>
      <c r="J31" s="13">
        <f>IF(K9&gt;0,-SUM(K16:K19),0)</f>
        <v>0</v>
      </c>
      <c r="K31" s="15">
        <f t="shared" si="1"/>
        <v>0</v>
      </c>
    </row>
    <row r="32" spans="1:12" x14ac:dyDescent="0.3">
      <c r="A32" s="19">
        <v>1</v>
      </c>
      <c r="B32" s="1">
        <f>D2</f>
        <v>43753</v>
      </c>
      <c r="C32">
        <f t="shared" ref="C32:C51" si="2">IF(ISNUMBER(B32),ROUND(IF(B33="",(D$4*C$9/D$5+C$9*D$6)/C$10,D$4*C$9/D$5/C$10),2),"")</f>
        <v>227.27</v>
      </c>
      <c r="D32" s="16">
        <f t="shared" ref="D32:D51" ca="1" si="3">IF(ISNUMBER(B32),ROUND(IF(B33="",D$4/D$5*SUMIF(C$11:E$11,"&lt;"&amp;B32,C$9:E$9)/C$10+SUMIF(C$11:E$11,"&lt;"&amp;B32,C$9:E$9)*D$6/C$10,D$4/D$5*SUMIF(C$11:E$11,"&lt;"&amp;B32,C$9:E$9)/C$10),2),"")</f>
        <v>227.27</v>
      </c>
      <c r="E32" s="15">
        <f t="shared" ca="1" si="0"/>
        <v>0</v>
      </c>
      <c r="G32" s="19">
        <v>1</v>
      </c>
      <c r="H32" s="1">
        <f>J2</f>
        <v>43753</v>
      </c>
      <c r="I32">
        <f t="shared" ref="I32:I51" si="4">IF(ISNUMBER(H32),ROUND(IF(H33="",(J$4*I$9/J$5+I$9*J$6)/I$10,J$4*I$9/J$5/I$10),2),"")</f>
        <v>227.27</v>
      </c>
      <c r="J32" s="16">
        <f t="shared" ref="J32:J51" ca="1" si="5">IF(ISNUMBER(H32),ROUND(IF(H33="",J$4/J$5*SUMIF(I$11:K$11,"&lt;"&amp;H32,I$9:K$9)/I$10+SUMIF(I$11:K$11,"&lt;"&amp;H32,I$9:K$9)*J$6/I$10,J$4/J$5*SUMIF(I$11:K$11,"&lt;"&amp;H32,I$9:K$9)/I$10),2),"")</f>
        <v>227.27</v>
      </c>
      <c r="K32" s="15">
        <f t="shared" ca="1" si="1"/>
        <v>0</v>
      </c>
    </row>
    <row r="33" spans="1:11" x14ac:dyDescent="0.3">
      <c r="A33" s="19">
        <f>IF(AND(B32&lt;D$3,B32&lt;&gt;0),A32+1,"")</f>
        <v>2</v>
      </c>
      <c r="B33" s="1">
        <f>IF(AND(B32&lt;D$3,B32&lt;&gt;0),DATE(IF(MONTH(B32)&gt;(12-12/D$5),YEAR(B32)+1,YEAR(B32)),IF(MONTH(B32)&gt;(12-12/D$5),MONTH(B32)-(12-12/D$5),MONTH(B32)+12/D$5),DAY(B32)),"")</f>
        <v>43936</v>
      </c>
      <c r="C33">
        <f t="shared" si="2"/>
        <v>227.27</v>
      </c>
      <c r="D33" s="16">
        <f t="shared" ca="1" si="3"/>
        <v>227.27</v>
      </c>
      <c r="E33" s="15">
        <f ca="1">IFERROR(D33-C33,"")</f>
        <v>0</v>
      </c>
      <c r="G33" s="19">
        <f>IF(AND(H32&lt;J$3,H32&lt;&gt;0),G32+1,"")</f>
        <v>2</v>
      </c>
      <c r="H33" s="1">
        <f>IF(AND(H32&lt;J$3,H32&lt;&gt;0),DATE(IF(MONTH(H32)&gt;(12-12/J$5),YEAR(H32)+1,YEAR(H32)),IF(MONTH(H32)&gt;(12-12/J$5),MONTH(H32)-(12-12/J$5),MONTH(H32)+12/J$5),DAY(H32)),"")</f>
        <v>43936</v>
      </c>
      <c r="I33">
        <f t="shared" si="4"/>
        <v>227.27</v>
      </c>
      <c r="J33" s="16">
        <f t="shared" ca="1" si="5"/>
        <v>227.27</v>
      </c>
      <c r="K33" s="15">
        <f ca="1">IFERROR(J33-I33,"")</f>
        <v>0</v>
      </c>
    </row>
    <row r="34" spans="1:11" x14ac:dyDescent="0.3">
      <c r="A34" s="19">
        <f t="shared" ref="A34:A51" si="6">IF(AND(B33&lt;D$3,B33&lt;&gt;0),A33+1,"")</f>
        <v>3</v>
      </c>
      <c r="B34" s="1">
        <f t="shared" ref="B34:B51" si="7">IF(AND(B33&lt;D$3,B33&lt;&gt;0),DATE(IF(MONTH(B33)&gt;(12-12/D$5),YEAR(B33)+1,YEAR(B33)),IF(MONTH(B33)&gt;(12-12/D$5),MONTH(B33)-(12-12/D$5),MONTH(B33)+12/D$5),DAY(B33)),"")</f>
        <v>44119</v>
      </c>
      <c r="C34">
        <f t="shared" si="2"/>
        <v>5000</v>
      </c>
      <c r="D34" s="16">
        <f t="shared" ca="1" si="3"/>
        <v>5000</v>
      </c>
      <c r="E34" s="15">
        <f t="shared" ref="E34:E51" ca="1" si="8">IFERROR(D34-C34,"")</f>
        <v>0</v>
      </c>
      <c r="G34" s="19">
        <f t="shared" ref="G34:G51" si="9">IF(AND(H33&lt;J$3,H33&lt;&gt;0),G33+1,"")</f>
        <v>3</v>
      </c>
      <c r="H34" s="1">
        <f t="shared" ref="H34:H51" si="10">IF(AND(H33&lt;J$3,H33&lt;&gt;0),DATE(IF(MONTH(H33)&gt;(12-12/J$5),YEAR(H33)+1,YEAR(H33)),IF(MONTH(H33)&gt;(12-12/J$5),MONTH(H33)-(12-12/J$5),MONTH(H33)+12/J$5),DAY(H33)),"")</f>
        <v>44119</v>
      </c>
      <c r="I34">
        <f t="shared" si="4"/>
        <v>227.27</v>
      </c>
      <c r="J34" s="16">
        <f t="shared" ca="1" si="5"/>
        <v>227.27</v>
      </c>
      <c r="K34" s="15">
        <f t="shared" ref="K34:K51" ca="1" si="11">IFERROR(J34-I34,"")</f>
        <v>0</v>
      </c>
    </row>
    <row r="35" spans="1:11" x14ac:dyDescent="0.3">
      <c r="A35" s="19" t="str">
        <f t="shared" si="6"/>
        <v/>
      </c>
      <c r="B35" s="1" t="str">
        <f t="shared" si="7"/>
        <v/>
      </c>
      <c r="C35" t="str">
        <f t="shared" si="2"/>
        <v/>
      </c>
      <c r="D35" s="16" t="str">
        <f t="shared" si="3"/>
        <v/>
      </c>
      <c r="E35" s="15" t="str">
        <f t="shared" si="8"/>
        <v/>
      </c>
      <c r="G35" s="19">
        <f t="shared" si="9"/>
        <v>4</v>
      </c>
      <c r="H35" s="1">
        <f t="shared" si="10"/>
        <v>44301</v>
      </c>
      <c r="I35">
        <f t="shared" si="4"/>
        <v>227.27</v>
      </c>
      <c r="J35" s="16">
        <f t="shared" ca="1" si="5"/>
        <v>227.27</v>
      </c>
      <c r="K35" s="15">
        <f t="shared" ca="1" si="11"/>
        <v>0</v>
      </c>
    </row>
    <row r="36" spans="1:11" x14ac:dyDescent="0.3">
      <c r="A36" s="19" t="str">
        <f t="shared" si="6"/>
        <v/>
      </c>
      <c r="B36" s="1" t="str">
        <f t="shared" si="7"/>
        <v/>
      </c>
      <c r="C36" t="str">
        <f t="shared" si="2"/>
        <v/>
      </c>
      <c r="D36" s="16" t="str">
        <f t="shared" si="3"/>
        <v/>
      </c>
      <c r="E36" s="15" t="str">
        <f t="shared" si="8"/>
        <v/>
      </c>
      <c r="G36" s="19">
        <f t="shared" si="9"/>
        <v>5</v>
      </c>
      <c r="H36" s="1">
        <f t="shared" si="10"/>
        <v>44484</v>
      </c>
      <c r="I36">
        <f t="shared" si="4"/>
        <v>227.27</v>
      </c>
      <c r="J36" s="16">
        <f t="shared" ca="1" si="5"/>
        <v>227.27</v>
      </c>
      <c r="K36" s="15">
        <f t="shared" ca="1" si="11"/>
        <v>0</v>
      </c>
    </row>
    <row r="37" spans="1:11" x14ac:dyDescent="0.3">
      <c r="A37" s="19" t="str">
        <f t="shared" si="6"/>
        <v/>
      </c>
      <c r="B37" s="1" t="str">
        <f t="shared" si="7"/>
        <v/>
      </c>
      <c r="C37" t="str">
        <f t="shared" si="2"/>
        <v/>
      </c>
      <c r="D37" s="16" t="str">
        <f t="shared" si="3"/>
        <v/>
      </c>
      <c r="E37" s="15" t="str">
        <f t="shared" si="8"/>
        <v/>
      </c>
      <c r="G37" s="19">
        <f t="shared" si="9"/>
        <v>6</v>
      </c>
      <c r="H37" s="1">
        <f t="shared" si="10"/>
        <v>44666</v>
      </c>
      <c r="I37">
        <f t="shared" si="4"/>
        <v>227.27</v>
      </c>
      <c r="J37" s="16">
        <f t="shared" ca="1" si="5"/>
        <v>227.27</v>
      </c>
      <c r="K37" s="15">
        <f t="shared" ca="1" si="11"/>
        <v>0</v>
      </c>
    </row>
    <row r="38" spans="1:11" x14ac:dyDescent="0.3">
      <c r="A38" s="19" t="str">
        <f t="shared" si="6"/>
        <v/>
      </c>
      <c r="B38" s="1" t="str">
        <f t="shared" si="7"/>
        <v/>
      </c>
      <c r="C38" t="str">
        <f t="shared" si="2"/>
        <v/>
      </c>
      <c r="D38" s="16" t="str">
        <f t="shared" si="3"/>
        <v/>
      </c>
      <c r="E38" s="15" t="str">
        <f t="shared" si="8"/>
        <v/>
      </c>
      <c r="G38" s="19">
        <f t="shared" si="9"/>
        <v>7</v>
      </c>
      <c r="H38" s="1">
        <f t="shared" si="10"/>
        <v>44849</v>
      </c>
      <c r="I38">
        <f t="shared" si="4"/>
        <v>227.27</v>
      </c>
      <c r="J38" s="16">
        <f t="shared" ca="1" si="5"/>
        <v>227.27</v>
      </c>
      <c r="K38" s="15">
        <f t="shared" ca="1" si="11"/>
        <v>0</v>
      </c>
    </row>
    <row r="39" spans="1:11" x14ac:dyDescent="0.3">
      <c r="A39" s="19" t="str">
        <f t="shared" si="6"/>
        <v/>
      </c>
      <c r="B39" s="1" t="str">
        <f t="shared" si="7"/>
        <v/>
      </c>
      <c r="C39" t="str">
        <f t="shared" si="2"/>
        <v/>
      </c>
      <c r="D39" s="16" t="str">
        <f t="shared" si="3"/>
        <v/>
      </c>
      <c r="E39" s="15" t="str">
        <f t="shared" si="8"/>
        <v/>
      </c>
      <c r="G39" s="19">
        <f t="shared" si="9"/>
        <v>8</v>
      </c>
      <c r="H39" s="1">
        <f t="shared" si="10"/>
        <v>45031</v>
      </c>
      <c r="I39">
        <f t="shared" si="4"/>
        <v>227.27</v>
      </c>
      <c r="J39" s="16">
        <f t="shared" ca="1" si="5"/>
        <v>227.27</v>
      </c>
      <c r="K39" s="15">
        <f t="shared" ca="1" si="11"/>
        <v>0</v>
      </c>
    </row>
    <row r="40" spans="1:11" x14ac:dyDescent="0.3">
      <c r="A40" s="19" t="str">
        <f t="shared" si="6"/>
        <v/>
      </c>
      <c r="B40" s="1" t="str">
        <f t="shared" si="7"/>
        <v/>
      </c>
      <c r="C40" t="str">
        <f t="shared" si="2"/>
        <v/>
      </c>
      <c r="D40" s="16" t="str">
        <f t="shared" si="3"/>
        <v/>
      </c>
      <c r="E40" s="15" t="str">
        <f t="shared" si="8"/>
        <v/>
      </c>
      <c r="G40" s="19">
        <f t="shared" si="9"/>
        <v>9</v>
      </c>
      <c r="H40" s="1">
        <f t="shared" si="10"/>
        <v>45214</v>
      </c>
      <c r="I40">
        <f t="shared" si="4"/>
        <v>227.27</v>
      </c>
      <c r="J40" s="16">
        <f t="shared" ca="1" si="5"/>
        <v>227.27</v>
      </c>
      <c r="K40" s="15">
        <f t="shared" ca="1" si="11"/>
        <v>0</v>
      </c>
    </row>
    <row r="41" spans="1:11" x14ac:dyDescent="0.3">
      <c r="A41" s="19" t="str">
        <f t="shared" si="6"/>
        <v/>
      </c>
      <c r="B41" s="1" t="str">
        <f t="shared" si="7"/>
        <v/>
      </c>
      <c r="C41" t="str">
        <f t="shared" si="2"/>
        <v/>
      </c>
      <c r="D41" s="16" t="str">
        <f t="shared" si="3"/>
        <v/>
      </c>
      <c r="E41" s="15" t="str">
        <f t="shared" si="8"/>
        <v/>
      </c>
      <c r="G41" s="19">
        <f t="shared" si="9"/>
        <v>10</v>
      </c>
      <c r="H41" s="1">
        <f t="shared" si="10"/>
        <v>45397</v>
      </c>
      <c r="I41">
        <f t="shared" si="4"/>
        <v>227.27</v>
      </c>
      <c r="J41" s="16">
        <f t="shared" ca="1" si="5"/>
        <v>227.27</v>
      </c>
      <c r="K41" s="15">
        <f t="shared" ca="1" si="11"/>
        <v>0</v>
      </c>
    </row>
    <row r="42" spans="1:11" x14ac:dyDescent="0.3">
      <c r="A42" s="19" t="str">
        <f t="shared" si="6"/>
        <v/>
      </c>
      <c r="B42" s="1" t="str">
        <f t="shared" si="7"/>
        <v/>
      </c>
      <c r="C42" t="str">
        <f t="shared" si="2"/>
        <v/>
      </c>
      <c r="D42" s="16" t="str">
        <f t="shared" si="3"/>
        <v/>
      </c>
      <c r="E42" s="15" t="str">
        <f t="shared" si="8"/>
        <v/>
      </c>
      <c r="G42" s="19">
        <f t="shared" si="9"/>
        <v>11</v>
      </c>
      <c r="H42" s="1">
        <f t="shared" si="10"/>
        <v>45580</v>
      </c>
      <c r="I42">
        <f t="shared" si="4"/>
        <v>227.27</v>
      </c>
      <c r="J42" s="16">
        <f t="shared" ca="1" si="5"/>
        <v>227.27</v>
      </c>
      <c r="K42" s="15">
        <f t="shared" ca="1" si="11"/>
        <v>0</v>
      </c>
    </row>
    <row r="43" spans="1:11" x14ac:dyDescent="0.3">
      <c r="A43" s="19" t="str">
        <f t="shared" si="6"/>
        <v/>
      </c>
      <c r="B43" s="1" t="str">
        <f t="shared" si="7"/>
        <v/>
      </c>
      <c r="C43" t="str">
        <f t="shared" si="2"/>
        <v/>
      </c>
      <c r="D43" s="16" t="str">
        <f t="shared" si="3"/>
        <v/>
      </c>
      <c r="E43" s="15" t="str">
        <f t="shared" si="8"/>
        <v/>
      </c>
      <c r="G43" s="19">
        <f t="shared" si="9"/>
        <v>12</v>
      </c>
      <c r="H43" s="1">
        <f t="shared" si="10"/>
        <v>45762</v>
      </c>
      <c r="I43">
        <f t="shared" si="4"/>
        <v>227.27</v>
      </c>
      <c r="J43" s="16">
        <f t="shared" ca="1" si="5"/>
        <v>227.27</v>
      </c>
      <c r="K43" s="15">
        <f t="shared" ca="1" si="11"/>
        <v>0</v>
      </c>
    </row>
    <row r="44" spans="1:11" x14ac:dyDescent="0.3">
      <c r="A44" s="19" t="str">
        <f t="shared" si="6"/>
        <v/>
      </c>
      <c r="B44" s="1" t="str">
        <f t="shared" si="7"/>
        <v/>
      </c>
      <c r="C44" t="str">
        <f t="shared" si="2"/>
        <v/>
      </c>
      <c r="D44" s="16" t="str">
        <f t="shared" si="3"/>
        <v/>
      </c>
      <c r="E44" s="15" t="str">
        <f t="shared" si="8"/>
        <v/>
      </c>
      <c r="G44" s="19">
        <f t="shared" si="9"/>
        <v>13</v>
      </c>
      <c r="H44" s="1">
        <f t="shared" si="10"/>
        <v>45945</v>
      </c>
      <c r="I44">
        <f t="shared" si="4"/>
        <v>4772.7299999999996</v>
      </c>
      <c r="J44" s="16">
        <f t="shared" ca="1" si="5"/>
        <v>4772.7299999999996</v>
      </c>
      <c r="K44" s="15">
        <f t="shared" ca="1" si="11"/>
        <v>0</v>
      </c>
    </row>
    <row r="45" spans="1:11" x14ac:dyDescent="0.3">
      <c r="A45" s="19" t="str">
        <f t="shared" si="6"/>
        <v/>
      </c>
      <c r="B45" s="1" t="str">
        <f t="shared" si="7"/>
        <v/>
      </c>
      <c r="C45" t="str">
        <f t="shared" si="2"/>
        <v/>
      </c>
      <c r="D45" s="16" t="str">
        <f t="shared" si="3"/>
        <v/>
      </c>
      <c r="E45" s="15" t="str">
        <f t="shared" si="8"/>
        <v/>
      </c>
      <c r="G45" s="19" t="str">
        <f t="shared" si="9"/>
        <v/>
      </c>
      <c r="H45" s="1" t="str">
        <f t="shared" si="10"/>
        <v/>
      </c>
      <c r="I45" t="str">
        <f t="shared" si="4"/>
        <v/>
      </c>
      <c r="J45" s="16" t="str">
        <f t="shared" si="5"/>
        <v/>
      </c>
      <c r="K45" s="15" t="str">
        <f t="shared" si="11"/>
        <v/>
      </c>
    </row>
    <row r="46" spans="1:11" x14ac:dyDescent="0.3">
      <c r="A46" s="19" t="str">
        <f t="shared" si="6"/>
        <v/>
      </c>
      <c r="B46" s="1" t="str">
        <f t="shared" si="7"/>
        <v/>
      </c>
      <c r="C46" t="str">
        <f t="shared" si="2"/>
        <v/>
      </c>
      <c r="D46" s="16" t="str">
        <f t="shared" si="3"/>
        <v/>
      </c>
      <c r="E46" s="15" t="str">
        <f t="shared" si="8"/>
        <v/>
      </c>
      <c r="G46" s="19" t="str">
        <f t="shared" si="9"/>
        <v/>
      </c>
      <c r="H46" s="1" t="str">
        <f t="shared" si="10"/>
        <v/>
      </c>
      <c r="I46" t="str">
        <f t="shared" si="4"/>
        <v/>
      </c>
      <c r="J46" s="16" t="str">
        <f t="shared" si="5"/>
        <v/>
      </c>
      <c r="K46" s="15" t="str">
        <f t="shared" si="11"/>
        <v/>
      </c>
    </row>
    <row r="47" spans="1:11" x14ac:dyDescent="0.3">
      <c r="A47" s="19" t="str">
        <f t="shared" si="6"/>
        <v/>
      </c>
      <c r="B47" s="1" t="str">
        <f t="shared" si="7"/>
        <v/>
      </c>
      <c r="C47" t="str">
        <f t="shared" si="2"/>
        <v/>
      </c>
      <c r="D47" s="16" t="str">
        <f t="shared" si="3"/>
        <v/>
      </c>
      <c r="E47" s="15" t="str">
        <f t="shared" si="8"/>
        <v/>
      </c>
      <c r="G47" s="19" t="str">
        <f t="shared" si="9"/>
        <v/>
      </c>
      <c r="H47" s="1" t="str">
        <f t="shared" si="10"/>
        <v/>
      </c>
      <c r="I47" t="str">
        <f t="shared" si="4"/>
        <v/>
      </c>
      <c r="J47" s="16" t="str">
        <f t="shared" si="5"/>
        <v/>
      </c>
      <c r="K47" s="15" t="str">
        <f t="shared" si="11"/>
        <v/>
      </c>
    </row>
    <row r="48" spans="1:11" x14ac:dyDescent="0.3">
      <c r="A48" s="19" t="str">
        <f t="shared" si="6"/>
        <v/>
      </c>
      <c r="B48" s="1" t="str">
        <f t="shared" si="7"/>
        <v/>
      </c>
      <c r="C48" t="str">
        <f t="shared" si="2"/>
        <v/>
      </c>
      <c r="D48" s="16" t="str">
        <f t="shared" si="3"/>
        <v/>
      </c>
      <c r="E48" s="15" t="str">
        <f t="shared" si="8"/>
        <v/>
      </c>
      <c r="G48" s="19" t="str">
        <f t="shared" si="9"/>
        <v/>
      </c>
      <c r="H48" s="1" t="str">
        <f t="shared" si="10"/>
        <v/>
      </c>
      <c r="I48" t="str">
        <f t="shared" si="4"/>
        <v/>
      </c>
      <c r="J48" s="16" t="str">
        <f t="shared" si="5"/>
        <v/>
      </c>
      <c r="K48" s="15" t="str">
        <f t="shared" si="11"/>
        <v/>
      </c>
    </row>
    <row r="49" spans="1:11" x14ac:dyDescent="0.3">
      <c r="A49" s="19" t="str">
        <f t="shared" si="6"/>
        <v/>
      </c>
      <c r="B49" s="1" t="str">
        <f t="shared" si="7"/>
        <v/>
      </c>
      <c r="C49" t="str">
        <f t="shared" si="2"/>
        <v/>
      </c>
      <c r="D49" s="16" t="str">
        <f t="shared" si="3"/>
        <v/>
      </c>
      <c r="E49" s="15" t="str">
        <f t="shared" si="8"/>
        <v/>
      </c>
      <c r="G49" s="19" t="str">
        <f t="shared" si="9"/>
        <v/>
      </c>
      <c r="H49" s="1" t="str">
        <f t="shared" si="10"/>
        <v/>
      </c>
      <c r="I49" t="str">
        <f t="shared" si="4"/>
        <v/>
      </c>
      <c r="J49" s="16" t="str">
        <f t="shared" si="5"/>
        <v/>
      </c>
      <c r="K49" s="15" t="str">
        <f t="shared" si="11"/>
        <v/>
      </c>
    </row>
    <row r="50" spans="1:11" x14ac:dyDescent="0.3">
      <c r="A50" s="19" t="str">
        <f t="shared" si="6"/>
        <v/>
      </c>
      <c r="B50" s="1" t="str">
        <f t="shared" si="7"/>
        <v/>
      </c>
      <c r="C50" t="str">
        <f t="shared" si="2"/>
        <v/>
      </c>
      <c r="D50" s="16" t="str">
        <f t="shared" si="3"/>
        <v/>
      </c>
      <c r="E50" s="15" t="str">
        <f t="shared" si="8"/>
        <v/>
      </c>
      <c r="G50" s="19" t="str">
        <f t="shared" si="9"/>
        <v/>
      </c>
      <c r="H50" s="1" t="str">
        <f t="shared" si="10"/>
        <v/>
      </c>
      <c r="I50" t="str">
        <f t="shared" si="4"/>
        <v/>
      </c>
      <c r="J50" s="16" t="str">
        <f t="shared" si="5"/>
        <v/>
      </c>
      <c r="K50" s="15" t="str">
        <f t="shared" si="11"/>
        <v/>
      </c>
    </row>
    <row r="51" spans="1:11" x14ac:dyDescent="0.3">
      <c r="A51" s="19" t="str">
        <f t="shared" si="6"/>
        <v/>
      </c>
      <c r="B51" s="1" t="str">
        <f t="shared" si="7"/>
        <v/>
      </c>
      <c r="C51" t="str">
        <f t="shared" si="2"/>
        <v/>
      </c>
      <c r="D51" s="16" t="str">
        <f t="shared" si="3"/>
        <v/>
      </c>
      <c r="E51" s="15" t="str">
        <f t="shared" si="8"/>
        <v/>
      </c>
      <c r="G51" s="19" t="str">
        <f t="shared" si="9"/>
        <v/>
      </c>
      <c r="H51" s="1" t="str">
        <f t="shared" si="10"/>
        <v/>
      </c>
      <c r="I51" t="str">
        <f t="shared" si="4"/>
        <v/>
      </c>
      <c r="J51" s="16" t="str">
        <f t="shared" si="5"/>
        <v/>
      </c>
      <c r="K51" s="15" t="str">
        <f t="shared" si="11"/>
        <v/>
      </c>
    </row>
    <row r="63" spans="1:11" x14ac:dyDescent="0.3">
      <c r="C63" t="s">
        <v>22</v>
      </c>
      <c r="I63" t="s">
        <v>22</v>
      </c>
    </row>
    <row r="64" spans="1:11" x14ac:dyDescent="0.3">
      <c r="C64" t="s">
        <v>21</v>
      </c>
      <c r="I64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1"/>
  <sheetViews>
    <sheetView zoomScale="70" zoomScaleNormal="70" workbookViewId="0">
      <selection activeCell="D23" sqref="D23"/>
    </sheetView>
  </sheetViews>
  <sheetFormatPr baseColWidth="10" defaultRowHeight="14.4" x14ac:dyDescent="0.3"/>
  <cols>
    <col min="1" max="1" width="11.5546875" style="19"/>
    <col min="3" max="3" width="13.6640625" customWidth="1"/>
    <col min="4" max="4" width="21.5546875" customWidth="1"/>
    <col min="5" max="5" width="14.44140625" customWidth="1"/>
    <col min="6" max="6" width="13.109375" bestFit="1" customWidth="1"/>
    <col min="7" max="7" width="11.6640625" style="19" customWidth="1"/>
    <col min="8" max="16" width="11.6640625" customWidth="1"/>
  </cols>
  <sheetData>
    <row r="2" spans="2:12" ht="17.399999999999999" x14ac:dyDescent="0.3">
      <c r="B2" s="14" t="s">
        <v>66</v>
      </c>
      <c r="C2" t="s">
        <v>10</v>
      </c>
      <c r="D2" s="5">
        <v>43840</v>
      </c>
      <c r="E2" s="5"/>
      <c r="H2" t="s">
        <v>60</v>
      </c>
      <c r="I2" t="s">
        <v>10</v>
      </c>
      <c r="J2" s="5">
        <v>43612</v>
      </c>
      <c r="K2" s="5"/>
    </row>
    <row r="3" spans="2:12" x14ac:dyDescent="0.3">
      <c r="C3" t="s">
        <v>11</v>
      </c>
      <c r="D3" s="5">
        <v>44751</v>
      </c>
      <c r="I3" t="s">
        <v>11</v>
      </c>
      <c r="J3" s="5">
        <v>44708</v>
      </c>
    </row>
    <row r="4" spans="2:12" x14ac:dyDescent="0.3">
      <c r="C4" t="s">
        <v>12</v>
      </c>
      <c r="D4" s="6">
        <v>9.5000000000000001E-2</v>
      </c>
      <c r="I4" t="s">
        <v>12</v>
      </c>
      <c r="J4" s="6">
        <v>5.5E-2</v>
      </c>
    </row>
    <row r="5" spans="2:12" x14ac:dyDescent="0.3">
      <c r="C5" t="s">
        <v>14</v>
      </c>
      <c r="D5">
        <v>2</v>
      </c>
      <c r="I5" t="s">
        <v>14</v>
      </c>
      <c r="J5">
        <v>4</v>
      </c>
    </row>
    <row r="7" spans="2:12" x14ac:dyDescent="0.3">
      <c r="B7" t="s">
        <v>18</v>
      </c>
      <c r="C7" s="7">
        <v>2000</v>
      </c>
      <c r="E7" s="7">
        <v>0</v>
      </c>
      <c r="F7">
        <f>SUM(C7:E7)</f>
        <v>2000</v>
      </c>
      <c r="H7" t="s">
        <v>18</v>
      </c>
      <c r="I7" s="7">
        <f>C7</f>
        <v>2000</v>
      </c>
      <c r="K7" s="7">
        <v>0</v>
      </c>
      <c r="L7">
        <f>SUM(I7:K7)</f>
        <v>2000</v>
      </c>
    </row>
    <row r="8" spans="2:12" x14ac:dyDescent="0.3">
      <c r="B8" t="s">
        <v>19</v>
      </c>
      <c r="C8" s="7">
        <v>1</v>
      </c>
      <c r="E8" s="7">
        <v>1</v>
      </c>
      <c r="F8" s="7">
        <v>1.1399999999999999</v>
      </c>
      <c r="H8" t="s">
        <v>19</v>
      </c>
      <c r="I8" s="7">
        <v>1</v>
      </c>
      <c r="K8" s="7">
        <v>1</v>
      </c>
      <c r="L8" s="7"/>
    </row>
    <row r="9" spans="2:12" x14ac:dyDescent="0.3">
      <c r="C9" s="1">
        <f ca="1">TODAY()</f>
        <v>43712</v>
      </c>
      <c r="E9" s="2">
        <f ca="1">TODAY()</f>
        <v>43712</v>
      </c>
      <c r="I9" s="2">
        <f ca="1">TODAY()</f>
        <v>43712</v>
      </c>
      <c r="K9" s="2">
        <f ca="1">TODAY()</f>
        <v>43712</v>
      </c>
    </row>
    <row r="10" spans="2:12" ht="15.6" x14ac:dyDescent="0.3">
      <c r="C10" s="4">
        <v>0.98</v>
      </c>
      <c r="E10" s="24">
        <v>0.9</v>
      </c>
      <c r="I10" s="4">
        <v>1.002</v>
      </c>
      <c r="K10" s="24">
        <v>0.9</v>
      </c>
    </row>
    <row r="14" spans="2:12" x14ac:dyDescent="0.3">
      <c r="C14" s="13">
        <f>ROUND(C7*C10/C8,2)</f>
        <v>1960</v>
      </c>
      <c r="E14" s="13">
        <f>ROUND(E7*E10/E8,2)</f>
        <v>0</v>
      </c>
      <c r="F14" s="13">
        <f>C14+IF(E$7&gt;0,E14,)</f>
        <v>1960</v>
      </c>
      <c r="I14" s="13">
        <f>ROUND(I7*I10/I8,2)</f>
        <v>2004</v>
      </c>
      <c r="K14" s="13">
        <f>ROUND(K7*K10/K8,2)</f>
        <v>0</v>
      </c>
      <c r="L14" s="13">
        <f>I14+IF(K$7&gt;0,K14,)</f>
        <v>2004</v>
      </c>
    </row>
    <row r="15" spans="2:12" x14ac:dyDescent="0.3">
      <c r="B15" s="13" t="s">
        <v>0</v>
      </c>
      <c r="C15" s="13">
        <f ca="1">IFERROR(ROUND(ACCRINT(D2-365/D5,D2,C9+3,D4,C7,1,1)/C8,2),0)</f>
        <v>30.19</v>
      </c>
      <c r="D15" s="15"/>
      <c r="E15" s="13">
        <f ca="1">IFERROR(ROUND(ACCRINT(E2-365/D5,E2,E9+2,D4,E7,1,1)/E8,2),0)</f>
        <v>0</v>
      </c>
      <c r="H15" s="13" t="s">
        <v>0</v>
      </c>
      <c r="I15" s="13">
        <f ca="1">IFERROR(ROUND(ACCRINT(J2-365/J5,J2,I9+2,J4,I7,1,1)/I8,2),0)</f>
        <v>58.47</v>
      </c>
      <c r="J15" s="15"/>
      <c r="K15" s="13">
        <f ca="1">IFERROR(ROUND(ACCRINT(K2-365/J5,K2,K9+2,J4,K7,1,1)/K8,2),0)</f>
        <v>0</v>
      </c>
    </row>
    <row r="16" spans="2:12" x14ac:dyDescent="0.3">
      <c r="B16" s="13" t="s">
        <v>1</v>
      </c>
      <c r="C16" s="13">
        <f>MAX(9.95,4.95+ROUND(C7*C10/C8*0.25%,2))</f>
        <v>9.9499999999999993</v>
      </c>
      <c r="D16" s="3"/>
      <c r="E16" s="13">
        <f>MAX(9.95,4.95+ROUND(E7*E10*0.25%,2))</f>
        <v>9.9499999999999993</v>
      </c>
      <c r="F16" s="13">
        <f>C16+IF(E$7&gt;0,E16,)</f>
        <v>9.9499999999999993</v>
      </c>
      <c r="H16" s="13" t="s">
        <v>1</v>
      </c>
      <c r="I16" s="13">
        <f>MAX(9.95,4.95+ROUND(I7*I10/I8*0.25%,2))</f>
        <v>9.9600000000000009</v>
      </c>
      <c r="J16" s="3"/>
      <c r="K16" s="13"/>
      <c r="L16" s="13">
        <f>I16+IF(K$7&gt;0,K16,)</f>
        <v>9.9600000000000009</v>
      </c>
    </row>
    <row r="17" spans="1:12" x14ac:dyDescent="0.3">
      <c r="B17" s="13" t="s">
        <v>2</v>
      </c>
      <c r="C17" s="13"/>
      <c r="E17" s="13"/>
      <c r="F17" s="13">
        <f>C17+IF(E$7&gt;0,E17,)</f>
        <v>0</v>
      </c>
      <c r="H17" s="13" t="s">
        <v>2</v>
      </c>
      <c r="I17" s="13"/>
      <c r="K17" s="13"/>
      <c r="L17" s="13">
        <f>I17+IF(K$7&gt;0,K17,)</f>
        <v>0</v>
      </c>
    </row>
    <row r="18" spans="1:12" x14ac:dyDescent="0.3">
      <c r="B18" s="13"/>
      <c r="C18" s="13"/>
      <c r="E18" s="13"/>
      <c r="H18" s="13"/>
      <c r="I18" s="13"/>
      <c r="K18" s="13"/>
    </row>
    <row r="19" spans="1:12" x14ac:dyDescent="0.3">
      <c r="B19" t="s">
        <v>3</v>
      </c>
      <c r="C19">
        <f>MAX(A:A)</f>
        <v>6</v>
      </c>
      <c r="E19">
        <f ca="1">COUNTIF(E27:E48,"&gt;0")</f>
        <v>0</v>
      </c>
      <c r="F19">
        <f>MAX(A:A)</f>
        <v>6</v>
      </c>
      <c r="H19" t="s">
        <v>3</v>
      </c>
      <c r="I19">
        <f>MAX(G:G)</f>
        <v>13</v>
      </c>
      <c r="K19">
        <f ca="1">COUNTIF(K27:K48,"&gt;0")</f>
        <v>0</v>
      </c>
      <c r="L19">
        <f>MAX(G:G)</f>
        <v>13</v>
      </c>
    </row>
    <row r="20" spans="1:12" x14ac:dyDescent="0.3">
      <c r="B20" t="s">
        <v>5</v>
      </c>
      <c r="C20">
        <f>ROUND(C19*D$4*C$7/D$5/C8,2)</f>
        <v>570</v>
      </c>
      <c r="E20">
        <f ca="1">ROUND(E19*D$4*E$7/D$5/E8,2)</f>
        <v>0</v>
      </c>
      <c r="H20" t="s">
        <v>5</v>
      </c>
      <c r="I20">
        <f>ROUND(I19*J$4*I$7/J$5/I8,2)</f>
        <v>357.5</v>
      </c>
      <c r="K20">
        <f ca="1">ROUND(K19*J$4*K$7/J$5/K8,2)</f>
        <v>0</v>
      </c>
    </row>
    <row r="21" spans="1:12" s="18" customFormat="1" ht="23.4" x14ac:dyDescent="0.45">
      <c r="A21" s="20"/>
      <c r="B21" s="18" t="s">
        <v>4</v>
      </c>
      <c r="C21" s="22">
        <f ca="1">IFERROR(
XIRR(
OFFSET(C27,,,C19+COUNT(C$7:E$7),),
OFFSET(B27,,,C19+COUNT(C$7:E$7),)),
0)</f>
        <v>0.10329676270484925</v>
      </c>
      <c r="D21"/>
      <c r="E21" s="22">
        <f ca="1">IFERROR(
XIRR(
OFFSET(E28,,,C19+1,),
OFFSET(B28,,,C19+1,)),
0)</f>
        <v>0</v>
      </c>
      <c r="F21" s="17">
        <f ca="1">IFERROR(
XIRR(
OFFSET(D27,,,F19+COUNT(C7:E7),),
OFFSET(B27,,,F19+COUNT(C7:E7),)),
0)</f>
        <v>0.10329676270484925</v>
      </c>
      <c r="G21" s="20"/>
      <c r="H21" s="18" t="s">
        <v>4</v>
      </c>
      <c r="I21" s="22">
        <f ca="1">IFERROR(
XIRR(
OFFSET(I27,,,I19+COUNT(I$7:K$7),),
OFFSET(H27,,,I19+COUNT(I$7:K$7),)),
0)</f>
        <v>5.3114828467369077E-2</v>
      </c>
      <c r="J21"/>
      <c r="K21" s="22">
        <f ca="1">IFERROR(
XIRR(
OFFSET(K28,,,I19+1,),
OFFSET(H28,,,I19+1,)),
0)</f>
        <v>0</v>
      </c>
      <c r="L21" s="17">
        <f ca="1">IFERROR(
XIRR(
OFFSET(J27,,,L19+COUNT(I7:K7),),
OFFSET(H27,,,L19+COUNT(I7:K7),)),
0)</f>
        <v>4.1989299654960635E-2</v>
      </c>
    </row>
    <row r="22" spans="1:12" x14ac:dyDescent="0.3">
      <c r="B22" t="s">
        <v>20</v>
      </c>
      <c r="C22" s="3">
        <f>(C14+C16+C17)*C8/C7</f>
        <v>0.98497500000000004</v>
      </c>
      <c r="E22" s="3">
        <f>IFERROR((E14+E16+E17)*E8/E7,0)</f>
        <v>0</v>
      </c>
      <c r="F22" s="3">
        <f>(C22*C7+E22*E7)/F7</f>
        <v>0.98497500000000004</v>
      </c>
      <c r="H22" t="s">
        <v>20</v>
      </c>
      <c r="I22" s="3">
        <f>(I14+I16+I17)*I8/I7</f>
        <v>1.00698</v>
      </c>
      <c r="K22" s="3">
        <f>IFERROR((K14+K16+K17)*K8/K7,0)</f>
        <v>0</v>
      </c>
      <c r="L22" s="3">
        <f>(I22*I7+K22*K7)/L7</f>
        <v>1.00698</v>
      </c>
    </row>
    <row r="23" spans="1:12" x14ac:dyDescent="0.3">
      <c r="B23" t="s">
        <v>6</v>
      </c>
      <c r="C23" s="8">
        <f ca="1">(D3-C9)/365</f>
        <v>2.8465753424657536</v>
      </c>
      <c r="D23" s="8"/>
      <c r="E23" s="8">
        <f ca="1">(D3-E9)/365</f>
        <v>2.8465753424657536</v>
      </c>
      <c r="F23" s="8">
        <f ca="1">(D3-TODAY())/365</f>
        <v>2.8465753424657536</v>
      </c>
      <c r="H23" t="s">
        <v>6</v>
      </c>
      <c r="I23" s="8">
        <f ca="1">(J3-I9)/365</f>
        <v>2.7287671232876711</v>
      </c>
      <c r="J23" s="8"/>
      <c r="K23" s="8">
        <f ca="1">(J3-K9)/365</f>
        <v>2.7287671232876711</v>
      </c>
      <c r="L23" s="8">
        <f ca="1">(J3-TODAY())/365</f>
        <v>2.7287671232876711</v>
      </c>
    </row>
    <row r="24" spans="1:12" x14ac:dyDescent="0.3">
      <c r="B24" t="s">
        <v>13</v>
      </c>
      <c r="C24" s="15">
        <f ca="1">SUM(C27:C44)</f>
        <v>569.8599999999999</v>
      </c>
      <c r="E24" s="15">
        <f ca="1">SUM(E27:E44)</f>
        <v>0</v>
      </c>
      <c r="H24" t="s">
        <v>13</v>
      </c>
      <c r="I24" s="15">
        <f ca="1">SUM(I27:I44)</f>
        <v>285.07000000000016</v>
      </c>
      <c r="K24" s="15">
        <f ca="1">SUM(K27:K44)</f>
        <v>-55</v>
      </c>
    </row>
    <row r="25" spans="1:12" x14ac:dyDescent="0.3">
      <c r="B25" s="13"/>
      <c r="C25" s="13"/>
      <c r="E25" s="13"/>
      <c r="H25" s="13"/>
      <c r="I25" s="13"/>
      <c r="K25" s="13"/>
    </row>
    <row r="27" spans="1:12" x14ac:dyDescent="0.3">
      <c r="B27" s="1">
        <f ca="1">C9</f>
        <v>43712</v>
      </c>
      <c r="C27" s="15">
        <f ca="1">-SUM(C14:C17)</f>
        <v>-2000.14</v>
      </c>
      <c r="D27" s="13">
        <f ca="1">IF(C7&gt;0,-SUM(C14:C17),0)</f>
        <v>-2000.14</v>
      </c>
      <c r="E27" s="15">
        <f t="shared" ref="E27:E48" ca="1" si="0">IFERROR(D27-C27,"")</f>
        <v>0</v>
      </c>
      <c r="H27" s="1">
        <f ca="1">I9</f>
        <v>43712</v>
      </c>
      <c r="I27" s="15">
        <f ca="1">-SUM(I14:I17)</f>
        <v>-2072.4299999999998</v>
      </c>
      <c r="J27" s="13">
        <f ca="1">IF(I7&gt;0,-SUM(I14:I17),0)</f>
        <v>-2072.4299999999998</v>
      </c>
      <c r="K27" s="15">
        <f t="shared" ref="K27:K48" ca="1" si="1">IFERROR(J27-I27,"")</f>
        <v>0</v>
      </c>
    </row>
    <row r="28" spans="1:12" x14ac:dyDescent="0.3">
      <c r="B28" s="1">
        <f ca="1">E9</f>
        <v>43712</v>
      </c>
      <c r="D28" s="13">
        <f>IF(E7&gt;0,-SUM(E14:E17),0)</f>
        <v>0</v>
      </c>
      <c r="E28" s="15">
        <f t="shared" si="0"/>
        <v>0</v>
      </c>
      <c r="H28" s="1">
        <f ca="1">K9</f>
        <v>43712</v>
      </c>
      <c r="J28" s="13">
        <f>IF(K7&gt;0,-SUM(K14:K17),0)</f>
        <v>0</v>
      </c>
      <c r="K28" s="15">
        <f t="shared" si="1"/>
        <v>0</v>
      </c>
    </row>
    <row r="29" spans="1:12" x14ac:dyDescent="0.3">
      <c r="A29" s="19">
        <v>1</v>
      </c>
      <c r="B29" s="1">
        <f>D2</f>
        <v>43840</v>
      </c>
      <c r="C29">
        <f>IF(ISNUMBER(B29),ROUND(IF(B30="",(D$4*C$7/D$5+C$7)/C$8,D$4*C$7/D$5/C$8),2),"")</f>
        <v>95</v>
      </c>
      <c r="D29" s="16">
        <f ca="1">IF(ISNUMBER(B29),ROUND(IF(B30="",D$4/D$5*SUMIF(C$9:E$9,"&lt;"&amp;B29,C$7:E$7)/C$8+SUMIF(C$9:E$9,"&lt;"&amp;B29,C$7:E$7)/C$8,D$4/D$5*SUMIF(C$9:E$9,"&lt;"&amp;B29,C$7:E$7)/C$8),2),"")</f>
        <v>95</v>
      </c>
      <c r="E29" s="15">
        <f t="shared" ca="1" si="0"/>
        <v>0</v>
      </c>
      <c r="G29" s="19">
        <v>1</v>
      </c>
      <c r="H29" s="1">
        <f>J2</f>
        <v>43612</v>
      </c>
      <c r="I29">
        <f>IF(ISNUMBER(H29),ROUND(IF(H30="",(J$4*I$7/J$5+I$7)/I$8,J$4*I$7/J$5/I$8),2),"")</f>
        <v>27.5</v>
      </c>
      <c r="J29" s="16">
        <f t="shared" ref="J29:J48" ca="1" si="2">IF(ISNUMBER(H29),ROUND(IF(H30="",J$4/J$5*SUMIF(I$9:K$9,"&lt;"&amp;H29,I$7:K$7)/I$8+SUMIF(I$9:K$9,"&lt;"&amp;H29,I$7:K$7)/I$8,J$4/J$5*SUMIF(I$9:K$9,"&lt;"&amp;H29,I$7:K$7)/I$8),2),"")</f>
        <v>0</v>
      </c>
      <c r="K29" s="15">
        <f t="shared" ca="1" si="1"/>
        <v>-27.5</v>
      </c>
    </row>
    <row r="30" spans="1:12" x14ac:dyDescent="0.3">
      <c r="A30" s="19">
        <f>IF(AND(B29&lt;D$3,B29&lt;&gt;0),A29+1,"")</f>
        <v>2</v>
      </c>
      <c r="B30" s="1">
        <f>IF(AND(B29&lt;D$3,B29&lt;&gt;0),DATE(IF(MONTH(B29)&gt;(12-12/D$5),YEAR(B29)+1,YEAR(B29)),IF(MONTH(B29)&gt;(12-12/D$5),MONTH(B29)-(12-12/D$5),MONTH(B29)+12/D$5),DAY(B29)),"")</f>
        <v>44022</v>
      </c>
      <c r="C30">
        <f t="shared" ref="C30:C48" si="3">IF(ISNUMBER(B30),ROUND(IF(B31="",(D$4*C$7/D$5+C$7)/C$8,D$4*C$7/D$5/C$8),2),"")</f>
        <v>95</v>
      </c>
      <c r="D30" s="16">
        <f t="shared" ref="D30:D48" ca="1" si="4">IF(ISNUMBER(B30),ROUND(IF(B31="",D$4/D$5*SUMIF(C$9:E$9,"&lt;"&amp;B30,C$7:E$7)/C$8+SUMIF(C$9:E$9,"&lt;"&amp;B30,C$7:E$7)/C$8,D$4/D$5*SUMIF(C$9:E$9,"&lt;"&amp;B30,C$7:E$7)/C$8),2),"")</f>
        <v>95</v>
      </c>
      <c r="E30" s="15">
        <f ca="1">IFERROR(D30-C30,"")</f>
        <v>0</v>
      </c>
      <c r="G30" s="19">
        <f>IF(AND(H29&lt;J$3,H29&lt;&gt;0),G29+1,"")</f>
        <v>2</v>
      </c>
      <c r="H30" s="1">
        <f>IF(AND(H29&lt;J$3,H29&lt;&gt;0),DATE(IF(MONTH(H29)&gt;(12-12/J$5),YEAR(H29)+1,YEAR(H29)),IF(MONTH(H29)&gt;(12-12/J$5),MONTH(H29)-(12-12/J$5),MONTH(H29)+12/J$5),DAY(H29)),"")</f>
        <v>43704</v>
      </c>
      <c r="I30">
        <f t="shared" ref="I30:I48" si="5">IF(ISNUMBER(H30),ROUND(IF(H31="",(J$4*I$7/J$5+I$7)/I$8,J$4*I$7/J$5/I$8),2),"")</f>
        <v>27.5</v>
      </c>
      <c r="J30" s="16">
        <f t="shared" ca="1" si="2"/>
        <v>0</v>
      </c>
      <c r="K30" s="15">
        <f ca="1">IFERROR(J30-I30,"")</f>
        <v>-27.5</v>
      </c>
    </row>
    <row r="31" spans="1:12" x14ac:dyDescent="0.3">
      <c r="A31" s="19">
        <f t="shared" ref="A31:A48" si="6">IF(AND(B30&lt;D$3,B30&lt;&gt;0),A30+1,"")</f>
        <v>3</v>
      </c>
      <c r="B31" s="1">
        <f t="shared" ref="B31:B48" si="7">IF(AND(B30&lt;D$3,B30&lt;&gt;0),DATE(IF(MONTH(B30)&gt;(12-12/D$5),YEAR(B30)+1,YEAR(B30)),IF(MONTH(B30)&gt;(12-12/D$5),MONTH(B30)-(12-12/D$5),MONTH(B30)+12/D$5),DAY(B30)),"")</f>
        <v>44206</v>
      </c>
      <c r="C31">
        <f t="shared" si="3"/>
        <v>95</v>
      </c>
      <c r="D31" s="16">
        <f t="shared" ca="1" si="4"/>
        <v>95</v>
      </c>
      <c r="E31" s="15">
        <f t="shared" ca="1" si="0"/>
        <v>0</v>
      </c>
      <c r="G31" s="19">
        <f t="shared" ref="G31:G48" si="8">IF(AND(H30&lt;J$3,H30&lt;&gt;0),G30+1,"")</f>
        <v>3</v>
      </c>
      <c r="H31" s="1">
        <f t="shared" ref="H31:H48" si="9">IF(AND(H30&lt;J$3,H30&lt;&gt;0),DATE(IF(MONTH(H30)&gt;(12-12/J$5),YEAR(H30)+1,YEAR(H30)),IF(MONTH(H30)&gt;(12-12/J$5),MONTH(H30)-(12-12/J$5),MONTH(H30)+12/J$5),DAY(H30)),"")</f>
        <v>43796</v>
      </c>
      <c r="I31">
        <f t="shared" si="5"/>
        <v>27.5</v>
      </c>
      <c r="J31" s="16">
        <f t="shared" ca="1" si="2"/>
        <v>27.5</v>
      </c>
      <c r="K31" s="15">
        <f t="shared" ca="1" si="1"/>
        <v>0</v>
      </c>
    </row>
    <row r="32" spans="1:12" x14ac:dyDescent="0.3">
      <c r="A32" s="19">
        <f t="shared" si="6"/>
        <v>4</v>
      </c>
      <c r="B32" s="1">
        <f t="shared" si="7"/>
        <v>44387</v>
      </c>
      <c r="C32">
        <f t="shared" si="3"/>
        <v>95</v>
      </c>
      <c r="D32" s="16">
        <f t="shared" ca="1" si="4"/>
        <v>95</v>
      </c>
      <c r="E32" s="15">
        <f t="shared" ca="1" si="0"/>
        <v>0</v>
      </c>
      <c r="G32" s="19">
        <f t="shared" si="8"/>
        <v>4</v>
      </c>
      <c r="H32" s="1">
        <f t="shared" si="9"/>
        <v>43888</v>
      </c>
      <c r="I32">
        <f t="shared" si="5"/>
        <v>27.5</v>
      </c>
      <c r="J32" s="16">
        <f t="shared" ca="1" si="2"/>
        <v>27.5</v>
      </c>
      <c r="K32" s="15">
        <f t="shared" ca="1" si="1"/>
        <v>0</v>
      </c>
    </row>
    <row r="33" spans="1:11" x14ac:dyDescent="0.3">
      <c r="A33" s="19">
        <f t="shared" si="6"/>
        <v>5</v>
      </c>
      <c r="B33" s="1">
        <f t="shared" si="7"/>
        <v>44571</v>
      </c>
      <c r="C33">
        <f t="shared" si="3"/>
        <v>95</v>
      </c>
      <c r="D33" s="16">
        <f t="shared" ca="1" si="4"/>
        <v>95</v>
      </c>
      <c r="E33" s="15">
        <f t="shared" ca="1" si="0"/>
        <v>0</v>
      </c>
      <c r="G33" s="19">
        <f t="shared" si="8"/>
        <v>5</v>
      </c>
      <c r="H33" s="1">
        <f t="shared" si="9"/>
        <v>43978</v>
      </c>
      <c r="I33">
        <f t="shared" si="5"/>
        <v>27.5</v>
      </c>
      <c r="J33" s="16">
        <f t="shared" ca="1" si="2"/>
        <v>27.5</v>
      </c>
      <c r="K33" s="15">
        <f t="shared" ca="1" si="1"/>
        <v>0</v>
      </c>
    </row>
    <row r="34" spans="1:11" x14ac:dyDescent="0.3">
      <c r="A34" s="19">
        <f t="shared" si="6"/>
        <v>6</v>
      </c>
      <c r="B34" s="1">
        <f t="shared" si="7"/>
        <v>44752</v>
      </c>
      <c r="C34">
        <f t="shared" si="3"/>
        <v>2095</v>
      </c>
      <c r="D34" s="16">
        <f t="shared" ca="1" si="4"/>
        <v>2095</v>
      </c>
      <c r="E34" s="15">
        <f t="shared" ca="1" si="0"/>
        <v>0</v>
      </c>
      <c r="G34" s="19">
        <f t="shared" si="8"/>
        <v>6</v>
      </c>
      <c r="H34" s="1">
        <f t="shared" si="9"/>
        <v>44070</v>
      </c>
      <c r="I34">
        <f t="shared" si="5"/>
        <v>27.5</v>
      </c>
      <c r="J34" s="16">
        <f t="shared" ca="1" si="2"/>
        <v>27.5</v>
      </c>
      <c r="K34" s="15">
        <f t="shared" ca="1" si="1"/>
        <v>0</v>
      </c>
    </row>
    <row r="35" spans="1:11" x14ac:dyDescent="0.3">
      <c r="A35" s="19" t="str">
        <f t="shared" si="6"/>
        <v/>
      </c>
      <c r="B35" s="1" t="str">
        <f t="shared" si="7"/>
        <v/>
      </c>
      <c r="C35" t="str">
        <f t="shared" si="3"/>
        <v/>
      </c>
      <c r="D35" s="16" t="str">
        <f t="shared" si="4"/>
        <v/>
      </c>
      <c r="E35" s="15" t="str">
        <f t="shared" si="0"/>
        <v/>
      </c>
      <c r="G35" s="19">
        <f t="shared" si="8"/>
        <v>7</v>
      </c>
      <c r="H35" s="1">
        <f t="shared" si="9"/>
        <v>44162</v>
      </c>
      <c r="I35">
        <f t="shared" si="5"/>
        <v>27.5</v>
      </c>
      <c r="J35" s="16">
        <f t="shared" ca="1" si="2"/>
        <v>27.5</v>
      </c>
      <c r="K35" s="15">
        <f t="shared" ca="1" si="1"/>
        <v>0</v>
      </c>
    </row>
    <row r="36" spans="1:11" x14ac:dyDescent="0.3">
      <c r="A36" s="19" t="str">
        <f t="shared" si="6"/>
        <v/>
      </c>
      <c r="B36" s="1" t="str">
        <f t="shared" si="7"/>
        <v/>
      </c>
      <c r="C36" t="str">
        <f t="shared" si="3"/>
        <v/>
      </c>
      <c r="D36" s="16" t="str">
        <f t="shared" si="4"/>
        <v/>
      </c>
      <c r="E36" s="15" t="str">
        <f t="shared" si="0"/>
        <v/>
      </c>
      <c r="G36" s="19">
        <f t="shared" si="8"/>
        <v>8</v>
      </c>
      <c r="H36" s="1">
        <f t="shared" si="9"/>
        <v>44254</v>
      </c>
      <c r="I36">
        <f t="shared" si="5"/>
        <v>27.5</v>
      </c>
      <c r="J36" s="16">
        <f t="shared" ca="1" si="2"/>
        <v>27.5</v>
      </c>
      <c r="K36" s="15">
        <f t="shared" ca="1" si="1"/>
        <v>0</v>
      </c>
    </row>
    <row r="37" spans="1:11" x14ac:dyDescent="0.3">
      <c r="A37" s="19" t="str">
        <f t="shared" si="6"/>
        <v/>
      </c>
      <c r="B37" s="1" t="str">
        <f t="shared" si="7"/>
        <v/>
      </c>
      <c r="C37" t="str">
        <f t="shared" si="3"/>
        <v/>
      </c>
      <c r="D37" s="16" t="str">
        <f t="shared" si="4"/>
        <v/>
      </c>
      <c r="E37" s="15" t="str">
        <f t="shared" si="0"/>
        <v/>
      </c>
      <c r="G37" s="19">
        <f t="shared" si="8"/>
        <v>9</v>
      </c>
      <c r="H37" s="1">
        <f t="shared" si="9"/>
        <v>44343</v>
      </c>
      <c r="I37">
        <f t="shared" si="5"/>
        <v>27.5</v>
      </c>
      <c r="J37" s="16">
        <f t="shared" ca="1" si="2"/>
        <v>27.5</v>
      </c>
      <c r="K37" s="15">
        <f t="shared" ca="1" si="1"/>
        <v>0</v>
      </c>
    </row>
    <row r="38" spans="1:11" x14ac:dyDescent="0.3">
      <c r="A38" s="19" t="str">
        <f t="shared" si="6"/>
        <v/>
      </c>
      <c r="B38" s="1" t="str">
        <f t="shared" si="7"/>
        <v/>
      </c>
      <c r="C38" t="str">
        <f t="shared" si="3"/>
        <v/>
      </c>
      <c r="D38" s="16" t="str">
        <f t="shared" si="4"/>
        <v/>
      </c>
      <c r="E38" s="15" t="str">
        <f t="shared" si="0"/>
        <v/>
      </c>
      <c r="G38" s="19">
        <f t="shared" si="8"/>
        <v>10</v>
      </c>
      <c r="H38" s="1">
        <f t="shared" si="9"/>
        <v>44435</v>
      </c>
      <c r="I38">
        <f t="shared" si="5"/>
        <v>27.5</v>
      </c>
      <c r="J38" s="16">
        <f t="shared" ca="1" si="2"/>
        <v>27.5</v>
      </c>
      <c r="K38" s="15">
        <f t="shared" ca="1" si="1"/>
        <v>0</v>
      </c>
    </row>
    <row r="39" spans="1:11" x14ac:dyDescent="0.3">
      <c r="A39" s="19" t="str">
        <f t="shared" si="6"/>
        <v/>
      </c>
      <c r="B39" s="1" t="str">
        <f t="shared" si="7"/>
        <v/>
      </c>
      <c r="C39" t="str">
        <f t="shared" si="3"/>
        <v/>
      </c>
      <c r="D39" s="16" t="str">
        <f t="shared" si="4"/>
        <v/>
      </c>
      <c r="E39" s="15" t="str">
        <f t="shared" si="0"/>
        <v/>
      </c>
      <c r="G39" s="19">
        <f t="shared" si="8"/>
        <v>11</v>
      </c>
      <c r="H39" s="1">
        <f t="shared" si="9"/>
        <v>44527</v>
      </c>
      <c r="I39">
        <f t="shared" si="5"/>
        <v>27.5</v>
      </c>
      <c r="J39" s="16">
        <f t="shared" ca="1" si="2"/>
        <v>27.5</v>
      </c>
      <c r="K39" s="15">
        <f t="shared" ca="1" si="1"/>
        <v>0</v>
      </c>
    </row>
    <row r="40" spans="1:11" x14ac:dyDescent="0.3">
      <c r="A40" s="19" t="str">
        <f t="shared" si="6"/>
        <v/>
      </c>
      <c r="B40" s="1" t="str">
        <f t="shared" si="7"/>
        <v/>
      </c>
      <c r="C40" t="str">
        <f t="shared" si="3"/>
        <v/>
      </c>
      <c r="D40" s="16" t="str">
        <f t="shared" si="4"/>
        <v/>
      </c>
      <c r="E40" s="15" t="str">
        <f t="shared" si="0"/>
        <v/>
      </c>
      <c r="G40" s="19">
        <f t="shared" si="8"/>
        <v>12</v>
      </c>
      <c r="H40" s="1">
        <f t="shared" si="9"/>
        <v>44619</v>
      </c>
      <c r="I40">
        <f t="shared" si="5"/>
        <v>27.5</v>
      </c>
      <c r="J40" s="16">
        <f t="shared" ca="1" si="2"/>
        <v>27.5</v>
      </c>
      <c r="K40" s="15">
        <f t="shared" ca="1" si="1"/>
        <v>0</v>
      </c>
    </row>
    <row r="41" spans="1:11" x14ac:dyDescent="0.3">
      <c r="A41" s="19" t="str">
        <f t="shared" si="6"/>
        <v/>
      </c>
      <c r="B41" s="1" t="str">
        <f t="shared" si="7"/>
        <v/>
      </c>
      <c r="C41" t="str">
        <f t="shared" si="3"/>
        <v/>
      </c>
      <c r="D41" s="16" t="str">
        <f t="shared" si="4"/>
        <v/>
      </c>
      <c r="E41" s="15" t="str">
        <f t="shared" si="0"/>
        <v/>
      </c>
      <c r="G41" s="19">
        <f t="shared" si="8"/>
        <v>13</v>
      </c>
      <c r="H41" s="1">
        <f t="shared" si="9"/>
        <v>44708</v>
      </c>
      <c r="I41">
        <f t="shared" si="5"/>
        <v>2027.5</v>
      </c>
      <c r="J41" s="16">
        <f t="shared" ca="1" si="2"/>
        <v>2027.5</v>
      </c>
      <c r="K41" s="15">
        <f t="shared" ca="1" si="1"/>
        <v>0</v>
      </c>
    </row>
    <row r="42" spans="1:11" x14ac:dyDescent="0.3">
      <c r="A42" s="19" t="str">
        <f t="shared" si="6"/>
        <v/>
      </c>
      <c r="B42" s="1" t="str">
        <f t="shared" si="7"/>
        <v/>
      </c>
      <c r="C42" t="str">
        <f t="shared" si="3"/>
        <v/>
      </c>
      <c r="D42" s="16" t="str">
        <f t="shared" si="4"/>
        <v/>
      </c>
      <c r="E42" s="15" t="str">
        <f t="shared" si="0"/>
        <v/>
      </c>
      <c r="G42" s="19" t="str">
        <f t="shared" si="8"/>
        <v/>
      </c>
      <c r="H42" s="1" t="str">
        <f t="shared" si="9"/>
        <v/>
      </c>
      <c r="I42" t="str">
        <f t="shared" si="5"/>
        <v/>
      </c>
      <c r="J42" s="16" t="str">
        <f t="shared" si="2"/>
        <v/>
      </c>
      <c r="K42" s="15" t="str">
        <f t="shared" si="1"/>
        <v/>
      </c>
    </row>
    <row r="43" spans="1:11" x14ac:dyDescent="0.3">
      <c r="A43" s="19" t="str">
        <f t="shared" si="6"/>
        <v/>
      </c>
      <c r="B43" s="1" t="str">
        <f t="shared" si="7"/>
        <v/>
      </c>
      <c r="C43" t="str">
        <f t="shared" si="3"/>
        <v/>
      </c>
      <c r="D43" s="16" t="str">
        <f t="shared" si="4"/>
        <v/>
      </c>
      <c r="E43" s="15" t="str">
        <f t="shared" si="0"/>
        <v/>
      </c>
      <c r="G43" s="19" t="str">
        <f t="shared" si="8"/>
        <v/>
      </c>
      <c r="H43" s="1" t="str">
        <f t="shared" si="9"/>
        <v/>
      </c>
      <c r="I43" t="str">
        <f t="shared" si="5"/>
        <v/>
      </c>
      <c r="J43" s="16" t="str">
        <f t="shared" si="2"/>
        <v/>
      </c>
      <c r="K43" s="15" t="str">
        <f t="shared" si="1"/>
        <v/>
      </c>
    </row>
    <row r="44" spans="1:11" x14ac:dyDescent="0.3">
      <c r="A44" s="19" t="str">
        <f t="shared" si="6"/>
        <v/>
      </c>
      <c r="B44" s="1" t="str">
        <f t="shared" si="7"/>
        <v/>
      </c>
      <c r="C44" t="str">
        <f t="shared" si="3"/>
        <v/>
      </c>
      <c r="D44" s="16" t="str">
        <f t="shared" si="4"/>
        <v/>
      </c>
      <c r="E44" s="15" t="str">
        <f t="shared" si="0"/>
        <v/>
      </c>
      <c r="G44" s="19" t="str">
        <f t="shared" si="8"/>
        <v/>
      </c>
      <c r="H44" s="1" t="str">
        <f t="shared" si="9"/>
        <v/>
      </c>
      <c r="I44" t="str">
        <f t="shared" si="5"/>
        <v/>
      </c>
      <c r="J44" s="16" t="str">
        <f t="shared" si="2"/>
        <v/>
      </c>
      <c r="K44" s="15" t="str">
        <f t="shared" si="1"/>
        <v/>
      </c>
    </row>
    <row r="45" spans="1:11" x14ac:dyDescent="0.3">
      <c r="A45" s="19" t="str">
        <f t="shared" si="6"/>
        <v/>
      </c>
      <c r="B45" s="1" t="str">
        <f t="shared" si="7"/>
        <v/>
      </c>
      <c r="C45" t="str">
        <f t="shared" si="3"/>
        <v/>
      </c>
      <c r="D45" s="16" t="str">
        <f t="shared" si="4"/>
        <v/>
      </c>
      <c r="E45" s="15" t="str">
        <f t="shared" si="0"/>
        <v/>
      </c>
      <c r="G45" s="19" t="str">
        <f t="shared" si="8"/>
        <v/>
      </c>
      <c r="H45" s="1" t="str">
        <f t="shared" si="9"/>
        <v/>
      </c>
      <c r="I45" t="str">
        <f t="shared" si="5"/>
        <v/>
      </c>
      <c r="J45" s="16" t="str">
        <f t="shared" si="2"/>
        <v/>
      </c>
      <c r="K45" s="15" t="str">
        <f t="shared" si="1"/>
        <v/>
      </c>
    </row>
    <row r="46" spans="1:11" x14ac:dyDescent="0.3">
      <c r="A46" s="19" t="str">
        <f t="shared" si="6"/>
        <v/>
      </c>
      <c r="B46" s="1" t="str">
        <f t="shared" si="7"/>
        <v/>
      </c>
      <c r="C46" t="str">
        <f t="shared" si="3"/>
        <v/>
      </c>
      <c r="D46" s="16" t="str">
        <f t="shared" si="4"/>
        <v/>
      </c>
      <c r="E46" s="15" t="str">
        <f t="shared" si="0"/>
        <v/>
      </c>
      <c r="G46" s="19" t="str">
        <f t="shared" si="8"/>
        <v/>
      </c>
      <c r="H46" s="1" t="str">
        <f t="shared" si="9"/>
        <v/>
      </c>
      <c r="I46" t="str">
        <f t="shared" si="5"/>
        <v/>
      </c>
      <c r="J46" s="16" t="str">
        <f t="shared" si="2"/>
        <v/>
      </c>
      <c r="K46" s="15" t="str">
        <f t="shared" si="1"/>
        <v/>
      </c>
    </row>
    <row r="47" spans="1:11" x14ac:dyDescent="0.3">
      <c r="A47" s="19" t="str">
        <f t="shared" si="6"/>
        <v/>
      </c>
      <c r="B47" s="1" t="str">
        <f t="shared" si="7"/>
        <v/>
      </c>
      <c r="C47" t="str">
        <f t="shared" si="3"/>
        <v/>
      </c>
      <c r="D47" s="16" t="str">
        <f t="shared" si="4"/>
        <v/>
      </c>
      <c r="E47" s="15" t="str">
        <f t="shared" si="0"/>
        <v/>
      </c>
      <c r="G47" s="19" t="str">
        <f t="shared" si="8"/>
        <v/>
      </c>
      <c r="H47" s="1" t="str">
        <f t="shared" si="9"/>
        <v/>
      </c>
      <c r="I47" t="str">
        <f t="shared" si="5"/>
        <v/>
      </c>
      <c r="J47" s="16" t="str">
        <f t="shared" si="2"/>
        <v/>
      </c>
      <c r="K47" s="15" t="str">
        <f t="shared" si="1"/>
        <v/>
      </c>
    </row>
    <row r="48" spans="1:11" x14ac:dyDescent="0.3">
      <c r="A48" s="19" t="str">
        <f t="shared" si="6"/>
        <v/>
      </c>
      <c r="B48" s="1" t="str">
        <f t="shared" si="7"/>
        <v/>
      </c>
      <c r="C48" t="str">
        <f t="shared" si="3"/>
        <v/>
      </c>
      <c r="D48" s="16" t="str">
        <f t="shared" si="4"/>
        <v/>
      </c>
      <c r="E48" s="15" t="str">
        <f t="shared" si="0"/>
        <v/>
      </c>
      <c r="G48" s="19" t="str">
        <f t="shared" si="8"/>
        <v/>
      </c>
      <c r="H48" s="1" t="str">
        <f t="shared" si="9"/>
        <v/>
      </c>
      <c r="I48" t="str">
        <f t="shared" si="5"/>
        <v/>
      </c>
      <c r="J48" s="16" t="str">
        <f t="shared" si="2"/>
        <v/>
      </c>
      <c r="K48" s="15" t="str">
        <f t="shared" si="1"/>
        <v/>
      </c>
    </row>
    <row r="60" spans="3:9" x14ac:dyDescent="0.3">
      <c r="C60" t="s">
        <v>22</v>
      </c>
      <c r="I60" t="s">
        <v>22</v>
      </c>
    </row>
    <row r="61" spans="3:9" x14ac:dyDescent="0.3">
      <c r="C61" t="s">
        <v>21</v>
      </c>
      <c r="I61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62"/>
  <sheetViews>
    <sheetView topLeftCell="G1" zoomScale="70" zoomScaleNormal="70" workbookViewId="0">
      <selection activeCell="I28" sqref="I28"/>
    </sheetView>
  </sheetViews>
  <sheetFormatPr baseColWidth="10" defaultRowHeight="14.4" x14ac:dyDescent="0.3"/>
  <cols>
    <col min="1" max="1" width="11.21875" style="19" customWidth="1"/>
    <col min="2" max="6" width="11.21875" customWidth="1"/>
    <col min="7" max="7" width="11.21875" style="19" customWidth="1"/>
    <col min="8" max="12" width="11.21875" customWidth="1"/>
    <col min="13" max="13" width="11.6640625" style="19" customWidth="1"/>
    <col min="14" max="18" width="11.6640625" customWidth="1"/>
    <col min="19" max="19" width="11.5546875" style="19"/>
    <col min="21" max="21" width="13.6640625" customWidth="1"/>
    <col min="22" max="22" width="21.5546875" customWidth="1"/>
    <col min="23" max="23" width="14.44140625" customWidth="1"/>
    <col min="24" max="24" width="13.109375" bestFit="1" customWidth="1"/>
    <col min="25" max="25" width="11.6640625" style="19" customWidth="1"/>
    <col min="26" max="30" width="11.6640625" customWidth="1"/>
  </cols>
  <sheetData>
    <row r="2" spans="2:30" ht="17.399999999999999" x14ac:dyDescent="0.3">
      <c r="B2" s="14" t="s">
        <v>62</v>
      </c>
      <c r="C2" t="s">
        <v>10</v>
      </c>
      <c r="D2" s="5">
        <v>43913</v>
      </c>
      <c r="E2" s="5"/>
      <c r="H2" s="14" t="s">
        <v>62</v>
      </c>
      <c r="I2" t="s">
        <v>10</v>
      </c>
      <c r="J2" s="5">
        <v>43700</v>
      </c>
      <c r="K2" s="5"/>
      <c r="N2" s="21" t="s">
        <v>63</v>
      </c>
      <c r="O2" t="s">
        <v>10</v>
      </c>
      <c r="P2" s="5">
        <v>43806</v>
      </c>
      <c r="Q2" s="5"/>
      <c r="T2" s="14" t="s">
        <v>63</v>
      </c>
      <c r="U2" t="s">
        <v>10</v>
      </c>
      <c r="V2" s="5">
        <v>43806</v>
      </c>
      <c r="W2" s="5"/>
      <c r="Z2" s="14" t="s">
        <v>64</v>
      </c>
      <c r="AA2" t="s">
        <v>10</v>
      </c>
      <c r="AB2" s="5">
        <v>44044</v>
      </c>
      <c r="AC2" s="5"/>
    </row>
    <row r="3" spans="2:30" x14ac:dyDescent="0.3">
      <c r="C3" t="s">
        <v>11</v>
      </c>
      <c r="D3" s="5">
        <v>44278</v>
      </c>
      <c r="I3" t="s">
        <v>11</v>
      </c>
      <c r="J3" s="35">
        <v>43792</v>
      </c>
      <c r="K3" s="36" t="s">
        <v>68</v>
      </c>
      <c r="O3" t="s">
        <v>11</v>
      </c>
      <c r="P3" s="5">
        <v>44902</v>
      </c>
      <c r="U3" t="s">
        <v>11</v>
      </c>
      <c r="V3" s="35">
        <v>44172</v>
      </c>
      <c r="W3" s="36" t="s">
        <v>68</v>
      </c>
      <c r="AA3" t="s">
        <v>11</v>
      </c>
      <c r="AB3" s="5">
        <v>45505</v>
      </c>
    </row>
    <row r="4" spans="2:30" x14ac:dyDescent="0.3">
      <c r="C4" t="s">
        <v>12</v>
      </c>
      <c r="D4" s="6">
        <v>8.7499999999999994E-2</v>
      </c>
      <c r="I4" t="s">
        <v>12</v>
      </c>
      <c r="J4" s="6">
        <v>8.7499999999999994E-2</v>
      </c>
      <c r="O4" t="s">
        <v>12</v>
      </c>
      <c r="P4" s="6">
        <v>8.5000000000000006E-2</v>
      </c>
      <c r="U4" t="s">
        <v>12</v>
      </c>
      <c r="V4" s="6">
        <v>8.5000000000000006E-2</v>
      </c>
      <c r="AA4" t="s">
        <v>12</v>
      </c>
      <c r="AB4" s="6">
        <v>7.4999999999999997E-2</v>
      </c>
    </row>
    <row r="5" spans="2:30" x14ac:dyDescent="0.3">
      <c r="C5" t="s">
        <v>14</v>
      </c>
      <c r="D5">
        <v>1</v>
      </c>
      <c r="I5" t="s">
        <v>14</v>
      </c>
      <c r="J5">
        <v>12</v>
      </c>
      <c r="O5" t="s">
        <v>14</v>
      </c>
      <c r="P5">
        <v>1</v>
      </c>
      <c r="U5" t="s">
        <v>14</v>
      </c>
      <c r="V5">
        <v>12</v>
      </c>
      <c r="AA5" t="s">
        <v>14</v>
      </c>
      <c r="AB5">
        <v>1</v>
      </c>
    </row>
    <row r="6" spans="2:30" x14ac:dyDescent="0.3">
      <c r="C6" t="s">
        <v>67</v>
      </c>
      <c r="D6" s="12">
        <v>1</v>
      </c>
      <c r="I6" t="s">
        <v>67</v>
      </c>
      <c r="J6" s="34">
        <v>1.0249999999999999</v>
      </c>
      <c r="O6" t="s">
        <v>67</v>
      </c>
      <c r="P6" s="12">
        <v>1</v>
      </c>
      <c r="U6" t="s">
        <v>67</v>
      </c>
      <c r="V6" s="34">
        <v>1.0249999999999999</v>
      </c>
      <c r="AA6" t="s">
        <v>67</v>
      </c>
      <c r="AB6" s="12">
        <v>1</v>
      </c>
    </row>
    <row r="7" spans="2:30" x14ac:dyDescent="0.3">
      <c r="J7" s="12"/>
      <c r="V7" s="12"/>
    </row>
    <row r="8" spans="2:30" x14ac:dyDescent="0.3">
      <c r="B8" t="s">
        <v>18</v>
      </c>
      <c r="C8" s="7">
        <v>2000</v>
      </c>
      <c r="E8" s="7">
        <v>0</v>
      </c>
      <c r="F8">
        <f>SUM(C8:E8)</f>
        <v>2000</v>
      </c>
      <c r="H8" t="s">
        <v>18</v>
      </c>
      <c r="I8" s="7">
        <v>2000</v>
      </c>
      <c r="K8" s="7">
        <v>0</v>
      </c>
      <c r="L8">
        <f>SUM(I8:K8)</f>
        <v>2000</v>
      </c>
      <c r="N8" t="s">
        <v>18</v>
      </c>
      <c r="O8" s="7">
        <v>2000</v>
      </c>
      <c r="Q8" s="7">
        <v>0</v>
      </c>
      <c r="R8">
        <f>SUM(O8:Q8)</f>
        <v>2000</v>
      </c>
      <c r="T8" t="s">
        <v>18</v>
      </c>
      <c r="U8" s="7">
        <f>O8</f>
        <v>2000</v>
      </c>
      <c r="W8" s="7">
        <v>0</v>
      </c>
      <c r="X8">
        <f>SUM(U8:W8)</f>
        <v>2000</v>
      </c>
      <c r="Z8" t="s">
        <v>18</v>
      </c>
      <c r="AA8" s="7">
        <v>2000</v>
      </c>
      <c r="AC8" s="7">
        <v>0</v>
      </c>
      <c r="AD8">
        <f>SUM(AA8:AC8)</f>
        <v>2000</v>
      </c>
    </row>
    <row r="9" spans="2:30" x14ac:dyDescent="0.3">
      <c r="B9" t="s">
        <v>19</v>
      </c>
      <c r="C9" s="7">
        <v>1</v>
      </c>
      <c r="E9" s="7">
        <v>1</v>
      </c>
      <c r="F9" s="7">
        <v>1.1399999999999999</v>
      </c>
      <c r="H9" t="s">
        <v>19</v>
      </c>
      <c r="I9" s="7">
        <v>1</v>
      </c>
      <c r="K9" s="7">
        <v>1</v>
      </c>
      <c r="L9" s="7">
        <v>1.1399999999999999</v>
      </c>
      <c r="N9" t="s">
        <v>19</v>
      </c>
      <c r="O9" s="7">
        <v>1</v>
      </c>
      <c r="Q9" s="7">
        <v>1</v>
      </c>
      <c r="R9" s="7"/>
      <c r="T9" t="s">
        <v>19</v>
      </c>
      <c r="U9" s="7">
        <v>1</v>
      </c>
      <c r="W9" s="7">
        <v>1</v>
      </c>
      <c r="X9" s="7">
        <v>1.1399999999999999</v>
      </c>
      <c r="Z9" t="s">
        <v>19</v>
      </c>
      <c r="AA9" s="7">
        <v>1</v>
      </c>
      <c r="AC9" s="7">
        <v>1</v>
      </c>
      <c r="AD9" s="7"/>
    </row>
    <row r="10" spans="2:30" x14ac:dyDescent="0.3">
      <c r="C10" s="1">
        <f ca="1">TODAY()</f>
        <v>43712</v>
      </c>
      <c r="E10" s="2">
        <f ca="1">TODAY()</f>
        <v>43712</v>
      </c>
      <c r="I10" s="1">
        <f ca="1">TODAY()</f>
        <v>43712</v>
      </c>
      <c r="K10" s="2">
        <f ca="1">TODAY()</f>
        <v>43712</v>
      </c>
      <c r="O10" s="2">
        <f ca="1">TODAY()</f>
        <v>43712</v>
      </c>
      <c r="Q10" s="2">
        <f ca="1">TODAY()</f>
        <v>43712</v>
      </c>
      <c r="U10" s="1">
        <f ca="1">TODAY()</f>
        <v>43712</v>
      </c>
      <c r="W10" s="2">
        <f ca="1">TODAY()</f>
        <v>43712</v>
      </c>
      <c r="AA10" s="2">
        <f ca="1">TODAY()</f>
        <v>43712</v>
      </c>
      <c r="AC10" s="2">
        <f ca="1">TODAY()</f>
        <v>43712</v>
      </c>
    </row>
    <row r="11" spans="2:30" ht="15.6" x14ac:dyDescent="0.3">
      <c r="C11" s="4">
        <v>1.03</v>
      </c>
      <c r="E11" s="24">
        <v>0.9</v>
      </c>
      <c r="I11" s="4">
        <v>1.03</v>
      </c>
      <c r="K11" s="24">
        <v>0.9</v>
      </c>
      <c r="O11" s="4">
        <v>1.03</v>
      </c>
      <c r="Q11" s="24">
        <v>0.9</v>
      </c>
      <c r="U11" s="4">
        <f>O11</f>
        <v>1.03</v>
      </c>
      <c r="W11" s="24">
        <v>0.9</v>
      </c>
      <c r="AA11" s="4">
        <v>1</v>
      </c>
      <c r="AC11" s="24">
        <v>0.9</v>
      </c>
    </row>
    <row r="12" spans="2:30" x14ac:dyDescent="0.3">
      <c r="O12">
        <v>102.8</v>
      </c>
    </row>
    <row r="15" spans="2:30" x14ac:dyDescent="0.3">
      <c r="C15" s="13">
        <f>ROUND(C8*C11/C9,2)</f>
        <v>2060</v>
      </c>
      <c r="E15" s="13">
        <f>ROUND(E8*E11/E9,2)</f>
        <v>0</v>
      </c>
      <c r="F15" s="13">
        <f>C15+IF(E$8&gt;0,E15,)</f>
        <v>2060</v>
      </c>
      <c r="I15" s="13">
        <f>ROUND(I8*I11/I9,2)</f>
        <v>2060</v>
      </c>
      <c r="K15" s="13">
        <f>ROUND(K8*K11/K9,2)</f>
        <v>0</v>
      </c>
      <c r="L15" s="13">
        <f>I15+IF(K$8&gt;0,K15,)</f>
        <v>2060</v>
      </c>
      <c r="O15" s="13">
        <f>ROUND(O8*O11/O9,2)</f>
        <v>2060</v>
      </c>
      <c r="Q15" s="13">
        <f>ROUND(Q8*Q11/Q9,2)</f>
        <v>0</v>
      </c>
      <c r="R15" s="13">
        <f>O15+IF(Q$8&gt;0,Q15,)</f>
        <v>2060</v>
      </c>
      <c r="U15" s="13">
        <f>ROUND(U8*U11/U9,2)</f>
        <v>2060</v>
      </c>
      <c r="W15" s="13">
        <f>ROUND(W8*W11/W9,2)</f>
        <v>0</v>
      </c>
      <c r="X15" s="13">
        <f>U15+IF(W$8&gt;0,W15,)</f>
        <v>2060</v>
      </c>
      <c r="AA15" s="13">
        <f>ROUND(AA8*AA11/AA9,2)</f>
        <v>2000</v>
      </c>
      <c r="AC15" s="13">
        <f>ROUND(AC8*AC11/AC9,2)</f>
        <v>0</v>
      </c>
      <c r="AD15" s="13">
        <f>AA15+IF(AC$8&gt;0,AC15,)</f>
        <v>2000</v>
      </c>
    </row>
    <row r="16" spans="2:30" x14ac:dyDescent="0.3">
      <c r="B16" s="13" t="s">
        <v>0</v>
      </c>
      <c r="C16" s="13">
        <f ca="1">IFERROR(ROUND(ACCRINT(D2-365/D5,D2,C10+3,D4,C8,1,1)/C9,2),0)</f>
        <v>79.849999999999994</v>
      </c>
      <c r="D16" s="15"/>
      <c r="E16" s="13">
        <f ca="1">IFERROR(ROUND(ACCRINT(E2-365/D5,E2,E10+2,D4,E8,1,1)/E9,2),0)</f>
        <v>0</v>
      </c>
      <c r="H16" s="13" t="s">
        <v>0</v>
      </c>
      <c r="I16" s="13">
        <f ca="1">IFERROR(ROUND(ACCRINT(J2-365/J5,J2,I10+3,J4,I8,1,1)/I9,2),0)</f>
        <v>22.05</v>
      </c>
      <c r="J16" s="15"/>
      <c r="K16" s="13">
        <f ca="1">IFERROR(ROUND(ACCRINT(K2-365/J5,K2,K10+2,J4,K8,1,1)/K9,2),0)</f>
        <v>0</v>
      </c>
      <c r="N16" s="13" t="s">
        <v>0</v>
      </c>
      <c r="O16" s="13">
        <f ca="1">IFERROR(ROUND(ACCRINT(P2-365/P5,P2,O10+2,P4,O8,1,1)/O9,2),0)</f>
        <v>127.15</v>
      </c>
      <c r="P16" s="15"/>
      <c r="Q16" s="13">
        <f ca="1">IFERROR(ROUND(ACCRINT(Q2-365/P5,Q2,Q10+2,P4,Q8,1,1)/Q9,2),0)</f>
        <v>0</v>
      </c>
      <c r="T16" s="13" t="s">
        <v>0</v>
      </c>
      <c r="U16" s="13">
        <f ca="1">IFERROR(ROUND(ACCRINT(V2-365/V5,V2,U10+3,V4,U8,1,1)/U9,2),0)</f>
        <v>0</v>
      </c>
      <c r="V16" s="15"/>
      <c r="W16" s="13">
        <f ca="1">IFERROR(ROUND(ACCRINT(W2-365/V5,W2,W10+2,V4,W8,1,1)/W9,2),0)</f>
        <v>0</v>
      </c>
      <c r="Z16" s="13" t="s">
        <v>0</v>
      </c>
      <c r="AA16" s="13">
        <f ca="1">IFERROR(ROUND(ACCRINT(AB2-365/AB5,AB2,AA10+2,AB4,AA8,1,1)/AA9,2),0)</f>
        <v>14.34</v>
      </c>
      <c r="AB16" s="15"/>
      <c r="AC16" s="13">
        <f ca="1">IFERROR(ROUND(ACCRINT(AC2-365/AB5,AC2,AC10+2,AB4,AC8,1,1)/AC9,2),0)</f>
        <v>0</v>
      </c>
    </row>
    <row r="17" spans="1:30" x14ac:dyDescent="0.3">
      <c r="B17" s="13" t="s">
        <v>1</v>
      </c>
      <c r="C17" s="13">
        <f>MAX(9.95,4.95+ROUND(C8*C11/C9*0.25%,2))</f>
        <v>10.100000000000001</v>
      </c>
      <c r="D17" s="3"/>
      <c r="E17" s="13">
        <f>MAX(9.95,4.95+ROUND(E8*E11*0.25%,2))</f>
        <v>9.9499999999999993</v>
      </c>
      <c r="F17" s="13">
        <f>C17+IF(E$8&gt;0,E17,)</f>
        <v>10.100000000000001</v>
      </c>
      <c r="H17" s="13" t="s">
        <v>1</v>
      </c>
      <c r="I17" s="13">
        <f>MAX(9.95,4.95+ROUND(I8*I11/I9*0.25%,2))</f>
        <v>10.100000000000001</v>
      </c>
      <c r="J17" s="3"/>
      <c r="K17" s="13">
        <f>MAX(9.95,4.95+ROUND(K8*K11*0.25%,2))</f>
        <v>9.9499999999999993</v>
      </c>
      <c r="L17" s="13">
        <f>I17+IF(K$8&gt;0,K17,)</f>
        <v>10.100000000000001</v>
      </c>
      <c r="N17" s="13" t="s">
        <v>1</v>
      </c>
      <c r="O17" s="13">
        <f>MAX(9.95,4.95+ROUND(O8*O11/O9*0.25%,2))</f>
        <v>10.100000000000001</v>
      </c>
      <c r="P17" s="3"/>
      <c r="Q17" s="13"/>
      <c r="R17" s="13">
        <f>O17+IF(Q$8&gt;0,Q17,)</f>
        <v>10.100000000000001</v>
      </c>
      <c r="T17" s="13" t="s">
        <v>1</v>
      </c>
      <c r="U17" s="13">
        <f>MAX(9.95,4.95+ROUND(U8*U11/U9*0.25%,2))</f>
        <v>10.100000000000001</v>
      </c>
      <c r="V17" s="3"/>
      <c r="W17" s="13">
        <f>MAX(9.95,4.95+ROUND(W8*W11*0.25%,2))</f>
        <v>9.9499999999999993</v>
      </c>
      <c r="X17" s="13">
        <f>U17+IF(W$8&gt;0,W17,)</f>
        <v>10.100000000000001</v>
      </c>
      <c r="Z17" s="13" t="s">
        <v>1</v>
      </c>
      <c r="AA17" s="13">
        <f>MAX(9.95,4.95+ROUND(AA8*AA11/AA9*0.25%,2))</f>
        <v>9.9499999999999993</v>
      </c>
      <c r="AB17" s="3"/>
      <c r="AC17" s="13"/>
      <c r="AD17" s="13">
        <f>AA17+IF(AC$8&gt;0,AC17,)</f>
        <v>9.9499999999999993</v>
      </c>
    </row>
    <row r="18" spans="1:30" x14ac:dyDescent="0.3">
      <c r="B18" s="13" t="s">
        <v>2</v>
      </c>
      <c r="C18" s="13"/>
      <c r="E18" s="13"/>
      <c r="F18" s="13">
        <f>C18+IF(E$8&gt;0,E18,)</f>
        <v>0</v>
      </c>
      <c r="H18" s="13" t="s">
        <v>2</v>
      </c>
      <c r="I18" s="13"/>
      <c r="K18" s="13"/>
      <c r="L18" s="13">
        <f>I18+IF(K$8&gt;0,K18,)</f>
        <v>0</v>
      </c>
      <c r="N18" s="13" t="s">
        <v>2</v>
      </c>
      <c r="O18" s="13"/>
      <c r="Q18" s="13"/>
      <c r="R18" s="13">
        <f>O18+IF(Q$8&gt;0,Q18,)</f>
        <v>0</v>
      </c>
      <c r="T18" s="13" t="s">
        <v>2</v>
      </c>
      <c r="U18" s="13"/>
      <c r="W18" s="13"/>
      <c r="X18" s="13">
        <f>U18+IF(W$8&gt;0,W18,)</f>
        <v>0</v>
      </c>
      <c r="Z18" s="13" t="s">
        <v>2</v>
      </c>
      <c r="AA18" s="13"/>
      <c r="AC18" s="13"/>
      <c r="AD18" s="13">
        <f>AA18+IF(AC$8&gt;0,AC18,)</f>
        <v>0</v>
      </c>
    </row>
    <row r="19" spans="1:30" x14ac:dyDescent="0.3">
      <c r="B19" s="13"/>
      <c r="C19" s="13"/>
      <c r="E19" s="13"/>
      <c r="H19" s="13"/>
      <c r="I19" s="13"/>
      <c r="K19" s="13"/>
      <c r="N19" s="13"/>
      <c r="O19" s="13"/>
      <c r="Q19" s="13"/>
      <c r="T19" s="13"/>
      <c r="U19" s="13"/>
      <c r="W19" s="13"/>
      <c r="Z19" s="13"/>
      <c r="AA19" s="13"/>
      <c r="AC19" s="13"/>
    </row>
    <row r="20" spans="1:30" x14ac:dyDescent="0.3">
      <c r="B20" t="s">
        <v>3</v>
      </c>
      <c r="C20">
        <f>MAX(A:A)</f>
        <v>2</v>
      </c>
      <c r="E20">
        <f ca="1">COUNTIF(E28:E49,"&gt;0")</f>
        <v>0</v>
      </c>
      <c r="F20">
        <f>MAX(A:A)</f>
        <v>2</v>
      </c>
      <c r="H20" t="s">
        <v>3</v>
      </c>
      <c r="I20">
        <f>MAX(G:G)</f>
        <v>4</v>
      </c>
      <c r="K20">
        <f ca="1">COUNTIF(K28:K49,"&gt;0")</f>
        <v>0</v>
      </c>
      <c r="L20">
        <f>MAX(G:G)</f>
        <v>4</v>
      </c>
      <c r="N20" t="s">
        <v>3</v>
      </c>
      <c r="O20">
        <f>MAX(M:M)</f>
        <v>4</v>
      </c>
      <c r="Q20">
        <f ca="1">COUNTIF(Q28:Q49,"&gt;0")</f>
        <v>0</v>
      </c>
      <c r="R20">
        <f>MAX(M:M)</f>
        <v>4</v>
      </c>
      <c r="T20" t="s">
        <v>3</v>
      </c>
      <c r="U20">
        <f>MAX(S:S)</f>
        <v>13</v>
      </c>
      <c r="W20">
        <f ca="1">COUNTIF(W28:W49,"&gt;0")</f>
        <v>0</v>
      </c>
      <c r="X20">
        <f>MAX(S:S)</f>
        <v>13</v>
      </c>
      <c r="Z20" t="s">
        <v>3</v>
      </c>
      <c r="AA20">
        <f>MAX(Y:Y)</f>
        <v>5</v>
      </c>
      <c r="AC20">
        <f ca="1">COUNTIF(AC28:AC49,"&gt;0")</f>
        <v>0</v>
      </c>
      <c r="AD20">
        <f>MAX(Y:Y)</f>
        <v>5</v>
      </c>
    </row>
    <row r="21" spans="1:30" x14ac:dyDescent="0.3">
      <c r="B21" t="s">
        <v>5</v>
      </c>
      <c r="C21">
        <f>ROUND(C20*D$4*C$8/D$5/C9,2)</f>
        <v>350</v>
      </c>
      <c r="E21">
        <f ca="1">ROUND(E20*D$4*E$8/D$5/E9,2)</f>
        <v>0</v>
      </c>
      <c r="H21" t="s">
        <v>5</v>
      </c>
      <c r="I21">
        <f>ROUND(I20*J$4*I$8/J$5/I9,2)</f>
        <v>58.33</v>
      </c>
      <c r="K21">
        <f ca="1">ROUND(K20*J$4*K$8/J$5/K9,2)</f>
        <v>0</v>
      </c>
      <c r="N21" t="s">
        <v>5</v>
      </c>
      <c r="O21">
        <f>ROUND(O20*P$4*O$8/P$5/O9,2)</f>
        <v>680</v>
      </c>
      <c r="Q21">
        <f ca="1">ROUND(Q20*P$4*Q$8/P$5/Q9,2)</f>
        <v>0</v>
      </c>
      <c r="T21" t="s">
        <v>5</v>
      </c>
      <c r="U21">
        <f>ROUND(U20*V$4*U$8/V$5/U9,2)</f>
        <v>184.17</v>
      </c>
      <c r="W21">
        <f ca="1">ROUND(W20*V$4*W$8/V$5/W9,2)</f>
        <v>0</v>
      </c>
      <c r="Z21" t="s">
        <v>5</v>
      </c>
      <c r="AA21">
        <f>ROUND(AA20*AB$4*AA$8/AB$5/AA9,2)</f>
        <v>750</v>
      </c>
      <c r="AC21">
        <f ca="1">ROUND(AC20*AB$4*AC$8/AB$5/AC9,2)</f>
        <v>0</v>
      </c>
    </row>
    <row r="22" spans="1:30" s="18" customFormat="1" ht="23.4" x14ac:dyDescent="0.45">
      <c r="A22" s="20"/>
      <c r="B22" s="18" t="s">
        <v>4</v>
      </c>
      <c r="C22" s="22">
        <f ca="1">IFERROR(
XIRR(
OFFSET(C28,,,C20+COUNT(C$8:E$8),),
OFFSET(B28,,,C20+COUNT(C$8:E$8),)),
0)</f>
        <v>6.2214562296867379E-2</v>
      </c>
      <c r="D22"/>
      <c r="E22" s="22">
        <f ca="1">IFERROR(
XIRR(
OFFSET(E29,,,C20+1,),
OFFSET(B29,,,C20+1,)),
0)</f>
        <v>0</v>
      </c>
      <c r="F22" s="17">
        <f ca="1">IFERROR(
XIRR(
OFFSET(D28,,,F20+COUNT(C8:E8),),
OFFSET(B28,,,F20+COUNT(C8:E8),)),
0)</f>
        <v>6.2214562296867379E-2</v>
      </c>
      <c r="G22" s="20"/>
      <c r="H22" s="18" t="s">
        <v>4</v>
      </c>
      <c r="I22" s="22">
        <f ca="1">IFERROR(
XIRR(
OFFSET(I28,,,I20+COUNT(I$8:K$8),),
OFFSET(H28,,,I20+COUNT(I$8:K$8),)),
0)</f>
        <v>3.6342027783393863E-2</v>
      </c>
      <c r="J22"/>
      <c r="K22" s="22">
        <f ca="1">IFERROR(
XIRR(
OFFSET(K29,,,I20+1,),
OFFSET(H29,,,I20+1,)),
0)</f>
        <v>0</v>
      </c>
      <c r="L22" s="17">
        <f ca="1">IFERROR(
XIRR(
OFFSET(J28,,,L20+COUNT(I8:K8),),
OFFSET(H28,,,L20+COUNT(I8:K8),)),
0)</f>
        <v>3.5002082586288461E-3</v>
      </c>
      <c r="M22" s="20"/>
      <c r="N22" s="18" t="s">
        <v>4</v>
      </c>
      <c r="O22" s="22">
        <f ca="1">IFERROR(
XIRR(
OFFSET(O28,,,O20+COUNT(O$8:Q$8),),
OFFSET(N28,,,O20+COUNT(O$8:Q$8),)),
0)</f>
        <v>7.2109082341194161E-2</v>
      </c>
      <c r="P22"/>
      <c r="Q22" s="22">
        <f ca="1">IFERROR(
XIRR(
OFFSET(Q29,,,O20+1,),
OFFSET(N29,,,O20+1,)),
0)</f>
        <v>0</v>
      </c>
      <c r="R22" s="17">
        <f ca="1">IFERROR(
XIRR(
OFFSET(P28,,,R20+COUNT(O8:Q8),),
OFFSET(N28,,,R20+COUNT(O8:Q8),)),
0)</f>
        <v>7.2109082341194161E-2</v>
      </c>
      <c r="S22" s="20"/>
      <c r="T22" s="18" t="s">
        <v>4</v>
      </c>
      <c r="U22" s="22">
        <f ca="1">IFERROR(
XIRR(
OFFSET(U28,,,U20+COUNT(U$8:W$8),),
OFFSET(T28,,,U20+COUNT(U$8:W$8),)),
0)</f>
        <v>6.4634230732917783E-2</v>
      </c>
      <c r="V22"/>
      <c r="W22" s="22">
        <f ca="1">IFERROR(
XIRR(
OFFSET(W29,,,U20+1,),
OFFSET(T29,,,U20+1,)),
0)</f>
        <v>0</v>
      </c>
      <c r="X22" s="17">
        <f ca="1">IFERROR(
XIRR(
OFFSET(V28,,,X20+COUNT(U8:W8),),
OFFSET(T28,,,X20+COUNT(U8:W8),)),
0)</f>
        <v>6.4634230732917783E-2</v>
      </c>
      <c r="Y22" s="20"/>
      <c r="Z22" s="18" t="s">
        <v>4</v>
      </c>
      <c r="AA22" s="22">
        <f ca="1">IFERROR(
XIRR(
OFFSET(AA28,,,AA20+COUNT(AA$8:AC$8),),
OFFSET(Z28,,,AA20+COUNT(AA$8:AC$8),)),
0)</f>
        <v>7.3567858338356051E-2</v>
      </c>
      <c r="AB22"/>
      <c r="AC22" s="22">
        <f ca="1">IFERROR(
XIRR(
OFFSET(AC29,,,AA20+1,),
OFFSET(Z29,,,AA20+1,)),
0)</f>
        <v>0</v>
      </c>
      <c r="AD22" s="17">
        <f ca="1">IFERROR(
XIRR(
OFFSET(AB28,,,AD20+COUNT(AA8:AC8),),
OFFSET(Z28,,,AD20+COUNT(AA8:AC8),)),
0)</f>
        <v>7.3567858338356051E-2</v>
      </c>
    </row>
    <row r="23" spans="1:30" x14ac:dyDescent="0.3">
      <c r="B23" t="s">
        <v>20</v>
      </c>
      <c r="C23" s="3">
        <f>(C15+C17+C18)*C9/C8</f>
        <v>1.03505</v>
      </c>
      <c r="E23" s="3">
        <f>IFERROR((E15+E17+E18)*E9/E8,0)</f>
        <v>0</v>
      </c>
      <c r="F23" s="3">
        <f>(C23*C8+E23*E8)/F8</f>
        <v>1.03505</v>
      </c>
      <c r="H23" t="s">
        <v>20</v>
      </c>
      <c r="I23" s="3">
        <f>(I15+I17+I18)*I9/I8</f>
        <v>1.03505</v>
      </c>
      <c r="K23" s="3">
        <f>IFERROR((K15+K17+K18)*K9/K8,0)</f>
        <v>0</v>
      </c>
      <c r="L23" s="3">
        <f>(I23*I8+K23*K8)/L8</f>
        <v>1.03505</v>
      </c>
      <c r="N23" t="s">
        <v>20</v>
      </c>
      <c r="O23" s="3">
        <f>(O15+O17+O18)*O9/O8</f>
        <v>1.03505</v>
      </c>
      <c r="Q23" s="3">
        <f>IFERROR((Q15+Q17+Q18)*Q9/Q8,0)</f>
        <v>0</v>
      </c>
      <c r="R23" s="3">
        <f>(O23*O8+Q23*Q8)/R8</f>
        <v>1.03505</v>
      </c>
      <c r="T23" t="s">
        <v>20</v>
      </c>
      <c r="U23" s="3">
        <f>(U15+U17+U18)*U9/U8</f>
        <v>1.03505</v>
      </c>
      <c r="W23" s="3">
        <f>IFERROR((W15+W17+W18)*W9/W8,0)</f>
        <v>0</v>
      </c>
      <c r="X23" s="3">
        <f>(U23*U8+W23*W8)/X8</f>
        <v>1.03505</v>
      </c>
      <c r="Z23" t="s">
        <v>20</v>
      </c>
      <c r="AA23" s="3">
        <f>(AA15+AA17+AA18)*AA9/AA8</f>
        <v>1.004975</v>
      </c>
      <c r="AC23" s="3">
        <f>IFERROR((AC15+AC17+AC18)*AC9/AC8,0)</f>
        <v>0</v>
      </c>
      <c r="AD23" s="3">
        <f>(AA23*AA8+AC23*AC8)/AD8</f>
        <v>1.004975</v>
      </c>
    </row>
    <row r="24" spans="1:30" x14ac:dyDescent="0.3">
      <c r="B24" t="s">
        <v>6</v>
      </c>
      <c r="C24" s="8">
        <f ca="1">(D3-C10)/365</f>
        <v>1.5506849315068494</v>
      </c>
      <c r="D24" s="8"/>
      <c r="E24" s="8">
        <f ca="1">(D3-E10)/365</f>
        <v>1.5506849315068494</v>
      </c>
      <c r="F24" s="8">
        <f ca="1">(D3-TODAY())/365</f>
        <v>1.5506849315068494</v>
      </c>
      <c r="H24" t="s">
        <v>6</v>
      </c>
      <c r="I24" s="8">
        <f ca="1">(J3-I10)/365</f>
        <v>0.21917808219178081</v>
      </c>
      <c r="J24" s="8"/>
      <c r="K24" s="8">
        <f ca="1">(J3-K10)/365</f>
        <v>0.21917808219178081</v>
      </c>
      <c r="L24" s="8">
        <f ca="1">(J3-TODAY())/365</f>
        <v>0.21917808219178081</v>
      </c>
      <c r="N24" t="s">
        <v>6</v>
      </c>
      <c r="O24" s="8">
        <f ca="1">(P3-O10)/365</f>
        <v>3.2602739726027399</v>
      </c>
      <c r="P24" s="8"/>
      <c r="Q24" s="8">
        <f ca="1">(P3-Q10)/365</f>
        <v>3.2602739726027399</v>
      </c>
      <c r="R24" s="8">
        <f ca="1">(P3-TODAY())/365</f>
        <v>3.2602739726027399</v>
      </c>
      <c r="T24" t="s">
        <v>6</v>
      </c>
      <c r="U24" s="8">
        <f ca="1">(V3-U10)/365</f>
        <v>1.2602739726027397</v>
      </c>
      <c r="V24" s="8"/>
      <c r="W24" s="8">
        <f ca="1">(V3-W10)/365</f>
        <v>1.2602739726027397</v>
      </c>
      <c r="X24" s="8">
        <f ca="1">(V3-TODAY())/365</f>
        <v>1.2602739726027397</v>
      </c>
      <c r="Z24" t="s">
        <v>6</v>
      </c>
      <c r="AA24" s="8">
        <f ca="1">(AB3-AA10)/365</f>
        <v>4.912328767123288</v>
      </c>
      <c r="AB24" s="8"/>
      <c r="AC24" s="8">
        <f ca="1">(AB3-AC10)/365</f>
        <v>4.912328767123288</v>
      </c>
      <c r="AD24" s="8">
        <f ca="1">(AB3-TODAY())/365</f>
        <v>4.912328767123288</v>
      </c>
    </row>
    <row r="25" spans="1:30" x14ac:dyDescent="0.3">
      <c r="B25" t="s">
        <v>13</v>
      </c>
      <c r="C25" s="15">
        <f ca="1">SUM(C28:C45)</f>
        <v>200.05000000000018</v>
      </c>
      <c r="E25" s="15">
        <f ca="1">SUM(E28:E45)</f>
        <v>0</v>
      </c>
      <c r="H25" t="s">
        <v>13</v>
      </c>
      <c r="I25" s="15">
        <f ca="1">SUM(I28:I45)</f>
        <v>16.169999999999618</v>
      </c>
      <c r="K25" s="15">
        <f ca="1">SUM(K28:K45)</f>
        <v>-14.58</v>
      </c>
      <c r="N25" t="s">
        <v>13</v>
      </c>
      <c r="O25" s="15">
        <f ca="1">SUM(O28:O45)</f>
        <v>482.75</v>
      </c>
      <c r="Q25" s="15">
        <f ca="1">SUM(Q28:Q45)</f>
        <v>0</v>
      </c>
      <c r="T25" t="s">
        <v>13</v>
      </c>
      <c r="U25" s="15">
        <f ca="1">SUM(U28:U45)</f>
        <v>164.11000000000104</v>
      </c>
      <c r="W25" s="15">
        <f ca="1">SUM(W28:W45)</f>
        <v>0</v>
      </c>
      <c r="Z25" t="s">
        <v>13</v>
      </c>
      <c r="AA25" s="15">
        <f ca="1">SUM(AA28:AA45)</f>
        <v>725.71</v>
      </c>
      <c r="AC25" s="15">
        <f ca="1">SUM(AC28:AC45)</f>
        <v>0</v>
      </c>
    </row>
    <row r="26" spans="1:30" x14ac:dyDescent="0.3">
      <c r="B26" s="13"/>
      <c r="C26" s="13"/>
      <c r="E26" s="13"/>
      <c r="H26" s="13"/>
      <c r="I26" s="13"/>
      <c r="K26" s="13"/>
      <c r="N26" s="13"/>
      <c r="O26" s="13"/>
      <c r="Q26" s="13"/>
      <c r="T26" s="13"/>
      <c r="U26" s="13"/>
      <c r="W26" s="13"/>
      <c r="Z26" s="13"/>
      <c r="AA26" s="13"/>
      <c r="AC26" s="13"/>
    </row>
    <row r="28" spans="1:30" x14ac:dyDescent="0.3">
      <c r="B28" s="1">
        <f ca="1">C10</f>
        <v>43712</v>
      </c>
      <c r="C28" s="15">
        <f ca="1">-SUM(C15:C18)</f>
        <v>-2149.9499999999998</v>
      </c>
      <c r="D28" s="13">
        <f ca="1">IF(C8&gt;0,-SUM(C15:C18),0)</f>
        <v>-2149.9499999999998</v>
      </c>
      <c r="E28" s="15">
        <f t="shared" ref="E28:E49" ca="1" si="0">IFERROR(D28-C28,"")</f>
        <v>0</v>
      </c>
      <c r="H28" s="1">
        <f ca="1">I10</f>
        <v>43712</v>
      </c>
      <c r="I28" s="15">
        <f ca="1">-SUM(I15:I18)</f>
        <v>-2092.15</v>
      </c>
      <c r="J28" s="13">
        <f ca="1">IF(I8&gt;0,-SUM(I15:I18),0)</f>
        <v>-2092.15</v>
      </c>
      <c r="K28" s="15">
        <f t="shared" ref="K28:K30" ca="1" si="1">IFERROR(J28-I28,"")</f>
        <v>0</v>
      </c>
      <c r="N28" s="1">
        <f ca="1">O10</f>
        <v>43712</v>
      </c>
      <c r="O28" s="15">
        <f ca="1">-SUM(O15:O18)</f>
        <v>-2197.25</v>
      </c>
      <c r="P28" s="13">
        <f ca="1">IF(O8&gt;0,-SUM(O15:O18),0)</f>
        <v>-2197.25</v>
      </c>
      <c r="Q28" s="15">
        <f t="shared" ref="Q28:Q30" ca="1" si="2">IFERROR(P28-O28,"")</f>
        <v>0</v>
      </c>
      <c r="T28" s="1">
        <f ca="1">U10</f>
        <v>43712</v>
      </c>
      <c r="U28" s="15">
        <f ca="1">-SUM(U15:U18)</f>
        <v>-2070.1</v>
      </c>
      <c r="V28" s="13">
        <f ca="1">IF(U8&gt;0,-SUM(U15:U18),0)</f>
        <v>-2070.1</v>
      </c>
      <c r="W28" s="15">
        <f t="shared" ref="W28:W30" ca="1" si="3">IFERROR(V28-U28,"")</f>
        <v>0</v>
      </c>
      <c r="Z28" s="1">
        <f ca="1">AA10</f>
        <v>43712</v>
      </c>
      <c r="AA28" s="15">
        <f ca="1">-SUM(AA15:AA18)</f>
        <v>-2024.29</v>
      </c>
      <c r="AB28" s="13">
        <f ca="1">IF(AA8&gt;0,-SUM(AA15:AA18),0)</f>
        <v>-2024.29</v>
      </c>
      <c r="AC28" s="15">
        <f t="shared" ref="AC28:AC30" ca="1" si="4">IFERROR(AB28-AA28,"")</f>
        <v>0</v>
      </c>
    </row>
    <row r="29" spans="1:30" x14ac:dyDescent="0.3">
      <c r="B29" s="1">
        <f ca="1">E10</f>
        <v>43712</v>
      </c>
      <c r="D29" s="13">
        <f>IF(E8&gt;0,-SUM(E15:E18),0)</f>
        <v>0</v>
      </c>
      <c r="E29" s="15">
        <f t="shared" si="0"/>
        <v>0</v>
      </c>
      <c r="H29" s="1">
        <f ca="1">K10</f>
        <v>43712</v>
      </c>
      <c r="J29" s="13">
        <f>IF(K8&gt;0,-SUM(K15:K18),0)</f>
        <v>0</v>
      </c>
      <c r="K29" s="15">
        <f t="shared" si="1"/>
        <v>0</v>
      </c>
      <c r="N29" s="1">
        <f ca="1">Q10</f>
        <v>43712</v>
      </c>
      <c r="P29" s="13">
        <f>IF(Q8&gt;0,-SUM(Q15:Q18),0)</f>
        <v>0</v>
      </c>
      <c r="Q29" s="15">
        <f t="shared" si="2"/>
        <v>0</v>
      </c>
      <c r="T29" s="1">
        <f ca="1">W10</f>
        <v>43712</v>
      </c>
      <c r="V29" s="13">
        <f>IF(W8&gt;0,-SUM(W15:W18),0)</f>
        <v>0</v>
      </c>
      <c r="W29" s="15">
        <f t="shared" si="3"/>
        <v>0</v>
      </c>
      <c r="Z29" s="1">
        <f ca="1">AC10</f>
        <v>43712</v>
      </c>
      <c r="AB29" s="13">
        <f>IF(AC8&gt;0,-SUM(AC15:AC18),0)</f>
        <v>0</v>
      </c>
      <c r="AC29" s="15">
        <f t="shared" si="4"/>
        <v>0</v>
      </c>
    </row>
    <row r="30" spans="1:30" x14ac:dyDescent="0.3">
      <c r="A30" s="19">
        <v>1</v>
      </c>
      <c r="B30" s="1">
        <f>D2</f>
        <v>43913</v>
      </c>
      <c r="C30">
        <f>IF(ISNUMBER(B30),ROUND(IF(B31="",(D$4*C$8/D$5+C$8*D$6)/C$9,D$4*C$8/D$5/C$9),2),"")</f>
        <v>175</v>
      </c>
      <c r="D30" s="16">
        <f ca="1">IF(ISNUMBER(B30),ROUND(IF(B31="",D$4/D$5*SUMIF(C$10:E$10,"&lt;"&amp;B30,C$8:E$8)/C$9+SUMIF(C$10:E$10,"&lt;"&amp;B30,C$8:E$8)*D$6/C$9,D$4/D$5*SUMIF(C$10:E$10,"&lt;"&amp;B30,C$8:E$8)/C$9),2),"")</f>
        <v>175</v>
      </c>
      <c r="E30" s="15">
        <f t="shared" ca="1" si="0"/>
        <v>0</v>
      </c>
      <c r="G30" s="19">
        <v>1</v>
      </c>
      <c r="H30" s="1">
        <f>J2</f>
        <v>43700</v>
      </c>
      <c r="I30">
        <f>IF(ISNUMBER(H30),ROUND(IF(H31="",(J$4*I$8/J$5+I$8*J$6)/I$9,J$4*I$8/J$5/I$9),2),"")</f>
        <v>14.58</v>
      </c>
      <c r="J30" s="16">
        <f ca="1">IF(ISNUMBER(H30),ROUND(IF(H31="",J$4/J$5*SUMIF(I$10:K$10,"&lt;"&amp;H30,I$8:K$8)/I$9+SUMIF(I$10:K$10,"&lt;"&amp;H30,I$8:K$8)*J$6/I$9,J$4/J$5*SUMIF(I$10:K$10,"&lt;"&amp;H30,I$8:K$8)/I$9),2),"")</f>
        <v>0</v>
      </c>
      <c r="K30" s="15">
        <f t="shared" ca="1" si="1"/>
        <v>-14.58</v>
      </c>
      <c r="M30" s="19">
        <v>1</v>
      </c>
      <c r="N30" s="1">
        <f>P2</f>
        <v>43806</v>
      </c>
      <c r="O30">
        <f>IF(ISNUMBER(N30),ROUND(IF(N31="",(P$4*O$8/P$5+O$8*P$6)/O$9,P$4*O$8/P$5/O$9),2),"")</f>
        <v>170</v>
      </c>
      <c r="P30" s="16">
        <f ca="1">IF(ISNUMBER(N30),ROUND(IF(N31="",P$4/P$5*SUMIF(O$10:Q$10,"&lt;"&amp;N30,O$8:Q$8)/O$9+SUMIF(O$10:Q$10,"&lt;"&amp;N30,O$8:Q$8)*P$6/O$9,P$4/P$5*SUMIF(O$10:Q$10,"&lt;"&amp;N30,O$8:Q$8)/O$9),2),"")</f>
        <v>170</v>
      </c>
      <c r="Q30" s="15">
        <f t="shared" ca="1" si="2"/>
        <v>0</v>
      </c>
      <c r="S30" s="19">
        <v>1</v>
      </c>
      <c r="T30" s="1">
        <f>V2</f>
        <v>43806</v>
      </c>
      <c r="U30">
        <f>IF(ISNUMBER(T30),ROUND(IF(T31="",(V$4*U$8/V$5+U$8*V$6)/U$9,V$4*U$8/V$5/U$9),2),"")</f>
        <v>14.17</v>
      </c>
      <c r="V30" s="16">
        <f ca="1">IF(ISNUMBER(T30),ROUND(IF(T31="",V$4/V$5*SUMIF(U$10:W$10,"&lt;"&amp;T30,U$8:W$8)/U$9+SUMIF(U$10:W$10,"&lt;"&amp;T30,U$8:W$8)*V$6/U$9,V$4/V$5*SUMIF(U$10:W$10,"&lt;"&amp;T30,U$8:W$8)/U$9),2),"")</f>
        <v>14.17</v>
      </c>
      <c r="W30" s="15">
        <f t="shared" ca="1" si="3"/>
        <v>0</v>
      </c>
      <c r="Y30" s="19">
        <v>1</v>
      </c>
      <c r="Z30" s="1">
        <f>AB2</f>
        <v>44044</v>
      </c>
      <c r="AA30">
        <f>IF(ISNUMBER(Z30),ROUND(IF(Z31="",(AB$4*AA$8/AB$5+AA$8*AB$6)/AA$9,AB$4*AA$8/AB$5/AA$9),2),"")</f>
        <v>150</v>
      </c>
      <c r="AB30" s="16">
        <f ca="1">IF(ISNUMBER(Z30),ROUND(IF(Z31="",AB$4/AB$5*SUMIF(AA$10:AC$10,"&lt;"&amp;Z30,AA$8:AC$8)/AA$9+SUMIF(AA$10:AC$10,"&lt;"&amp;Z30,AA$8:AC$8)*AB$6/AA$9,AB$4/AB$5*SUMIF(AA$10:AC$10,"&lt;"&amp;Z30,AA$8:AC$8)/AA$9),2),"")</f>
        <v>150</v>
      </c>
      <c r="AC30" s="15">
        <f t="shared" ca="1" si="4"/>
        <v>0</v>
      </c>
    </row>
    <row r="31" spans="1:30" x14ac:dyDescent="0.3">
      <c r="A31" s="19">
        <f>IF(AND(B30&lt;D$3,B30&lt;&gt;0),A30+1,"")</f>
        <v>2</v>
      </c>
      <c r="B31" s="1">
        <f>IF(AND(B30&lt;D$3,B30&lt;&gt;0),DATE(IF(MONTH(B30)&gt;(12-12/D$5),YEAR(B30)+1,YEAR(B30)),IF(MONTH(B30)&gt;(12-12/D$5),MONTH(B30)-(12-12/D$5),MONTH(B30)+12/D$5),DAY(B30)),"")</f>
        <v>44278</v>
      </c>
      <c r="C31">
        <f t="shared" ref="C31:C49" si="5">IF(ISNUMBER(B31),ROUND(IF(B32="",(D$4*C$8/D$5+C$8*D$6)/C$9,D$4*C$8/D$5/C$9),2),"")</f>
        <v>2175</v>
      </c>
      <c r="D31" s="16">
        <f t="shared" ref="D31:D49" ca="1" si="6">IF(ISNUMBER(B31),ROUND(IF(B32="",D$4/D$5*SUMIF(C$10:E$10,"&lt;"&amp;B31,C$8:E$8)/C$9+SUMIF(C$10:E$10,"&lt;"&amp;B31,C$8:E$8)*D$6/C$9,D$4/D$5*SUMIF(C$10:E$10,"&lt;"&amp;B31,C$8:E$8)/C$9),2),"")</f>
        <v>2175</v>
      </c>
      <c r="E31" s="15">
        <f ca="1">IFERROR(D31-C31,"")</f>
        <v>0</v>
      </c>
      <c r="G31" s="19">
        <f>IF(AND(H30&lt;J$3,H30&lt;&gt;0),G30+1,"")</f>
        <v>2</v>
      </c>
      <c r="H31" s="1">
        <f>IF(AND(H30&lt;J$3,H30&lt;&gt;0),DATE(IF(MONTH(H30)&gt;(12-12/J$5),YEAR(H30)+1,YEAR(H30)),IF(MONTH(H30)&gt;(12-12/J$5),MONTH(H30)-(12-12/J$5),MONTH(H30)+12/J$5),DAY(H30)),"")</f>
        <v>43731</v>
      </c>
      <c r="I31">
        <f t="shared" ref="I31:I49" si="7">IF(ISNUMBER(H31),ROUND(IF(H32="",(J$4*I$8/J$5+I$8*J$6)/I$9,J$4*I$8/J$5/I$9),2),"")</f>
        <v>14.58</v>
      </c>
      <c r="J31" s="16">
        <f t="shared" ref="J31:J49" ca="1" si="8">IF(ISNUMBER(H31),ROUND(IF(H32="",J$4/J$5*SUMIF(I$10:K$10,"&lt;"&amp;H31,I$8:K$8)/I$9+SUMIF(I$10:K$10,"&lt;"&amp;H31,I$8:K$8)*J$6/I$9,J$4/J$5*SUMIF(I$10:K$10,"&lt;"&amp;H31,I$8:K$8)/I$9),2),"")</f>
        <v>14.58</v>
      </c>
      <c r="K31" s="15">
        <f ca="1">IFERROR(J31-I31,"")</f>
        <v>0</v>
      </c>
      <c r="M31" s="19">
        <f>IF(AND(N30&lt;P$3,N30&lt;&gt;0),M30+1,"")</f>
        <v>2</v>
      </c>
      <c r="N31" s="1">
        <f>IF(AND(N30&lt;P$3,N30&lt;&gt;0),DATE(IF(MONTH(N30)&gt;(12-12/P$5),YEAR(N30)+1,YEAR(N30)),IF(MONTH(N30)&gt;(12-12/P$5),MONTH(N30)-(12-12/P$5),MONTH(N30)+12/P$5),DAY(N30)),"")</f>
        <v>44172</v>
      </c>
      <c r="O31">
        <f t="shared" ref="O31:O49" si="9">IF(ISNUMBER(N31),ROUND(IF(N32="",(P$4*O$8/P$5+O$8*P$6)/O$9,P$4*O$8/P$5/O$9),2),"")</f>
        <v>170</v>
      </c>
      <c r="P31" s="16">
        <f t="shared" ref="P31:P49" ca="1" si="10">IF(ISNUMBER(N31),ROUND(IF(N32="",P$4/P$5*SUMIF(O$10:Q$10,"&lt;"&amp;N31,O$8:Q$8)/O$9+SUMIF(O$10:Q$10,"&lt;"&amp;N31,O$8:Q$8)*P$6/O$9,P$4/P$5*SUMIF(O$10:Q$10,"&lt;"&amp;N31,O$8:Q$8)/O$9),2),"")</f>
        <v>170</v>
      </c>
      <c r="Q31" s="15">
        <f ca="1">IFERROR(P31-O31,"")</f>
        <v>0</v>
      </c>
      <c r="S31" s="19">
        <f>IF(AND(T30&lt;V$3,T30&lt;&gt;0),S30+1,"")</f>
        <v>2</v>
      </c>
      <c r="T31" s="1">
        <f>IF(AND(T30&lt;V$3,T30&lt;&gt;0),DATE(IF(MONTH(T30)&gt;(12-12/V$5),YEAR(T30)+1,YEAR(T30)),IF(MONTH(T30)&gt;(12-12/V$5),MONTH(T30)-(12-12/V$5),MONTH(T30)+12/V$5),DAY(T30)),"")</f>
        <v>43837</v>
      </c>
      <c r="U31">
        <f t="shared" ref="U31:U49" si="11">IF(ISNUMBER(T31),ROUND(IF(T32="",(V$4*U$8/V$5+U$8*V$6)/U$9,V$4*U$8/V$5/U$9),2),"")</f>
        <v>14.17</v>
      </c>
      <c r="V31" s="16">
        <f t="shared" ref="V31:V49" ca="1" si="12">IF(ISNUMBER(T31),ROUND(IF(T32="",V$4/V$5*SUMIF(U$10:W$10,"&lt;"&amp;T31,U$8:W$8)/U$9+SUMIF(U$10:W$10,"&lt;"&amp;T31,U$8:W$8)*V$6/U$9,V$4/V$5*SUMIF(U$10:W$10,"&lt;"&amp;T31,U$8:W$8)/U$9),2),"")</f>
        <v>14.17</v>
      </c>
      <c r="W31" s="15">
        <f ca="1">IFERROR(V31-U31,"")</f>
        <v>0</v>
      </c>
      <c r="Y31" s="19">
        <f>IF(AND(Z30&lt;AB$3,Z30&lt;&gt;0),Y30+1,"")</f>
        <v>2</v>
      </c>
      <c r="Z31" s="1">
        <f>IF(AND(Z30&lt;AB$3,Z30&lt;&gt;0),DATE(IF(MONTH(Z30)&gt;(12-12/AB$5),YEAR(Z30)+1,YEAR(Z30)),IF(MONTH(Z30)&gt;(12-12/AB$5),MONTH(Z30)-(12-12/AB$5),MONTH(Z30)+12/AB$5),DAY(Z30)),"")</f>
        <v>44409</v>
      </c>
      <c r="AA31">
        <f t="shared" ref="AA31:AA49" si="13">IF(ISNUMBER(Z31),ROUND(IF(Z32="",(AB$4*AA$8/AB$5+AA$8*AB$6)/AA$9,AB$4*AA$8/AB$5/AA$9),2),"")</f>
        <v>150</v>
      </c>
      <c r="AB31" s="16">
        <f t="shared" ref="AB31:AB49" ca="1" si="14">IF(ISNUMBER(Z31),ROUND(IF(Z32="",AB$4/AB$5*SUMIF(AA$10:AC$10,"&lt;"&amp;Z31,AA$8:AC$8)/AA$9+SUMIF(AA$10:AC$10,"&lt;"&amp;Z31,AA$8:AC$8)*AB$6/AA$9,AB$4/AB$5*SUMIF(AA$10:AC$10,"&lt;"&amp;Z31,AA$8:AC$8)/AA$9),2),"")</f>
        <v>150</v>
      </c>
      <c r="AC31" s="15">
        <f ca="1">IFERROR(AB31-AA31,"")</f>
        <v>0</v>
      </c>
    </row>
    <row r="32" spans="1:30" x14ac:dyDescent="0.3">
      <c r="A32" s="19" t="str">
        <f t="shared" ref="A32:A49" si="15">IF(AND(B31&lt;D$3,B31&lt;&gt;0),A31+1,"")</f>
        <v/>
      </c>
      <c r="B32" s="1" t="str">
        <f t="shared" ref="B32:B49" si="16">IF(AND(B31&lt;D$3,B31&lt;&gt;0),DATE(IF(MONTH(B31)&gt;(12-12/D$5),YEAR(B31)+1,YEAR(B31)),IF(MONTH(B31)&gt;(12-12/D$5),MONTH(B31)-(12-12/D$5),MONTH(B31)+12/D$5),DAY(B31)),"")</f>
        <v/>
      </c>
      <c r="C32" t="str">
        <f t="shared" si="5"/>
        <v/>
      </c>
      <c r="D32" s="16" t="str">
        <f t="shared" si="6"/>
        <v/>
      </c>
      <c r="E32" s="15" t="str">
        <f t="shared" si="0"/>
        <v/>
      </c>
      <c r="G32" s="19">
        <f t="shared" ref="G32:G49" si="17">IF(AND(H31&lt;J$3,H31&lt;&gt;0),G31+1,"")</f>
        <v>3</v>
      </c>
      <c r="H32" s="1">
        <f t="shared" ref="H32:H49" si="18">IF(AND(H31&lt;J$3,H31&lt;&gt;0),DATE(IF(MONTH(H31)&gt;(12-12/J$5),YEAR(H31)+1,YEAR(H31)),IF(MONTH(H31)&gt;(12-12/J$5),MONTH(H31)-(12-12/J$5),MONTH(H31)+12/J$5),DAY(H31)),"")</f>
        <v>43761</v>
      </c>
      <c r="I32">
        <f t="shared" si="7"/>
        <v>14.58</v>
      </c>
      <c r="J32" s="16">
        <f t="shared" ca="1" si="8"/>
        <v>14.58</v>
      </c>
      <c r="K32" s="15">
        <f t="shared" ref="K32:K49" ca="1" si="19">IFERROR(J32-I32,"")</f>
        <v>0</v>
      </c>
      <c r="M32" s="19">
        <f t="shared" ref="M32:M49" si="20">IF(AND(N31&lt;P$3,N31&lt;&gt;0),M31+1,"")</f>
        <v>3</v>
      </c>
      <c r="N32" s="1">
        <f t="shared" ref="N32:N49" si="21">IF(AND(N31&lt;P$3,N31&lt;&gt;0),DATE(IF(MONTH(N31)&gt;(12-12/P$5),YEAR(N31)+1,YEAR(N31)),IF(MONTH(N31)&gt;(12-12/P$5),MONTH(N31)-(12-12/P$5),MONTH(N31)+12/P$5),DAY(N31)),"")</f>
        <v>44537</v>
      </c>
      <c r="O32">
        <f t="shared" si="9"/>
        <v>170</v>
      </c>
      <c r="P32" s="16">
        <f t="shared" ca="1" si="10"/>
        <v>170</v>
      </c>
      <c r="Q32" s="15">
        <f t="shared" ref="Q32:Q49" ca="1" si="22">IFERROR(P32-O32,"")</f>
        <v>0</v>
      </c>
      <c r="S32" s="19">
        <f t="shared" ref="S32:S49" si="23">IF(AND(T31&lt;V$3,T31&lt;&gt;0),S31+1,"")</f>
        <v>3</v>
      </c>
      <c r="T32" s="1">
        <f t="shared" ref="T32:T49" si="24">IF(AND(T31&lt;V$3,T31&lt;&gt;0),DATE(IF(MONTH(T31)&gt;(12-12/V$5),YEAR(T31)+1,YEAR(T31)),IF(MONTH(T31)&gt;(12-12/V$5),MONTH(T31)-(12-12/V$5),MONTH(T31)+12/V$5),DAY(T31)),"")</f>
        <v>43868</v>
      </c>
      <c r="U32">
        <f t="shared" si="11"/>
        <v>14.17</v>
      </c>
      <c r="V32" s="16">
        <f t="shared" ca="1" si="12"/>
        <v>14.17</v>
      </c>
      <c r="W32" s="15">
        <f t="shared" ref="W32:W49" ca="1" si="25">IFERROR(V32-U32,"")</f>
        <v>0</v>
      </c>
      <c r="Y32" s="19">
        <f t="shared" ref="Y32:Y49" si="26">IF(AND(Z31&lt;AB$3,Z31&lt;&gt;0),Y31+1,"")</f>
        <v>3</v>
      </c>
      <c r="Z32" s="1">
        <f t="shared" ref="Z32:Z49" si="27">IF(AND(Z31&lt;AB$3,Z31&lt;&gt;0),DATE(IF(MONTH(Z31)&gt;(12-12/AB$5),YEAR(Z31)+1,YEAR(Z31)),IF(MONTH(Z31)&gt;(12-12/AB$5),MONTH(Z31)-(12-12/AB$5),MONTH(Z31)+12/AB$5),DAY(Z31)),"")</f>
        <v>44774</v>
      </c>
      <c r="AA32">
        <f t="shared" si="13"/>
        <v>150</v>
      </c>
      <c r="AB32" s="16">
        <f t="shared" ca="1" si="14"/>
        <v>150</v>
      </c>
      <c r="AC32" s="15">
        <f t="shared" ref="AC32:AC49" ca="1" si="28">IFERROR(AB32-AA32,"")</f>
        <v>0</v>
      </c>
    </row>
    <row r="33" spans="1:29" x14ac:dyDescent="0.3">
      <c r="A33" s="19" t="str">
        <f t="shared" si="15"/>
        <v/>
      </c>
      <c r="B33" s="1" t="str">
        <f t="shared" si="16"/>
        <v/>
      </c>
      <c r="C33" t="str">
        <f t="shared" si="5"/>
        <v/>
      </c>
      <c r="D33" s="16" t="str">
        <f t="shared" si="6"/>
        <v/>
      </c>
      <c r="E33" s="15" t="str">
        <f t="shared" si="0"/>
        <v/>
      </c>
      <c r="G33" s="19">
        <f t="shared" si="17"/>
        <v>4</v>
      </c>
      <c r="H33" s="1">
        <f t="shared" si="18"/>
        <v>43792</v>
      </c>
      <c r="I33">
        <f t="shared" si="7"/>
        <v>2064.58</v>
      </c>
      <c r="J33" s="16">
        <f t="shared" ca="1" si="8"/>
        <v>2064.58</v>
      </c>
      <c r="K33" s="15">
        <f t="shared" ca="1" si="19"/>
        <v>0</v>
      </c>
      <c r="M33" s="19">
        <f t="shared" si="20"/>
        <v>4</v>
      </c>
      <c r="N33" s="1">
        <f t="shared" si="21"/>
        <v>44902</v>
      </c>
      <c r="O33">
        <f t="shared" si="9"/>
        <v>2170</v>
      </c>
      <c r="P33" s="16">
        <f t="shared" ca="1" si="10"/>
        <v>2170</v>
      </c>
      <c r="Q33" s="15">
        <f t="shared" ca="1" si="22"/>
        <v>0</v>
      </c>
      <c r="S33" s="19">
        <f t="shared" si="23"/>
        <v>4</v>
      </c>
      <c r="T33" s="1">
        <f t="shared" si="24"/>
        <v>43897</v>
      </c>
      <c r="U33">
        <f t="shared" si="11"/>
        <v>14.17</v>
      </c>
      <c r="V33" s="16">
        <f t="shared" ca="1" si="12"/>
        <v>14.17</v>
      </c>
      <c r="W33" s="15">
        <f t="shared" ca="1" si="25"/>
        <v>0</v>
      </c>
      <c r="Y33" s="19">
        <f t="shared" si="26"/>
        <v>4</v>
      </c>
      <c r="Z33" s="1">
        <f t="shared" si="27"/>
        <v>45139</v>
      </c>
      <c r="AA33">
        <f t="shared" si="13"/>
        <v>150</v>
      </c>
      <c r="AB33" s="16">
        <f t="shared" ca="1" si="14"/>
        <v>150</v>
      </c>
      <c r="AC33" s="15">
        <f t="shared" ca="1" si="28"/>
        <v>0</v>
      </c>
    </row>
    <row r="34" spans="1:29" x14ac:dyDescent="0.3">
      <c r="A34" s="19" t="str">
        <f t="shared" si="15"/>
        <v/>
      </c>
      <c r="B34" s="1" t="str">
        <f t="shared" si="16"/>
        <v/>
      </c>
      <c r="C34" t="str">
        <f t="shared" si="5"/>
        <v/>
      </c>
      <c r="D34" s="16" t="str">
        <f t="shared" si="6"/>
        <v/>
      </c>
      <c r="E34" s="15" t="str">
        <f t="shared" si="0"/>
        <v/>
      </c>
      <c r="G34" s="19" t="str">
        <f t="shared" si="17"/>
        <v/>
      </c>
      <c r="H34" s="1" t="str">
        <f t="shared" si="18"/>
        <v/>
      </c>
      <c r="I34" t="str">
        <f t="shared" si="7"/>
        <v/>
      </c>
      <c r="J34" s="16" t="str">
        <f t="shared" si="8"/>
        <v/>
      </c>
      <c r="K34" s="15" t="str">
        <f t="shared" si="19"/>
        <v/>
      </c>
      <c r="M34" s="19" t="str">
        <f t="shared" si="20"/>
        <v/>
      </c>
      <c r="N34" s="1" t="str">
        <f t="shared" si="21"/>
        <v/>
      </c>
      <c r="O34" t="str">
        <f t="shared" si="9"/>
        <v/>
      </c>
      <c r="P34" s="16" t="str">
        <f t="shared" si="10"/>
        <v/>
      </c>
      <c r="Q34" s="15" t="str">
        <f t="shared" si="22"/>
        <v/>
      </c>
      <c r="S34" s="19">
        <f t="shared" si="23"/>
        <v>5</v>
      </c>
      <c r="T34" s="1">
        <f t="shared" si="24"/>
        <v>43928</v>
      </c>
      <c r="U34">
        <f t="shared" si="11"/>
        <v>14.17</v>
      </c>
      <c r="V34" s="16">
        <f t="shared" ca="1" si="12"/>
        <v>14.17</v>
      </c>
      <c r="W34" s="15">
        <f t="shared" ca="1" si="25"/>
        <v>0</v>
      </c>
      <c r="Y34" s="19">
        <f t="shared" si="26"/>
        <v>5</v>
      </c>
      <c r="Z34" s="1">
        <f t="shared" si="27"/>
        <v>45505</v>
      </c>
      <c r="AA34">
        <f t="shared" si="13"/>
        <v>2150</v>
      </c>
      <c r="AB34" s="16">
        <f t="shared" ca="1" si="14"/>
        <v>2150</v>
      </c>
      <c r="AC34" s="15">
        <f t="shared" ca="1" si="28"/>
        <v>0</v>
      </c>
    </row>
    <row r="35" spans="1:29" x14ac:dyDescent="0.3">
      <c r="A35" s="19" t="str">
        <f t="shared" si="15"/>
        <v/>
      </c>
      <c r="B35" s="1" t="str">
        <f t="shared" si="16"/>
        <v/>
      </c>
      <c r="C35" t="str">
        <f t="shared" si="5"/>
        <v/>
      </c>
      <c r="D35" s="16" t="str">
        <f t="shared" si="6"/>
        <v/>
      </c>
      <c r="E35" s="15" t="str">
        <f t="shared" si="0"/>
        <v/>
      </c>
      <c r="G35" s="19" t="str">
        <f t="shared" si="17"/>
        <v/>
      </c>
      <c r="H35" s="1" t="str">
        <f t="shared" si="18"/>
        <v/>
      </c>
      <c r="I35" t="str">
        <f t="shared" si="7"/>
        <v/>
      </c>
      <c r="J35" s="16" t="str">
        <f t="shared" si="8"/>
        <v/>
      </c>
      <c r="K35" s="15" t="str">
        <f t="shared" si="19"/>
        <v/>
      </c>
      <c r="M35" s="19" t="str">
        <f t="shared" si="20"/>
        <v/>
      </c>
      <c r="N35" s="1" t="str">
        <f t="shared" si="21"/>
        <v/>
      </c>
      <c r="O35" t="str">
        <f t="shared" si="9"/>
        <v/>
      </c>
      <c r="P35" s="16" t="str">
        <f t="shared" si="10"/>
        <v/>
      </c>
      <c r="Q35" s="15" t="str">
        <f t="shared" si="22"/>
        <v/>
      </c>
      <c r="S35" s="19">
        <f t="shared" si="23"/>
        <v>6</v>
      </c>
      <c r="T35" s="1">
        <f t="shared" si="24"/>
        <v>43958</v>
      </c>
      <c r="U35">
        <f t="shared" si="11"/>
        <v>14.17</v>
      </c>
      <c r="V35" s="16">
        <f t="shared" ca="1" si="12"/>
        <v>14.17</v>
      </c>
      <c r="W35" s="15">
        <f t="shared" ca="1" si="25"/>
        <v>0</v>
      </c>
      <c r="Y35" s="19" t="str">
        <f t="shared" si="26"/>
        <v/>
      </c>
      <c r="Z35" s="1" t="str">
        <f t="shared" si="27"/>
        <v/>
      </c>
      <c r="AA35" t="str">
        <f t="shared" si="13"/>
        <v/>
      </c>
      <c r="AB35" s="16" t="str">
        <f t="shared" si="14"/>
        <v/>
      </c>
      <c r="AC35" s="15" t="str">
        <f t="shared" si="28"/>
        <v/>
      </c>
    </row>
    <row r="36" spans="1:29" x14ac:dyDescent="0.3">
      <c r="A36" s="19" t="str">
        <f t="shared" si="15"/>
        <v/>
      </c>
      <c r="B36" s="1" t="str">
        <f t="shared" si="16"/>
        <v/>
      </c>
      <c r="C36" t="str">
        <f t="shared" si="5"/>
        <v/>
      </c>
      <c r="D36" s="16" t="str">
        <f t="shared" si="6"/>
        <v/>
      </c>
      <c r="E36" s="15" t="str">
        <f t="shared" si="0"/>
        <v/>
      </c>
      <c r="G36" s="19" t="str">
        <f t="shared" si="17"/>
        <v/>
      </c>
      <c r="H36" s="1" t="str">
        <f t="shared" si="18"/>
        <v/>
      </c>
      <c r="I36" t="str">
        <f t="shared" si="7"/>
        <v/>
      </c>
      <c r="J36" s="16" t="str">
        <f t="shared" si="8"/>
        <v/>
      </c>
      <c r="K36" s="15" t="str">
        <f t="shared" si="19"/>
        <v/>
      </c>
      <c r="M36" s="19" t="str">
        <f t="shared" si="20"/>
        <v/>
      </c>
      <c r="N36" s="1" t="str">
        <f t="shared" si="21"/>
        <v/>
      </c>
      <c r="O36" t="str">
        <f t="shared" si="9"/>
        <v/>
      </c>
      <c r="P36" s="16" t="str">
        <f t="shared" si="10"/>
        <v/>
      </c>
      <c r="Q36" s="15" t="str">
        <f t="shared" si="22"/>
        <v/>
      </c>
      <c r="S36" s="19">
        <f t="shared" si="23"/>
        <v>7</v>
      </c>
      <c r="T36" s="1">
        <f t="shared" si="24"/>
        <v>43989</v>
      </c>
      <c r="U36">
        <f t="shared" si="11"/>
        <v>14.17</v>
      </c>
      <c r="V36" s="16">
        <f t="shared" ca="1" si="12"/>
        <v>14.17</v>
      </c>
      <c r="W36" s="15">
        <f t="shared" ca="1" si="25"/>
        <v>0</v>
      </c>
      <c r="Y36" s="19" t="str">
        <f t="shared" si="26"/>
        <v/>
      </c>
      <c r="Z36" s="1" t="str">
        <f t="shared" si="27"/>
        <v/>
      </c>
      <c r="AA36" t="str">
        <f t="shared" si="13"/>
        <v/>
      </c>
      <c r="AB36" s="16" t="str">
        <f t="shared" si="14"/>
        <v/>
      </c>
      <c r="AC36" s="15" t="str">
        <f t="shared" si="28"/>
        <v/>
      </c>
    </row>
    <row r="37" spans="1:29" x14ac:dyDescent="0.3">
      <c r="A37" s="19" t="str">
        <f t="shared" si="15"/>
        <v/>
      </c>
      <c r="B37" s="1" t="str">
        <f t="shared" si="16"/>
        <v/>
      </c>
      <c r="C37" t="str">
        <f t="shared" si="5"/>
        <v/>
      </c>
      <c r="D37" s="16" t="str">
        <f t="shared" si="6"/>
        <v/>
      </c>
      <c r="E37" s="15" t="str">
        <f t="shared" si="0"/>
        <v/>
      </c>
      <c r="G37" s="19" t="str">
        <f t="shared" si="17"/>
        <v/>
      </c>
      <c r="H37" s="1" t="str">
        <f t="shared" si="18"/>
        <v/>
      </c>
      <c r="I37" t="str">
        <f t="shared" si="7"/>
        <v/>
      </c>
      <c r="J37" s="16" t="str">
        <f t="shared" si="8"/>
        <v/>
      </c>
      <c r="K37" s="15" t="str">
        <f t="shared" si="19"/>
        <v/>
      </c>
      <c r="M37" s="19" t="str">
        <f t="shared" si="20"/>
        <v/>
      </c>
      <c r="N37" s="1" t="str">
        <f t="shared" si="21"/>
        <v/>
      </c>
      <c r="O37" t="str">
        <f t="shared" si="9"/>
        <v/>
      </c>
      <c r="P37" s="16" t="str">
        <f t="shared" si="10"/>
        <v/>
      </c>
      <c r="Q37" s="15" t="str">
        <f t="shared" si="22"/>
        <v/>
      </c>
      <c r="S37" s="19">
        <f t="shared" si="23"/>
        <v>8</v>
      </c>
      <c r="T37" s="1">
        <f t="shared" si="24"/>
        <v>44019</v>
      </c>
      <c r="U37">
        <f t="shared" si="11"/>
        <v>14.17</v>
      </c>
      <c r="V37" s="16">
        <f t="shared" ca="1" si="12"/>
        <v>14.17</v>
      </c>
      <c r="W37" s="15">
        <f t="shared" ca="1" si="25"/>
        <v>0</v>
      </c>
      <c r="Y37" s="19" t="str">
        <f t="shared" si="26"/>
        <v/>
      </c>
      <c r="Z37" s="1" t="str">
        <f t="shared" si="27"/>
        <v/>
      </c>
      <c r="AA37" t="str">
        <f t="shared" si="13"/>
        <v/>
      </c>
      <c r="AB37" s="16" t="str">
        <f t="shared" si="14"/>
        <v/>
      </c>
      <c r="AC37" s="15" t="str">
        <f t="shared" si="28"/>
        <v/>
      </c>
    </row>
    <row r="38" spans="1:29" x14ac:dyDescent="0.3">
      <c r="A38" s="19" t="str">
        <f t="shared" si="15"/>
        <v/>
      </c>
      <c r="B38" s="1" t="str">
        <f t="shared" si="16"/>
        <v/>
      </c>
      <c r="C38" t="str">
        <f t="shared" si="5"/>
        <v/>
      </c>
      <c r="D38" s="16" t="str">
        <f t="shared" si="6"/>
        <v/>
      </c>
      <c r="E38" s="15" t="str">
        <f t="shared" si="0"/>
        <v/>
      </c>
      <c r="G38" s="19" t="str">
        <f t="shared" si="17"/>
        <v/>
      </c>
      <c r="H38" s="1" t="str">
        <f t="shared" si="18"/>
        <v/>
      </c>
      <c r="I38" t="str">
        <f t="shared" si="7"/>
        <v/>
      </c>
      <c r="J38" s="16" t="str">
        <f t="shared" si="8"/>
        <v/>
      </c>
      <c r="K38" s="15" t="str">
        <f t="shared" si="19"/>
        <v/>
      </c>
      <c r="M38" s="19" t="str">
        <f t="shared" si="20"/>
        <v/>
      </c>
      <c r="N38" s="1" t="str">
        <f t="shared" si="21"/>
        <v/>
      </c>
      <c r="O38" t="str">
        <f t="shared" si="9"/>
        <v/>
      </c>
      <c r="P38" s="16" t="str">
        <f t="shared" si="10"/>
        <v/>
      </c>
      <c r="Q38" s="15" t="str">
        <f t="shared" si="22"/>
        <v/>
      </c>
      <c r="S38" s="19">
        <f t="shared" si="23"/>
        <v>9</v>
      </c>
      <c r="T38" s="1">
        <f t="shared" si="24"/>
        <v>44050</v>
      </c>
      <c r="U38">
        <f t="shared" si="11"/>
        <v>14.17</v>
      </c>
      <c r="V38" s="16">
        <f t="shared" ca="1" si="12"/>
        <v>14.17</v>
      </c>
      <c r="W38" s="15">
        <f t="shared" ca="1" si="25"/>
        <v>0</v>
      </c>
      <c r="Y38" s="19" t="str">
        <f t="shared" si="26"/>
        <v/>
      </c>
      <c r="Z38" s="1" t="str">
        <f t="shared" si="27"/>
        <v/>
      </c>
      <c r="AA38" t="str">
        <f t="shared" si="13"/>
        <v/>
      </c>
      <c r="AB38" s="16" t="str">
        <f t="shared" si="14"/>
        <v/>
      </c>
      <c r="AC38" s="15" t="str">
        <f t="shared" si="28"/>
        <v/>
      </c>
    </row>
    <row r="39" spans="1:29" x14ac:dyDescent="0.3">
      <c r="A39" s="19" t="str">
        <f t="shared" si="15"/>
        <v/>
      </c>
      <c r="B39" s="1" t="str">
        <f t="shared" si="16"/>
        <v/>
      </c>
      <c r="C39" t="str">
        <f t="shared" si="5"/>
        <v/>
      </c>
      <c r="D39" s="16" t="str">
        <f t="shared" si="6"/>
        <v/>
      </c>
      <c r="E39" s="15" t="str">
        <f t="shared" si="0"/>
        <v/>
      </c>
      <c r="G39" s="19" t="str">
        <f t="shared" si="17"/>
        <v/>
      </c>
      <c r="H39" s="1" t="str">
        <f t="shared" si="18"/>
        <v/>
      </c>
      <c r="I39" t="str">
        <f t="shared" si="7"/>
        <v/>
      </c>
      <c r="J39" s="16" t="str">
        <f t="shared" si="8"/>
        <v/>
      </c>
      <c r="K39" s="15" t="str">
        <f t="shared" si="19"/>
        <v/>
      </c>
      <c r="M39" s="19" t="str">
        <f t="shared" si="20"/>
        <v/>
      </c>
      <c r="N39" s="1" t="str">
        <f t="shared" si="21"/>
        <v/>
      </c>
      <c r="O39" t="str">
        <f t="shared" si="9"/>
        <v/>
      </c>
      <c r="P39" s="16" t="str">
        <f t="shared" si="10"/>
        <v/>
      </c>
      <c r="Q39" s="15" t="str">
        <f t="shared" si="22"/>
        <v/>
      </c>
      <c r="S39" s="19">
        <f t="shared" si="23"/>
        <v>10</v>
      </c>
      <c r="T39" s="1">
        <f t="shared" si="24"/>
        <v>44081</v>
      </c>
      <c r="U39">
        <f t="shared" si="11"/>
        <v>14.17</v>
      </c>
      <c r="V39" s="16">
        <f t="shared" ca="1" si="12"/>
        <v>14.17</v>
      </c>
      <c r="W39" s="15">
        <f t="shared" ca="1" si="25"/>
        <v>0</v>
      </c>
      <c r="Y39" s="19" t="str">
        <f t="shared" si="26"/>
        <v/>
      </c>
      <c r="Z39" s="1" t="str">
        <f t="shared" si="27"/>
        <v/>
      </c>
      <c r="AA39" t="str">
        <f t="shared" si="13"/>
        <v/>
      </c>
      <c r="AB39" s="16" t="str">
        <f t="shared" si="14"/>
        <v/>
      </c>
      <c r="AC39" s="15" t="str">
        <f t="shared" si="28"/>
        <v/>
      </c>
    </row>
    <row r="40" spans="1:29" x14ac:dyDescent="0.3">
      <c r="A40" s="19" t="str">
        <f t="shared" si="15"/>
        <v/>
      </c>
      <c r="B40" s="1" t="str">
        <f t="shared" si="16"/>
        <v/>
      </c>
      <c r="C40" t="str">
        <f t="shared" si="5"/>
        <v/>
      </c>
      <c r="D40" s="16" t="str">
        <f t="shared" si="6"/>
        <v/>
      </c>
      <c r="E40" s="15" t="str">
        <f t="shared" si="0"/>
        <v/>
      </c>
      <c r="G40" s="19" t="str">
        <f t="shared" si="17"/>
        <v/>
      </c>
      <c r="H40" s="1" t="str">
        <f t="shared" si="18"/>
        <v/>
      </c>
      <c r="I40" t="str">
        <f t="shared" si="7"/>
        <v/>
      </c>
      <c r="J40" s="16" t="str">
        <f t="shared" si="8"/>
        <v/>
      </c>
      <c r="K40" s="15" t="str">
        <f t="shared" si="19"/>
        <v/>
      </c>
      <c r="M40" s="19" t="str">
        <f t="shared" si="20"/>
        <v/>
      </c>
      <c r="N40" s="1" t="str">
        <f t="shared" si="21"/>
        <v/>
      </c>
      <c r="O40" t="str">
        <f t="shared" si="9"/>
        <v/>
      </c>
      <c r="P40" s="16" t="str">
        <f t="shared" si="10"/>
        <v/>
      </c>
      <c r="Q40" s="15" t="str">
        <f t="shared" si="22"/>
        <v/>
      </c>
      <c r="S40" s="19">
        <f t="shared" si="23"/>
        <v>11</v>
      </c>
      <c r="T40" s="1">
        <f t="shared" si="24"/>
        <v>44111</v>
      </c>
      <c r="U40">
        <f t="shared" si="11"/>
        <v>14.17</v>
      </c>
      <c r="V40" s="16">
        <f t="shared" ca="1" si="12"/>
        <v>14.17</v>
      </c>
      <c r="W40" s="15">
        <f t="shared" ca="1" si="25"/>
        <v>0</v>
      </c>
      <c r="Y40" s="19" t="str">
        <f t="shared" si="26"/>
        <v/>
      </c>
      <c r="Z40" s="1" t="str">
        <f t="shared" si="27"/>
        <v/>
      </c>
      <c r="AA40" t="str">
        <f t="shared" si="13"/>
        <v/>
      </c>
      <c r="AB40" s="16" t="str">
        <f t="shared" si="14"/>
        <v/>
      </c>
      <c r="AC40" s="15" t="str">
        <f t="shared" si="28"/>
        <v/>
      </c>
    </row>
    <row r="41" spans="1:29" x14ac:dyDescent="0.3">
      <c r="A41" s="19" t="str">
        <f t="shared" si="15"/>
        <v/>
      </c>
      <c r="B41" s="1" t="str">
        <f t="shared" si="16"/>
        <v/>
      </c>
      <c r="C41" t="str">
        <f t="shared" si="5"/>
        <v/>
      </c>
      <c r="D41" s="16" t="str">
        <f t="shared" si="6"/>
        <v/>
      </c>
      <c r="E41" s="15" t="str">
        <f t="shared" si="0"/>
        <v/>
      </c>
      <c r="G41" s="19" t="str">
        <f t="shared" si="17"/>
        <v/>
      </c>
      <c r="H41" s="1" t="str">
        <f t="shared" si="18"/>
        <v/>
      </c>
      <c r="I41" t="str">
        <f t="shared" si="7"/>
        <v/>
      </c>
      <c r="J41" s="16" t="str">
        <f t="shared" si="8"/>
        <v/>
      </c>
      <c r="K41" s="15" t="str">
        <f t="shared" si="19"/>
        <v/>
      </c>
      <c r="M41" s="19" t="str">
        <f t="shared" si="20"/>
        <v/>
      </c>
      <c r="N41" s="1" t="str">
        <f t="shared" si="21"/>
        <v/>
      </c>
      <c r="O41" t="str">
        <f t="shared" si="9"/>
        <v/>
      </c>
      <c r="P41" s="16" t="str">
        <f t="shared" si="10"/>
        <v/>
      </c>
      <c r="Q41" s="15" t="str">
        <f t="shared" si="22"/>
        <v/>
      </c>
      <c r="S41" s="19">
        <f t="shared" si="23"/>
        <v>12</v>
      </c>
      <c r="T41" s="1">
        <f t="shared" si="24"/>
        <v>44142</v>
      </c>
      <c r="U41">
        <f t="shared" si="11"/>
        <v>14.17</v>
      </c>
      <c r="V41" s="16">
        <f t="shared" ca="1" si="12"/>
        <v>14.17</v>
      </c>
      <c r="W41" s="15">
        <f t="shared" ca="1" si="25"/>
        <v>0</v>
      </c>
      <c r="Y41" s="19" t="str">
        <f t="shared" si="26"/>
        <v/>
      </c>
      <c r="Z41" s="1" t="str">
        <f t="shared" si="27"/>
        <v/>
      </c>
      <c r="AA41" t="str">
        <f t="shared" si="13"/>
        <v/>
      </c>
      <c r="AB41" s="16" t="str">
        <f t="shared" si="14"/>
        <v/>
      </c>
      <c r="AC41" s="15" t="str">
        <f t="shared" si="28"/>
        <v/>
      </c>
    </row>
    <row r="42" spans="1:29" x14ac:dyDescent="0.3">
      <c r="A42" s="19" t="str">
        <f t="shared" si="15"/>
        <v/>
      </c>
      <c r="B42" s="1" t="str">
        <f t="shared" si="16"/>
        <v/>
      </c>
      <c r="C42" t="str">
        <f t="shared" si="5"/>
        <v/>
      </c>
      <c r="D42" s="16" t="str">
        <f t="shared" si="6"/>
        <v/>
      </c>
      <c r="E42" s="15" t="str">
        <f t="shared" si="0"/>
        <v/>
      </c>
      <c r="G42" s="19" t="str">
        <f t="shared" si="17"/>
        <v/>
      </c>
      <c r="H42" s="1" t="str">
        <f t="shared" si="18"/>
        <v/>
      </c>
      <c r="I42" t="str">
        <f t="shared" si="7"/>
        <v/>
      </c>
      <c r="J42" s="16" t="str">
        <f t="shared" si="8"/>
        <v/>
      </c>
      <c r="K42" s="15" t="str">
        <f t="shared" si="19"/>
        <v/>
      </c>
      <c r="M42" s="19" t="str">
        <f t="shared" si="20"/>
        <v/>
      </c>
      <c r="N42" s="1" t="str">
        <f t="shared" si="21"/>
        <v/>
      </c>
      <c r="O42" t="str">
        <f t="shared" si="9"/>
        <v/>
      </c>
      <c r="P42" s="16" t="str">
        <f t="shared" si="10"/>
        <v/>
      </c>
      <c r="Q42" s="15" t="str">
        <f t="shared" si="22"/>
        <v/>
      </c>
      <c r="S42" s="19">
        <f t="shared" si="23"/>
        <v>13</v>
      </c>
      <c r="T42" s="1">
        <f t="shared" si="24"/>
        <v>44172</v>
      </c>
      <c r="U42">
        <f t="shared" si="11"/>
        <v>2064.17</v>
      </c>
      <c r="V42" s="16">
        <f t="shared" ca="1" si="12"/>
        <v>2064.17</v>
      </c>
      <c r="W42" s="15">
        <f t="shared" ca="1" si="25"/>
        <v>0</v>
      </c>
      <c r="Y42" s="19" t="str">
        <f t="shared" si="26"/>
        <v/>
      </c>
      <c r="Z42" s="1" t="str">
        <f t="shared" si="27"/>
        <v/>
      </c>
      <c r="AA42" t="str">
        <f t="shared" si="13"/>
        <v/>
      </c>
      <c r="AB42" s="16" t="str">
        <f t="shared" si="14"/>
        <v/>
      </c>
      <c r="AC42" s="15" t="str">
        <f t="shared" si="28"/>
        <v/>
      </c>
    </row>
    <row r="43" spans="1:29" x14ac:dyDescent="0.3">
      <c r="A43" s="19" t="str">
        <f t="shared" si="15"/>
        <v/>
      </c>
      <c r="B43" s="1" t="str">
        <f t="shared" si="16"/>
        <v/>
      </c>
      <c r="C43" t="str">
        <f t="shared" si="5"/>
        <v/>
      </c>
      <c r="D43" s="16" t="str">
        <f t="shared" si="6"/>
        <v/>
      </c>
      <c r="E43" s="15" t="str">
        <f t="shared" si="0"/>
        <v/>
      </c>
      <c r="G43" s="19" t="str">
        <f t="shared" si="17"/>
        <v/>
      </c>
      <c r="H43" s="1" t="str">
        <f t="shared" si="18"/>
        <v/>
      </c>
      <c r="I43" t="str">
        <f t="shared" si="7"/>
        <v/>
      </c>
      <c r="J43" s="16" t="str">
        <f t="shared" si="8"/>
        <v/>
      </c>
      <c r="K43" s="15" t="str">
        <f t="shared" si="19"/>
        <v/>
      </c>
      <c r="M43" s="19" t="str">
        <f t="shared" si="20"/>
        <v/>
      </c>
      <c r="N43" s="1" t="str">
        <f t="shared" si="21"/>
        <v/>
      </c>
      <c r="O43" t="str">
        <f t="shared" si="9"/>
        <v/>
      </c>
      <c r="P43" s="16" t="str">
        <f t="shared" si="10"/>
        <v/>
      </c>
      <c r="Q43" s="15" t="str">
        <f t="shared" si="22"/>
        <v/>
      </c>
      <c r="S43" s="19" t="str">
        <f t="shared" si="23"/>
        <v/>
      </c>
      <c r="T43" s="1" t="str">
        <f t="shared" si="24"/>
        <v/>
      </c>
      <c r="U43" t="str">
        <f t="shared" si="11"/>
        <v/>
      </c>
      <c r="V43" s="16" t="str">
        <f t="shared" si="12"/>
        <v/>
      </c>
      <c r="W43" s="15" t="str">
        <f t="shared" si="25"/>
        <v/>
      </c>
      <c r="Y43" s="19" t="str">
        <f t="shared" si="26"/>
        <v/>
      </c>
      <c r="Z43" s="1" t="str">
        <f t="shared" si="27"/>
        <v/>
      </c>
      <c r="AA43" t="str">
        <f t="shared" si="13"/>
        <v/>
      </c>
      <c r="AB43" s="16" t="str">
        <f t="shared" si="14"/>
        <v/>
      </c>
      <c r="AC43" s="15" t="str">
        <f t="shared" si="28"/>
        <v/>
      </c>
    </row>
    <row r="44" spans="1:29" x14ac:dyDescent="0.3">
      <c r="A44" s="19" t="str">
        <f t="shared" si="15"/>
        <v/>
      </c>
      <c r="B44" s="1" t="str">
        <f t="shared" si="16"/>
        <v/>
      </c>
      <c r="C44" t="str">
        <f t="shared" si="5"/>
        <v/>
      </c>
      <c r="D44" s="16" t="str">
        <f t="shared" si="6"/>
        <v/>
      </c>
      <c r="E44" s="15" t="str">
        <f t="shared" si="0"/>
        <v/>
      </c>
      <c r="G44" s="19" t="str">
        <f t="shared" si="17"/>
        <v/>
      </c>
      <c r="H44" s="1" t="str">
        <f t="shared" si="18"/>
        <v/>
      </c>
      <c r="I44" t="str">
        <f t="shared" si="7"/>
        <v/>
      </c>
      <c r="J44" s="16" t="str">
        <f t="shared" si="8"/>
        <v/>
      </c>
      <c r="K44" s="15" t="str">
        <f t="shared" si="19"/>
        <v/>
      </c>
      <c r="M44" s="19" t="str">
        <f t="shared" si="20"/>
        <v/>
      </c>
      <c r="N44" s="1" t="str">
        <f t="shared" si="21"/>
        <v/>
      </c>
      <c r="O44" t="str">
        <f t="shared" si="9"/>
        <v/>
      </c>
      <c r="P44" s="16" t="str">
        <f t="shared" si="10"/>
        <v/>
      </c>
      <c r="Q44" s="15" t="str">
        <f t="shared" si="22"/>
        <v/>
      </c>
      <c r="S44" s="19" t="str">
        <f t="shared" si="23"/>
        <v/>
      </c>
      <c r="T44" s="1" t="str">
        <f t="shared" si="24"/>
        <v/>
      </c>
      <c r="U44" t="str">
        <f t="shared" si="11"/>
        <v/>
      </c>
      <c r="V44" s="16" t="str">
        <f t="shared" si="12"/>
        <v/>
      </c>
      <c r="W44" s="15" t="str">
        <f t="shared" si="25"/>
        <v/>
      </c>
      <c r="Y44" s="19" t="str">
        <f t="shared" si="26"/>
        <v/>
      </c>
      <c r="Z44" s="1" t="str">
        <f t="shared" si="27"/>
        <v/>
      </c>
      <c r="AA44" t="str">
        <f t="shared" si="13"/>
        <v/>
      </c>
      <c r="AB44" s="16" t="str">
        <f t="shared" si="14"/>
        <v/>
      </c>
      <c r="AC44" s="15" t="str">
        <f t="shared" si="28"/>
        <v/>
      </c>
    </row>
    <row r="45" spans="1:29" x14ac:dyDescent="0.3">
      <c r="A45" s="19" t="str">
        <f t="shared" si="15"/>
        <v/>
      </c>
      <c r="B45" s="1" t="str">
        <f t="shared" si="16"/>
        <v/>
      </c>
      <c r="C45" t="str">
        <f t="shared" si="5"/>
        <v/>
      </c>
      <c r="D45" s="16" t="str">
        <f t="shared" si="6"/>
        <v/>
      </c>
      <c r="E45" s="15" t="str">
        <f t="shared" si="0"/>
        <v/>
      </c>
      <c r="G45" s="19" t="str">
        <f t="shared" si="17"/>
        <v/>
      </c>
      <c r="H45" s="1" t="str">
        <f t="shared" si="18"/>
        <v/>
      </c>
      <c r="I45" t="str">
        <f t="shared" si="7"/>
        <v/>
      </c>
      <c r="J45" s="16" t="str">
        <f t="shared" si="8"/>
        <v/>
      </c>
      <c r="K45" s="15" t="str">
        <f t="shared" si="19"/>
        <v/>
      </c>
      <c r="M45" s="19" t="str">
        <f t="shared" si="20"/>
        <v/>
      </c>
      <c r="N45" s="1" t="str">
        <f t="shared" si="21"/>
        <v/>
      </c>
      <c r="O45" t="str">
        <f t="shared" si="9"/>
        <v/>
      </c>
      <c r="P45" s="16" t="str">
        <f t="shared" si="10"/>
        <v/>
      </c>
      <c r="Q45" s="15" t="str">
        <f t="shared" si="22"/>
        <v/>
      </c>
      <c r="S45" s="19" t="str">
        <f t="shared" si="23"/>
        <v/>
      </c>
      <c r="T45" s="1" t="str">
        <f t="shared" si="24"/>
        <v/>
      </c>
      <c r="U45" t="str">
        <f t="shared" si="11"/>
        <v/>
      </c>
      <c r="V45" s="16" t="str">
        <f t="shared" si="12"/>
        <v/>
      </c>
      <c r="W45" s="15" t="str">
        <f t="shared" si="25"/>
        <v/>
      </c>
      <c r="Y45" s="19" t="str">
        <f t="shared" si="26"/>
        <v/>
      </c>
      <c r="Z45" s="1" t="str">
        <f t="shared" si="27"/>
        <v/>
      </c>
      <c r="AA45" t="str">
        <f t="shared" si="13"/>
        <v/>
      </c>
      <c r="AB45" s="16" t="str">
        <f t="shared" si="14"/>
        <v/>
      </c>
      <c r="AC45" s="15" t="str">
        <f t="shared" si="28"/>
        <v/>
      </c>
    </row>
    <row r="46" spans="1:29" x14ac:dyDescent="0.3">
      <c r="A46" s="19" t="str">
        <f t="shared" si="15"/>
        <v/>
      </c>
      <c r="B46" s="1" t="str">
        <f t="shared" si="16"/>
        <v/>
      </c>
      <c r="C46" t="str">
        <f t="shared" si="5"/>
        <v/>
      </c>
      <c r="D46" s="16" t="str">
        <f t="shared" si="6"/>
        <v/>
      </c>
      <c r="E46" s="15" t="str">
        <f t="shared" si="0"/>
        <v/>
      </c>
      <c r="G46" s="19" t="str">
        <f t="shared" si="17"/>
        <v/>
      </c>
      <c r="H46" s="1" t="str">
        <f t="shared" si="18"/>
        <v/>
      </c>
      <c r="I46" t="str">
        <f t="shared" si="7"/>
        <v/>
      </c>
      <c r="J46" s="16" t="str">
        <f t="shared" si="8"/>
        <v/>
      </c>
      <c r="K46" s="15" t="str">
        <f t="shared" si="19"/>
        <v/>
      </c>
      <c r="M46" s="19" t="str">
        <f t="shared" si="20"/>
        <v/>
      </c>
      <c r="N46" s="1" t="str">
        <f t="shared" si="21"/>
        <v/>
      </c>
      <c r="O46" t="str">
        <f t="shared" si="9"/>
        <v/>
      </c>
      <c r="P46" s="16" t="str">
        <f t="shared" si="10"/>
        <v/>
      </c>
      <c r="Q46" s="15" t="str">
        <f t="shared" si="22"/>
        <v/>
      </c>
      <c r="S46" s="19" t="str">
        <f t="shared" si="23"/>
        <v/>
      </c>
      <c r="T46" s="1" t="str">
        <f t="shared" si="24"/>
        <v/>
      </c>
      <c r="U46" t="str">
        <f t="shared" si="11"/>
        <v/>
      </c>
      <c r="V46" s="16" t="str">
        <f t="shared" si="12"/>
        <v/>
      </c>
      <c r="W46" s="15" t="str">
        <f t="shared" si="25"/>
        <v/>
      </c>
      <c r="Y46" s="19" t="str">
        <f t="shared" si="26"/>
        <v/>
      </c>
      <c r="Z46" s="1" t="str">
        <f t="shared" si="27"/>
        <v/>
      </c>
      <c r="AA46" t="str">
        <f t="shared" si="13"/>
        <v/>
      </c>
      <c r="AB46" s="16" t="str">
        <f t="shared" si="14"/>
        <v/>
      </c>
      <c r="AC46" s="15" t="str">
        <f t="shared" si="28"/>
        <v/>
      </c>
    </row>
    <row r="47" spans="1:29" x14ac:dyDescent="0.3">
      <c r="A47" s="19" t="str">
        <f t="shared" si="15"/>
        <v/>
      </c>
      <c r="B47" s="1" t="str">
        <f t="shared" si="16"/>
        <v/>
      </c>
      <c r="C47" t="str">
        <f t="shared" si="5"/>
        <v/>
      </c>
      <c r="D47" s="16" t="str">
        <f t="shared" si="6"/>
        <v/>
      </c>
      <c r="E47" s="15" t="str">
        <f t="shared" si="0"/>
        <v/>
      </c>
      <c r="G47" s="19" t="str">
        <f t="shared" si="17"/>
        <v/>
      </c>
      <c r="H47" s="1" t="str">
        <f t="shared" si="18"/>
        <v/>
      </c>
      <c r="I47" t="str">
        <f t="shared" si="7"/>
        <v/>
      </c>
      <c r="J47" s="16" t="str">
        <f t="shared" si="8"/>
        <v/>
      </c>
      <c r="K47" s="15" t="str">
        <f t="shared" si="19"/>
        <v/>
      </c>
      <c r="M47" s="19" t="str">
        <f t="shared" si="20"/>
        <v/>
      </c>
      <c r="N47" s="1" t="str">
        <f t="shared" si="21"/>
        <v/>
      </c>
      <c r="O47" t="str">
        <f t="shared" si="9"/>
        <v/>
      </c>
      <c r="P47" s="16" t="str">
        <f t="shared" si="10"/>
        <v/>
      </c>
      <c r="Q47" s="15" t="str">
        <f t="shared" si="22"/>
        <v/>
      </c>
      <c r="S47" s="19" t="str">
        <f t="shared" si="23"/>
        <v/>
      </c>
      <c r="T47" s="1" t="str">
        <f t="shared" si="24"/>
        <v/>
      </c>
      <c r="U47" t="str">
        <f t="shared" si="11"/>
        <v/>
      </c>
      <c r="V47" s="16" t="str">
        <f t="shared" si="12"/>
        <v/>
      </c>
      <c r="W47" s="15" t="str">
        <f t="shared" si="25"/>
        <v/>
      </c>
      <c r="Y47" s="19" t="str">
        <f t="shared" si="26"/>
        <v/>
      </c>
      <c r="Z47" s="1" t="str">
        <f t="shared" si="27"/>
        <v/>
      </c>
      <c r="AA47" t="str">
        <f t="shared" si="13"/>
        <v/>
      </c>
      <c r="AB47" s="16" t="str">
        <f t="shared" si="14"/>
        <v/>
      </c>
      <c r="AC47" s="15" t="str">
        <f t="shared" si="28"/>
        <v/>
      </c>
    </row>
    <row r="48" spans="1:29" x14ac:dyDescent="0.3">
      <c r="A48" s="19" t="str">
        <f t="shared" si="15"/>
        <v/>
      </c>
      <c r="B48" s="1" t="str">
        <f t="shared" si="16"/>
        <v/>
      </c>
      <c r="C48" t="str">
        <f t="shared" si="5"/>
        <v/>
      </c>
      <c r="D48" s="16" t="str">
        <f t="shared" si="6"/>
        <v/>
      </c>
      <c r="E48" s="15" t="str">
        <f t="shared" si="0"/>
        <v/>
      </c>
      <c r="G48" s="19" t="str">
        <f t="shared" si="17"/>
        <v/>
      </c>
      <c r="H48" s="1" t="str">
        <f t="shared" si="18"/>
        <v/>
      </c>
      <c r="I48" t="str">
        <f t="shared" si="7"/>
        <v/>
      </c>
      <c r="J48" s="16" t="str">
        <f t="shared" si="8"/>
        <v/>
      </c>
      <c r="K48" s="15" t="str">
        <f t="shared" si="19"/>
        <v/>
      </c>
      <c r="M48" s="19" t="str">
        <f t="shared" si="20"/>
        <v/>
      </c>
      <c r="N48" s="1" t="str">
        <f t="shared" si="21"/>
        <v/>
      </c>
      <c r="O48" t="str">
        <f t="shared" si="9"/>
        <v/>
      </c>
      <c r="P48" s="16" t="str">
        <f t="shared" si="10"/>
        <v/>
      </c>
      <c r="Q48" s="15" t="str">
        <f t="shared" si="22"/>
        <v/>
      </c>
      <c r="S48" s="19" t="str">
        <f t="shared" si="23"/>
        <v/>
      </c>
      <c r="T48" s="1" t="str">
        <f t="shared" si="24"/>
        <v/>
      </c>
      <c r="U48" t="str">
        <f t="shared" si="11"/>
        <v/>
      </c>
      <c r="V48" s="16" t="str">
        <f t="shared" si="12"/>
        <v/>
      </c>
      <c r="W48" s="15" t="str">
        <f t="shared" si="25"/>
        <v/>
      </c>
      <c r="Y48" s="19" t="str">
        <f t="shared" si="26"/>
        <v/>
      </c>
      <c r="Z48" s="1" t="str">
        <f t="shared" si="27"/>
        <v/>
      </c>
      <c r="AA48" t="str">
        <f t="shared" si="13"/>
        <v/>
      </c>
      <c r="AB48" s="16" t="str">
        <f t="shared" si="14"/>
        <v/>
      </c>
      <c r="AC48" s="15" t="str">
        <f t="shared" si="28"/>
        <v/>
      </c>
    </row>
    <row r="49" spans="1:29" x14ac:dyDescent="0.3">
      <c r="A49" s="19" t="str">
        <f t="shared" si="15"/>
        <v/>
      </c>
      <c r="B49" s="1" t="str">
        <f t="shared" si="16"/>
        <v/>
      </c>
      <c r="C49" t="str">
        <f t="shared" si="5"/>
        <v/>
      </c>
      <c r="D49" s="16" t="str">
        <f t="shared" si="6"/>
        <v/>
      </c>
      <c r="E49" s="15" t="str">
        <f t="shared" si="0"/>
        <v/>
      </c>
      <c r="G49" s="19" t="str">
        <f t="shared" si="17"/>
        <v/>
      </c>
      <c r="H49" s="1" t="str">
        <f t="shared" si="18"/>
        <v/>
      </c>
      <c r="I49" t="str">
        <f t="shared" si="7"/>
        <v/>
      </c>
      <c r="J49" s="16" t="str">
        <f t="shared" si="8"/>
        <v/>
      </c>
      <c r="K49" s="15" t="str">
        <f t="shared" si="19"/>
        <v/>
      </c>
      <c r="M49" s="19" t="str">
        <f t="shared" si="20"/>
        <v/>
      </c>
      <c r="N49" s="1" t="str">
        <f t="shared" si="21"/>
        <v/>
      </c>
      <c r="O49" t="str">
        <f t="shared" si="9"/>
        <v/>
      </c>
      <c r="P49" s="16" t="str">
        <f t="shared" si="10"/>
        <v/>
      </c>
      <c r="Q49" s="15" t="str">
        <f t="shared" si="22"/>
        <v/>
      </c>
      <c r="S49" s="19" t="str">
        <f t="shared" si="23"/>
        <v/>
      </c>
      <c r="T49" s="1" t="str">
        <f t="shared" si="24"/>
        <v/>
      </c>
      <c r="U49" t="str">
        <f t="shared" si="11"/>
        <v/>
      </c>
      <c r="V49" s="16" t="str">
        <f t="shared" si="12"/>
        <v/>
      </c>
      <c r="W49" s="15" t="str">
        <f t="shared" si="25"/>
        <v/>
      </c>
      <c r="Y49" s="19" t="str">
        <f t="shared" si="26"/>
        <v/>
      </c>
      <c r="Z49" s="1" t="str">
        <f t="shared" si="27"/>
        <v/>
      </c>
      <c r="AA49" t="str">
        <f t="shared" si="13"/>
        <v/>
      </c>
      <c r="AB49" s="16" t="str">
        <f t="shared" si="14"/>
        <v/>
      </c>
      <c r="AC49" s="15" t="str">
        <f t="shared" si="28"/>
        <v/>
      </c>
    </row>
    <row r="61" spans="1:29" x14ac:dyDescent="0.3">
      <c r="C61" t="s">
        <v>22</v>
      </c>
      <c r="I61" t="s">
        <v>22</v>
      </c>
      <c r="O61" t="s">
        <v>22</v>
      </c>
      <c r="U61" t="s">
        <v>22</v>
      </c>
      <c r="AA61" t="s">
        <v>22</v>
      </c>
    </row>
    <row r="62" spans="1:29" x14ac:dyDescent="0.3">
      <c r="C62" t="s">
        <v>21</v>
      </c>
      <c r="I62" t="s">
        <v>21</v>
      </c>
      <c r="O62" t="s">
        <v>21</v>
      </c>
      <c r="U62" t="s">
        <v>21</v>
      </c>
      <c r="AA62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"/>
  <sheetViews>
    <sheetView zoomScale="70" zoomScaleNormal="70" workbookViewId="0">
      <selection activeCell="D51" sqref="D51"/>
    </sheetView>
  </sheetViews>
  <sheetFormatPr baseColWidth="10" defaultRowHeight="14.4" x14ac:dyDescent="0.3"/>
  <cols>
    <col min="1" max="1" width="11.5546875" style="19"/>
    <col min="3" max="3" width="13.6640625" customWidth="1"/>
    <col min="4" max="4" width="21.5546875" customWidth="1"/>
    <col min="5" max="5" width="14.44140625" customWidth="1"/>
    <col min="6" max="6" width="13.109375" bestFit="1" customWidth="1"/>
    <col min="7" max="7" width="11.6640625" style="19" customWidth="1"/>
    <col min="8" max="16" width="11.6640625" customWidth="1"/>
  </cols>
  <sheetData>
    <row r="2" spans="2:12" ht="17.399999999999999" x14ac:dyDescent="0.3">
      <c r="B2" s="14" t="s">
        <v>59</v>
      </c>
      <c r="C2" t="s">
        <v>10</v>
      </c>
      <c r="D2" s="5">
        <v>43670</v>
      </c>
      <c r="E2" s="5"/>
      <c r="H2" t="s">
        <v>60</v>
      </c>
      <c r="I2" t="s">
        <v>10</v>
      </c>
      <c r="J2" s="5">
        <v>43612</v>
      </c>
      <c r="K2" s="5"/>
    </row>
    <row r="3" spans="2:12" x14ac:dyDescent="0.3">
      <c r="C3" t="s">
        <v>11</v>
      </c>
      <c r="D3" s="5">
        <v>45040</v>
      </c>
      <c r="I3" t="s">
        <v>11</v>
      </c>
      <c r="J3" s="5">
        <v>44708</v>
      </c>
    </row>
    <row r="4" spans="2:12" x14ac:dyDescent="0.3">
      <c r="C4" t="s">
        <v>12</v>
      </c>
      <c r="D4" s="6">
        <v>5.5E-2</v>
      </c>
      <c r="I4" t="s">
        <v>12</v>
      </c>
      <c r="J4" s="6">
        <v>5.5E-2</v>
      </c>
    </row>
    <row r="5" spans="2:12" x14ac:dyDescent="0.3">
      <c r="C5" t="s">
        <v>14</v>
      </c>
      <c r="D5">
        <v>4</v>
      </c>
      <c r="I5" t="s">
        <v>14</v>
      </c>
      <c r="J5">
        <v>4</v>
      </c>
    </row>
    <row r="7" spans="2:12" x14ac:dyDescent="0.3">
      <c r="B7" t="s">
        <v>18</v>
      </c>
      <c r="C7" s="7">
        <v>3000</v>
      </c>
      <c r="E7" s="7">
        <v>0</v>
      </c>
      <c r="F7">
        <f>SUM(C7:E7)</f>
        <v>3000</v>
      </c>
      <c r="H7" t="s">
        <v>18</v>
      </c>
      <c r="I7" s="7">
        <f>C7</f>
        <v>3000</v>
      </c>
      <c r="K7" s="7">
        <v>0</v>
      </c>
      <c r="L7">
        <f>SUM(I7:K7)</f>
        <v>3000</v>
      </c>
    </row>
    <row r="8" spans="2:12" x14ac:dyDescent="0.3">
      <c r="B8" t="s">
        <v>19</v>
      </c>
      <c r="C8" s="7">
        <v>1</v>
      </c>
      <c r="E8" s="7">
        <v>1</v>
      </c>
      <c r="F8" s="7">
        <v>1.1399999999999999</v>
      </c>
      <c r="H8" t="s">
        <v>19</v>
      </c>
      <c r="I8" s="7">
        <v>1</v>
      </c>
      <c r="K8" s="7">
        <v>1</v>
      </c>
      <c r="L8" s="7"/>
    </row>
    <row r="9" spans="2:12" x14ac:dyDescent="0.3">
      <c r="C9" s="1">
        <f ca="1">TODAY()</f>
        <v>43712</v>
      </c>
      <c r="E9" s="2">
        <f ca="1">TODAY()</f>
        <v>43712</v>
      </c>
      <c r="I9" s="2">
        <f ca="1">TODAY()</f>
        <v>43712</v>
      </c>
      <c r="K9" s="2">
        <f ca="1">TODAY()</f>
        <v>43712</v>
      </c>
    </row>
    <row r="10" spans="2:12" ht="15.6" x14ac:dyDescent="0.3">
      <c r="C10" s="4">
        <v>0.98</v>
      </c>
      <c r="E10" s="24">
        <v>0.9</v>
      </c>
      <c r="I10" s="4">
        <v>1.002</v>
      </c>
      <c r="K10" s="24">
        <v>0.9</v>
      </c>
    </row>
    <row r="12" spans="2:12" x14ac:dyDescent="0.3">
      <c r="C12" s="13">
        <f>ROUND(C7*C10/C8,2)</f>
        <v>2940</v>
      </c>
      <c r="E12" s="13">
        <f>ROUND(E7*E10/E8,2)</f>
        <v>0</v>
      </c>
      <c r="F12" s="13">
        <f>C12+IF(E$7&gt;0,E12,)</f>
        <v>2940</v>
      </c>
      <c r="I12" s="13">
        <f>ROUND(I7*I10/I8,2)</f>
        <v>3006</v>
      </c>
      <c r="K12" s="13">
        <f>ROUND(K7*K10/K8,2)</f>
        <v>0</v>
      </c>
      <c r="L12" s="13">
        <f>I12+IF(K$7&gt;0,K12,)</f>
        <v>3006</v>
      </c>
    </row>
    <row r="13" spans="2:12" x14ac:dyDescent="0.3">
      <c r="B13" s="13" t="s">
        <v>0</v>
      </c>
      <c r="C13" s="13">
        <f ca="1">IFERROR(ROUND(ACCRINT(D2-365/D5,D2,C9+3,D4,C7,1,1)/C8,2),0)</f>
        <v>61.93</v>
      </c>
      <c r="D13" s="15"/>
      <c r="E13" s="13">
        <f ca="1">IFERROR(ROUND(ACCRINT(E2-365/D5,E2,E9+2,D4,E7,1,1)/E8,2),0)</f>
        <v>0</v>
      </c>
      <c r="H13" s="13" t="s">
        <v>0</v>
      </c>
      <c r="I13" s="13">
        <f ca="1">IFERROR(ROUND(ACCRINT(J2-365/J5,J2,I9+2,J4,I7,1,1)/I8,2),0)</f>
        <v>87.7</v>
      </c>
      <c r="J13" s="15"/>
      <c r="K13" s="13">
        <f ca="1">IFERROR(ROUND(ACCRINT(K2-365/J5,K2,K9+2,J4,K7,1,1)/K8,2),0)</f>
        <v>0</v>
      </c>
    </row>
    <row r="14" spans="2:12" x14ac:dyDescent="0.3">
      <c r="B14" s="13" t="s">
        <v>1</v>
      </c>
      <c r="C14" s="13">
        <f>MAX(9.95,4.95+ROUND(C7*C10/C8*0.25%,2))</f>
        <v>12.3</v>
      </c>
      <c r="D14" s="3"/>
      <c r="E14" s="13">
        <f>MAX(9.95,4.95+ROUND(E7*E10*0.25%,2))</f>
        <v>9.9499999999999993</v>
      </c>
      <c r="F14" s="13">
        <f>C14+IF(E$7&gt;0,E14,)</f>
        <v>12.3</v>
      </c>
      <c r="H14" s="13" t="s">
        <v>1</v>
      </c>
      <c r="I14" s="13">
        <f>MAX(9.95,4.95+ROUND(I7*I10/I8*0.25%,2))</f>
        <v>12.469999999999999</v>
      </c>
      <c r="J14" s="3"/>
      <c r="K14" s="13"/>
      <c r="L14" s="13">
        <f>I14+IF(K$7&gt;0,K14,)</f>
        <v>12.469999999999999</v>
      </c>
    </row>
    <row r="15" spans="2:12" x14ac:dyDescent="0.3">
      <c r="B15" s="13" t="s">
        <v>2</v>
      </c>
      <c r="C15" s="13"/>
      <c r="E15" s="13"/>
      <c r="F15" s="13">
        <f>C15+IF(E$7&gt;0,E15,)</f>
        <v>0</v>
      </c>
      <c r="H15" s="13" t="s">
        <v>2</v>
      </c>
      <c r="I15" s="13"/>
      <c r="K15" s="13"/>
      <c r="L15" s="13">
        <f>I15+IF(K$7&gt;0,K15,)</f>
        <v>0</v>
      </c>
    </row>
    <row r="16" spans="2:12" x14ac:dyDescent="0.3">
      <c r="B16" s="13"/>
      <c r="C16" s="13"/>
      <c r="E16" s="13"/>
      <c r="H16" s="13"/>
      <c r="I16" s="13"/>
      <c r="K16" s="13"/>
    </row>
    <row r="17" spans="1:12" x14ac:dyDescent="0.3">
      <c r="B17" t="s">
        <v>3</v>
      </c>
      <c r="C17">
        <f>MAX(A:A)</f>
        <v>16</v>
      </c>
      <c r="E17">
        <f ca="1">COUNTIF(E25:E46,"&gt;0")</f>
        <v>0</v>
      </c>
      <c r="F17">
        <f>MAX(A:A)</f>
        <v>16</v>
      </c>
      <c r="H17" t="s">
        <v>3</v>
      </c>
      <c r="I17">
        <f>MAX(G:G)</f>
        <v>13</v>
      </c>
      <c r="K17">
        <f ca="1">COUNTIF(K25:K46,"&gt;0")</f>
        <v>0</v>
      </c>
      <c r="L17">
        <f>MAX(G:G)</f>
        <v>13</v>
      </c>
    </row>
    <row r="18" spans="1:12" x14ac:dyDescent="0.3">
      <c r="B18" t="s">
        <v>5</v>
      </c>
      <c r="C18">
        <f>ROUND(C17*D$4*C$7/D$5/C8,2)</f>
        <v>660</v>
      </c>
      <c r="E18">
        <f ca="1">ROUND(E17*D$4*E$7/D$5/E8,2)</f>
        <v>0</v>
      </c>
      <c r="H18" t="s">
        <v>5</v>
      </c>
      <c r="I18">
        <f>ROUND(I17*J$4*I$7/J$5/I8,2)</f>
        <v>536.25</v>
      </c>
      <c r="K18">
        <f ca="1">ROUND(K17*J$4*K$7/J$5/K8,2)</f>
        <v>0</v>
      </c>
    </row>
    <row r="19" spans="1:12" s="18" customFormat="1" ht="23.4" x14ac:dyDescent="0.45">
      <c r="A19" s="20"/>
      <c r="B19" s="18" t="s">
        <v>4</v>
      </c>
      <c r="C19" s="22">
        <f ca="1">IFERROR(
XIRR(
OFFSET(C25,,,C17+COUNT(C$7:E$7),),
OFFSET(B25,,,C17+COUNT(C$7:E$7),)),
0)</f>
        <v>6.1030080914497367E-2</v>
      </c>
      <c r="D19"/>
      <c r="E19" s="22">
        <f ca="1">IFERROR(
XIRR(
OFFSET(E26,,,C17+1,),
OFFSET(B26,,,C17+1,)),
0)</f>
        <v>0</v>
      </c>
      <c r="F19" s="17">
        <f ca="1">IFERROR(
XIRR(
OFFSET(D25,,,F17+COUNT(C7:E7),),
OFFSET(B25,,,F17+COUNT(C7:E7),)),
0)</f>
        <v>5.6579485535621643E-2</v>
      </c>
      <c r="G19" s="20"/>
      <c r="H19" s="18" t="s">
        <v>4</v>
      </c>
      <c r="I19" s="22">
        <f ca="1">IFERROR(
XIRR(
OFFSET(I25,,,I17+COUNT(I$7:K$7),),
OFFSET(H25,,,I17+COUNT(I$7:K$7),)),
0)</f>
        <v>5.3453299403190616E-2</v>
      </c>
      <c r="J19"/>
      <c r="K19" s="22">
        <f ca="1">IFERROR(
XIRR(
OFFSET(K26,,,I17+1,),
OFFSET(H26,,,I17+1,)),
0)</f>
        <v>0</v>
      </c>
      <c r="L19" s="17">
        <f ca="1">IFERROR(
XIRR(
OFFSET(J25,,,L17+COUNT(I7:K7),),
OFFSET(H25,,,L17+COUNT(I7:K7),)),
0)</f>
        <v>4.2314329743385323E-2</v>
      </c>
    </row>
    <row r="20" spans="1:12" x14ac:dyDescent="0.3">
      <c r="B20" t="s">
        <v>20</v>
      </c>
      <c r="C20" s="3">
        <f>(C12+C14+C15)*C8/C7</f>
        <v>0.98410000000000009</v>
      </c>
      <c r="E20" s="3">
        <f>IFERROR((E12+E14+E15)*E8/E7,0)</f>
        <v>0</v>
      </c>
      <c r="F20" s="3">
        <f>(C20*C7+E20*E7)/F7</f>
        <v>0.98410000000000009</v>
      </c>
      <c r="H20" t="s">
        <v>20</v>
      </c>
      <c r="I20" s="3">
        <f>(I12+I14+I15)*I8/I7</f>
        <v>1.0061566666666666</v>
      </c>
      <c r="K20" s="3">
        <f>IFERROR((K12+K14+K15)*K8/K7,0)</f>
        <v>0</v>
      </c>
      <c r="L20" s="3">
        <f>(I20*I7+K20*K7)/L7</f>
        <v>1.0061566666666666</v>
      </c>
    </row>
    <row r="21" spans="1:12" x14ac:dyDescent="0.3">
      <c r="B21" t="s">
        <v>6</v>
      </c>
      <c r="C21" s="8">
        <f ca="1">(D3-C9)/365</f>
        <v>3.6383561643835618</v>
      </c>
      <c r="D21" s="8"/>
      <c r="E21" s="8">
        <f ca="1">(D3-E9)/365</f>
        <v>3.6383561643835618</v>
      </c>
      <c r="F21" s="8">
        <f ca="1">(D3-TODAY())/365</f>
        <v>3.6383561643835618</v>
      </c>
      <c r="H21" t="s">
        <v>6</v>
      </c>
      <c r="I21" s="8">
        <f ca="1">(J3-I9)/365</f>
        <v>2.7287671232876711</v>
      </c>
      <c r="J21" s="8"/>
      <c r="K21" s="8">
        <f ca="1">(J3-K9)/365</f>
        <v>2.7287671232876711</v>
      </c>
      <c r="L21" s="8">
        <f ca="1">(J3-TODAY())/365</f>
        <v>2.7287671232876711</v>
      </c>
    </row>
    <row r="22" spans="1:12" x14ac:dyDescent="0.3">
      <c r="B22" t="s">
        <v>13</v>
      </c>
      <c r="C22" s="15">
        <f ca="1">SUM(C25:C42)</f>
        <v>645.77</v>
      </c>
      <c r="E22" s="15">
        <f ca="1">SUM(E25:E42)</f>
        <v>-41.25</v>
      </c>
      <c r="H22" t="s">
        <v>13</v>
      </c>
      <c r="I22" s="15">
        <f ca="1">SUM(I25:I42)</f>
        <v>430.08000000000038</v>
      </c>
      <c r="K22" s="15">
        <f ca="1">SUM(K25:K42)</f>
        <v>-82.5</v>
      </c>
    </row>
    <row r="23" spans="1:12" x14ac:dyDescent="0.3">
      <c r="B23" s="13"/>
      <c r="C23" s="13"/>
      <c r="E23" s="13"/>
      <c r="H23" s="13"/>
      <c r="I23" s="13"/>
      <c r="K23" s="13"/>
    </row>
    <row r="25" spans="1:12" x14ac:dyDescent="0.3">
      <c r="B25" s="1">
        <f ca="1">C9</f>
        <v>43712</v>
      </c>
      <c r="C25" s="15">
        <f ca="1">-SUM(C12:C15)</f>
        <v>-3014.23</v>
      </c>
      <c r="D25" s="13">
        <f ca="1">IF(C7&gt;0,-SUM(C12:C15),0)</f>
        <v>-3014.23</v>
      </c>
      <c r="E25" s="15">
        <f t="shared" ref="E25:E46" ca="1" si="0">IFERROR(D25-C25,"")</f>
        <v>0</v>
      </c>
      <c r="H25" s="1">
        <f ca="1">I9</f>
        <v>43712</v>
      </c>
      <c r="I25" s="15">
        <f ca="1">-SUM(I12:I15)</f>
        <v>-3106.1699999999996</v>
      </c>
      <c r="J25" s="13">
        <f ca="1">IF(I7&gt;0,-SUM(I12:I15),0)</f>
        <v>-3106.1699999999996</v>
      </c>
      <c r="K25" s="15">
        <f t="shared" ref="K25:K46" ca="1" si="1">IFERROR(J25-I25,"")</f>
        <v>0</v>
      </c>
    </row>
    <row r="26" spans="1:12" x14ac:dyDescent="0.3">
      <c r="B26" s="1">
        <f ca="1">E9</f>
        <v>43712</v>
      </c>
      <c r="D26" s="13">
        <f>IF(E7&gt;0,-SUM(E12:E15),0)</f>
        <v>0</v>
      </c>
      <c r="E26" s="15">
        <f t="shared" si="0"/>
        <v>0</v>
      </c>
      <c r="H26" s="1">
        <f ca="1">K9</f>
        <v>43712</v>
      </c>
      <c r="J26" s="13">
        <f>IF(K7&gt;0,-SUM(K12:K15),0)</f>
        <v>0</v>
      </c>
      <c r="K26" s="15">
        <f t="shared" si="1"/>
        <v>0</v>
      </c>
    </row>
    <row r="27" spans="1:12" x14ac:dyDescent="0.3">
      <c r="A27" s="19">
        <v>1</v>
      </c>
      <c r="B27" s="1">
        <f>D2</f>
        <v>43670</v>
      </c>
      <c r="C27">
        <f>IF(ISNUMBER(B27),ROUND(IF(B28="",(D$4*C$7/D$5+C$7)/C$8,D$4*C$7/D$5/C$8),2),"")</f>
        <v>41.25</v>
      </c>
      <c r="D27" s="16">
        <f ca="1">IF(ISNUMBER(B27),ROUND(IF(B28="",D$4/D$5*SUMIF(C$9:E$9,"&lt;"&amp;B27,C$7:E$7)/C$8+SUMIF(C$9:E$9,"&lt;"&amp;B27,C$7:E$7)/C$8,D$4/D$5*SUMIF(C$9:E$9,"&lt;"&amp;B27,C$7:E$7)/C$8),2),"")</f>
        <v>0</v>
      </c>
      <c r="E27" s="15">
        <f t="shared" ca="1" si="0"/>
        <v>-41.25</v>
      </c>
      <c r="G27" s="19">
        <v>1</v>
      </c>
      <c r="H27" s="1">
        <f>J2</f>
        <v>43612</v>
      </c>
      <c r="I27">
        <f>IF(ISNUMBER(H27),ROUND(IF(H28="",(J$4*I$7/J$5+I$7)/I$8,J$4*I$7/J$5/I$8),2),"")</f>
        <v>41.25</v>
      </c>
      <c r="J27" s="16">
        <f t="shared" ref="J27:J46" ca="1" si="2">IF(ISNUMBER(H27),ROUND(IF(H28="",J$4/J$5*SUMIF(I$9:K$9,"&lt;"&amp;H27,I$7:K$7)/I$8+SUMIF(I$9:K$9,"&lt;"&amp;H27,I$7:K$7)/I$8,J$4/J$5*SUMIF(I$9:K$9,"&lt;"&amp;H27,I$7:K$7)/I$8),2),"")</f>
        <v>0</v>
      </c>
      <c r="K27" s="15">
        <f t="shared" ca="1" si="1"/>
        <v>-41.25</v>
      </c>
    </row>
    <row r="28" spans="1:12" x14ac:dyDescent="0.3">
      <c r="A28" s="19">
        <f>IF(AND(B27&lt;D$3,B27&lt;&gt;0),A27+1,"")</f>
        <v>2</v>
      </c>
      <c r="B28" s="1">
        <f>IF(AND(B27&lt;D$3,B27&lt;&gt;0),DATE(IF(MONTH(B27)&gt;(12-12/D$5),YEAR(B27)+1,YEAR(B27)),IF(MONTH(B27)&gt;(12-12/D$5),MONTH(B27)-(12-12/D$5),MONTH(B27)+12/D$5),DAY(B27)),"")</f>
        <v>43762</v>
      </c>
      <c r="C28">
        <f t="shared" ref="C28:C46" si="3">IF(ISNUMBER(B28),ROUND(IF(B29="",(D$4*C$7/D$5+C$7)/C$8,D$4*C$7/D$5/C$8),2),"")</f>
        <v>41.25</v>
      </c>
      <c r="D28" s="16">
        <f t="shared" ref="D28:D46" ca="1" si="4">IF(ISNUMBER(B28),ROUND(IF(B29="",D$4/D$5*SUMIF(C$9:E$9,"&lt;"&amp;B28,C$7:E$7)/C$8+SUMIF(C$9:E$9,"&lt;"&amp;B28,C$7:E$7)/C$8,D$4/D$5*SUMIF(C$9:E$9,"&lt;"&amp;B28,C$7:E$7)/C$8),2),"")</f>
        <v>41.25</v>
      </c>
      <c r="E28" s="15">
        <f ca="1">IFERROR(D28-C28,"")</f>
        <v>0</v>
      </c>
      <c r="G28" s="19">
        <f>IF(AND(H27&lt;J$3,H27&lt;&gt;0),G27+1,"")</f>
        <v>2</v>
      </c>
      <c r="H28" s="1">
        <f>IF(AND(H27&lt;J$3,H27&lt;&gt;0),DATE(IF(MONTH(H27)&gt;(12-12/J$5),YEAR(H27)+1,YEAR(H27)),IF(MONTH(H27)&gt;(12-12/J$5),MONTH(H27)-(12-12/J$5),MONTH(H27)+12/J$5),DAY(H27)),"")</f>
        <v>43704</v>
      </c>
      <c r="I28">
        <f t="shared" ref="I28:I46" si="5">IF(ISNUMBER(H28),ROUND(IF(H29="",(J$4*I$7/J$5+I$7)/I$8,J$4*I$7/J$5/I$8),2),"")</f>
        <v>41.25</v>
      </c>
      <c r="J28" s="16">
        <f t="shared" ca="1" si="2"/>
        <v>0</v>
      </c>
      <c r="K28" s="15">
        <f ca="1">IFERROR(J28-I28,"")</f>
        <v>-41.25</v>
      </c>
    </row>
    <row r="29" spans="1:12" x14ac:dyDescent="0.3">
      <c r="A29" s="19">
        <f t="shared" ref="A29:A46" si="6">IF(AND(B28&lt;D$3,B28&lt;&gt;0),A28+1,"")</f>
        <v>3</v>
      </c>
      <c r="B29" s="1">
        <f t="shared" ref="B29:B46" si="7">IF(AND(B28&lt;D$3,B28&lt;&gt;0),DATE(IF(MONTH(B28)&gt;(12-12/D$5),YEAR(B28)+1,YEAR(B28)),IF(MONTH(B28)&gt;(12-12/D$5),MONTH(B28)-(12-12/D$5),MONTH(B28)+12/D$5),DAY(B28)),"")</f>
        <v>43854</v>
      </c>
      <c r="C29">
        <f t="shared" si="3"/>
        <v>41.25</v>
      </c>
      <c r="D29" s="16">
        <f t="shared" ca="1" si="4"/>
        <v>41.25</v>
      </c>
      <c r="E29" s="15">
        <f t="shared" ca="1" si="0"/>
        <v>0</v>
      </c>
      <c r="G29" s="19">
        <f t="shared" ref="G29:G46" si="8">IF(AND(H28&lt;J$3,H28&lt;&gt;0),G28+1,"")</f>
        <v>3</v>
      </c>
      <c r="H29" s="1">
        <f t="shared" ref="H29:H46" si="9">IF(AND(H28&lt;J$3,H28&lt;&gt;0),DATE(IF(MONTH(H28)&gt;(12-12/J$5),YEAR(H28)+1,YEAR(H28)),IF(MONTH(H28)&gt;(12-12/J$5),MONTH(H28)-(12-12/J$5),MONTH(H28)+12/J$5),DAY(H28)),"")</f>
        <v>43796</v>
      </c>
      <c r="I29">
        <f t="shared" si="5"/>
        <v>41.25</v>
      </c>
      <c r="J29" s="16">
        <f t="shared" ca="1" si="2"/>
        <v>41.25</v>
      </c>
      <c r="K29" s="15">
        <f t="shared" ca="1" si="1"/>
        <v>0</v>
      </c>
    </row>
    <row r="30" spans="1:12" x14ac:dyDescent="0.3">
      <c r="A30" s="19">
        <f t="shared" si="6"/>
        <v>4</v>
      </c>
      <c r="B30" s="1">
        <f t="shared" si="7"/>
        <v>43945</v>
      </c>
      <c r="C30">
        <f t="shared" si="3"/>
        <v>41.25</v>
      </c>
      <c r="D30" s="16">
        <f t="shared" ca="1" si="4"/>
        <v>41.25</v>
      </c>
      <c r="E30" s="15">
        <f t="shared" ca="1" si="0"/>
        <v>0</v>
      </c>
      <c r="G30" s="19">
        <f t="shared" si="8"/>
        <v>4</v>
      </c>
      <c r="H30" s="1">
        <f t="shared" si="9"/>
        <v>43888</v>
      </c>
      <c r="I30">
        <f t="shared" si="5"/>
        <v>41.25</v>
      </c>
      <c r="J30" s="16">
        <f t="shared" ca="1" si="2"/>
        <v>41.25</v>
      </c>
      <c r="K30" s="15">
        <f t="shared" ca="1" si="1"/>
        <v>0</v>
      </c>
    </row>
    <row r="31" spans="1:12" x14ac:dyDescent="0.3">
      <c r="A31" s="19">
        <f t="shared" si="6"/>
        <v>5</v>
      </c>
      <c r="B31" s="1">
        <f t="shared" si="7"/>
        <v>44036</v>
      </c>
      <c r="C31">
        <f t="shared" si="3"/>
        <v>41.25</v>
      </c>
      <c r="D31" s="16">
        <f t="shared" ca="1" si="4"/>
        <v>41.25</v>
      </c>
      <c r="E31" s="15">
        <f t="shared" ca="1" si="0"/>
        <v>0</v>
      </c>
      <c r="G31" s="19">
        <f t="shared" si="8"/>
        <v>5</v>
      </c>
      <c r="H31" s="1">
        <f t="shared" si="9"/>
        <v>43978</v>
      </c>
      <c r="I31">
        <f t="shared" si="5"/>
        <v>41.25</v>
      </c>
      <c r="J31" s="16">
        <f t="shared" ca="1" si="2"/>
        <v>41.25</v>
      </c>
      <c r="K31" s="15">
        <f t="shared" ca="1" si="1"/>
        <v>0</v>
      </c>
    </row>
    <row r="32" spans="1:12" x14ac:dyDescent="0.3">
      <c r="A32" s="19">
        <f t="shared" si="6"/>
        <v>6</v>
      </c>
      <c r="B32" s="1">
        <f t="shared" si="7"/>
        <v>44128</v>
      </c>
      <c r="C32">
        <f t="shared" si="3"/>
        <v>41.25</v>
      </c>
      <c r="D32" s="16">
        <f t="shared" ca="1" si="4"/>
        <v>41.25</v>
      </c>
      <c r="E32" s="15">
        <f t="shared" ca="1" si="0"/>
        <v>0</v>
      </c>
      <c r="G32" s="19">
        <f t="shared" si="8"/>
        <v>6</v>
      </c>
      <c r="H32" s="1">
        <f t="shared" si="9"/>
        <v>44070</v>
      </c>
      <c r="I32">
        <f t="shared" si="5"/>
        <v>41.25</v>
      </c>
      <c r="J32" s="16">
        <f t="shared" ca="1" si="2"/>
        <v>41.25</v>
      </c>
      <c r="K32" s="15">
        <f t="shared" ca="1" si="1"/>
        <v>0</v>
      </c>
    </row>
    <row r="33" spans="1:11" x14ac:dyDescent="0.3">
      <c r="A33" s="19">
        <f t="shared" si="6"/>
        <v>7</v>
      </c>
      <c r="B33" s="1">
        <f t="shared" si="7"/>
        <v>44220</v>
      </c>
      <c r="C33">
        <f t="shared" si="3"/>
        <v>41.25</v>
      </c>
      <c r="D33" s="16">
        <f t="shared" ca="1" si="4"/>
        <v>41.25</v>
      </c>
      <c r="E33" s="15">
        <f t="shared" ca="1" si="0"/>
        <v>0</v>
      </c>
      <c r="G33" s="19">
        <f t="shared" si="8"/>
        <v>7</v>
      </c>
      <c r="H33" s="1">
        <f t="shared" si="9"/>
        <v>44162</v>
      </c>
      <c r="I33">
        <f t="shared" si="5"/>
        <v>41.25</v>
      </c>
      <c r="J33" s="16">
        <f t="shared" ca="1" si="2"/>
        <v>41.25</v>
      </c>
      <c r="K33" s="15">
        <f t="shared" ca="1" si="1"/>
        <v>0</v>
      </c>
    </row>
    <row r="34" spans="1:11" x14ac:dyDescent="0.3">
      <c r="A34" s="19">
        <f t="shared" si="6"/>
        <v>8</v>
      </c>
      <c r="B34" s="1">
        <f t="shared" si="7"/>
        <v>44310</v>
      </c>
      <c r="C34">
        <f t="shared" si="3"/>
        <v>41.25</v>
      </c>
      <c r="D34" s="16">
        <f t="shared" ca="1" si="4"/>
        <v>41.25</v>
      </c>
      <c r="E34" s="15">
        <f t="shared" ca="1" si="0"/>
        <v>0</v>
      </c>
      <c r="G34" s="19">
        <f t="shared" si="8"/>
        <v>8</v>
      </c>
      <c r="H34" s="1">
        <f t="shared" si="9"/>
        <v>44254</v>
      </c>
      <c r="I34">
        <f t="shared" si="5"/>
        <v>41.25</v>
      </c>
      <c r="J34" s="16">
        <f t="shared" ca="1" si="2"/>
        <v>41.25</v>
      </c>
      <c r="K34" s="15">
        <f t="shared" ca="1" si="1"/>
        <v>0</v>
      </c>
    </row>
    <row r="35" spans="1:11" x14ac:dyDescent="0.3">
      <c r="A35" s="19">
        <f t="shared" si="6"/>
        <v>9</v>
      </c>
      <c r="B35" s="1">
        <f t="shared" si="7"/>
        <v>44401</v>
      </c>
      <c r="C35">
        <f t="shared" si="3"/>
        <v>41.25</v>
      </c>
      <c r="D35" s="16">
        <f t="shared" ca="1" si="4"/>
        <v>41.25</v>
      </c>
      <c r="E35" s="15">
        <f t="shared" ca="1" si="0"/>
        <v>0</v>
      </c>
      <c r="G35" s="19">
        <f t="shared" si="8"/>
        <v>9</v>
      </c>
      <c r="H35" s="1">
        <f t="shared" si="9"/>
        <v>44343</v>
      </c>
      <c r="I35">
        <f t="shared" si="5"/>
        <v>41.25</v>
      </c>
      <c r="J35" s="16">
        <f t="shared" ca="1" si="2"/>
        <v>41.25</v>
      </c>
      <c r="K35" s="15">
        <f t="shared" ca="1" si="1"/>
        <v>0</v>
      </c>
    </row>
    <row r="36" spans="1:11" x14ac:dyDescent="0.3">
      <c r="A36" s="19">
        <f t="shared" si="6"/>
        <v>10</v>
      </c>
      <c r="B36" s="1">
        <f t="shared" si="7"/>
        <v>44493</v>
      </c>
      <c r="C36">
        <f t="shared" si="3"/>
        <v>41.25</v>
      </c>
      <c r="D36" s="16">
        <f t="shared" ca="1" si="4"/>
        <v>41.25</v>
      </c>
      <c r="E36" s="15">
        <f t="shared" ca="1" si="0"/>
        <v>0</v>
      </c>
      <c r="G36" s="19">
        <f t="shared" si="8"/>
        <v>10</v>
      </c>
      <c r="H36" s="1">
        <f t="shared" si="9"/>
        <v>44435</v>
      </c>
      <c r="I36">
        <f t="shared" si="5"/>
        <v>41.25</v>
      </c>
      <c r="J36" s="16">
        <f t="shared" ca="1" si="2"/>
        <v>41.25</v>
      </c>
      <c r="K36" s="15">
        <f t="shared" ca="1" si="1"/>
        <v>0</v>
      </c>
    </row>
    <row r="37" spans="1:11" x14ac:dyDescent="0.3">
      <c r="A37" s="19">
        <f t="shared" si="6"/>
        <v>11</v>
      </c>
      <c r="B37" s="1">
        <f t="shared" si="7"/>
        <v>44585</v>
      </c>
      <c r="C37">
        <f t="shared" si="3"/>
        <v>41.25</v>
      </c>
      <c r="D37" s="16">
        <f t="shared" ca="1" si="4"/>
        <v>41.25</v>
      </c>
      <c r="E37" s="15">
        <f t="shared" ca="1" si="0"/>
        <v>0</v>
      </c>
      <c r="G37" s="19">
        <f t="shared" si="8"/>
        <v>11</v>
      </c>
      <c r="H37" s="1">
        <f t="shared" si="9"/>
        <v>44527</v>
      </c>
      <c r="I37">
        <f t="shared" si="5"/>
        <v>41.25</v>
      </c>
      <c r="J37" s="16">
        <f t="shared" ca="1" si="2"/>
        <v>41.25</v>
      </c>
      <c r="K37" s="15">
        <f t="shared" ca="1" si="1"/>
        <v>0</v>
      </c>
    </row>
    <row r="38" spans="1:11" x14ac:dyDescent="0.3">
      <c r="A38" s="19">
        <f t="shared" si="6"/>
        <v>12</v>
      </c>
      <c r="B38" s="1">
        <f t="shared" si="7"/>
        <v>44675</v>
      </c>
      <c r="C38">
        <f t="shared" si="3"/>
        <v>41.25</v>
      </c>
      <c r="D38" s="16">
        <f t="shared" ca="1" si="4"/>
        <v>41.25</v>
      </c>
      <c r="E38" s="15">
        <f t="shared" ca="1" si="0"/>
        <v>0</v>
      </c>
      <c r="G38" s="19">
        <f t="shared" si="8"/>
        <v>12</v>
      </c>
      <c r="H38" s="1">
        <f t="shared" si="9"/>
        <v>44619</v>
      </c>
      <c r="I38">
        <f t="shared" si="5"/>
        <v>41.25</v>
      </c>
      <c r="J38" s="16">
        <f t="shared" ca="1" si="2"/>
        <v>41.25</v>
      </c>
      <c r="K38" s="15">
        <f t="shared" ca="1" si="1"/>
        <v>0</v>
      </c>
    </row>
    <row r="39" spans="1:11" x14ac:dyDescent="0.3">
      <c r="A39" s="19">
        <f t="shared" si="6"/>
        <v>13</v>
      </c>
      <c r="B39" s="1">
        <f t="shared" si="7"/>
        <v>44766</v>
      </c>
      <c r="C39">
        <f t="shared" si="3"/>
        <v>41.25</v>
      </c>
      <c r="D39" s="16">
        <f t="shared" ca="1" si="4"/>
        <v>41.25</v>
      </c>
      <c r="E39" s="15">
        <f t="shared" ca="1" si="0"/>
        <v>0</v>
      </c>
      <c r="G39" s="19">
        <f t="shared" si="8"/>
        <v>13</v>
      </c>
      <c r="H39" s="1">
        <f t="shared" si="9"/>
        <v>44708</v>
      </c>
      <c r="I39">
        <f t="shared" si="5"/>
        <v>3041.25</v>
      </c>
      <c r="J39" s="16">
        <f t="shared" ca="1" si="2"/>
        <v>3041.25</v>
      </c>
      <c r="K39" s="15">
        <f t="shared" ca="1" si="1"/>
        <v>0</v>
      </c>
    </row>
    <row r="40" spans="1:11" x14ac:dyDescent="0.3">
      <c r="A40" s="19">
        <f t="shared" si="6"/>
        <v>14</v>
      </c>
      <c r="B40" s="1">
        <f t="shared" si="7"/>
        <v>44858</v>
      </c>
      <c r="C40">
        <f t="shared" si="3"/>
        <v>41.25</v>
      </c>
      <c r="D40" s="16">
        <f t="shared" ca="1" si="4"/>
        <v>41.25</v>
      </c>
      <c r="E40" s="15">
        <f t="shared" ca="1" si="0"/>
        <v>0</v>
      </c>
      <c r="G40" s="19" t="str">
        <f t="shared" si="8"/>
        <v/>
      </c>
      <c r="H40" s="1" t="str">
        <f t="shared" si="9"/>
        <v/>
      </c>
      <c r="I40" t="str">
        <f t="shared" si="5"/>
        <v/>
      </c>
      <c r="J40" s="16" t="str">
        <f t="shared" si="2"/>
        <v/>
      </c>
      <c r="K40" s="15" t="str">
        <f t="shared" si="1"/>
        <v/>
      </c>
    </row>
    <row r="41" spans="1:11" x14ac:dyDescent="0.3">
      <c r="A41" s="19">
        <f t="shared" si="6"/>
        <v>15</v>
      </c>
      <c r="B41" s="1">
        <f t="shared" si="7"/>
        <v>44950</v>
      </c>
      <c r="C41">
        <f t="shared" si="3"/>
        <v>41.25</v>
      </c>
      <c r="D41" s="16">
        <f t="shared" ca="1" si="4"/>
        <v>41.25</v>
      </c>
      <c r="E41" s="15">
        <f t="shared" ca="1" si="0"/>
        <v>0</v>
      </c>
      <c r="G41" s="19" t="str">
        <f t="shared" si="8"/>
        <v/>
      </c>
      <c r="H41" s="1" t="str">
        <f t="shared" si="9"/>
        <v/>
      </c>
      <c r="I41" t="str">
        <f t="shared" si="5"/>
        <v/>
      </c>
      <c r="J41" s="16" t="str">
        <f t="shared" si="2"/>
        <v/>
      </c>
      <c r="K41" s="15" t="str">
        <f t="shared" si="1"/>
        <v/>
      </c>
    </row>
    <row r="42" spans="1:11" x14ac:dyDescent="0.3">
      <c r="A42" s="19">
        <f t="shared" si="6"/>
        <v>16</v>
      </c>
      <c r="B42" s="1">
        <f t="shared" si="7"/>
        <v>45040</v>
      </c>
      <c r="C42">
        <f t="shared" si="3"/>
        <v>3041.25</v>
      </c>
      <c r="D42" s="16">
        <f t="shared" ca="1" si="4"/>
        <v>3041.25</v>
      </c>
      <c r="E42" s="15">
        <f t="shared" ca="1" si="0"/>
        <v>0</v>
      </c>
      <c r="G42" s="19" t="str">
        <f t="shared" si="8"/>
        <v/>
      </c>
      <c r="H42" s="1" t="str">
        <f t="shared" si="9"/>
        <v/>
      </c>
      <c r="I42" t="str">
        <f t="shared" si="5"/>
        <v/>
      </c>
      <c r="J42" s="16" t="str">
        <f t="shared" si="2"/>
        <v/>
      </c>
      <c r="K42" s="15" t="str">
        <f t="shared" si="1"/>
        <v/>
      </c>
    </row>
    <row r="43" spans="1:11" x14ac:dyDescent="0.3">
      <c r="A43" s="19" t="str">
        <f t="shared" si="6"/>
        <v/>
      </c>
      <c r="B43" s="1" t="str">
        <f t="shared" si="7"/>
        <v/>
      </c>
      <c r="C43" t="str">
        <f t="shared" si="3"/>
        <v/>
      </c>
      <c r="D43" s="16" t="str">
        <f t="shared" si="4"/>
        <v/>
      </c>
      <c r="E43" s="15" t="str">
        <f t="shared" si="0"/>
        <v/>
      </c>
      <c r="G43" s="19" t="str">
        <f t="shared" si="8"/>
        <v/>
      </c>
      <c r="H43" s="1" t="str">
        <f t="shared" si="9"/>
        <v/>
      </c>
      <c r="I43" t="str">
        <f t="shared" si="5"/>
        <v/>
      </c>
      <c r="J43" s="16" t="str">
        <f t="shared" si="2"/>
        <v/>
      </c>
      <c r="K43" s="15" t="str">
        <f t="shared" si="1"/>
        <v/>
      </c>
    </row>
    <row r="44" spans="1:11" x14ac:dyDescent="0.3">
      <c r="A44" s="19" t="str">
        <f t="shared" si="6"/>
        <v/>
      </c>
      <c r="B44" s="1" t="str">
        <f t="shared" si="7"/>
        <v/>
      </c>
      <c r="C44" t="str">
        <f t="shared" si="3"/>
        <v/>
      </c>
      <c r="D44" s="16" t="str">
        <f t="shared" si="4"/>
        <v/>
      </c>
      <c r="E44" s="15" t="str">
        <f t="shared" si="0"/>
        <v/>
      </c>
      <c r="G44" s="19" t="str">
        <f t="shared" si="8"/>
        <v/>
      </c>
      <c r="H44" s="1" t="str">
        <f t="shared" si="9"/>
        <v/>
      </c>
      <c r="I44" t="str">
        <f t="shared" si="5"/>
        <v/>
      </c>
      <c r="J44" s="16" t="str">
        <f t="shared" si="2"/>
        <v/>
      </c>
      <c r="K44" s="15" t="str">
        <f t="shared" si="1"/>
        <v/>
      </c>
    </row>
    <row r="45" spans="1:11" x14ac:dyDescent="0.3">
      <c r="A45" s="19" t="str">
        <f t="shared" si="6"/>
        <v/>
      </c>
      <c r="B45" s="1" t="str">
        <f t="shared" si="7"/>
        <v/>
      </c>
      <c r="C45" t="str">
        <f t="shared" si="3"/>
        <v/>
      </c>
      <c r="D45" s="16" t="str">
        <f t="shared" si="4"/>
        <v/>
      </c>
      <c r="E45" s="15" t="str">
        <f t="shared" si="0"/>
        <v/>
      </c>
      <c r="G45" s="19" t="str">
        <f t="shared" si="8"/>
        <v/>
      </c>
      <c r="H45" s="1" t="str">
        <f t="shared" si="9"/>
        <v/>
      </c>
      <c r="I45" t="str">
        <f t="shared" si="5"/>
        <v/>
      </c>
      <c r="J45" s="16" t="str">
        <f t="shared" si="2"/>
        <v/>
      </c>
      <c r="K45" s="15" t="str">
        <f t="shared" si="1"/>
        <v/>
      </c>
    </row>
    <row r="46" spans="1:11" x14ac:dyDescent="0.3">
      <c r="A46" s="19" t="str">
        <f t="shared" si="6"/>
        <v/>
      </c>
      <c r="B46" s="1" t="str">
        <f t="shared" si="7"/>
        <v/>
      </c>
      <c r="C46" t="str">
        <f t="shared" si="3"/>
        <v/>
      </c>
      <c r="D46" s="16" t="str">
        <f t="shared" si="4"/>
        <v/>
      </c>
      <c r="E46" s="15" t="str">
        <f t="shared" si="0"/>
        <v/>
      </c>
      <c r="G46" s="19" t="str">
        <f t="shared" si="8"/>
        <v/>
      </c>
      <c r="H46" s="1" t="str">
        <f t="shared" si="9"/>
        <v/>
      </c>
      <c r="I46" t="str">
        <f t="shared" si="5"/>
        <v/>
      </c>
      <c r="J46" s="16" t="str">
        <f t="shared" si="2"/>
        <v/>
      </c>
      <c r="K46" s="15" t="str">
        <f t="shared" si="1"/>
        <v/>
      </c>
    </row>
    <row r="58" spans="3:9" x14ac:dyDescent="0.3">
      <c r="C58" t="s">
        <v>22</v>
      </c>
      <c r="I58" t="s">
        <v>22</v>
      </c>
    </row>
    <row r="59" spans="3:9" x14ac:dyDescent="0.3">
      <c r="C59" t="s">
        <v>21</v>
      </c>
      <c r="I59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4"/>
  <sheetViews>
    <sheetView zoomScale="70" zoomScaleNormal="70" workbookViewId="0">
      <selection activeCell="E25" sqref="A25:E25"/>
    </sheetView>
  </sheetViews>
  <sheetFormatPr baseColWidth="10" defaultRowHeight="14.4" x14ac:dyDescent="0.3"/>
  <cols>
    <col min="1" max="1" width="11.5546875" style="19"/>
    <col min="3" max="3" width="13.6640625" customWidth="1"/>
    <col min="4" max="4" width="21.5546875" customWidth="1"/>
    <col min="5" max="5" width="14.44140625" customWidth="1"/>
    <col min="6" max="6" width="13.109375" bestFit="1" customWidth="1"/>
    <col min="7" max="7" width="11.6640625" style="19" customWidth="1"/>
    <col min="8" max="16" width="11.6640625" customWidth="1"/>
  </cols>
  <sheetData>
    <row r="2" spans="2:12" ht="17.399999999999999" x14ac:dyDescent="0.3">
      <c r="B2" t="s">
        <v>57</v>
      </c>
      <c r="C2" t="s">
        <v>10</v>
      </c>
      <c r="D2" s="5">
        <v>43692</v>
      </c>
      <c r="E2" s="5"/>
      <c r="H2" s="14" t="s">
        <v>58</v>
      </c>
      <c r="I2" t="s">
        <v>10</v>
      </c>
      <c r="J2" s="5">
        <v>43570</v>
      </c>
      <c r="K2" s="5"/>
    </row>
    <row r="3" spans="2:12" x14ac:dyDescent="0.3">
      <c r="C3" t="s">
        <v>11</v>
      </c>
      <c r="D3" s="5">
        <v>51181</v>
      </c>
      <c r="I3" t="s">
        <v>11</v>
      </c>
      <c r="J3" s="5">
        <v>51636</v>
      </c>
    </row>
    <row r="4" spans="2:12" x14ac:dyDescent="0.3">
      <c r="C4" t="s">
        <v>12</v>
      </c>
      <c r="D4" s="6">
        <v>4.6249999999999999E-2</v>
      </c>
      <c r="I4" t="s">
        <v>12</v>
      </c>
      <c r="J4" s="6">
        <v>4.3749999999999997E-2</v>
      </c>
    </row>
    <row r="5" spans="2:12" x14ac:dyDescent="0.3">
      <c r="C5" t="s">
        <v>14</v>
      </c>
      <c r="D5">
        <v>2</v>
      </c>
      <c r="I5" t="s">
        <v>14</v>
      </c>
      <c r="J5">
        <v>2</v>
      </c>
    </row>
    <row r="7" spans="2:12" x14ac:dyDescent="0.3">
      <c r="B7" t="s">
        <v>18</v>
      </c>
      <c r="C7" s="7">
        <v>6000</v>
      </c>
      <c r="E7" s="7">
        <v>0</v>
      </c>
      <c r="F7">
        <f>SUM(C7:E7)</f>
        <v>6000</v>
      </c>
      <c r="H7" t="s">
        <v>18</v>
      </c>
      <c r="I7" s="7">
        <v>6000</v>
      </c>
      <c r="K7" s="7">
        <v>0</v>
      </c>
      <c r="L7">
        <f>SUM(I7:K7)</f>
        <v>6000</v>
      </c>
    </row>
    <row r="8" spans="2:12" x14ac:dyDescent="0.3">
      <c r="B8" t="s">
        <v>19</v>
      </c>
      <c r="C8" s="7">
        <v>1.2</v>
      </c>
      <c r="E8" s="7">
        <v>1</v>
      </c>
      <c r="F8" s="7">
        <v>1.1399999999999999</v>
      </c>
      <c r="H8" t="s">
        <v>19</v>
      </c>
      <c r="I8" s="7">
        <f>C8</f>
        <v>1.2</v>
      </c>
      <c r="K8" s="7">
        <v>1</v>
      </c>
      <c r="L8" s="7"/>
    </row>
    <row r="9" spans="2:12" x14ac:dyDescent="0.3">
      <c r="C9" s="1">
        <f ca="1">TODAY()</f>
        <v>43712</v>
      </c>
      <c r="E9" s="2">
        <f ca="1">TODAY()</f>
        <v>43712</v>
      </c>
      <c r="I9" s="2">
        <f ca="1">TODAY()</f>
        <v>43712</v>
      </c>
      <c r="K9" s="2">
        <f ca="1">TODAY()</f>
        <v>43712</v>
      </c>
    </row>
    <row r="10" spans="2:12" ht="15.6" x14ac:dyDescent="0.3">
      <c r="C10" s="4">
        <v>1.29</v>
      </c>
      <c r="E10" s="24">
        <v>0.9</v>
      </c>
      <c r="I10" s="4">
        <v>1.26</v>
      </c>
      <c r="K10" s="24">
        <v>0.9</v>
      </c>
    </row>
    <row r="12" spans="2:12" x14ac:dyDescent="0.3">
      <c r="C12" s="13">
        <f>ROUND(C7*C10/C8,2)</f>
        <v>6450</v>
      </c>
      <c r="E12" s="13">
        <f>ROUND(E7*E10/E8,2)</f>
        <v>0</v>
      </c>
      <c r="F12" s="13">
        <f>C12+IF(E$7&gt;0,E12,)</f>
        <v>6450</v>
      </c>
      <c r="I12" s="13">
        <f>ROUND(I7*I10/I8,2)</f>
        <v>6300</v>
      </c>
      <c r="K12" s="13">
        <f>ROUND(K7*K10/K8,2)</f>
        <v>0</v>
      </c>
      <c r="L12" s="13">
        <f>I12+IF(K$7&gt;0,K12,)</f>
        <v>6300</v>
      </c>
    </row>
    <row r="13" spans="2:12" x14ac:dyDescent="0.3">
      <c r="B13" s="13" t="s">
        <v>0</v>
      </c>
      <c r="C13" s="13">
        <f ca="1">IFERROR(ROUND(ACCRINT(D2-365/D5,D2,C9+3,D4,C7,1,1)/C8,2),0)</f>
        <v>130.51</v>
      </c>
      <c r="D13" s="15"/>
      <c r="E13" s="13">
        <f ca="1">IFERROR(ROUND(ACCRINT(E2-365/D5,E2,E9+2,D4,E7,1,1)/E8,2),0)</f>
        <v>0</v>
      </c>
      <c r="H13" s="13" t="s">
        <v>0</v>
      </c>
      <c r="I13" s="13">
        <f ca="1">IFERROR(ROUND(ACCRINT(J2-365/J5,J2,I9+2,J4,I7,1,1)/I8,2),0)</f>
        <v>195.98</v>
      </c>
      <c r="J13" s="15"/>
      <c r="K13" s="13">
        <f ca="1">IFERROR(ROUND(ACCRINT(K2-365/J5,K2,K9+2,J4,K7,1,1)/K8,2),0)</f>
        <v>0</v>
      </c>
    </row>
    <row r="14" spans="2:12" x14ac:dyDescent="0.3">
      <c r="B14" s="13" t="s">
        <v>1</v>
      </c>
      <c r="C14" s="13">
        <f>MAX(9.95,4.95+ROUND(C7*C10/C8*0.25%,2))</f>
        <v>21.08</v>
      </c>
      <c r="D14" s="3"/>
      <c r="E14" s="13">
        <f>MAX(9.95,4.95+ROUND(E7*E10*0.25%,2))</f>
        <v>9.9499999999999993</v>
      </c>
      <c r="F14" s="13">
        <f>C14+IF(E$7&gt;0,E14,)</f>
        <v>21.08</v>
      </c>
      <c r="H14" s="13" t="s">
        <v>1</v>
      </c>
      <c r="I14" s="13">
        <f>MAX(9.95,4.95+ROUND(I7*I10/I8*0.25%,2))</f>
        <v>20.7</v>
      </c>
      <c r="J14" s="3"/>
      <c r="K14" s="13"/>
      <c r="L14" s="13">
        <f>I14+IF(K$7&gt;0,K14,)</f>
        <v>20.7</v>
      </c>
    </row>
    <row r="15" spans="2:12" x14ac:dyDescent="0.3">
      <c r="B15" s="13" t="s">
        <v>2</v>
      </c>
      <c r="C15" s="13">
        <v>2.5</v>
      </c>
      <c r="E15" s="13"/>
      <c r="F15" s="13">
        <f>C15+IF(E$7&gt;0,E15,)</f>
        <v>2.5</v>
      </c>
      <c r="H15" s="13" t="s">
        <v>2</v>
      </c>
      <c r="I15" s="13"/>
      <c r="K15" s="13"/>
      <c r="L15" s="13">
        <f>I15+IF(K$7&gt;0,K15,)</f>
        <v>0</v>
      </c>
    </row>
    <row r="16" spans="2:12" x14ac:dyDescent="0.3">
      <c r="B16" s="13"/>
      <c r="C16" s="13"/>
      <c r="E16" s="13"/>
      <c r="H16" s="13"/>
      <c r="I16" s="13"/>
      <c r="K16" s="13"/>
    </row>
    <row r="17" spans="1:12" x14ac:dyDescent="0.3">
      <c r="B17" t="s">
        <v>3</v>
      </c>
      <c r="C17">
        <f>MAX(A:A)</f>
        <v>42</v>
      </c>
      <c r="E17">
        <f ca="1">COUNTIF(E25:E46,"&gt;0")</f>
        <v>0</v>
      </c>
      <c r="F17">
        <f>MAX(A:A)</f>
        <v>42</v>
      </c>
      <c r="H17" t="s">
        <v>3</v>
      </c>
      <c r="I17">
        <f>MAX(G:G)</f>
        <v>46</v>
      </c>
      <c r="K17">
        <f ca="1">COUNTIF(K25:K46,"&gt;0")</f>
        <v>0</v>
      </c>
      <c r="L17">
        <f>MAX(G:G)</f>
        <v>46</v>
      </c>
    </row>
    <row r="18" spans="1:12" x14ac:dyDescent="0.3">
      <c r="B18" t="s">
        <v>5</v>
      </c>
      <c r="C18">
        <f>ROUND(C17*D$4*C$7/D$5/C8,2)</f>
        <v>4856.25</v>
      </c>
      <c r="E18">
        <f ca="1">ROUND(E17*D$4*E$7/D$5/E8,2)</f>
        <v>0</v>
      </c>
      <c r="H18" t="s">
        <v>5</v>
      </c>
      <c r="I18">
        <f>ROUND(I17*J$4*I$7/J$5/I8,2)</f>
        <v>5031.25</v>
      </c>
      <c r="K18">
        <f ca="1">ROUND(K17*J$4*K$7/J$5/K8,2)</f>
        <v>0</v>
      </c>
    </row>
    <row r="19" spans="1:12" s="18" customFormat="1" ht="23.4" x14ac:dyDescent="0.45">
      <c r="A19" s="20"/>
      <c r="B19" s="18" t="s">
        <v>4</v>
      </c>
      <c r="C19" s="22">
        <f ca="1">IFERROR(
XIRR(
OFFSET(C25,,,C17+COUNT(C$7:E$7),),
OFFSET(B25,,,C17+COUNT(C$7:E$7),)),
0)</f>
        <v>2.7477207779884338E-2</v>
      </c>
      <c r="D19"/>
      <c r="E19" s="22">
        <f ca="1">IFERROR(
XIRR(
OFFSET(E26,,,C17+1,),
OFFSET(B26,,,C17+1,)),
0)</f>
        <v>0</v>
      </c>
      <c r="F19" s="17">
        <f ca="1">IFERROR(
XIRR(
OFFSET(D25,,,F17+COUNT(C7:E7),),
OFFSET(B25,,,F17+COUNT(C7:E7),)),
0)</f>
        <v>2.6214596629142769E-2</v>
      </c>
      <c r="G19" s="20"/>
      <c r="H19" s="18" t="s">
        <v>4</v>
      </c>
      <c r="I19" s="22">
        <f ca="1">IFERROR(
XIRR(
OFFSET(I25,,,I17+COUNT(I$7:K$7),),
OFFSET(H25,,,I17+COUNT(I$7:K$7),)),
0)</f>
        <v>2.7860477566719052E-2</v>
      </c>
      <c r="J19"/>
      <c r="K19" s="22">
        <f ca="1">IFERROR(
XIRR(
OFFSET(K26,,,I17+1,),
OFFSET(H26,,,I17+1,)),
0)</f>
        <v>0</v>
      </c>
      <c r="L19" s="17">
        <f ca="1">IFERROR(
XIRR(
OFFSET(J25,,,L17+COUNT(I7:K7),),
OFFSET(H25,,,L17+COUNT(I7:K7),)),
0)</f>
        <v>2.6701673865318302E-2</v>
      </c>
    </row>
    <row r="20" spans="1:12" x14ac:dyDescent="0.3">
      <c r="B20" t="s">
        <v>20</v>
      </c>
      <c r="C20" s="3">
        <f>(C12+C14+C15)*C8/C7</f>
        <v>1.294716</v>
      </c>
      <c r="E20" s="3">
        <f>IFERROR((E12+E14+E15)*E8/E7,0)</f>
        <v>0</v>
      </c>
      <c r="F20" s="3">
        <f>(C20*C7+E20*E7)/F7</f>
        <v>1.294716</v>
      </c>
      <c r="H20" t="s">
        <v>20</v>
      </c>
      <c r="I20" s="3">
        <f>(I12+I14+I15)*I8/I7</f>
        <v>1.2641399999999998</v>
      </c>
      <c r="K20" s="3">
        <f>IFERROR((K12+K14+K15)*K8/K7,0)</f>
        <v>0</v>
      </c>
      <c r="L20" s="3">
        <f>(I20*I7+K20*K7)/L7</f>
        <v>1.2641399999999998</v>
      </c>
    </row>
    <row r="21" spans="1:12" x14ac:dyDescent="0.3">
      <c r="B21" t="s">
        <v>6</v>
      </c>
      <c r="C21" s="8">
        <f ca="1">(D3-C9)/365</f>
        <v>20.463013698630139</v>
      </c>
      <c r="D21" s="8"/>
      <c r="E21" s="8">
        <f ca="1">(D3-E9)/365</f>
        <v>20.463013698630139</v>
      </c>
      <c r="F21" s="8">
        <f ca="1">(D3-TODAY())/365</f>
        <v>20.463013698630139</v>
      </c>
      <c r="H21" t="s">
        <v>6</v>
      </c>
      <c r="I21" s="8">
        <f ca="1">(J3-I9)/365</f>
        <v>21.709589041095889</v>
      </c>
      <c r="J21" s="8"/>
      <c r="K21" s="8">
        <f ca="1">(J3-K9)/365</f>
        <v>21.709589041095889</v>
      </c>
      <c r="L21" s="8">
        <f ca="1">(J3-TODAY())/365</f>
        <v>21.709589041095889</v>
      </c>
    </row>
    <row r="22" spans="1:12" x14ac:dyDescent="0.3">
      <c r="B22" t="s">
        <v>13</v>
      </c>
      <c r="C22" s="15">
        <f ca="1">SUM(C25:C150)</f>
        <v>3252.3700000000044</v>
      </c>
      <c r="E22" s="15">
        <f ca="1">SUM(E25:E150)</f>
        <v>-115.63</v>
      </c>
      <c r="H22" t="s">
        <v>13</v>
      </c>
      <c r="I22" s="15">
        <f ca="1">SUM(I25:I150)</f>
        <v>3514.8000000000056</v>
      </c>
      <c r="K22" s="15">
        <f ca="1">SUM(K25:K150)</f>
        <v>-109.38</v>
      </c>
    </row>
    <row r="23" spans="1:12" x14ac:dyDescent="0.3">
      <c r="B23" s="13"/>
      <c r="C23" s="13"/>
      <c r="E23" s="13"/>
      <c r="H23" s="13"/>
      <c r="I23" s="13"/>
      <c r="K23" s="13"/>
    </row>
    <row r="25" spans="1:12" x14ac:dyDescent="0.3">
      <c r="B25" s="1">
        <f ca="1">C9</f>
        <v>43712</v>
      </c>
      <c r="C25" s="15">
        <f ca="1">-SUM(C12:C15)</f>
        <v>-6604.09</v>
      </c>
      <c r="D25" s="13">
        <f ca="1">IF(C7&gt;0,-SUM(C12:C15),0)</f>
        <v>-6604.09</v>
      </c>
      <c r="E25" s="15">
        <f t="shared" ref="E25:E46" ca="1" si="0">IFERROR(D25-C25,"")</f>
        <v>0</v>
      </c>
      <c r="H25" s="1">
        <f ca="1">I9</f>
        <v>43712</v>
      </c>
      <c r="I25" s="15">
        <f ca="1">-SUM(I12:I15)</f>
        <v>-6516.6799999999994</v>
      </c>
      <c r="J25" s="13">
        <f ca="1">IF(I7&gt;0,-SUM(I12:I15),0)</f>
        <v>-6516.6799999999994</v>
      </c>
      <c r="K25" s="15">
        <f t="shared" ref="K25:K43" ca="1" si="1">IFERROR(J25-I25,"")</f>
        <v>0</v>
      </c>
    </row>
    <row r="26" spans="1:12" x14ac:dyDescent="0.3">
      <c r="B26" s="1">
        <f ca="1">E9</f>
        <v>43712</v>
      </c>
      <c r="D26" s="13">
        <f>IF(E7&gt;0,-SUM(E12:E15),0)</f>
        <v>0</v>
      </c>
      <c r="E26" s="15">
        <f t="shared" si="0"/>
        <v>0</v>
      </c>
      <c r="H26" s="1">
        <f ca="1">K9</f>
        <v>43712</v>
      </c>
      <c r="J26" s="13">
        <f>IF(K7&gt;0,-SUM(K12:K15),0)</f>
        <v>0</v>
      </c>
      <c r="K26" s="15">
        <f t="shared" si="1"/>
        <v>0</v>
      </c>
    </row>
    <row r="27" spans="1:12" x14ac:dyDescent="0.3">
      <c r="A27" s="19">
        <v>1</v>
      </c>
      <c r="B27" s="1">
        <f>D2</f>
        <v>43692</v>
      </c>
      <c r="C27">
        <f>IF(ISNUMBER(B27),ROUND(IF(B28="",(D$4*C$7/D$5+C$7)/C$8,D$4*C$7/D$5/C$8),2),"")</f>
        <v>115.63</v>
      </c>
      <c r="D27" s="16">
        <f ca="1">IF(ISNUMBER(B27),ROUND(IF(B28="",D$4/D$5*SUMIF(C$9:E$9,"&lt;"&amp;B27,C$7:E$7)/C$8+SUMIF(C$9:E$9,"&lt;"&amp;B27,C$7:E$7)/C$8,D$4/D$5*SUMIF(C$9:E$9,"&lt;"&amp;B27,C$7:E$7)/C$8),2),"")</f>
        <v>0</v>
      </c>
      <c r="E27" s="15">
        <f t="shared" ca="1" si="0"/>
        <v>-115.63</v>
      </c>
      <c r="G27" s="19">
        <v>1</v>
      </c>
      <c r="H27" s="1">
        <f>J2</f>
        <v>43570</v>
      </c>
      <c r="I27">
        <f>IF(ISNUMBER(H27),ROUND(IF(H28="",(J$4*I$7/J$5+I$7)/I$8,J$4*I$7/J$5/I$8),2),"")</f>
        <v>109.38</v>
      </c>
      <c r="J27" s="16">
        <f t="shared" ref="J27:J43" ca="1" si="2">IF(ISNUMBER(H27),ROUND(IF(H28="",J$4/J$5*SUMIF(I$9:K$9,"&lt;"&amp;H27,I$7:K$7)/I$8+SUMIF(I$9:K$9,"&lt;"&amp;H27,I$7:K$7)/I$8,J$4/J$5*SUMIF(I$9:K$9,"&lt;"&amp;H27,I$7:K$7)/I$8),2),"")</f>
        <v>0</v>
      </c>
      <c r="K27" s="15">
        <f t="shared" ca="1" si="1"/>
        <v>-109.38</v>
      </c>
    </row>
    <row r="28" spans="1:12" x14ac:dyDescent="0.3">
      <c r="A28" s="19">
        <f>IF(AND(B27&lt;D$3,B27&lt;&gt;0),A27+1,"")</f>
        <v>2</v>
      </c>
      <c r="B28" s="1">
        <f>IF(AND(B27&lt;D$3,B27&lt;&gt;0),DATE(IF(MONTH(B27)&gt;(12-12/D$5),YEAR(B27)+1,YEAR(B27)),IF(MONTH(B27)&gt;(12-12/D$5),MONTH(B27)-(12-12/D$5),MONTH(B27)+12/D$5),DAY(B27)),"")</f>
        <v>43876</v>
      </c>
      <c r="C28">
        <f t="shared" ref="C28:C46" si="3">IF(ISNUMBER(B28),ROUND(IF(B29="",(D$4*C$7/D$5+C$7)/C$8,D$4*C$7/D$5/C$8),2),"")</f>
        <v>115.63</v>
      </c>
      <c r="D28" s="16">
        <f t="shared" ref="D28:D46" ca="1" si="4">IF(ISNUMBER(B28),ROUND(IF(B29="",D$4/D$5*SUMIF(C$9:E$9,"&lt;"&amp;B28,C$7:E$7)/C$8+SUMIF(C$9:E$9,"&lt;"&amp;B28,C$7:E$7)/C$8,D$4/D$5*SUMIF(C$9:E$9,"&lt;"&amp;B28,C$7:E$7)/C$8),2),"")</f>
        <v>115.63</v>
      </c>
      <c r="E28" s="15">
        <f ca="1">IFERROR(D28-C28,"")</f>
        <v>0</v>
      </c>
      <c r="G28" s="19">
        <f>IF(AND(H27&lt;J$3,H27&lt;&gt;0),G27+1,"")</f>
        <v>2</v>
      </c>
      <c r="H28" s="1">
        <f>IF(AND(H27&lt;J$3,H27&lt;&gt;0),DATE(IF(MONTH(H27)&gt;(12-12/J$5),YEAR(H27)+1,YEAR(H27)),IF(MONTH(H27)&gt;(12-12/J$5),MONTH(H27)-(12-12/J$5),MONTH(H27)+12/J$5),DAY(H27)),"")</f>
        <v>43753</v>
      </c>
      <c r="I28">
        <f t="shared" ref="I28:I43" si="5">IF(ISNUMBER(H28),ROUND(IF(H29="",(J$4*I$7/J$5+I$7)/I$8,J$4*I$7/J$5/I$8),2),"")</f>
        <v>109.38</v>
      </c>
      <c r="J28" s="16">
        <f t="shared" ca="1" si="2"/>
        <v>109.38</v>
      </c>
      <c r="K28" s="15">
        <f ca="1">IFERROR(J28-I28,"")</f>
        <v>0</v>
      </c>
    </row>
    <row r="29" spans="1:12" x14ac:dyDescent="0.3">
      <c r="A29" s="19">
        <f t="shared" ref="A29:A46" si="6">IF(AND(B28&lt;D$3,B28&lt;&gt;0),A28+1,"")</f>
        <v>3</v>
      </c>
      <c r="B29" s="1">
        <f t="shared" ref="B29:B46" si="7">IF(AND(B28&lt;D$3,B28&lt;&gt;0),DATE(IF(MONTH(B28)&gt;(12-12/D$5),YEAR(B28)+1,YEAR(B28)),IF(MONTH(B28)&gt;(12-12/D$5),MONTH(B28)-(12-12/D$5),MONTH(B28)+12/D$5),DAY(B28)),"")</f>
        <v>44058</v>
      </c>
      <c r="C29">
        <f t="shared" si="3"/>
        <v>115.63</v>
      </c>
      <c r="D29" s="16">
        <f t="shared" ca="1" si="4"/>
        <v>115.63</v>
      </c>
      <c r="E29" s="15">
        <f t="shared" ca="1" si="0"/>
        <v>0</v>
      </c>
      <c r="G29" s="19">
        <f t="shared" ref="G29:G43" si="8">IF(AND(H28&lt;J$3,H28&lt;&gt;0),G28+1,"")</f>
        <v>3</v>
      </c>
      <c r="H29" s="1">
        <f t="shared" ref="H29:H43" si="9">IF(AND(H28&lt;J$3,H28&lt;&gt;0),DATE(IF(MONTH(H28)&gt;(12-12/J$5),YEAR(H28)+1,YEAR(H28)),IF(MONTH(H28)&gt;(12-12/J$5),MONTH(H28)-(12-12/J$5),MONTH(H28)+12/J$5),DAY(H28)),"")</f>
        <v>43936</v>
      </c>
      <c r="I29">
        <f t="shared" si="5"/>
        <v>109.38</v>
      </c>
      <c r="J29" s="16">
        <f t="shared" ca="1" si="2"/>
        <v>109.38</v>
      </c>
      <c r="K29" s="15">
        <f t="shared" ca="1" si="1"/>
        <v>0</v>
      </c>
    </row>
    <row r="30" spans="1:12" x14ac:dyDescent="0.3">
      <c r="A30" s="19">
        <f t="shared" si="6"/>
        <v>4</v>
      </c>
      <c r="B30" s="1">
        <f t="shared" si="7"/>
        <v>44242</v>
      </c>
      <c r="C30">
        <f t="shared" si="3"/>
        <v>115.63</v>
      </c>
      <c r="D30" s="16">
        <f t="shared" ca="1" si="4"/>
        <v>115.63</v>
      </c>
      <c r="E30" s="15">
        <f t="shared" ca="1" si="0"/>
        <v>0</v>
      </c>
      <c r="G30" s="19">
        <f t="shared" si="8"/>
        <v>4</v>
      </c>
      <c r="H30" s="1">
        <f t="shared" si="9"/>
        <v>44119</v>
      </c>
      <c r="I30">
        <f t="shared" si="5"/>
        <v>109.38</v>
      </c>
      <c r="J30" s="16">
        <f t="shared" ca="1" si="2"/>
        <v>109.38</v>
      </c>
      <c r="K30" s="15">
        <f t="shared" ca="1" si="1"/>
        <v>0</v>
      </c>
    </row>
    <row r="31" spans="1:12" x14ac:dyDescent="0.3">
      <c r="A31" s="19">
        <f t="shared" si="6"/>
        <v>5</v>
      </c>
      <c r="B31" s="1">
        <f t="shared" si="7"/>
        <v>44423</v>
      </c>
      <c r="C31">
        <f t="shared" si="3"/>
        <v>115.63</v>
      </c>
      <c r="D31" s="16">
        <f t="shared" ca="1" si="4"/>
        <v>115.63</v>
      </c>
      <c r="E31" s="15">
        <f t="shared" ca="1" si="0"/>
        <v>0</v>
      </c>
      <c r="G31" s="19">
        <f t="shared" si="8"/>
        <v>5</v>
      </c>
      <c r="H31" s="1">
        <f t="shared" si="9"/>
        <v>44301</v>
      </c>
      <c r="I31">
        <f t="shared" si="5"/>
        <v>109.38</v>
      </c>
      <c r="J31" s="16">
        <f t="shared" ca="1" si="2"/>
        <v>109.38</v>
      </c>
      <c r="K31" s="15">
        <f t="shared" ca="1" si="1"/>
        <v>0</v>
      </c>
    </row>
    <row r="32" spans="1:12" x14ac:dyDescent="0.3">
      <c r="A32" s="19">
        <f t="shared" si="6"/>
        <v>6</v>
      </c>
      <c r="B32" s="1">
        <f t="shared" si="7"/>
        <v>44607</v>
      </c>
      <c r="C32">
        <f t="shared" si="3"/>
        <v>115.63</v>
      </c>
      <c r="D32" s="16">
        <f t="shared" ca="1" si="4"/>
        <v>115.63</v>
      </c>
      <c r="E32" s="15">
        <f t="shared" ca="1" si="0"/>
        <v>0</v>
      </c>
      <c r="G32" s="19">
        <f t="shared" si="8"/>
        <v>6</v>
      </c>
      <c r="H32" s="1">
        <f t="shared" si="9"/>
        <v>44484</v>
      </c>
      <c r="I32">
        <f t="shared" si="5"/>
        <v>109.38</v>
      </c>
      <c r="J32" s="16">
        <f t="shared" ca="1" si="2"/>
        <v>109.38</v>
      </c>
      <c r="K32" s="15">
        <f t="shared" ca="1" si="1"/>
        <v>0</v>
      </c>
    </row>
    <row r="33" spans="1:11" x14ac:dyDescent="0.3">
      <c r="A33" s="19">
        <f t="shared" si="6"/>
        <v>7</v>
      </c>
      <c r="B33" s="1">
        <f t="shared" si="7"/>
        <v>44788</v>
      </c>
      <c r="C33">
        <f t="shared" si="3"/>
        <v>115.63</v>
      </c>
      <c r="D33" s="16">
        <f t="shared" ca="1" si="4"/>
        <v>115.63</v>
      </c>
      <c r="E33" s="15">
        <f t="shared" ca="1" si="0"/>
        <v>0</v>
      </c>
      <c r="G33" s="19">
        <f t="shared" si="8"/>
        <v>7</v>
      </c>
      <c r="H33" s="1">
        <f t="shared" si="9"/>
        <v>44666</v>
      </c>
      <c r="I33">
        <f t="shared" si="5"/>
        <v>109.38</v>
      </c>
      <c r="J33" s="16">
        <f t="shared" ca="1" si="2"/>
        <v>109.38</v>
      </c>
      <c r="K33" s="15">
        <f t="shared" ca="1" si="1"/>
        <v>0</v>
      </c>
    </row>
    <row r="34" spans="1:11" x14ac:dyDescent="0.3">
      <c r="A34" s="19">
        <f t="shared" si="6"/>
        <v>8</v>
      </c>
      <c r="B34" s="1">
        <f t="shared" si="7"/>
        <v>44972</v>
      </c>
      <c r="C34">
        <f t="shared" si="3"/>
        <v>115.63</v>
      </c>
      <c r="D34" s="16">
        <f t="shared" ca="1" si="4"/>
        <v>115.63</v>
      </c>
      <c r="E34" s="15">
        <f t="shared" ca="1" si="0"/>
        <v>0</v>
      </c>
      <c r="G34" s="19">
        <f t="shared" si="8"/>
        <v>8</v>
      </c>
      <c r="H34" s="1">
        <f t="shared" si="9"/>
        <v>44849</v>
      </c>
      <c r="I34">
        <f t="shared" si="5"/>
        <v>109.38</v>
      </c>
      <c r="J34" s="16">
        <f t="shared" ca="1" si="2"/>
        <v>109.38</v>
      </c>
      <c r="K34" s="15">
        <f t="shared" ca="1" si="1"/>
        <v>0</v>
      </c>
    </row>
    <row r="35" spans="1:11" x14ac:dyDescent="0.3">
      <c r="A35" s="19">
        <f t="shared" si="6"/>
        <v>9</v>
      </c>
      <c r="B35" s="1">
        <f t="shared" si="7"/>
        <v>45153</v>
      </c>
      <c r="C35">
        <f t="shared" si="3"/>
        <v>115.63</v>
      </c>
      <c r="D35" s="16">
        <f t="shared" ca="1" si="4"/>
        <v>115.63</v>
      </c>
      <c r="E35" s="15">
        <f t="shared" ca="1" si="0"/>
        <v>0</v>
      </c>
      <c r="G35" s="19">
        <f t="shared" si="8"/>
        <v>9</v>
      </c>
      <c r="H35" s="1">
        <f t="shared" si="9"/>
        <v>45031</v>
      </c>
      <c r="I35">
        <f t="shared" si="5"/>
        <v>109.38</v>
      </c>
      <c r="J35" s="16">
        <f t="shared" ca="1" si="2"/>
        <v>109.38</v>
      </c>
      <c r="K35" s="15">
        <f t="shared" ca="1" si="1"/>
        <v>0</v>
      </c>
    </row>
    <row r="36" spans="1:11" x14ac:dyDescent="0.3">
      <c r="A36" s="19">
        <f t="shared" si="6"/>
        <v>10</v>
      </c>
      <c r="B36" s="1">
        <f t="shared" si="7"/>
        <v>45337</v>
      </c>
      <c r="C36">
        <f t="shared" si="3"/>
        <v>115.63</v>
      </c>
      <c r="D36" s="16">
        <f t="shared" ca="1" si="4"/>
        <v>115.63</v>
      </c>
      <c r="E36" s="15">
        <f t="shared" ca="1" si="0"/>
        <v>0</v>
      </c>
      <c r="G36" s="19">
        <f t="shared" si="8"/>
        <v>10</v>
      </c>
      <c r="H36" s="1">
        <f t="shared" si="9"/>
        <v>45214</v>
      </c>
      <c r="I36">
        <f t="shared" si="5"/>
        <v>109.38</v>
      </c>
      <c r="J36" s="16">
        <f t="shared" ca="1" si="2"/>
        <v>109.38</v>
      </c>
      <c r="K36" s="15">
        <f t="shared" ca="1" si="1"/>
        <v>0</v>
      </c>
    </row>
    <row r="37" spans="1:11" x14ac:dyDescent="0.3">
      <c r="A37" s="19">
        <f t="shared" si="6"/>
        <v>11</v>
      </c>
      <c r="B37" s="1">
        <f t="shared" si="7"/>
        <v>45519</v>
      </c>
      <c r="C37">
        <f t="shared" si="3"/>
        <v>115.63</v>
      </c>
      <c r="D37" s="16">
        <f t="shared" ca="1" si="4"/>
        <v>115.63</v>
      </c>
      <c r="E37" s="15">
        <f t="shared" ca="1" si="0"/>
        <v>0</v>
      </c>
      <c r="G37" s="19">
        <f t="shared" si="8"/>
        <v>11</v>
      </c>
      <c r="H37" s="1">
        <f t="shared" si="9"/>
        <v>45397</v>
      </c>
      <c r="I37">
        <f t="shared" si="5"/>
        <v>109.38</v>
      </c>
      <c r="J37" s="16">
        <f t="shared" ca="1" si="2"/>
        <v>109.38</v>
      </c>
      <c r="K37" s="15">
        <f t="shared" ca="1" si="1"/>
        <v>0</v>
      </c>
    </row>
    <row r="38" spans="1:11" x14ac:dyDescent="0.3">
      <c r="A38" s="19">
        <f t="shared" si="6"/>
        <v>12</v>
      </c>
      <c r="B38" s="1">
        <f t="shared" si="7"/>
        <v>45703</v>
      </c>
      <c r="C38">
        <f t="shared" si="3"/>
        <v>115.63</v>
      </c>
      <c r="D38" s="16">
        <f t="shared" ca="1" si="4"/>
        <v>115.63</v>
      </c>
      <c r="E38" s="15">
        <f t="shared" ca="1" si="0"/>
        <v>0</v>
      </c>
      <c r="G38" s="19">
        <f t="shared" si="8"/>
        <v>12</v>
      </c>
      <c r="H38" s="1">
        <f t="shared" si="9"/>
        <v>45580</v>
      </c>
      <c r="I38">
        <f t="shared" si="5"/>
        <v>109.38</v>
      </c>
      <c r="J38" s="16">
        <f t="shared" ca="1" si="2"/>
        <v>109.38</v>
      </c>
      <c r="K38" s="15">
        <f t="shared" ca="1" si="1"/>
        <v>0</v>
      </c>
    </row>
    <row r="39" spans="1:11" x14ac:dyDescent="0.3">
      <c r="A39" s="19">
        <f t="shared" si="6"/>
        <v>13</v>
      </c>
      <c r="B39" s="1">
        <f t="shared" si="7"/>
        <v>45884</v>
      </c>
      <c r="C39">
        <f t="shared" si="3"/>
        <v>115.63</v>
      </c>
      <c r="D39" s="16">
        <f t="shared" ca="1" si="4"/>
        <v>115.63</v>
      </c>
      <c r="E39" s="15">
        <f t="shared" ca="1" si="0"/>
        <v>0</v>
      </c>
      <c r="G39" s="19">
        <f t="shared" si="8"/>
        <v>13</v>
      </c>
      <c r="H39" s="1">
        <f t="shared" si="9"/>
        <v>45762</v>
      </c>
      <c r="I39">
        <f t="shared" si="5"/>
        <v>109.38</v>
      </c>
      <c r="J39" s="16">
        <f t="shared" ca="1" si="2"/>
        <v>109.38</v>
      </c>
      <c r="K39" s="15">
        <f t="shared" ca="1" si="1"/>
        <v>0</v>
      </c>
    </row>
    <row r="40" spans="1:11" x14ac:dyDescent="0.3">
      <c r="A40" s="19">
        <f t="shared" si="6"/>
        <v>14</v>
      </c>
      <c r="B40" s="1">
        <f t="shared" si="7"/>
        <v>46068</v>
      </c>
      <c r="C40">
        <f t="shared" si="3"/>
        <v>115.63</v>
      </c>
      <c r="D40" s="16">
        <f t="shared" ca="1" si="4"/>
        <v>115.63</v>
      </c>
      <c r="E40" s="15">
        <f t="shared" ca="1" si="0"/>
        <v>0</v>
      </c>
      <c r="G40" s="19">
        <f t="shared" si="8"/>
        <v>14</v>
      </c>
      <c r="H40" s="1">
        <f t="shared" si="9"/>
        <v>45945</v>
      </c>
      <c r="I40">
        <f t="shared" si="5"/>
        <v>109.38</v>
      </c>
      <c r="J40" s="16">
        <f t="shared" ca="1" si="2"/>
        <v>109.38</v>
      </c>
      <c r="K40" s="15">
        <f t="shared" ca="1" si="1"/>
        <v>0</v>
      </c>
    </row>
    <row r="41" spans="1:11" x14ac:dyDescent="0.3">
      <c r="A41" s="19">
        <f t="shared" si="6"/>
        <v>15</v>
      </c>
      <c r="B41" s="1">
        <f t="shared" si="7"/>
        <v>46249</v>
      </c>
      <c r="C41">
        <f t="shared" si="3"/>
        <v>115.63</v>
      </c>
      <c r="D41" s="16">
        <f t="shared" ca="1" si="4"/>
        <v>115.63</v>
      </c>
      <c r="E41" s="15">
        <f t="shared" ca="1" si="0"/>
        <v>0</v>
      </c>
      <c r="G41" s="19">
        <f t="shared" si="8"/>
        <v>15</v>
      </c>
      <c r="H41" s="1">
        <f t="shared" si="9"/>
        <v>46127</v>
      </c>
      <c r="I41">
        <f t="shared" si="5"/>
        <v>109.38</v>
      </c>
      <c r="J41" s="16">
        <f t="shared" ca="1" si="2"/>
        <v>109.38</v>
      </c>
      <c r="K41" s="15">
        <f t="shared" ca="1" si="1"/>
        <v>0</v>
      </c>
    </row>
    <row r="42" spans="1:11" x14ac:dyDescent="0.3">
      <c r="A42" s="19">
        <f t="shared" si="6"/>
        <v>16</v>
      </c>
      <c r="B42" s="1">
        <f t="shared" si="7"/>
        <v>46433</v>
      </c>
      <c r="C42">
        <f t="shared" si="3"/>
        <v>115.63</v>
      </c>
      <c r="D42" s="16">
        <f t="shared" ca="1" si="4"/>
        <v>115.63</v>
      </c>
      <c r="E42" s="15">
        <f t="shared" ca="1" si="0"/>
        <v>0</v>
      </c>
      <c r="G42" s="19">
        <f t="shared" si="8"/>
        <v>16</v>
      </c>
      <c r="H42" s="1">
        <f t="shared" si="9"/>
        <v>46310</v>
      </c>
      <c r="I42">
        <f t="shared" si="5"/>
        <v>109.38</v>
      </c>
      <c r="J42" s="16">
        <f t="shared" ca="1" si="2"/>
        <v>109.38</v>
      </c>
      <c r="K42" s="15">
        <f t="shared" ca="1" si="1"/>
        <v>0</v>
      </c>
    </row>
    <row r="43" spans="1:11" x14ac:dyDescent="0.3">
      <c r="A43" s="19">
        <f t="shared" si="6"/>
        <v>17</v>
      </c>
      <c r="B43" s="1">
        <f t="shared" si="7"/>
        <v>46614</v>
      </c>
      <c r="C43">
        <f t="shared" si="3"/>
        <v>115.63</v>
      </c>
      <c r="D43" s="16">
        <f t="shared" ca="1" si="4"/>
        <v>115.63</v>
      </c>
      <c r="E43" s="15">
        <f t="shared" ca="1" si="0"/>
        <v>0</v>
      </c>
      <c r="G43" s="19">
        <f t="shared" si="8"/>
        <v>17</v>
      </c>
      <c r="H43" s="1">
        <f t="shared" si="9"/>
        <v>46492</v>
      </c>
      <c r="I43">
        <f t="shared" si="5"/>
        <v>109.38</v>
      </c>
      <c r="J43" s="16">
        <f t="shared" ca="1" si="2"/>
        <v>109.38</v>
      </c>
      <c r="K43" s="15">
        <f t="shared" ca="1" si="1"/>
        <v>0</v>
      </c>
    </row>
    <row r="44" spans="1:11" x14ac:dyDescent="0.3">
      <c r="A44" s="19">
        <f t="shared" si="6"/>
        <v>18</v>
      </c>
      <c r="B44" s="1">
        <f t="shared" si="7"/>
        <v>46798</v>
      </c>
      <c r="C44">
        <f t="shared" si="3"/>
        <v>115.63</v>
      </c>
      <c r="D44" s="16">
        <f t="shared" ca="1" si="4"/>
        <v>115.63</v>
      </c>
      <c r="E44" s="15">
        <f t="shared" ca="1" si="0"/>
        <v>0</v>
      </c>
      <c r="G44" s="19">
        <f t="shared" ref="G44:G93" si="10">IF(AND(H43&lt;J$3,H43&lt;&gt;0),G43+1,"")</f>
        <v>18</v>
      </c>
      <c r="H44" s="1">
        <f t="shared" ref="H44:H93" si="11">IF(AND(H43&lt;J$3,H43&lt;&gt;0),DATE(IF(MONTH(H43)&gt;(12-12/J$5),YEAR(H43)+1,YEAR(H43)),IF(MONTH(H43)&gt;(12-12/J$5),MONTH(H43)-(12-12/J$5),MONTH(H43)+12/J$5),DAY(H43)),"")</f>
        <v>46675</v>
      </c>
      <c r="I44">
        <f t="shared" ref="I44:I93" si="12">IF(ISNUMBER(H44),ROUND(IF(H45="",(J$4*I$7/J$5+I$7)/I$8,J$4*I$7/J$5/I$8),2),"")</f>
        <v>109.38</v>
      </c>
      <c r="J44" s="16">
        <f t="shared" ref="J44:J93" ca="1" si="13">IF(ISNUMBER(H44),ROUND(IF(H45="",J$4/J$5*SUMIF(I$9:K$9,"&lt;"&amp;H44,I$7:K$7)/I$8+SUMIF(I$9:K$9,"&lt;"&amp;H44,I$7:K$7)/I$8,J$4/J$5*SUMIF(I$9:K$9,"&lt;"&amp;H44,I$7:K$7)/I$8),2),"")</f>
        <v>109.38</v>
      </c>
      <c r="K44" s="15">
        <f t="shared" ref="K44:K93" ca="1" si="14">IFERROR(J44-I44,"")</f>
        <v>0</v>
      </c>
    </row>
    <row r="45" spans="1:11" x14ac:dyDescent="0.3">
      <c r="A45" s="19">
        <f t="shared" si="6"/>
        <v>19</v>
      </c>
      <c r="B45" s="1">
        <f t="shared" si="7"/>
        <v>46980</v>
      </c>
      <c r="C45">
        <f t="shared" si="3"/>
        <v>115.63</v>
      </c>
      <c r="D45" s="16">
        <f t="shared" ca="1" si="4"/>
        <v>115.63</v>
      </c>
      <c r="E45" s="15">
        <f t="shared" ca="1" si="0"/>
        <v>0</v>
      </c>
      <c r="G45" s="19">
        <f t="shared" si="10"/>
        <v>19</v>
      </c>
      <c r="H45" s="1">
        <f t="shared" si="11"/>
        <v>46858</v>
      </c>
      <c r="I45">
        <f t="shared" si="12"/>
        <v>109.38</v>
      </c>
      <c r="J45" s="16">
        <f t="shared" ca="1" si="13"/>
        <v>109.38</v>
      </c>
      <c r="K45" s="15">
        <f t="shared" ca="1" si="14"/>
        <v>0</v>
      </c>
    </row>
    <row r="46" spans="1:11" x14ac:dyDescent="0.3">
      <c r="A46" s="19">
        <f t="shared" si="6"/>
        <v>20</v>
      </c>
      <c r="B46" s="1">
        <f t="shared" si="7"/>
        <v>47164</v>
      </c>
      <c r="C46">
        <f t="shared" si="3"/>
        <v>115.63</v>
      </c>
      <c r="D46" s="16">
        <f t="shared" ca="1" si="4"/>
        <v>115.63</v>
      </c>
      <c r="E46" s="15">
        <f t="shared" ca="1" si="0"/>
        <v>0</v>
      </c>
      <c r="G46" s="19">
        <f t="shared" si="10"/>
        <v>20</v>
      </c>
      <c r="H46" s="1">
        <f t="shared" si="11"/>
        <v>47041</v>
      </c>
      <c r="I46">
        <f t="shared" si="12"/>
        <v>109.38</v>
      </c>
      <c r="J46" s="16">
        <f t="shared" ca="1" si="13"/>
        <v>109.38</v>
      </c>
      <c r="K46" s="15">
        <f t="shared" ca="1" si="14"/>
        <v>0</v>
      </c>
    </row>
    <row r="47" spans="1:11" x14ac:dyDescent="0.3">
      <c r="A47" s="19">
        <f t="shared" ref="A47:A94" si="15">IF(AND(B46&lt;D$3,B46&lt;&gt;0),A46+1,"")</f>
        <v>21</v>
      </c>
      <c r="B47" s="1">
        <f t="shared" ref="B47:B94" si="16">IF(AND(B46&lt;D$3,B46&lt;&gt;0),DATE(IF(MONTH(B46)&gt;(12-12/D$5),YEAR(B46)+1,YEAR(B46)),IF(MONTH(B46)&gt;(12-12/D$5),MONTH(B46)-(12-12/D$5),MONTH(B46)+12/D$5),DAY(B46)),"")</f>
        <v>47345</v>
      </c>
      <c r="C47">
        <f t="shared" ref="C47:C94" si="17">IF(ISNUMBER(B47),ROUND(IF(B48="",(D$4*C$7/D$5+C$7)/C$8,D$4*C$7/D$5/C$8),2),"")</f>
        <v>115.63</v>
      </c>
      <c r="D47" s="16">
        <f t="shared" ref="D47:D94" ca="1" si="18">IF(ISNUMBER(B47),ROUND(IF(B48="",D$4/D$5*SUMIF(C$9:E$9,"&lt;"&amp;B47,C$7:E$7)/C$8+SUMIF(C$9:E$9,"&lt;"&amp;B47,C$7:E$7)/C$8,D$4/D$5*SUMIF(C$9:E$9,"&lt;"&amp;B47,C$7:E$7)/C$8),2),"")</f>
        <v>115.63</v>
      </c>
      <c r="E47" s="15">
        <f t="shared" ref="E47:E94" ca="1" si="19">IFERROR(D47-C47,"")</f>
        <v>0</v>
      </c>
      <c r="G47" s="19">
        <f t="shared" si="10"/>
        <v>21</v>
      </c>
      <c r="H47" s="1">
        <f t="shared" si="11"/>
        <v>47223</v>
      </c>
      <c r="I47">
        <f t="shared" si="12"/>
        <v>109.38</v>
      </c>
      <c r="J47" s="16">
        <f t="shared" ca="1" si="13"/>
        <v>109.38</v>
      </c>
      <c r="K47" s="15">
        <f t="shared" ca="1" si="14"/>
        <v>0</v>
      </c>
    </row>
    <row r="48" spans="1:11" x14ac:dyDescent="0.3">
      <c r="A48" s="19">
        <f t="shared" si="15"/>
        <v>22</v>
      </c>
      <c r="B48" s="1">
        <f t="shared" si="16"/>
        <v>47529</v>
      </c>
      <c r="C48">
        <f t="shared" si="17"/>
        <v>115.63</v>
      </c>
      <c r="D48" s="16">
        <f t="shared" ca="1" si="18"/>
        <v>115.63</v>
      </c>
      <c r="E48" s="15">
        <f t="shared" ca="1" si="19"/>
        <v>0</v>
      </c>
      <c r="G48" s="19">
        <f t="shared" si="10"/>
        <v>22</v>
      </c>
      <c r="H48" s="1">
        <f t="shared" si="11"/>
        <v>47406</v>
      </c>
      <c r="I48">
        <f t="shared" si="12"/>
        <v>109.38</v>
      </c>
      <c r="J48" s="16">
        <f t="shared" ca="1" si="13"/>
        <v>109.38</v>
      </c>
      <c r="K48" s="15">
        <f t="shared" ca="1" si="14"/>
        <v>0</v>
      </c>
    </row>
    <row r="49" spans="1:11" x14ac:dyDescent="0.3">
      <c r="A49" s="19">
        <f t="shared" si="15"/>
        <v>23</v>
      </c>
      <c r="B49" s="1">
        <f t="shared" si="16"/>
        <v>47710</v>
      </c>
      <c r="C49">
        <f t="shared" si="17"/>
        <v>115.63</v>
      </c>
      <c r="D49" s="16">
        <f t="shared" ca="1" si="18"/>
        <v>115.63</v>
      </c>
      <c r="E49" s="15">
        <f t="shared" ca="1" si="19"/>
        <v>0</v>
      </c>
      <c r="G49" s="19">
        <f t="shared" si="10"/>
        <v>23</v>
      </c>
      <c r="H49" s="1">
        <f t="shared" si="11"/>
        <v>47588</v>
      </c>
      <c r="I49">
        <f t="shared" si="12"/>
        <v>109.38</v>
      </c>
      <c r="J49" s="16">
        <f t="shared" ca="1" si="13"/>
        <v>109.38</v>
      </c>
      <c r="K49" s="15">
        <f t="shared" ca="1" si="14"/>
        <v>0</v>
      </c>
    </row>
    <row r="50" spans="1:11" x14ac:dyDescent="0.3">
      <c r="A50" s="19">
        <f t="shared" si="15"/>
        <v>24</v>
      </c>
      <c r="B50" s="1">
        <f t="shared" si="16"/>
        <v>47894</v>
      </c>
      <c r="C50">
        <f t="shared" si="17"/>
        <v>115.63</v>
      </c>
      <c r="D50" s="16">
        <f t="shared" ca="1" si="18"/>
        <v>115.63</v>
      </c>
      <c r="E50" s="15">
        <f t="shared" ca="1" si="19"/>
        <v>0</v>
      </c>
      <c r="G50" s="19">
        <f t="shared" si="10"/>
        <v>24</v>
      </c>
      <c r="H50" s="1">
        <f t="shared" si="11"/>
        <v>47771</v>
      </c>
      <c r="I50">
        <f t="shared" si="12"/>
        <v>109.38</v>
      </c>
      <c r="J50" s="16">
        <f t="shared" ca="1" si="13"/>
        <v>109.38</v>
      </c>
      <c r="K50" s="15">
        <f t="shared" ca="1" si="14"/>
        <v>0</v>
      </c>
    </row>
    <row r="51" spans="1:11" x14ac:dyDescent="0.3">
      <c r="A51" s="19">
        <f t="shared" si="15"/>
        <v>25</v>
      </c>
      <c r="B51" s="1">
        <f t="shared" si="16"/>
        <v>48075</v>
      </c>
      <c r="C51">
        <f t="shared" si="17"/>
        <v>115.63</v>
      </c>
      <c r="D51" s="16">
        <f t="shared" ca="1" si="18"/>
        <v>115.63</v>
      </c>
      <c r="E51" s="15">
        <f t="shared" ca="1" si="19"/>
        <v>0</v>
      </c>
      <c r="G51" s="19">
        <f t="shared" si="10"/>
        <v>25</v>
      </c>
      <c r="H51" s="1">
        <f t="shared" si="11"/>
        <v>47953</v>
      </c>
      <c r="I51">
        <f t="shared" si="12"/>
        <v>109.38</v>
      </c>
      <c r="J51" s="16">
        <f t="shared" ca="1" si="13"/>
        <v>109.38</v>
      </c>
      <c r="K51" s="15">
        <f t="shared" ca="1" si="14"/>
        <v>0</v>
      </c>
    </row>
    <row r="52" spans="1:11" x14ac:dyDescent="0.3">
      <c r="A52" s="19">
        <f t="shared" si="15"/>
        <v>26</v>
      </c>
      <c r="B52" s="1">
        <f t="shared" si="16"/>
        <v>48259</v>
      </c>
      <c r="C52">
        <f t="shared" si="17"/>
        <v>115.63</v>
      </c>
      <c r="D52" s="16">
        <f t="shared" ca="1" si="18"/>
        <v>115.63</v>
      </c>
      <c r="E52" s="15">
        <f t="shared" ca="1" si="19"/>
        <v>0</v>
      </c>
      <c r="G52" s="19">
        <f t="shared" si="10"/>
        <v>26</v>
      </c>
      <c r="H52" s="1">
        <f t="shared" si="11"/>
        <v>48136</v>
      </c>
      <c r="I52">
        <f t="shared" si="12"/>
        <v>109.38</v>
      </c>
      <c r="J52" s="16">
        <f t="shared" ca="1" si="13"/>
        <v>109.38</v>
      </c>
      <c r="K52" s="15">
        <f t="shared" ca="1" si="14"/>
        <v>0</v>
      </c>
    </row>
    <row r="53" spans="1:11" x14ac:dyDescent="0.3">
      <c r="A53" s="19">
        <f t="shared" si="15"/>
        <v>27</v>
      </c>
      <c r="B53" s="1">
        <f t="shared" si="16"/>
        <v>48441</v>
      </c>
      <c r="C53">
        <f t="shared" si="17"/>
        <v>115.63</v>
      </c>
      <c r="D53" s="16">
        <f t="shared" ca="1" si="18"/>
        <v>115.63</v>
      </c>
      <c r="E53" s="15">
        <f t="shared" ca="1" si="19"/>
        <v>0</v>
      </c>
      <c r="G53" s="19">
        <f t="shared" si="10"/>
        <v>27</v>
      </c>
      <c r="H53" s="1">
        <f t="shared" si="11"/>
        <v>48319</v>
      </c>
      <c r="I53">
        <f t="shared" si="12"/>
        <v>109.38</v>
      </c>
      <c r="J53" s="16">
        <f t="shared" ca="1" si="13"/>
        <v>109.38</v>
      </c>
      <c r="K53" s="15">
        <f t="shared" ca="1" si="14"/>
        <v>0</v>
      </c>
    </row>
    <row r="54" spans="1:11" x14ac:dyDescent="0.3">
      <c r="A54" s="19">
        <f t="shared" si="15"/>
        <v>28</v>
      </c>
      <c r="B54" s="1">
        <f t="shared" si="16"/>
        <v>48625</v>
      </c>
      <c r="C54">
        <f t="shared" si="17"/>
        <v>115.63</v>
      </c>
      <c r="D54" s="16">
        <f t="shared" ca="1" si="18"/>
        <v>115.63</v>
      </c>
      <c r="E54" s="15">
        <f t="shared" ca="1" si="19"/>
        <v>0</v>
      </c>
      <c r="G54" s="19">
        <f t="shared" si="10"/>
        <v>28</v>
      </c>
      <c r="H54" s="1">
        <f t="shared" si="11"/>
        <v>48502</v>
      </c>
      <c r="I54">
        <f t="shared" si="12"/>
        <v>109.38</v>
      </c>
      <c r="J54" s="16">
        <f t="shared" ca="1" si="13"/>
        <v>109.38</v>
      </c>
      <c r="K54" s="15">
        <f t="shared" ca="1" si="14"/>
        <v>0</v>
      </c>
    </row>
    <row r="55" spans="1:11" x14ac:dyDescent="0.3">
      <c r="A55" s="19">
        <f t="shared" si="15"/>
        <v>29</v>
      </c>
      <c r="B55" s="1">
        <f t="shared" si="16"/>
        <v>48806</v>
      </c>
      <c r="C55">
        <f t="shared" si="17"/>
        <v>115.63</v>
      </c>
      <c r="D55" s="16">
        <f t="shared" ca="1" si="18"/>
        <v>115.63</v>
      </c>
      <c r="E55" s="15">
        <f t="shared" ca="1" si="19"/>
        <v>0</v>
      </c>
      <c r="G55" s="19">
        <f t="shared" si="10"/>
        <v>29</v>
      </c>
      <c r="H55" s="1">
        <f t="shared" si="11"/>
        <v>48684</v>
      </c>
      <c r="I55">
        <f t="shared" si="12"/>
        <v>109.38</v>
      </c>
      <c r="J55" s="16">
        <f t="shared" ca="1" si="13"/>
        <v>109.38</v>
      </c>
      <c r="K55" s="15">
        <f t="shared" ca="1" si="14"/>
        <v>0</v>
      </c>
    </row>
    <row r="56" spans="1:11" x14ac:dyDescent="0.3">
      <c r="A56" s="19">
        <f t="shared" si="15"/>
        <v>30</v>
      </c>
      <c r="B56" s="1">
        <f t="shared" si="16"/>
        <v>48990</v>
      </c>
      <c r="C56">
        <f t="shared" si="17"/>
        <v>115.63</v>
      </c>
      <c r="D56" s="16">
        <f t="shared" ca="1" si="18"/>
        <v>115.63</v>
      </c>
      <c r="E56" s="15">
        <f t="shared" ca="1" si="19"/>
        <v>0</v>
      </c>
      <c r="G56" s="19">
        <f t="shared" si="10"/>
        <v>30</v>
      </c>
      <c r="H56" s="1">
        <f t="shared" si="11"/>
        <v>48867</v>
      </c>
      <c r="I56">
        <f t="shared" si="12"/>
        <v>109.38</v>
      </c>
      <c r="J56" s="16">
        <f t="shared" ca="1" si="13"/>
        <v>109.38</v>
      </c>
      <c r="K56" s="15">
        <f t="shared" ca="1" si="14"/>
        <v>0</v>
      </c>
    </row>
    <row r="57" spans="1:11" x14ac:dyDescent="0.3">
      <c r="A57" s="19">
        <f t="shared" si="15"/>
        <v>31</v>
      </c>
      <c r="B57" s="1">
        <f t="shared" si="16"/>
        <v>49171</v>
      </c>
      <c r="C57">
        <f t="shared" si="17"/>
        <v>115.63</v>
      </c>
      <c r="D57" s="16">
        <f t="shared" ca="1" si="18"/>
        <v>115.63</v>
      </c>
      <c r="E57" s="15">
        <f t="shared" ca="1" si="19"/>
        <v>0</v>
      </c>
      <c r="G57" s="19">
        <f t="shared" si="10"/>
        <v>31</v>
      </c>
      <c r="H57" s="1">
        <f t="shared" si="11"/>
        <v>49049</v>
      </c>
      <c r="I57">
        <f t="shared" si="12"/>
        <v>109.38</v>
      </c>
      <c r="J57" s="16">
        <f t="shared" ca="1" si="13"/>
        <v>109.38</v>
      </c>
      <c r="K57" s="15">
        <f t="shared" ca="1" si="14"/>
        <v>0</v>
      </c>
    </row>
    <row r="58" spans="1:11" x14ac:dyDescent="0.3">
      <c r="A58" s="19">
        <f t="shared" si="15"/>
        <v>32</v>
      </c>
      <c r="B58" s="1">
        <f t="shared" si="16"/>
        <v>49355</v>
      </c>
      <c r="C58">
        <f t="shared" si="17"/>
        <v>115.63</v>
      </c>
      <c r="D58" s="16">
        <f t="shared" ca="1" si="18"/>
        <v>115.63</v>
      </c>
      <c r="E58" s="15">
        <f t="shared" ca="1" si="19"/>
        <v>0</v>
      </c>
      <c r="G58" s="19">
        <f t="shared" si="10"/>
        <v>32</v>
      </c>
      <c r="H58" s="1">
        <f t="shared" si="11"/>
        <v>49232</v>
      </c>
      <c r="I58">
        <f t="shared" si="12"/>
        <v>109.38</v>
      </c>
      <c r="J58" s="16">
        <f t="shared" ca="1" si="13"/>
        <v>109.38</v>
      </c>
      <c r="K58" s="15">
        <f t="shared" ca="1" si="14"/>
        <v>0</v>
      </c>
    </row>
    <row r="59" spans="1:11" x14ac:dyDescent="0.3">
      <c r="A59" s="19">
        <f t="shared" si="15"/>
        <v>33</v>
      </c>
      <c r="B59" s="1">
        <f t="shared" si="16"/>
        <v>49536</v>
      </c>
      <c r="C59">
        <f t="shared" si="17"/>
        <v>115.63</v>
      </c>
      <c r="D59" s="16">
        <f t="shared" ca="1" si="18"/>
        <v>115.63</v>
      </c>
      <c r="E59" s="15">
        <f t="shared" ca="1" si="19"/>
        <v>0</v>
      </c>
      <c r="G59" s="19">
        <f t="shared" si="10"/>
        <v>33</v>
      </c>
      <c r="H59" s="1">
        <f t="shared" si="11"/>
        <v>49414</v>
      </c>
      <c r="I59">
        <f t="shared" si="12"/>
        <v>109.38</v>
      </c>
      <c r="J59" s="16">
        <f t="shared" ca="1" si="13"/>
        <v>109.38</v>
      </c>
      <c r="K59" s="15">
        <f t="shared" ca="1" si="14"/>
        <v>0</v>
      </c>
    </row>
    <row r="60" spans="1:11" x14ac:dyDescent="0.3">
      <c r="A60" s="19">
        <f t="shared" si="15"/>
        <v>34</v>
      </c>
      <c r="B60" s="1">
        <f t="shared" si="16"/>
        <v>49720</v>
      </c>
      <c r="C60">
        <f t="shared" si="17"/>
        <v>115.63</v>
      </c>
      <c r="D60" s="16">
        <f t="shared" ca="1" si="18"/>
        <v>115.63</v>
      </c>
      <c r="E60" s="15">
        <f t="shared" ca="1" si="19"/>
        <v>0</v>
      </c>
      <c r="G60" s="19">
        <f t="shared" si="10"/>
        <v>34</v>
      </c>
      <c r="H60" s="1">
        <f t="shared" si="11"/>
        <v>49597</v>
      </c>
      <c r="I60">
        <f t="shared" si="12"/>
        <v>109.38</v>
      </c>
      <c r="J60" s="16">
        <f t="shared" ca="1" si="13"/>
        <v>109.38</v>
      </c>
      <c r="K60" s="15">
        <f t="shared" ca="1" si="14"/>
        <v>0</v>
      </c>
    </row>
    <row r="61" spans="1:11" x14ac:dyDescent="0.3">
      <c r="A61" s="19">
        <f t="shared" si="15"/>
        <v>35</v>
      </c>
      <c r="B61" s="1">
        <f t="shared" si="16"/>
        <v>49902</v>
      </c>
      <c r="C61">
        <f t="shared" si="17"/>
        <v>115.63</v>
      </c>
      <c r="D61" s="16">
        <f t="shared" ca="1" si="18"/>
        <v>115.63</v>
      </c>
      <c r="E61" s="15">
        <f t="shared" ca="1" si="19"/>
        <v>0</v>
      </c>
      <c r="G61" s="19">
        <f t="shared" si="10"/>
        <v>35</v>
      </c>
      <c r="H61" s="1">
        <f t="shared" si="11"/>
        <v>49780</v>
      </c>
      <c r="I61">
        <f t="shared" si="12"/>
        <v>109.38</v>
      </c>
      <c r="J61" s="16">
        <f t="shared" ca="1" si="13"/>
        <v>109.38</v>
      </c>
      <c r="K61" s="15">
        <f t="shared" ca="1" si="14"/>
        <v>0</v>
      </c>
    </row>
    <row r="62" spans="1:11" x14ac:dyDescent="0.3">
      <c r="A62" s="19">
        <f t="shared" si="15"/>
        <v>36</v>
      </c>
      <c r="B62" s="1">
        <f t="shared" si="16"/>
        <v>50086</v>
      </c>
      <c r="C62">
        <f t="shared" si="17"/>
        <v>115.63</v>
      </c>
      <c r="D62" s="16">
        <f t="shared" ca="1" si="18"/>
        <v>115.63</v>
      </c>
      <c r="E62" s="15">
        <f t="shared" ca="1" si="19"/>
        <v>0</v>
      </c>
      <c r="G62" s="19">
        <f t="shared" si="10"/>
        <v>36</v>
      </c>
      <c r="H62" s="1">
        <f t="shared" si="11"/>
        <v>49963</v>
      </c>
      <c r="I62">
        <f t="shared" si="12"/>
        <v>109.38</v>
      </c>
      <c r="J62" s="16">
        <f t="shared" ca="1" si="13"/>
        <v>109.38</v>
      </c>
      <c r="K62" s="15">
        <f t="shared" ca="1" si="14"/>
        <v>0</v>
      </c>
    </row>
    <row r="63" spans="1:11" x14ac:dyDescent="0.3">
      <c r="A63" s="19">
        <f t="shared" si="15"/>
        <v>37</v>
      </c>
      <c r="B63" s="1">
        <f t="shared" si="16"/>
        <v>50267</v>
      </c>
      <c r="C63">
        <f t="shared" si="17"/>
        <v>115.63</v>
      </c>
      <c r="D63" s="16">
        <f t="shared" ca="1" si="18"/>
        <v>115.63</v>
      </c>
      <c r="E63" s="15">
        <f t="shared" ca="1" si="19"/>
        <v>0</v>
      </c>
      <c r="G63" s="19">
        <f t="shared" si="10"/>
        <v>37</v>
      </c>
      <c r="H63" s="1">
        <f t="shared" si="11"/>
        <v>50145</v>
      </c>
      <c r="I63">
        <f t="shared" si="12"/>
        <v>109.38</v>
      </c>
      <c r="J63" s="16">
        <f t="shared" ca="1" si="13"/>
        <v>109.38</v>
      </c>
      <c r="K63" s="15">
        <f t="shared" ca="1" si="14"/>
        <v>0</v>
      </c>
    </row>
    <row r="64" spans="1:11" x14ac:dyDescent="0.3">
      <c r="A64" s="19">
        <f t="shared" si="15"/>
        <v>38</v>
      </c>
      <c r="B64" s="1">
        <f t="shared" si="16"/>
        <v>50451</v>
      </c>
      <c r="C64">
        <f t="shared" si="17"/>
        <v>115.63</v>
      </c>
      <c r="D64" s="16">
        <f t="shared" ca="1" si="18"/>
        <v>115.63</v>
      </c>
      <c r="E64" s="15">
        <f t="shared" ca="1" si="19"/>
        <v>0</v>
      </c>
      <c r="G64" s="19">
        <f t="shared" si="10"/>
        <v>38</v>
      </c>
      <c r="H64" s="1">
        <f t="shared" si="11"/>
        <v>50328</v>
      </c>
      <c r="I64">
        <f t="shared" si="12"/>
        <v>109.38</v>
      </c>
      <c r="J64" s="16">
        <f t="shared" ca="1" si="13"/>
        <v>109.38</v>
      </c>
      <c r="K64" s="15">
        <f t="shared" ca="1" si="14"/>
        <v>0</v>
      </c>
    </row>
    <row r="65" spans="1:11" x14ac:dyDescent="0.3">
      <c r="A65" s="19">
        <f t="shared" si="15"/>
        <v>39</v>
      </c>
      <c r="B65" s="1">
        <f t="shared" si="16"/>
        <v>50632</v>
      </c>
      <c r="C65">
        <f t="shared" si="17"/>
        <v>115.63</v>
      </c>
      <c r="D65" s="16">
        <f t="shared" ca="1" si="18"/>
        <v>115.63</v>
      </c>
      <c r="E65" s="15">
        <f t="shared" ca="1" si="19"/>
        <v>0</v>
      </c>
      <c r="G65" s="19">
        <f t="shared" si="10"/>
        <v>39</v>
      </c>
      <c r="H65" s="1">
        <f t="shared" si="11"/>
        <v>50510</v>
      </c>
      <c r="I65">
        <f t="shared" si="12"/>
        <v>109.38</v>
      </c>
      <c r="J65" s="16">
        <f t="shared" ca="1" si="13"/>
        <v>109.38</v>
      </c>
      <c r="K65" s="15">
        <f t="shared" ca="1" si="14"/>
        <v>0</v>
      </c>
    </row>
    <row r="66" spans="1:11" x14ac:dyDescent="0.3">
      <c r="A66" s="19">
        <f t="shared" si="15"/>
        <v>40</v>
      </c>
      <c r="B66" s="1">
        <f t="shared" si="16"/>
        <v>50816</v>
      </c>
      <c r="C66">
        <f t="shared" si="17"/>
        <v>115.63</v>
      </c>
      <c r="D66" s="16">
        <f t="shared" ca="1" si="18"/>
        <v>115.63</v>
      </c>
      <c r="E66" s="15">
        <f t="shared" ca="1" si="19"/>
        <v>0</v>
      </c>
      <c r="G66" s="19">
        <f t="shared" si="10"/>
        <v>40</v>
      </c>
      <c r="H66" s="1">
        <f t="shared" si="11"/>
        <v>50693</v>
      </c>
      <c r="I66">
        <f t="shared" si="12"/>
        <v>109.38</v>
      </c>
      <c r="J66" s="16">
        <f t="shared" ca="1" si="13"/>
        <v>109.38</v>
      </c>
      <c r="K66" s="15">
        <f t="shared" ca="1" si="14"/>
        <v>0</v>
      </c>
    </row>
    <row r="67" spans="1:11" x14ac:dyDescent="0.3">
      <c r="A67" s="19">
        <f t="shared" si="15"/>
        <v>41</v>
      </c>
      <c r="B67" s="1">
        <f t="shared" si="16"/>
        <v>50997</v>
      </c>
      <c r="C67">
        <f t="shared" si="17"/>
        <v>115.63</v>
      </c>
      <c r="D67" s="16">
        <f t="shared" ca="1" si="18"/>
        <v>115.63</v>
      </c>
      <c r="E67" s="15">
        <f t="shared" ca="1" si="19"/>
        <v>0</v>
      </c>
      <c r="G67" s="19">
        <f t="shared" si="10"/>
        <v>41</v>
      </c>
      <c r="H67" s="1">
        <f t="shared" si="11"/>
        <v>50875</v>
      </c>
      <c r="I67">
        <f t="shared" si="12"/>
        <v>109.38</v>
      </c>
      <c r="J67" s="16">
        <f t="shared" ca="1" si="13"/>
        <v>109.38</v>
      </c>
      <c r="K67" s="15">
        <f t="shared" ca="1" si="14"/>
        <v>0</v>
      </c>
    </row>
    <row r="68" spans="1:11" x14ac:dyDescent="0.3">
      <c r="A68" s="19">
        <f t="shared" si="15"/>
        <v>42</v>
      </c>
      <c r="B68" s="1">
        <f t="shared" si="16"/>
        <v>51181</v>
      </c>
      <c r="C68">
        <f t="shared" si="17"/>
        <v>5115.63</v>
      </c>
      <c r="D68" s="16">
        <f t="shared" ca="1" si="18"/>
        <v>5115.63</v>
      </c>
      <c r="E68" s="15">
        <f t="shared" ca="1" si="19"/>
        <v>0</v>
      </c>
      <c r="G68" s="19">
        <f t="shared" si="10"/>
        <v>42</v>
      </c>
      <c r="H68" s="1">
        <f t="shared" si="11"/>
        <v>51058</v>
      </c>
      <c r="I68">
        <f t="shared" si="12"/>
        <v>109.38</v>
      </c>
      <c r="J68" s="16">
        <f t="shared" ca="1" si="13"/>
        <v>109.38</v>
      </c>
      <c r="K68" s="15">
        <f t="shared" ca="1" si="14"/>
        <v>0</v>
      </c>
    </row>
    <row r="69" spans="1:11" x14ac:dyDescent="0.3">
      <c r="A69" s="19" t="str">
        <f t="shared" si="15"/>
        <v/>
      </c>
      <c r="B69" s="1" t="str">
        <f t="shared" si="16"/>
        <v/>
      </c>
      <c r="C69" t="str">
        <f t="shared" si="17"/>
        <v/>
      </c>
      <c r="D69" s="16" t="str">
        <f t="shared" si="18"/>
        <v/>
      </c>
      <c r="E69" s="15" t="str">
        <f t="shared" si="19"/>
        <v/>
      </c>
      <c r="G69" s="19">
        <f t="shared" si="10"/>
        <v>43</v>
      </c>
      <c r="H69" s="1">
        <f t="shared" si="11"/>
        <v>51241</v>
      </c>
      <c r="I69">
        <f t="shared" si="12"/>
        <v>109.38</v>
      </c>
      <c r="J69" s="16">
        <f t="shared" ca="1" si="13"/>
        <v>109.38</v>
      </c>
      <c r="K69" s="15">
        <f t="shared" ca="1" si="14"/>
        <v>0</v>
      </c>
    </row>
    <row r="70" spans="1:11" x14ac:dyDescent="0.3">
      <c r="A70" s="19" t="str">
        <f t="shared" si="15"/>
        <v/>
      </c>
      <c r="B70" s="1" t="str">
        <f t="shared" si="16"/>
        <v/>
      </c>
      <c r="C70" t="str">
        <f t="shared" si="17"/>
        <v/>
      </c>
      <c r="D70" s="16" t="str">
        <f t="shared" si="18"/>
        <v/>
      </c>
      <c r="E70" s="15" t="str">
        <f t="shared" si="19"/>
        <v/>
      </c>
      <c r="G70" s="19">
        <f t="shared" si="10"/>
        <v>44</v>
      </c>
      <c r="H70" s="1">
        <f t="shared" si="11"/>
        <v>51424</v>
      </c>
      <c r="I70">
        <f t="shared" si="12"/>
        <v>109.38</v>
      </c>
      <c r="J70" s="16">
        <f t="shared" ca="1" si="13"/>
        <v>109.38</v>
      </c>
      <c r="K70" s="15">
        <f t="shared" ca="1" si="14"/>
        <v>0</v>
      </c>
    </row>
    <row r="71" spans="1:11" x14ac:dyDescent="0.3">
      <c r="A71" s="19" t="str">
        <f t="shared" si="15"/>
        <v/>
      </c>
      <c r="B71" s="1" t="str">
        <f t="shared" si="16"/>
        <v/>
      </c>
      <c r="C71" t="str">
        <f t="shared" si="17"/>
        <v/>
      </c>
      <c r="D71" s="16" t="str">
        <f t="shared" si="18"/>
        <v/>
      </c>
      <c r="E71" s="15" t="str">
        <f t="shared" si="19"/>
        <v/>
      </c>
      <c r="G71" s="19">
        <f t="shared" si="10"/>
        <v>45</v>
      </c>
      <c r="H71" s="1">
        <f t="shared" si="11"/>
        <v>51606</v>
      </c>
      <c r="I71">
        <f t="shared" si="12"/>
        <v>109.38</v>
      </c>
      <c r="J71" s="16">
        <f t="shared" ca="1" si="13"/>
        <v>109.38</v>
      </c>
      <c r="K71" s="15">
        <f t="shared" ca="1" si="14"/>
        <v>0</v>
      </c>
    </row>
    <row r="72" spans="1:11" x14ac:dyDescent="0.3">
      <c r="A72" s="19" t="str">
        <f t="shared" si="15"/>
        <v/>
      </c>
      <c r="B72" s="1" t="str">
        <f t="shared" si="16"/>
        <v/>
      </c>
      <c r="C72" t="str">
        <f t="shared" si="17"/>
        <v/>
      </c>
      <c r="D72" s="16" t="str">
        <f t="shared" si="18"/>
        <v/>
      </c>
      <c r="E72" s="15" t="str">
        <f t="shared" si="19"/>
        <v/>
      </c>
      <c r="G72" s="19">
        <f t="shared" si="10"/>
        <v>46</v>
      </c>
      <c r="H72" s="1">
        <f t="shared" si="11"/>
        <v>51789</v>
      </c>
      <c r="I72">
        <f t="shared" si="12"/>
        <v>5109.38</v>
      </c>
      <c r="J72" s="16">
        <f t="shared" ca="1" si="13"/>
        <v>5109.38</v>
      </c>
      <c r="K72" s="15">
        <f t="shared" ca="1" si="14"/>
        <v>0</v>
      </c>
    </row>
    <row r="73" spans="1:11" x14ac:dyDescent="0.3">
      <c r="A73" s="19" t="str">
        <f t="shared" si="15"/>
        <v/>
      </c>
      <c r="B73" s="1" t="str">
        <f t="shared" si="16"/>
        <v/>
      </c>
      <c r="C73" t="str">
        <f t="shared" si="17"/>
        <v/>
      </c>
      <c r="D73" s="16" t="str">
        <f t="shared" si="18"/>
        <v/>
      </c>
      <c r="E73" s="15" t="str">
        <f t="shared" si="19"/>
        <v/>
      </c>
      <c r="G73" s="19" t="str">
        <f t="shared" si="10"/>
        <v/>
      </c>
      <c r="H73" s="1" t="str">
        <f t="shared" si="11"/>
        <v/>
      </c>
      <c r="I73" t="str">
        <f t="shared" si="12"/>
        <v/>
      </c>
      <c r="J73" s="16" t="str">
        <f t="shared" si="13"/>
        <v/>
      </c>
      <c r="K73" s="15" t="str">
        <f t="shared" si="14"/>
        <v/>
      </c>
    </row>
    <row r="74" spans="1:11" x14ac:dyDescent="0.3">
      <c r="A74" s="19" t="str">
        <f t="shared" si="15"/>
        <v/>
      </c>
      <c r="B74" s="1" t="str">
        <f t="shared" si="16"/>
        <v/>
      </c>
      <c r="C74" t="str">
        <f t="shared" si="17"/>
        <v/>
      </c>
      <c r="D74" s="16" t="str">
        <f t="shared" si="18"/>
        <v/>
      </c>
      <c r="E74" s="15" t="str">
        <f t="shared" si="19"/>
        <v/>
      </c>
      <c r="G74" s="19" t="str">
        <f t="shared" si="10"/>
        <v/>
      </c>
      <c r="H74" s="1" t="str">
        <f t="shared" si="11"/>
        <v/>
      </c>
      <c r="I74" t="str">
        <f t="shared" si="12"/>
        <v/>
      </c>
      <c r="J74" s="16" t="str">
        <f t="shared" si="13"/>
        <v/>
      </c>
      <c r="K74" s="15" t="str">
        <f t="shared" si="14"/>
        <v/>
      </c>
    </row>
    <row r="75" spans="1:11" x14ac:dyDescent="0.3">
      <c r="A75" s="19" t="str">
        <f t="shared" si="15"/>
        <v/>
      </c>
      <c r="B75" s="1" t="str">
        <f t="shared" si="16"/>
        <v/>
      </c>
      <c r="C75" t="str">
        <f t="shared" si="17"/>
        <v/>
      </c>
      <c r="D75" s="16" t="str">
        <f t="shared" si="18"/>
        <v/>
      </c>
      <c r="E75" s="15" t="str">
        <f t="shared" si="19"/>
        <v/>
      </c>
      <c r="G75" s="19" t="str">
        <f t="shared" si="10"/>
        <v/>
      </c>
      <c r="H75" s="1" t="str">
        <f t="shared" si="11"/>
        <v/>
      </c>
      <c r="I75" t="str">
        <f t="shared" si="12"/>
        <v/>
      </c>
      <c r="J75" s="16" t="str">
        <f t="shared" si="13"/>
        <v/>
      </c>
      <c r="K75" s="15" t="str">
        <f t="shared" si="14"/>
        <v/>
      </c>
    </row>
    <row r="76" spans="1:11" x14ac:dyDescent="0.3">
      <c r="A76" s="19" t="str">
        <f t="shared" si="15"/>
        <v/>
      </c>
      <c r="B76" s="1" t="str">
        <f t="shared" si="16"/>
        <v/>
      </c>
      <c r="C76" t="str">
        <f t="shared" si="17"/>
        <v/>
      </c>
      <c r="D76" s="16" t="str">
        <f t="shared" si="18"/>
        <v/>
      </c>
      <c r="E76" s="15" t="str">
        <f t="shared" si="19"/>
        <v/>
      </c>
      <c r="G76" s="19" t="str">
        <f t="shared" si="10"/>
        <v/>
      </c>
      <c r="H76" s="1" t="str">
        <f t="shared" si="11"/>
        <v/>
      </c>
      <c r="I76" t="str">
        <f t="shared" si="12"/>
        <v/>
      </c>
      <c r="J76" s="16" t="str">
        <f t="shared" si="13"/>
        <v/>
      </c>
      <c r="K76" s="15" t="str">
        <f t="shared" si="14"/>
        <v/>
      </c>
    </row>
    <row r="77" spans="1:11" x14ac:dyDescent="0.3">
      <c r="A77" s="19" t="str">
        <f t="shared" si="15"/>
        <v/>
      </c>
      <c r="B77" s="1" t="str">
        <f t="shared" si="16"/>
        <v/>
      </c>
      <c r="C77" t="str">
        <f t="shared" si="17"/>
        <v/>
      </c>
      <c r="D77" s="16" t="str">
        <f t="shared" si="18"/>
        <v/>
      </c>
      <c r="E77" s="15" t="str">
        <f t="shared" si="19"/>
        <v/>
      </c>
      <c r="G77" s="19" t="str">
        <f t="shared" si="10"/>
        <v/>
      </c>
      <c r="H77" s="1" t="str">
        <f t="shared" si="11"/>
        <v/>
      </c>
      <c r="I77" t="str">
        <f t="shared" si="12"/>
        <v/>
      </c>
      <c r="J77" s="16" t="str">
        <f t="shared" si="13"/>
        <v/>
      </c>
      <c r="K77" s="15" t="str">
        <f t="shared" si="14"/>
        <v/>
      </c>
    </row>
    <row r="78" spans="1:11" x14ac:dyDescent="0.3">
      <c r="A78" s="19" t="str">
        <f t="shared" si="15"/>
        <v/>
      </c>
      <c r="B78" s="1" t="str">
        <f t="shared" si="16"/>
        <v/>
      </c>
      <c r="C78" t="str">
        <f t="shared" si="17"/>
        <v/>
      </c>
      <c r="D78" s="16" t="str">
        <f t="shared" si="18"/>
        <v/>
      </c>
      <c r="E78" s="15" t="str">
        <f t="shared" si="19"/>
        <v/>
      </c>
      <c r="G78" s="19" t="str">
        <f t="shared" si="10"/>
        <v/>
      </c>
      <c r="H78" s="1" t="str">
        <f t="shared" si="11"/>
        <v/>
      </c>
      <c r="I78" t="str">
        <f t="shared" si="12"/>
        <v/>
      </c>
      <c r="J78" s="16" t="str">
        <f t="shared" si="13"/>
        <v/>
      </c>
      <c r="K78" s="15" t="str">
        <f t="shared" si="14"/>
        <v/>
      </c>
    </row>
    <row r="79" spans="1:11" x14ac:dyDescent="0.3">
      <c r="A79" s="19" t="str">
        <f t="shared" si="15"/>
        <v/>
      </c>
      <c r="B79" s="1" t="str">
        <f t="shared" si="16"/>
        <v/>
      </c>
      <c r="C79" t="str">
        <f t="shared" si="17"/>
        <v/>
      </c>
      <c r="D79" s="16" t="str">
        <f t="shared" si="18"/>
        <v/>
      </c>
      <c r="E79" s="15" t="str">
        <f t="shared" si="19"/>
        <v/>
      </c>
      <c r="G79" s="19" t="str">
        <f t="shared" si="10"/>
        <v/>
      </c>
      <c r="H79" s="1" t="str">
        <f t="shared" si="11"/>
        <v/>
      </c>
      <c r="I79" t="str">
        <f t="shared" si="12"/>
        <v/>
      </c>
      <c r="J79" s="16" t="str">
        <f t="shared" si="13"/>
        <v/>
      </c>
      <c r="K79" s="15" t="str">
        <f t="shared" si="14"/>
        <v/>
      </c>
    </row>
    <row r="80" spans="1:11" x14ac:dyDescent="0.3">
      <c r="A80" s="19" t="str">
        <f t="shared" si="15"/>
        <v/>
      </c>
      <c r="B80" s="1" t="str">
        <f t="shared" si="16"/>
        <v/>
      </c>
      <c r="C80" t="str">
        <f t="shared" si="17"/>
        <v/>
      </c>
      <c r="D80" s="16" t="str">
        <f t="shared" si="18"/>
        <v/>
      </c>
      <c r="E80" s="15" t="str">
        <f t="shared" si="19"/>
        <v/>
      </c>
      <c r="G80" s="19" t="str">
        <f t="shared" si="10"/>
        <v/>
      </c>
      <c r="H80" s="1" t="str">
        <f t="shared" si="11"/>
        <v/>
      </c>
      <c r="I80" t="str">
        <f t="shared" si="12"/>
        <v/>
      </c>
      <c r="J80" s="16" t="str">
        <f t="shared" si="13"/>
        <v/>
      </c>
      <c r="K80" s="15" t="str">
        <f t="shared" si="14"/>
        <v/>
      </c>
    </row>
    <row r="81" spans="1:11" x14ac:dyDescent="0.3">
      <c r="A81" s="19" t="str">
        <f t="shared" si="15"/>
        <v/>
      </c>
      <c r="B81" s="1" t="str">
        <f t="shared" si="16"/>
        <v/>
      </c>
      <c r="C81" t="str">
        <f t="shared" si="17"/>
        <v/>
      </c>
      <c r="D81" s="16" t="str">
        <f t="shared" si="18"/>
        <v/>
      </c>
      <c r="E81" s="15" t="str">
        <f t="shared" si="19"/>
        <v/>
      </c>
      <c r="G81" s="19" t="str">
        <f t="shared" si="10"/>
        <v/>
      </c>
      <c r="H81" s="1" t="str">
        <f t="shared" si="11"/>
        <v/>
      </c>
      <c r="I81" t="str">
        <f t="shared" si="12"/>
        <v/>
      </c>
      <c r="J81" s="16" t="str">
        <f t="shared" si="13"/>
        <v/>
      </c>
      <c r="K81" s="15" t="str">
        <f t="shared" si="14"/>
        <v/>
      </c>
    </row>
    <row r="82" spans="1:11" x14ac:dyDescent="0.3">
      <c r="A82" s="19" t="str">
        <f t="shared" si="15"/>
        <v/>
      </c>
      <c r="B82" s="1" t="str">
        <f t="shared" si="16"/>
        <v/>
      </c>
      <c r="C82" t="str">
        <f t="shared" si="17"/>
        <v/>
      </c>
      <c r="D82" s="16" t="str">
        <f t="shared" si="18"/>
        <v/>
      </c>
      <c r="E82" s="15" t="str">
        <f t="shared" si="19"/>
        <v/>
      </c>
      <c r="G82" s="19" t="str">
        <f t="shared" si="10"/>
        <v/>
      </c>
      <c r="H82" s="1" t="str">
        <f t="shared" si="11"/>
        <v/>
      </c>
      <c r="I82" t="str">
        <f t="shared" si="12"/>
        <v/>
      </c>
      <c r="J82" s="16" t="str">
        <f t="shared" si="13"/>
        <v/>
      </c>
      <c r="K82" s="15" t="str">
        <f t="shared" si="14"/>
        <v/>
      </c>
    </row>
    <row r="83" spans="1:11" x14ac:dyDescent="0.3">
      <c r="A83" s="19" t="str">
        <f t="shared" si="15"/>
        <v/>
      </c>
      <c r="B83" s="1" t="str">
        <f t="shared" si="16"/>
        <v/>
      </c>
      <c r="C83" t="str">
        <f t="shared" si="17"/>
        <v/>
      </c>
      <c r="D83" s="16" t="str">
        <f t="shared" si="18"/>
        <v/>
      </c>
      <c r="E83" s="15" t="str">
        <f t="shared" si="19"/>
        <v/>
      </c>
      <c r="G83" s="19" t="str">
        <f t="shared" si="10"/>
        <v/>
      </c>
      <c r="H83" s="1" t="str">
        <f t="shared" si="11"/>
        <v/>
      </c>
      <c r="I83" t="str">
        <f t="shared" si="12"/>
        <v/>
      </c>
      <c r="J83" s="16" t="str">
        <f t="shared" si="13"/>
        <v/>
      </c>
      <c r="K83" s="15" t="str">
        <f t="shared" si="14"/>
        <v/>
      </c>
    </row>
    <row r="84" spans="1:11" x14ac:dyDescent="0.3">
      <c r="A84" s="19" t="str">
        <f t="shared" si="15"/>
        <v/>
      </c>
      <c r="B84" s="1" t="str">
        <f t="shared" si="16"/>
        <v/>
      </c>
      <c r="C84" t="str">
        <f t="shared" si="17"/>
        <v/>
      </c>
      <c r="D84" s="16" t="str">
        <f t="shared" si="18"/>
        <v/>
      </c>
      <c r="E84" s="15" t="str">
        <f t="shared" si="19"/>
        <v/>
      </c>
      <c r="G84" s="19" t="str">
        <f t="shared" si="10"/>
        <v/>
      </c>
      <c r="H84" s="1" t="str">
        <f t="shared" si="11"/>
        <v/>
      </c>
      <c r="I84" t="str">
        <f t="shared" si="12"/>
        <v/>
      </c>
      <c r="J84" s="16" t="str">
        <f t="shared" si="13"/>
        <v/>
      </c>
      <c r="K84" s="15" t="str">
        <f t="shared" si="14"/>
        <v/>
      </c>
    </row>
    <row r="85" spans="1:11" x14ac:dyDescent="0.3">
      <c r="A85" s="19" t="str">
        <f t="shared" si="15"/>
        <v/>
      </c>
      <c r="B85" s="1" t="str">
        <f t="shared" si="16"/>
        <v/>
      </c>
      <c r="C85" t="str">
        <f t="shared" si="17"/>
        <v/>
      </c>
      <c r="D85" s="16" t="str">
        <f t="shared" si="18"/>
        <v/>
      </c>
      <c r="E85" s="15" t="str">
        <f t="shared" si="19"/>
        <v/>
      </c>
      <c r="G85" s="19" t="str">
        <f t="shared" si="10"/>
        <v/>
      </c>
      <c r="H85" s="1" t="str">
        <f t="shared" si="11"/>
        <v/>
      </c>
      <c r="I85" t="str">
        <f t="shared" si="12"/>
        <v/>
      </c>
      <c r="J85" s="16" t="str">
        <f t="shared" si="13"/>
        <v/>
      </c>
      <c r="K85" s="15" t="str">
        <f t="shared" si="14"/>
        <v/>
      </c>
    </row>
    <row r="86" spans="1:11" x14ac:dyDescent="0.3">
      <c r="A86" s="19" t="str">
        <f t="shared" si="15"/>
        <v/>
      </c>
      <c r="B86" s="1" t="str">
        <f t="shared" si="16"/>
        <v/>
      </c>
      <c r="C86" t="str">
        <f t="shared" si="17"/>
        <v/>
      </c>
      <c r="D86" s="16" t="str">
        <f t="shared" si="18"/>
        <v/>
      </c>
      <c r="E86" s="15" t="str">
        <f t="shared" si="19"/>
        <v/>
      </c>
      <c r="G86" s="19" t="str">
        <f t="shared" si="10"/>
        <v/>
      </c>
      <c r="H86" s="1" t="str">
        <f t="shared" si="11"/>
        <v/>
      </c>
      <c r="I86" t="str">
        <f t="shared" si="12"/>
        <v/>
      </c>
      <c r="J86" s="16" t="str">
        <f t="shared" si="13"/>
        <v/>
      </c>
      <c r="K86" s="15" t="str">
        <f t="shared" si="14"/>
        <v/>
      </c>
    </row>
    <row r="87" spans="1:11" x14ac:dyDescent="0.3">
      <c r="A87" s="19" t="str">
        <f t="shared" si="15"/>
        <v/>
      </c>
      <c r="B87" s="1" t="str">
        <f t="shared" si="16"/>
        <v/>
      </c>
      <c r="C87" t="str">
        <f t="shared" si="17"/>
        <v/>
      </c>
      <c r="D87" s="16" t="str">
        <f t="shared" si="18"/>
        <v/>
      </c>
      <c r="E87" s="15" t="str">
        <f t="shared" si="19"/>
        <v/>
      </c>
      <c r="G87" s="19" t="str">
        <f t="shared" si="10"/>
        <v/>
      </c>
      <c r="H87" s="1" t="str">
        <f t="shared" si="11"/>
        <v/>
      </c>
      <c r="I87" t="str">
        <f t="shared" si="12"/>
        <v/>
      </c>
      <c r="J87" s="16" t="str">
        <f t="shared" si="13"/>
        <v/>
      </c>
      <c r="K87" s="15" t="str">
        <f t="shared" si="14"/>
        <v/>
      </c>
    </row>
    <row r="88" spans="1:11" x14ac:dyDescent="0.3">
      <c r="A88" s="19" t="str">
        <f t="shared" si="15"/>
        <v/>
      </c>
      <c r="B88" s="1" t="str">
        <f t="shared" si="16"/>
        <v/>
      </c>
      <c r="C88" t="str">
        <f t="shared" si="17"/>
        <v/>
      </c>
      <c r="D88" s="16" t="str">
        <f t="shared" si="18"/>
        <v/>
      </c>
      <c r="E88" s="15" t="str">
        <f t="shared" si="19"/>
        <v/>
      </c>
      <c r="G88" s="19" t="str">
        <f t="shared" si="10"/>
        <v/>
      </c>
      <c r="H88" s="1" t="str">
        <f t="shared" si="11"/>
        <v/>
      </c>
      <c r="I88" t="str">
        <f t="shared" si="12"/>
        <v/>
      </c>
      <c r="J88" s="16" t="str">
        <f t="shared" si="13"/>
        <v/>
      </c>
      <c r="K88" s="15" t="str">
        <f t="shared" si="14"/>
        <v/>
      </c>
    </row>
    <row r="89" spans="1:11" x14ac:dyDescent="0.3">
      <c r="A89" s="19" t="str">
        <f t="shared" si="15"/>
        <v/>
      </c>
      <c r="B89" s="1" t="str">
        <f t="shared" si="16"/>
        <v/>
      </c>
      <c r="C89" t="str">
        <f t="shared" si="17"/>
        <v/>
      </c>
      <c r="D89" s="16" t="str">
        <f t="shared" si="18"/>
        <v/>
      </c>
      <c r="E89" s="15" t="str">
        <f t="shared" si="19"/>
        <v/>
      </c>
      <c r="G89" s="19" t="str">
        <f t="shared" si="10"/>
        <v/>
      </c>
      <c r="H89" s="1" t="str">
        <f t="shared" si="11"/>
        <v/>
      </c>
      <c r="I89" t="str">
        <f t="shared" si="12"/>
        <v/>
      </c>
      <c r="J89" s="16" t="str">
        <f t="shared" si="13"/>
        <v/>
      </c>
      <c r="K89" s="15" t="str">
        <f t="shared" si="14"/>
        <v/>
      </c>
    </row>
    <row r="90" spans="1:11" x14ac:dyDescent="0.3">
      <c r="A90" s="19" t="str">
        <f t="shared" si="15"/>
        <v/>
      </c>
      <c r="B90" s="1" t="str">
        <f t="shared" si="16"/>
        <v/>
      </c>
      <c r="C90" t="str">
        <f t="shared" si="17"/>
        <v/>
      </c>
      <c r="D90" s="16" t="str">
        <f t="shared" si="18"/>
        <v/>
      </c>
      <c r="E90" s="15" t="str">
        <f t="shared" si="19"/>
        <v/>
      </c>
      <c r="G90" s="19" t="str">
        <f t="shared" si="10"/>
        <v/>
      </c>
      <c r="H90" s="1" t="str">
        <f t="shared" si="11"/>
        <v/>
      </c>
      <c r="I90" t="str">
        <f t="shared" si="12"/>
        <v/>
      </c>
      <c r="J90" s="16" t="str">
        <f t="shared" si="13"/>
        <v/>
      </c>
      <c r="K90" s="15" t="str">
        <f t="shared" si="14"/>
        <v/>
      </c>
    </row>
    <row r="91" spans="1:11" x14ac:dyDescent="0.3">
      <c r="A91" s="19" t="str">
        <f t="shared" si="15"/>
        <v/>
      </c>
      <c r="B91" s="1" t="str">
        <f t="shared" si="16"/>
        <v/>
      </c>
      <c r="C91" t="str">
        <f t="shared" si="17"/>
        <v/>
      </c>
      <c r="D91" s="16" t="str">
        <f t="shared" si="18"/>
        <v/>
      </c>
      <c r="E91" s="15" t="str">
        <f t="shared" si="19"/>
        <v/>
      </c>
      <c r="G91" s="19" t="str">
        <f t="shared" si="10"/>
        <v/>
      </c>
      <c r="H91" s="1" t="str">
        <f t="shared" si="11"/>
        <v/>
      </c>
      <c r="I91" t="str">
        <f t="shared" si="12"/>
        <v/>
      </c>
      <c r="J91" s="16" t="str">
        <f t="shared" si="13"/>
        <v/>
      </c>
      <c r="K91" s="15" t="str">
        <f t="shared" si="14"/>
        <v/>
      </c>
    </row>
    <row r="92" spans="1:11" x14ac:dyDescent="0.3">
      <c r="A92" s="19" t="str">
        <f t="shared" si="15"/>
        <v/>
      </c>
      <c r="B92" s="1" t="str">
        <f t="shared" si="16"/>
        <v/>
      </c>
      <c r="C92" t="str">
        <f t="shared" si="17"/>
        <v/>
      </c>
      <c r="D92" s="16" t="str">
        <f t="shared" si="18"/>
        <v/>
      </c>
      <c r="E92" s="15" t="str">
        <f t="shared" si="19"/>
        <v/>
      </c>
      <c r="G92" s="19" t="str">
        <f t="shared" si="10"/>
        <v/>
      </c>
      <c r="H92" s="1" t="str">
        <f t="shared" si="11"/>
        <v/>
      </c>
      <c r="I92" t="str">
        <f t="shared" si="12"/>
        <v/>
      </c>
      <c r="J92" s="16" t="str">
        <f t="shared" si="13"/>
        <v/>
      </c>
      <c r="K92" s="15" t="str">
        <f t="shared" si="14"/>
        <v/>
      </c>
    </row>
    <row r="93" spans="1:11" x14ac:dyDescent="0.3">
      <c r="A93" s="19" t="str">
        <f t="shared" si="15"/>
        <v/>
      </c>
      <c r="B93" s="1" t="str">
        <f t="shared" si="16"/>
        <v/>
      </c>
      <c r="C93" t="str">
        <f t="shared" si="17"/>
        <v/>
      </c>
      <c r="D93" s="16" t="str">
        <f t="shared" si="18"/>
        <v/>
      </c>
      <c r="E93" s="15" t="str">
        <f t="shared" si="19"/>
        <v/>
      </c>
      <c r="G93" s="19" t="str">
        <f t="shared" si="10"/>
        <v/>
      </c>
      <c r="H93" s="1" t="str">
        <f t="shared" si="11"/>
        <v/>
      </c>
      <c r="I93" t="str">
        <f t="shared" si="12"/>
        <v/>
      </c>
      <c r="J93" s="16" t="str">
        <f t="shared" si="13"/>
        <v/>
      </c>
      <c r="K93" s="15" t="str">
        <f t="shared" si="14"/>
        <v/>
      </c>
    </row>
    <row r="94" spans="1:11" x14ac:dyDescent="0.3">
      <c r="A94" s="19" t="str">
        <f t="shared" si="15"/>
        <v/>
      </c>
      <c r="B94" s="1" t="str">
        <f t="shared" si="16"/>
        <v/>
      </c>
      <c r="C94" t="str">
        <f t="shared" si="17"/>
        <v/>
      </c>
      <c r="D94" s="16" t="str">
        <f t="shared" si="18"/>
        <v/>
      </c>
      <c r="E94" s="15" t="str">
        <f t="shared" si="19"/>
        <v/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"/>
  <sheetViews>
    <sheetView zoomScale="70" zoomScaleNormal="70" workbookViewId="0">
      <selection activeCell="B2" sqref="B2"/>
    </sheetView>
  </sheetViews>
  <sheetFormatPr baseColWidth="10" defaultRowHeight="14.4" x14ac:dyDescent="0.3"/>
  <cols>
    <col min="1" max="1" width="11.5546875" style="19"/>
    <col min="3" max="3" width="13.6640625" customWidth="1"/>
    <col min="4" max="4" width="21.5546875" customWidth="1"/>
    <col min="5" max="5" width="14.44140625" customWidth="1"/>
    <col min="6" max="6" width="13.109375" bestFit="1" customWidth="1"/>
    <col min="7" max="7" width="11.6640625" style="19" customWidth="1"/>
    <col min="8" max="16" width="11.6640625" customWidth="1"/>
  </cols>
  <sheetData>
    <row r="2" spans="2:12" ht="17.399999999999999" x14ac:dyDescent="0.3">
      <c r="B2" s="14" t="s">
        <v>56</v>
      </c>
      <c r="C2" t="s">
        <v>10</v>
      </c>
      <c r="D2" s="5">
        <v>43398</v>
      </c>
      <c r="E2" s="5"/>
      <c r="I2" t="s">
        <v>10</v>
      </c>
      <c r="J2" s="5">
        <v>43763</v>
      </c>
      <c r="K2" s="5"/>
    </row>
    <row r="3" spans="2:12" x14ac:dyDescent="0.3">
      <c r="C3" t="s">
        <v>11</v>
      </c>
      <c r="D3" s="5">
        <v>46685</v>
      </c>
      <c r="I3" t="s">
        <v>11</v>
      </c>
      <c r="J3" s="5">
        <v>46685</v>
      </c>
    </row>
    <row r="4" spans="2:12" x14ac:dyDescent="0.3">
      <c r="C4" t="s">
        <v>12</v>
      </c>
      <c r="D4" s="6">
        <v>0.04</v>
      </c>
      <c r="I4" t="s">
        <v>12</v>
      </c>
      <c r="J4" s="6">
        <v>0.04</v>
      </c>
    </row>
    <row r="5" spans="2:12" x14ac:dyDescent="0.3">
      <c r="C5" t="s">
        <v>14</v>
      </c>
      <c r="D5">
        <v>1</v>
      </c>
      <c r="I5" t="s">
        <v>14</v>
      </c>
      <c r="J5">
        <v>1</v>
      </c>
    </row>
    <row r="7" spans="2:12" x14ac:dyDescent="0.3">
      <c r="B7" t="s">
        <v>18</v>
      </c>
      <c r="C7" s="7">
        <v>6000</v>
      </c>
      <c r="E7" s="7">
        <v>0</v>
      </c>
      <c r="F7">
        <f>SUM(C7:E7)</f>
        <v>6000</v>
      </c>
      <c r="H7" t="s">
        <v>18</v>
      </c>
      <c r="I7" s="7">
        <v>6000</v>
      </c>
      <c r="K7" s="7">
        <v>0</v>
      </c>
      <c r="L7">
        <f>SUM(I7:K7)</f>
        <v>6000</v>
      </c>
    </row>
    <row r="8" spans="2:12" x14ac:dyDescent="0.3">
      <c r="B8" t="s">
        <v>19</v>
      </c>
      <c r="C8" s="7">
        <v>1</v>
      </c>
      <c r="E8" s="7">
        <v>1</v>
      </c>
      <c r="F8" s="7">
        <v>1.1399999999999999</v>
      </c>
      <c r="H8" t="s">
        <v>19</v>
      </c>
      <c r="I8" s="7">
        <v>1</v>
      </c>
      <c r="K8" s="7">
        <v>1</v>
      </c>
      <c r="L8" s="7"/>
    </row>
    <row r="9" spans="2:12" x14ac:dyDescent="0.3">
      <c r="C9" s="1">
        <v>43041</v>
      </c>
      <c r="E9" s="2">
        <f ca="1">TODAY()</f>
        <v>43712</v>
      </c>
      <c r="I9" s="2">
        <f ca="1">TODAY()</f>
        <v>43712</v>
      </c>
      <c r="K9" s="2">
        <f ca="1">TODAY()</f>
        <v>43712</v>
      </c>
    </row>
    <row r="10" spans="2:12" ht="15.6" x14ac:dyDescent="0.3">
      <c r="C10" s="4">
        <v>1</v>
      </c>
      <c r="E10" s="24">
        <v>0.9</v>
      </c>
      <c r="I10" s="4">
        <v>1.0189999999999999</v>
      </c>
      <c r="K10" s="24">
        <v>0.9</v>
      </c>
    </row>
    <row r="12" spans="2:12" x14ac:dyDescent="0.3">
      <c r="C12" s="13">
        <f>ROUND(C7*C10/C8,2)</f>
        <v>6000</v>
      </c>
      <c r="E12" s="13">
        <f>ROUND(E7*E10/E8,2)</f>
        <v>0</v>
      </c>
      <c r="F12" s="13">
        <f>C12+IF(E$7&gt;0,E12,)</f>
        <v>6000</v>
      </c>
      <c r="I12" s="13">
        <f>ROUND(I7*I10/I8,2)</f>
        <v>6114</v>
      </c>
      <c r="K12" s="13">
        <f>ROUND(K7*K10/K8,2)</f>
        <v>0</v>
      </c>
      <c r="L12" s="13">
        <f>I12+IF(K$7&gt;0,K12,)</f>
        <v>6114</v>
      </c>
    </row>
    <row r="13" spans="2:12" x14ac:dyDescent="0.3">
      <c r="B13" s="13" t="s">
        <v>0</v>
      </c>
      <c r="C13" s="13">
        <f>IFERROR(ROUND(ACCRINT(D2-365/D5,D2,C9+3,D4,C7,1,1)/C8,2),0)</f>
        <v>7.23</v>
      </c>
      <c r="D13" s="15"/>
      <c r="E13" s="13">
        <f ca="1">IFERROR(ROUND(ACCRINT(E2-365/D5,E2,E9+2,D4,E7,1,1)/E8,2),0)</f>
        <v>0</v>
      </c>
      <c r="H13" s="13" t="s">
        <v>0</v>
      </c>
      <c r="I13" s="13">
        <f ca="1">IFERROR(ROUND(ACCRINT(J2-365/J5,J2,I9+2,J4,I7,1,1)/I8,2),0)</f>
        <v>207.78</v>
      </c>
      <c r="J13" s="15"/>
      <c r="K13" s="13">
        <f ca="1">IFERROR(ROUND(ACCRINT(K2-365/J5,K2,K9+2,J4,K7,1,1)/K8,2),0)</f>
        <v>0</v>
      </c>
    </row>
    <row r="14" spans="2:12" x14ac:dyDescent="0.3">
      <c r="B14" s="13" t="s">
        <v>1</v>
      </c>
      <c r="C14" s="13">
        <f>MAX(9.95,4.95+ROUND(C7*C10/C8*0.25%,2))</f>
        <v>19.95</v>
      </c>
      <c r="D14" s="3"/>
      <c r="E14" s="13">
        <f>MAX(9.95,4.95+ROUND(E7*E10*0.25%,2))</f>
        <v>9.9499999999999993</v>
      </c>
      <c r="F14" s="13">
        <f>C14+IF(E$7&gt;0,E14,)</f>
        <v>19.95</v>
      </c>
      <c r="H14" s="13" t="s">
        <v>1</v>
      </c>
      <c r="I14" s="13">
        <f>MAX(9.95,4.95+ROUND(I7*I10/I8*0.25%,2))</f>
        <v>20.239999999999998</v>
      </c>
      <c r="J14" s="3"/>
      <c r="K14" s="13"/>
      <c r="L14" s="13">
        <f>I14+IF(K$7&gt;0,K14,)</f>
        <v>20.239999999999998</v>
      </c>
    </row>
    <row r="15" spans="2:12" x14ac:dyDescent="0.3">
      <c r="B15" s="13" t="s">
        <v>2</v>
      </c>
      <c r="C15" s="13">
        <v>2.5</v>
      </c>
      <c r="E15" s="13"/>
      <c r="F15" s="13">
        <f>C15+IF(E$7&gt;0,E15,)</f>
        <v>2.5</v>
      </c>
      <c r="H15" s="13" t="s">
        <v>2</v>
      </c>
      <c r="I15" s="13"/>
      <c r="K15" s="13"/>
      <c r="L15" s="13">
        <f>I15+IF(K$7&gt;0,K15,)</f>
        <v>0</v>
      </c>
    </row>
    <row r="16" spans="2:12" x14ac:dyDescent="0.3">
      <c r="B16" s="13"/>
      <c r="C16" s="13"/>
      <c r="E16" s="13"/>
      <c r="H16" s="13"/>
      <c r="I16" s="13"/>
      <c r="K16" s="13"/>
    </row>
    <row r="17" spans="1:12" x14ac:dyDescent="0.3">
      <c r="B17" t="s">
        <v>3</v>
      </c>
      <c r="C17">
        <f>MAX(A:A)</f>
        <v>10</v>
      </c>
      <c r="E17">
        <f ca="1">COUNTIF(E25:E46,"&gt;0")</f>
        <v>0</v>
      </c>
      <c r="F17">
        <f>MAX(A:A)</f>
        <v>10</v>
      </c>
      <c r="H17" t="s">
        <v>3</v>
      </c>
      <c r="I17">
        <f>MAX(G:G)</f>
        <v>9</v>
      </c>
      <c r="K17">
        <f ca="1">COUNTIF(K25:K46,"&gt;0")</f>
        <v>0</v>
      </c>
      <c r="L17">
        <f>MAX(G:G)</f>
        <v>9</v>
      </c>
    </row>
    <row r="18" spans="1:12" x14ac:dyDescent="0.3">
      <c r="B18" t="s">
        <v>5</v>
      </c>
      <c r="C18">
        <f>ROUND(C17*D$4*C$7/D$5/C8,2)</f>
        <v>2400</v>
      </c>
      <c r="E18">
        <f ca="1">ROUND(E17*D$4*E$7/D$5/E8,2)</f>
        <v>0</v>
      </c>
      <c r="H18" t="s">
        <v>5</v>
      </c>
      <c r="I18">
        <f>ROUND(I17*J$4*I$7/J$5/I8,2)</f>
        <v>2160</v>
      </c>
      <c r="K18">
        <f ca="1">ROUND(K17*J$4*K$7/J$5/K8,2)</f>
        <v>0</v>
      </c>
    </row>
    <row r="19" spans="1:12" s="18" customFormat="1" ht="23.4" x14ac:dyDescent="0.45">
      <c r="A19" s="20"/>
      <c r="B19" s="18" t="s">
        <v>4</v>
      </c>
      <c r="C19" s="22">
        <f ca="1">IFERROR(
XIRR(
OFFSET(C25,,,C17+COUNT(C$7:E$7),),
OFFSET(B25,,,C17+COUNT(C$7:E$7),)),
0)</f>
        <v>3.9474061131477362E-2</v>
      </c>
      <c r="D19"/>
      <c r="E19" s="22">
        <f ca="1">IFERROR(
XIRR(
OFFSET(E26,,,C17+1,),
OFFSET(B26,,,C17+1,)),
0)</f>
        <v>0</v>
      </c>
      <c r="F19" s="17">
        <f ca="1">IFERROR(
XIRR(
OFFSET(D25,,,F17+COUNT(C7:E7),),
OFFSET(B25,,,F17+COUNT(C7:E7),)),
0)</f>
        <v>3.9474061131477362E-2</v>
      </c>
      <c r="G19" s="20"/>
      <c r="H19" s="18" t="s">
        <v>4</v>
      </c>
      <c r="I19" s="22">
        <f ca="1">IFERROR(
XIRR(
OFFSET(I25,,,I17+COUNT(I$7:K$7),),
OFFSET(H25,,,I17+COUNT(I$7:K$7),)),
0)</f>
        <v>3.6699512600898751E-2</v>
      </c>
      <c r="J19"/>
      <c r="K19" s="22">
        <f ca="1">IFERROR(
XIRR(
OFFSET(K26,,,I17+1,),
OFFSET(H26,,,I17+1,)),
0)</f>
        <v>0</v>
      </c>
      <c r="L19" s="17">
        <f ca="1">IFERROR(
XIRR(
OFFSET(J25,,,L17+COUNT(I7:K7),),
OFFSET(H25,,,L17+COUNT(I7:K7),)),
0)</f>
        <v>3.6699512600898751E-2</v>
      </c>
    </row>
    <row r="20" spans="1:12" x14ac:dyDescent="0.3">
      <c r="B20" t="s">
        <v>20</v>
      </c>
      <c r="C20" s="3">
        <f>(C12+C14+C15)*C8/C7</f>
        <v>1.0037416666666665</v>
      </c>
      <c r="E20" s="3">
        <f>IFERROR((E12+E14+E15)*E8/E7,0)</f>
        <v>0</v>
      </c>
      <c r="F20" s="3">
        <f>(C20*C7+E20*E7)/F7</f>
        <v>1.0037416666666665</v>
      </c>
      <c r="H20" t="s">
        <v>20</v>
      </c>
      <c r="I20" s="3">
        <f>(I12+I14+I15)*I8/I7</f>
        <v>1.0223733333333334</v>
      </c>
      <c r="K20" s="3">
        <f>IFERROR((K12+K14+K15)*K8/K7,0)</f>
        <v>0</v>
      </c>
      <c r="L20" s="3">
        <f>(I20*I7+K20*K7)/L7</f>
        <v>1.0223733333333334</v>
      </c>
    </row>
    <row r="21" spans="1:12" x14ac:dyDescent="0.3">
      <c r="B21" t="s">
        <v>6</v>
      </c>
      <c r="C21" s="8">
        <f>(D3-C9)/365</f>
        <v>9.9835616438356158</v>
      </c>
      <c r="D21" s="8"/>
      <c r="E21" s="8">
        <f ca="1">(D3-E9)/365</f>
        <v>8.1452054794520556</v>
      </c>
      <c r="F21" s="8">
        <f ca="1">(D3-TODAY())/365</f>
        <v>8.1452054794520556</v>
      </c>
      <c r="H21" t="s">
        <v>6</v>
      </c>
      <c r="I21" s="8">
        <f ca="1">(J3-I9)/365</f>
        <v>8.1452054794520556</v>
      </c>
      <c r="J21" s="8"/>
      <c r="K21" s="8">
        <f ca="1">(J3-K9)/365</f>
        <v>8.1452054794520556</v>
      </c>
      <c r="L21" s="8">
        <f ca="1">(J3-TODAY())/365</f>
        <v>8.1452054794520556</v>
      </c>
    </row>
    <row r="22" spans="1:12" x14ac:dyDescent="0.3">
      <c r="B22" t="s">
        <v>13</v>
      </c>
      <c r="C22" s="15">
        <f>SUM(C25:C42)</f>
        <v>2370.3200000000006</v>
      </c>
      <c r="E22" s="15">
        <f ca="1">SUM(E25:E42)</f>
        <v>0</v>
      </c>
      <c r="H22" t="s">
        <v>13</v>
      </c>
      <c r="I22" s="15">
        <f ca="1">SUM(I25:I42)</f>
        <v>1817.9800000000005</v>
      </c>
      <c r="K22" s="15">
        <f ca="1">SUM(K25:K42)</f>
        <v>0</v>
      </c>
    </row>
    <row r="23" spans="1:12" x14ac:dyDescent="0.3">
      <c r="B23" s="13"/>
      <c r="C23" s="13"/>
      <c r="E23" s="13"/>
      <c r="H23" s="13"/>
      <c r="I23" s="13"/>
      <c r="K23" s="13"/>
    </row>
    <row r="25" spans="1:12" x14ac:dyDescent="0.3">
      <c r="B25" s="1">
        <f>C9</f>
        <v>43041</v>
      </c>
      <c r="C25" s="15">
        <f>-SUM(C12:C15)</f>
        <v>-6029.6799999999994</v>
      </c>
      <c r="D25" s="13">
        <f>IF(C7&gt;0,-SUM(C12:C15),0)</f>
        <v>-6029.6799999999994</v>
      </c>
      <c r="E25" s="15">
        <f t="shared" ref="E25:E46" si="0">IFERROR(D25-C25,"")</f>
        <v>0</v>
      </c>
      <c r="H25" s="1">
        <f ca="1">I9</f>
        <v>43712</v>
      </c>
      <c r="I25" s="15">
        <f ca="1">-SUM(I12:I15)</f>
        <v>-6342.0199999999995</v>
      </c>
      <c r="J25" s="13">
        <f ca="1">IF(I7&gt;0,-SUM(I12:I15),0)</f>
        <v>-6342.0199999999995</v>
      </c>
      <c r="K25" s="15">
        <f t="shared" ref="K25:K46" ca="1" si="1">IFERROR(J25-I25,"")</f>
        <v>0</v>
      </c>
    </row>
    <row r="26" spans="1:12" x14ac:dyDescent="0.3">
      <c r="B26" s="1">
        <f ca="1">E9</f>
        <v>43712</v>
      </c>
      <c r="D26" s="13">
        <f>IF(E7&gt;0,-SUM(E12:E15),0)</f>
        <v>0</v>
      </c>
      <c r="E26" s="15">
        <f t="shared" si="0"/>
        <v>0</v>
      </c>
      <c r="H26" s="1">
        <f ca="1">K9</f>
        <v>43712</v>
      </c>
      <c r="J26" s="13">
        <f>IF(K7&gt;0,-SUM(K12:K15),0)</f>
        <v>0</v>
      </c>
      <c r="K26" s="15">
        <f t="shared" si="1"/>
        <v>0</v>
      </c>
    </row>
    <row r="27" spans="1:12" x14ac:dyDescent="0.3">
      <c r="A27" s="19">
        <v>1</v>
      </c>
      <c r="B27" s="1">
        <f>D2</f>
        <v>43398</v>
      </c>
      <c r="C27">
        <f>IF(ISNUMBER(B27),ROUND(IF(B28="",(D$4*C$7/D$5+C$7)/C$8,D$4*C$7/D$5/C$8),2),"")</f>
        <v>240</v>
      </c>
      <c r="D27" s="16">
        <f ca="1">IF(ISNUMBER(B27),ROUND(IF(B28="",D$4/D$5*SUMIF(C$9:E$9,"&lt;"&amp;B27,C$7:E$7)/C$8+SUMIF(C$9:E$9,"&lt;"&amp;B27,C$7:E$7)/C$8,D$4/D$5*SUMIF(C$9:E$9,"&lt;"&amp;B27,C$7:E$7)/C$8),2),"")</f>
        <v>240</v>
      </c>
      <c r="E27" s="15">
        <f t="shared" ca="1" si="0"/>
        <v>0</v>
      </c>
      <c r="G27" s="19">
        <v>1</v>
      </c>
      <c r="H27" s="1">
        <f>J2</f>
        <v>43763</v>
      </c>
      <c r="I27">
        <f>IF(ISNUMBER(H27),ROUND(IF(H28="",(J$4*I$7/J$5+I$7)/I$8,J$4*I$7/J$5/I$8),2),"")</f>
        <v>240</v>
      </c>
      <c r="J27" s="16">
        <f t="shared" ref="J27:J46" ca="1" si="2">IF(ISNUMBER(H27),ROUND(IF(H28="",J$4/J$5*SUMIF(I$9:K$9,"&lt;"&amp;H27,I$7:K$7)/I$8+SUMIF(I$9:K$9,"&lt;"&amp;H27,I$7:K$7)/I$8,J$4/J$5*SUMIF(I$9:K$9,"&lt;"&amp;H27,I$7:K$7)/I$8),2),"")</f>
        <v>240</v>
      </c>
      <c r="K27" s="15">
        <f t="shared" ca="1" si="1"/>
        <v>0</v>
      </c>
    </row>
    <row r="28" spans="1:12" x14ac:dyDescent="0.3">
      <c r="A28" s="19">
        <f>IF(AND(B27&lt;D$3,B27&lt;&gt;0),A27+1,"")</f>
        <v>2</v>
      </c>
      <c r="B28" s="1">
        <f>IF(AND(B27&lt;D$3,B27&lt;&gt;0),DATE(IF(MONTH(B27)&gt;(12-12/D$5),YEAR(B27)+1,YEAR(B27)),IF(MONTH(B27)&gt;(12-12/D$5),MONTH(B27)-(12-12/D$5),MONTH(B27)+12/D$5),DAY(B27)),"")</f>
        <v>43763</v>
      </c>
      <c r="C28">
        <f t="shared" ref="C28:C46" si="3">IF(ISNUMBER(B28),ROUND(IF(B29="",(D$4*C$7/D$5+C$7)/C$8,D$4*C$7/D$5/C$8),2),"")</f>
        <v>240</v>
      </c>
      <c r="D28" s="16">
        <f t="shared" ref="D28:D46" ca="1" si="4">IF(ISNUMBER(B28),ROUND(IF(B29="",D$4/D$5*SUMIF(C$9:E$9,"&lt;"&amp;B28,C$7:E$7)/C$8+SUMIF(C$9:E$9,"&lt;"&amp;B28,C$7:E$7)/C$8,D$4/D$5*SUMIF(C$9:E$9,"&lt;"&amp;B28,C$7:E$7)/C$8),2),"")</f>
        <v>240</v>
      </c>
      <c r="E28" s="15">
        <f ca="1">IFERROR(D28-C28,"")</f>
        <v>0</v>
      </c>
      <c r="G28" s="19">
        <f>IF(AND(H27&lt;J$3,H27&lt;&gt;0),G27+1,"")</f>
        <v>2</v>
      </c>
      <c r="H28" s="1">
        <f>IF(AND(H27&lt;J$3,H27&lt;&gt;0),DATE(IF(MONTH(H27)&gt;(12-12/J$5),YEAR(H27)+1,YEAR(H27)),IF(MONTH(H27)&gt;(12-12/J$5),MONTH(H27)-(12-12/J$5),MONTH(H27)+12/J$5),DAY(H27)),"")</f>
        <v>44129</v>
      </c>
      <c r="I28">
        <f t="shared" ref="I28:I46" si="5">IF(ISNUMBER(H28),ROUND(IF(H29="",(J$4*I$7/J$5+I$7)/I$8,J$4*I$7/J$5/I$8),2),"")</f>
        <v>240</v>
      </c>
      <c r="J28" s="16">
        <f t="shared" ca="1" si="2"/>
        <v>240</v>
      </c>
      <c r="K28" s="15">
        <f ca="1">IFERROR(J28-I28,"")</f>
        <v>0</v>
      </c>
    </row>
    <row r="29" spans="1:12" x14ac:dyDescent="0.3">
      <c r="A29" s="19">
        <f t="shared" ref="A29:A46" si="6">IF(AND(B28&lt;D$3,B28&lt;&gt;0),A28+1,"")</f>
        <v>3</v>
      </c>
      <c r="B29" s="1">
        <f t="shared" ref="B29:B46" si="7">IF(AND(B28&lt;D$3,B28&lt;&gt;0),DATE(IF(MONTH(B28)&gt;(12-12/D$5),YEAR(B28)+1,YEAR(B28)),IF(MONTH(B28)&gt;(12-12/D$5),MONTH(B28)-(12-12/D$5),MONTH(B28)+12/D$5),DAY(B28)),"")</f>
        <v>44129</v>
      </c>
      <c r="C29">
        <f t="shared" si="3"/>
        <v>240</v>
      </c>
      <c r="D29" s="16">
        <f t="shared" ca="1" si="4"/>
        <v>240</v>
      </c>
      <c r="E29" s="15">
        <f t="shared" ca="1" si="0"/>
        <v>0</v>
      </c>
      <c r="G29" s="19">
        <f t="shared" ref="G29:G46" si="8">IF(AND(H28&lt;J$3,H28&lt;&gt;0),G28+1,"")</f>
        <v>3</v>
      </c>
      <c r="H29" s="1">
        <f t="shared" ref="H29:H46" si="9">IF(AND(H28&lt;J$3,H28&lt;&gt;0),DATE(IF(MONTH(H28)&gt;(12-12/J$5),YEAR(H28)+1,YEAR(H28)),IF(MONTH(H28)&gt;(12-12/J$5),MONTH(H28)-(12-12/J$5),MONTH(H28)+12/J$5),DAY(H28)),"")</f>
        <v>44494</v>
      </c>
      <c r="I29">
        <f t="shared" si="5"/>
        <v>240</v>
      </c>
      <c r="J29" s="16">
        <f t="shared" ca="1" si="2"/>
        <v>240</v>
      </c>
      <c r="K29" s="15">
        <f t="shared" ca="1" si="1"/>
        <v>0</v>
      </c>
    </row>
    <row r="30" spans="1:12" x14ac:dyDescent="0.3">
      <c r="A30" s="19">
        <f t="shared" si="6"/>
        <v>4</v>
      </c>
      <c r="B30" s="1">
        <f t="shared" si="7"/>
        <v>44494</v>
      </c>
      <c r="C30">
        <f t="shared" si="3"/>
        <v>240</v>
      </c>
      <c r="D30" s="16">
        <f t="shared" ca="1" si="4"/>
        <v>240</v>
      </c>
      <c r="E30" s="15">
        <f t="shared" ca="1" si="0"/>
        <v>0</v>
      </c>
      <c r="G30" s="19">
        <f t="shared" si="8"/>
        <v>4</v>
      </c>
      <c r="H30" s="1">
        <f t="shared" si="9"/>
        <v>44859</v>
      </c>
      <c r="I30">
        <f t="shared" si="5"/>
        <v>240</v>
      </c>
      <c r="J30" s="16">
        <f t="shared" ca="1" si="2"/>
        <v>240</v>
      </c>
      <c r="K30" s="15">
        <f t="shared" ca="1" si="1"/>
        <v>0</v>
      </c>
    </row>
    <row r="31" spans="1:12" x14ac:dyDescent="0.3">
      <c r="A31" s="19">
        <f t="shared" si="6"/>
        <v>5</v>
      </c>
      <c r="B31" s="1">
        <f t="shared" si="7"/>
        <v>44859</v>
      </c>
      <c r="C31">
        <f t="shared" si="3"/>
        <v>240</v>
      </c>
      <c r="D31" s="16">
        <f t="shared" ca="1" si="4"/>
        <v>240</v>
      </c>
      <c r="E31" s="15">
        <f t="shared" ca="1" si="0"/>
        <v>0</v>
      </c>
      <c r="G31" s="19">
        <f t="shared" si="8"/>
        <v>5</v>
      </c>
      <c r="H31" s="1">
        <f t="shared" si="9"/>
        <v>45224</v>
      </c>
      <c r="I31">
        <f t="shared" si="5"/>
        <v>240</v>
      </c>
      <c r="J31" s="16">
        <f t="shared" ca="1" si="2"/>
        <v>240</v>
      </c>
      <c r="K31" s="15">
        <f t="shared" ca="1" si="1"/>
        <v>0</v>
      </c>
    </row>
    <row r="32" spans="1:12" x14ac:dyDescent="0.3">
      <c r="A32" s="19">
        <f t="shared" si="6"/>
        <v>6</v>
      </c>
      <c r="B32" s="1">
        <f t="shared" si="7"/>
        <v>45224</v>
      </c>
      <c r="C32">
        <f t="shared" si="3"/>
        <v>240</v>
      </c>
      <c r="D32" s="16">
        <f t="shared" ca="1" si="4"/>
        <v>240</v>
      </c>
      <c r="E32" s="15">
        <f t="shared" ca="1" si="0"/>
        <v>0</v>
      </c>
      <c r="G32" s="19">
        <f t="shared" si="8"/>
        <v>6</v>
      </c>
      <c r="H32" s="1">
        <f t="shared" si="9"/>
        <v>45590</v>
      </c>
      <c r="I32">
        <f t="shared" si="5"/>
        <v>240</v>
      </c>
      <c r="J32" s="16">
        <f t="shared" ca="1" si="2"/>
        <v>240</v>
      </c>
      <c r="K32" s="15">
        <f t="shared" ca="1" si="1"/>
        <v>0</v>
      </c>
    </row>
    <row r="33" spans="1:11" x14ac:dyDescent="0.3">
      <c r="A33" s="19">
        <f t="shared" si="6"/>
        <v>7</v>
      </c>
      <c r="B33" s="1">
        <f t="shared" si="7"/>
        <v>45590</v>
      </c>
      <c r="C33">
        <f t="shared" si="3"/>
        <v>240</v>
      </c>
      <c r="D33" s="16">
        <f t="shared" ca="1" si="4"/>
        <v>240</v>
      </c>
      <c r="E33" s="15">
        <f t="shared" ca="1" si="0"/>
        <v>0</v>
      </c>
      <c r="G33" s="19">
        <f t="shared" si="8"/>
        <v>7</v>
      </c>
      <c r="H33" s="1">
        <f t="shared" si="9"/>
        <v>45955</v>
      </c>
      <c r="I33">
        <f t="shared" si="5"/>
        <v>240</v>
      </c>
      <c r="J33" s="16">
        <f t="shared" ca="1" si="2"/>
        <v>240</v>
      </c>
      <c r="K33" s="15">
        <f t="shared" ca="1" si="1"/>
        <v>0</v>
      </c>
    </row>
    <row r="34" spans="1:11" x14ac:dyDescent="0.3">
      <c r="A34" s="19">
        <f t="shared" si="6"/>
        <v>8</v>
      </c>
      <c r="B34" s="1">
        <f t="shared" si="7"/>
        <v>45955</v>
      </c>
      <c r="C34">
        <f t="shared" si="3"/>
        <v>240</v>
      </c>
      <c r="D34" s="16">
        <f t="shared" ca="1" si="4"/>
        <v>240</v>
      </c>
      <c r="E34" s="15">
        <f t="shared" ca="1" si="0"/>
        <v>0</v>
      </c>
      <c r="G34" s="19">
        <f t="shared" si="8"/>
        <v>8</v>
      </c>
      <c r="H34" s="1">
        <f t="shared" si="9"/>
        <v>46320</v>
      </c>
      <c r="I34">
        <f t="shared" si="5"/>
        <v>240</v>
      </c>
      <c r="J34" s="16">
        <f t="shared" ca="1" si="2"/>
        <v>240</v>
      </c>
      <c r="K34" s="15">
        <f t="shared" ca="1" si="1"/>
        <v>0</v>
      </c>
    </row>
    <row r="35" spans="1:11" x14ac:dyDescent="0.3">
      <c r="A35" s="19">
        <f t="shared" si="6"/>
        <v>9</v>
      </c>
      <c r="B35" s="1">
        <f t="shared" si="7"/>
        <v>46320</v>
      </c>
      <c r="C35">
        <f t="shared" si="3"/>
        <v>240</v>
      </c>
      <c r="D35" s="16">
        <f t="shared" ca="1" si="4"/>
        <v>240</v>
      </c>
      <c r="E35" s="15">
        <f t="shared" ca="1" si="0"/>
        <v>0</v>
      </c>
      <c r="G35" s="19">
        <f t="shared" si="8"/>
        <v>9</v>
      </c>
      <c r="H35" s="1">
        <f t="shared" si="9"/>
        <v>46685</v>
      </c>
      <c r="I35">
        <f t="shared" si="5"/>
        <v>6240</v>
      </c>
      <c r="J35" s="16">
        <f t="shared" ca="1" si="2"/>
        <v>6240</v>
      </c>
      <c r="K35" s="15">
        <f t="shared" ca="1" si="1"/>
        <v>0</v>
      </c>
    </row>
    <row r="36" spans="1:11" x14ac:dyDescent="0.3">
      <c r="A36" s="19">
        <f t="shared" si="6"/>
        <v>10</v>
      </c>
      <c r="B36" s="1">
        <f t="shared" si="7"/>
        <v>46685</v>
      </c>
      <c r="C36">
        <f t="shared" si="3"/>
        <v>6240</v>
      </c>
      <c r="D36" s="16">
        <f t="shared" ca="1" si="4"/>
        <v>6240</v>
      </c>
      <c r="E36" s="15">
        <f t="shared" ca="1" si="0"/>
        <v>0</v>
      </c>
      <c r="G36" s="19" t="str">
        <f t="shared" si="8"/>
        <v/>
      </c>
      <c r="H36" s="1" t="str">
        <f t="shared" si="9"/>
        <v/>
      </c>
      <c r="I36" t="str">
        <f t="shared" si="5"/>
        <v/>
      </c>
      <c r="J36" s="16" t="str">
        <f t="shared" si="2"/>
        <v/>
      </c>
      <c r="K36" s="15" t="str">
        <f t="shared" si="1"/>
        <v/>
      </c>
    </row>
    <row r="37" spans="1:11" x14ac:dyDescent="0.3">
      <c r="A37" s="19" t="str">
        <f t="shared" si="6"/>
        <v/>
      </c>
      <c r="B37" s="1" t="str">
        <f t="shared" si="7"/>
        <v/>
      </c>
      <c r="C37" t="str">
        <f t="shared" si="3"/>
        <v/>
      </c>
      <c r="D37" s="16" t="str">
        <f t="shared" si="4"/>
        <v/>
      </c>
      <c r="E37" s="15" t="str">
        <f t="shared" si="0"/>
        <v/>
      </c>
      <c r="G37" s="19" t="str">
        <f t="shared" si="8"/>
        <v/>
      </c>
      <c r="H37" s="1" t="str">
        <f t="shared" si="9"/>
        <v/>
      </c>
      <c r="I37" t="str">
        <f t="shared" si="5"/>
        <v/>
      </c>
      <c r="J37" s="16" t="str">
        <f t="shared" si="2"/>
        <v/>
      </c>
      <c r="K37" s="15" t="str">
        <f t="shared" si="1"/>
        <v/>
      </c>
    </row>
    <row r="38" spans="1:11" x14ac:dyDescent="0.3">
      <c r="A38" s="19" t="str">
        <f t="shared" si="6"/>
        <v/>
      </c>
      <c r="B38" s="1" t="str">
        <f t="shared" si="7"/>
        <v/>
      </c>
      <c r="C38" t="str">
        <f t="shared" si="3"/>
        <v/>
      </c>
      <c r="D38" s="16" t="str">
        <f t="shared" si="4"/>
        <v/>
      </c>
      <c r="E38" s="15" t="str">
        <f t="shared" si="0"/>
        <v/>
      </c>
      <c r="G38" s="19" t="str">
        <f t="shared" si="8"/>
        <v/>
      </c>
      <c r="H38" s="1" t="str">
        <f t="shared" si="9"/>
        <v/>
      </c>
      <c r="I38" t="str">
        <f t="shared" si="5"/>
        <v/>
      </c>
      <c r="J38" s="16" t="str">
        <f t="shared" si="2"/>
        <v/>
      </c>
      <c r="K38" s="15" t="str">
        <f t="shared" si="1"/>
        <v/>
      </c>
    </row>
    <row r="39" spans="1:11" x14ac:dyDescent="0.3">
      <c r="A39" s="19" t="str">
        <f t="shared" si="6"/>
        <v/>
      </c>
      <c r="B39" s="1" t="str">
        <f t="shared" si="7"/>
        <v/>
      </c>
      <c r="C39" t="str">
        <f t="shared" si="3"/>
        <v/>
      </c>
      <c r="D39" s="16" t="str">
        <f t="shared" si="4"/>
        <v/>
      </c>
      <c r="E39" s="15" t="str">
        <f t="shared" si="0"/>
        <v/>
      </c>
      <c r="G39" s="19" t="str">
        <f t="shared" si="8"/>
        <v/>
      </c>
      <c r="H39" s="1" t="str">
        <f t="shared" si="9"/>
        <v/>
      </c>
      <c r="I39" t="str">
        <f t="shared" si="5"/>
        <v/>
      </c>
      <c r="J39" s="16" t="str">
        <f t="shared" si="2"/>
        <v/>
      </c>
      <c r="K39" s="15" t="str">
        <f t="shared" si="1"/>
        <v/>
      </c>
    </row>
    <row r="40" spans="1:11" x14ac:dyDescent="0.3">
      <c r="A40" s="19" t="str">
        <f t="shared" si="6"/>
        <v/>
      </c>
      <c r="B40" s="1" t="str">
        <f t="shared" si="7"/>
        <v/>
      </c>
      <c r="C40" t="str">
        <f t="shared" si="3"/>
        <v/>
      </c>
      <c r="D40" s="16" t="str">
        <f t="shared" si="4"/>
        <v/>
      </c>
      <c r="E40" s="15" t="str">
        <f t="shared" si="0"/>
        <v/>
      </c>
      <c r="G40" s="19" t="str">
        <f t="shared" si="8"/>
        <v/>
      </c>
      <c r="H40" s="1" t="str">
        <f t="shared" si="9"/>
        <v/>
      </c>
      <c r="I40" t="str">
        <f t="shared" si="5"/>
        <v/>
      </c>
      <c r="J40" s="16" t="str">
        <f t="shared" si="2"/>
        <v/>
      </c>
      <c r="K40" s="15" t="str">
        <f t="shared" si="1"/>
        <v/>
      </c>
    </row>
    <row r="41" spans="1:11" x14ac:dyDescent="0.3">
      <c r="A41" s="19" t="str">
        <f t="shared" si="6"/>
        <v/>
      </c>
      <c r="B41" s="1" t="str">
        <f t="shared" si="7"/>
        <v/>
      </c>
      <c r="C41" t="str">
        <f t="shared" si="3"/>
        <v/>
      </c>
      <c r="D41" s="16" t="str">
        <f t="shared" si="4"/>
        <v/>
      </c>
      <c r="E41" s="15" t="str">
        <f t="shared" si="0"/>
        <v/>
      </c>
      <c r="G41" s="19" t="str">
        <f t="shared" si="8"/>
        <v/>
      </c>
      <c r="H41" s="1" t="str">
        <f t="shared" si="9"/>
        <v/>
      </c>
      <c r="I41" t="str">
        <f t="shared" si="5"/>
        <v/>
      </c>
      <c r="J41" s="16" t="str">
        <f t="shared" si="2"/>
        <v/>
      </c>
      <c r="K41" s="15" t="str">
        <f t="shared" si="1"/>
        <v/>
      </c>
    </row>
    <row r="42" spans="1:11" x14ac:dyDescent="0.3">
      <c r="A42" s="19" t="str">
        <f t="shared" si="6"/>
        <v/>
      </c>
      <c r="B42" s="1" t="str">
        <f t="shared" si="7"/>
        <v/>
      </c>
      <c r="C42" t="str">
        <f t="shared" si="3"/>
        <v/>
      </c>
      <c r="D42" s="16" t="str">
        <f t="shared" si="4"/>
        <v/>
      </c>
      <c r="E42" s="15" t="str">
        <f t="shared" si="0"/>
        <v/>
      </c>
      <c r="G42" s="19" t="str">
        <f t="shared" si="8"/>
        <v/>
      </c>
      <c r="H42" s="1" t="str">
        <f t="shared" si="9"/>
        <v/>
      </c>
      <c r="I42" t="str">
        <f t="shared" si="5"/>
        <v/>
      </c>
      <c r="J42" s="16" t="str">
        <f t="shared" si="2"/>
        <v/>
      </c>
      <c r="K42" s="15" t="str">
        <f t="shared" si="1"/>
        <v/>
      </c>
    </row>
    <row r="43" spans="1:11" x14ac:dyDescent="0.3">
      <c r="A43" s="19" t="str">
        <f t="shared" si="6"/>
        <v/>
      </c>
      <c r="B43" s="1" t="str">
        <f t="shared" si="7"/>
        <v/>
      </c>
      <c r="C43" t="str">
        <f t="shared" si="3"/>
        <v/>
      </c>
      <c r="D43" s="16" t="str">
        <f t="shared" si="4"/>
        <v/>
      </c>
      <c r="E43" s="15" t="str">
        <f t="shared" si="0"/>
        <v/>
      </c>
      <c r="G43" s="19" t="str">
        <f t="shared" si="8"/>
        <v/>
      </c>
      <c r="H43" s="1" t="str">
        <f t="shared" si="9"/>
        <v/>
      </c>
      <c r="I43" t="str">
        <f t="shared" si="5"/>
        <v/>
      </c>
      <c r="J43" s="16" t="str">
        <f t="shared" si="2"/>
        <v/>
      </c>
      <c r="K43" s="15" t="str">
        <f t="shared" si="1"/>
        <v/>
      </c>
    </row>
    <row r="44" spans="1:11" x14ac:dyDescent="0.3">
      <c r="A44" s="19" t="str">
        <f t="shared" si="6"/>
        <v/>
      </c>
      <c r="B44" s="1" t="str">
        <f t="shared" si="7"/>
        <v/>
      </c>
      <c r="C44" t="str">
        <f t="shared" si="3"/>
        <v/>
      </c>
      <c r="D44" s="16" t="str">
        <f t="shared" si="4"/>
        <v/>
      </c>
      <c r="E44" s="15" t="str">
        <f t="shared" si="0"/>
        <v/>
      </c>
      <c r="G44" s="19" t="str">
        <f t="shared" si="8"/>
        <v/>
      </c>
      <c r="H44" s="1" t="str">
        <f t="shared" si="9"/>
        <v/>
      </c>
      <c r="I44" t="str">
        <f t="shared" si="5"/>
        <v/>
      </c>
      <c r="J44" s="16" t="str">
        <f t="shared" si="2"/>
        <v/>
      </c>
      <c r="K44" s="15" t="str">
        <f t="shared" si="1"/>
        <v/>
      </c>
    </row>
    <row r="45" spans="1:11" x14ac:dyDescent="0.3">
      <c r="A45" s="19" t="str">
        <f t="shared" si="6"/>
        <v/>
      </c>
      <c r="B45" s="1" t="str">
        <f t="shared" si="7"/>
        <v/>
      </c>
      <c r="C45" t="str">
        <f t="shared" si="3"/>
        <v/>
      </c>
      <c r="D45" s="16" t="str">
        <f t="shared" si="4"/>
        <v/>
      </c>
      <c r="E45" s="15" t="str">
        <f t="shared" si="0"/>
        <v/>
      </c>
      <c r="G45" s="19" t="str">
        <f t="shared" si="8"/>
        <v/>
      </c>
      <c r="H45" s="1" t="str">
        <f t="shared" si="9"/>
        <v/>
      </c>
      <c r="I45" t="str">
        <f t="shared" si="5"/>
        <v/>
      </c>
      <c r="J45" s="16" t="str">
        <f t="shared" si="2"/>
        <v/>
      </c>
      <c r="K45" s="15" t="str">
        <f t="shared" si="1"/>
        <v/>
      </c>
    </row>
    <row r="46" spans="1:11" x14ac:dyDescent="0.3">
      <c r="A46" s="19" t="str">
        <f t="shared" si="6"/>
        <v/>
      </c>
      <c r="B46" s="1" t="str">
        <f t="shared" si="7"/>
        <v/>
      </c>
      <c r="C46" t="str">
        <f t="shared" si="3"/>
        <v/>
      </c>
      <c r="D46" s="16" t="str">
        <f t="shared" si="4"/>
        <v/>
      </c>
      <c r="E46" s="15" t="str">
        <f t="shared" si="0"/>
        <v/>
      </c>
      <c r="G46" s="19" t="str">
        <f t="shared" si="8"/>
        <v/>
      </c>
      <c r="H46" s="1" t="str">
        <f t="shared" si="9"/>
        <v/>
      </c>
      <c r="I46" t="str">
        <f t="shared" si="5"/>
        <v/>
      </c>
      <c r="J46" s="16" t="str">
        <f t="shared" si="2"/>
        <v/>
      </c>
      <c r="K46" s="15" t="str">
        <f t="shared" si="1"/>
        <v/>
      </c>
    </row>
    <row r="58" spans="3:9" x14ac:dyDescent="0.3">
      <c r="C58" t="s">
        <v>22</v>
      </c>
      <c r="I58" t="s">
        <v>22</v>
      </c>
    </row>
    <row r="59" spans="3:9" x14ac:dyDescent="0.3">
      <c r="C59" t="s">
        <v>21</v>
      </c>
      <c r="I59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"/>
  <sheetViews>
    <sheetView topLeftCell="B1" zoomScale="70" zoomScaleNormal="70" workbookViewId="0">
      <selection activeCell="B1" sqref="B1"/>
    </sheetView>
  </sheetViews>
  <sheetFormatPr baseColWidth="10" defaultRowHeight="14.4" x14ac:dyDescent="0.3"/>
  <cols>
    <col min="1" max="1" width="11.5546875" style="19"/>
    <col min="3" max="3" width="13.6640625" customWidth="1"/>
    <col min="4" max="4" width="21.5546875" customWidth="1"/>
    <col min="5" max="5" width="14.44140625" customWidth="1"/>
    <col min="6" max="6" width="13.109375" bestFit="1" customWidth="1"/>
    <col min="7" max="7" width="11.5546875" style="19"/>
    <col min="9" max="9" width="13.6640625" customWidth="1"/>
    <col min="10" max="10" width="21.5546875" customWidth="1"/>
    <col min="11" max="11" width="13.109375" customWidth="1"/>
    <col min="12" max="12" width="13.109375" bestFit="1" customWidth="1"/>
  </cols>
  <sheetData>
    <row r="2" spans="2:12" ht="17.399999999999999" x14ac:dyDescent="0.3">
      <c r="B2" s="14" t="s">
        <v>25</v>
      </c>
      <c r="C2" t="s">
        <v>10</v>
      </c>
      <c r="D2" s="5">
        <v>43375</v>
      </c>
      <c r="E2" s="5">
        <v>43739</v>
      </c>
      <c r="H2" s="14" t="s">
        <v>24</v>
      </c>
      <c r="I2" t="s">
        <v>10</v>
      </c>
      <c r="J2" s="5">
        <v>43375</v>
      </c>
      <c r="K2" s="5">
        <f>J2</f>
        <v>43375</v>
      </c>
    </row>
    <row r="3" spans="2:12" x14ac:dyDescent="0.3">
      <c r="C3" t="s">
        <v>11</v>
      </c>
      <c r="D3" s="5">
        <v>45201</v>
      </c>
      <c r="I3" t="s">
        <v>11</v>
      </c>
      <c r="J3" s="5">
        <v>45201</v>
      </c>
    </row>
    <row r="4" spans="2:12" x14ac:dyDescent="0.3">
      <c r="C4" t="s">
        <v>12</v>
      </c>
      <c r="D4" s="6">
        <v>4.7500000000000001E-2</v>
      </c>
      <c r="I4" t="s">
        <v>12</v>
      </c>
      <c r="J4" s="6">
        <v>4.7500000000000001E-2</v>
      </c>
    </row>
    <row r="5" spans="2:12" x14ac:dyDescent="0.3">
      <c r="C5" t="s">
        <v>14</v>
      </c>
      <c r="D5">
        <v>1</v>
      </c>
      <c r="I5" t="s">
        <v>14</v>
      </c>
      <c r="J5">
        <v>1</v>
      </c>
    </row>
    <row r="7" spans="2:12" x14ac:dyDescent="0.3">
      <c r="B7" t="s">
        <v>18</v>
      </c>
      <c r="C7" s="7">
        <v>6000</v>
      </c>
      <c r="E7" s="7">
        <v>4000</v>
      </c>
      <c r="F7">
        <f>SUM(C7:E7)</f>
        <v>10000</v>
      </c>
      <c r="H7" t="s">
        <v>18</v>
      </c>
      <c r="I7" s="7">
        <v>4000</v>
      </c>
      <c r="K7" s="7">
        <v>2000</v>
      </c>
      <c r="L7">
        <f>SUM(I7:K7)</f>
        <v>6000</v>
      </c>
    </row>
    <row r="8" spans="2:12" x14ac:dyDescent="0.3">
      <c r="B8" t="s">
        <v>19</v>
      </c>
      <c r="C8" s="7">
        <v>1</v>
      </c>
      <c r="E8" s="7">
        <v>1</v>
      </c>
      <c r="F8" s="7">
        <v>1.1399999999999999</v>
      </c>
      <c r="H8" t="s">
        <v>19</v>
      </c>
      <c r="I8" s="7">
        <v>1</v>
      </c>
      <c r="K8" s="7">
        <v>1</v>
      </c>
      <c r="L8" s="7">
        <v>1.1399999999999999</v>
      </c>
    </row>
    <row r="9" spans="2:12" x14ac:dyDescent="0.3">
      <c r="C9" s="2">
        <v>43229</v>
      </c>
      <c r="E9" s="2">
        <f ca="1">TODAY()</f>
        <v>43712</v>
      </c>
      <c r="I9" s="2">
        <v>43367</v>
      </c>
      <c r="K9" s="2">
        <f ca="1">TODAY()</f>
        <v>43712</v>
      </c>
    </row>
    <row r="10" spans="2:12" ht="15.6" x14ac:dyDescent="0.3">
      <c r="C10" s="4">
        <v>1.0699000000000001</v>
      </c>
      <c r="E10" s="24">
        <v>0.9</v>
      </c>
      <c r="I10" s="4">
        <v>1.018</v>
      </c>
      <c r="K10" s="24">
        <v>0.9</v>
      </c>
    </row>
    <row r="12" spans="2:12" x14ac:dyDescent="0.3">
      <c r="C12" s="13">
        <f>ROUND(C7*C10/C8,2)</f>
        <v>6419.4</v>
      </c>
      <c r="E12" s="13">
        <f>ROUND(E7*E10/E8,2)</f>
        <v>3600</v>
      </c>
      <c r="F12" s="13">
        <f>C12+IF(E$7&gt;0,E12,)</f>
        <v>10019.4</v>
      </c>
      <c r="I12" s="13">
        <f>ROUND(I7*I10/I8,2)</f>
        <v>4072</v>
      </c>
      <c r="K12" s="13">
        <f>ROUND(K7*K10/K8,2)</f>
        <v>1800</v>
      </c>
      <c r="L12" s="13">
        <f>I12+IF(K$7&gt;0,K12,)</f>
        <v>5872</v>
      </c>
    </row>
    <row r="13" spans="2:12" x14ac:dyDescent="0.3">
      <c r="B13" s="13" t="s">
        <v>0</v>
      </c>
      <c r="C13" s="13">
        <f>IFERROR(ROUND(ACCRINT(D2-365/D5,D2,C9+2,D4,C7,1,1)/C8,2),0)</f>
        <v>172.56</v>
      </c>
      <c r="D13" s="15"/>
      <c r="E13" s="13">
        <f ca="1">IFERROR(ROUND(ACCRINT(E2-365/D5,E2,E9+2,D4,E7,1,1)/E8,2),0)</f>
        <v>176.99</v>
      </c>
      <c r="H13" s="13" t="s">
        <v>0</v>
      </c>
      <c r="I13" s="13">
        <f>IFERROR(ROUND(ACCRINT(J2-365/J5,J2,I9+2,J4,I7,1,1)/I8,2),0)</f>
        <v>186.88</v>
      </c>
      <c r="J13" s="15"/>
      <c r="K13" s="13">
        <f ca="1">IFERROR(ROUND(ACCRINT(K2-365/J5,K2,K9+2,J4,K7,1,1)/K8,2),0)</f>
        <v>183.23</v>
      </c>
    </row>
    <row r="14" spans="2:12" x14ac:dyDescent="0.3">
      <c r="B14" s="13" t="s">
        <v>1</v>
      </c>
      <c r="C14" s="13">
        <f>MAX(9.95,4.95+ROUND(C7*C10/C8*0.25%,2))</f>
        <v>21</v>
      </c>
      <c r="D14" s="3"/>
      <c r="E14" s="13">
        <f>MAX(9.95,4.95+ROUND(E7*E10*0.25%,2))</f>
        <v>13.95</v>
      </c>
      <c r="F14" s="13">
        <f>C14+IF(E$7&gt;0,E14,)</f>
        <v>34.950000000000003</v>
      </c>
      <c r="H14" s="13" t="s">
        <v>1</v>
      </c>
      <c r="I14" s="13">
        <f>MAX(9.95,4.95+ROUND(I7*I10/I8*0.25%,2))</f>
        <v>15.129999999999999</v>
      </c>
      <c r="J14" s="3"/>
      <c r="K14" s="13">
        <f>MAX(9.95,4.95+ROUND(K7*K10*0.25%,2))</f>
        <v>9.9499999999999993</v>
      </c>
      <c r="L14" s="13">
        <f>I14+IF(K$7&gt;0,K14,)</f>
        <v>25.08</v>
      </c>
    </row>
    <row r="15" spans="2:12" x14ac:dyDescent="0.3">
      <c r="B15" s="13" t="s">
        <v>2</v>
      </c>
      <c r="C15" s="13">
        <f>2.5+3.57</f>
        <v>6.07</v>
      </c>
      <c r="E15" s="13"/>
      <c r="F15" s="13">
        <f>C15+IF(E$7&gt;0,E15,)</f>
        <v>6.07</v>
      </c>
      <c r="H15" s="13" t="s">
        <v>2</v>
      </c>
      <c r="I15" s="13"/>
      <c r="K15" s="13"/>
      <c r="L15" s="13">
        <f>I15+IF(K$7&gt;0,K15,)</f>
        <v>0</v>
      </c>
    </row>
    <row r="16" spans="2:12" x14ac:dyDescent="0.3">
      <c r="B16" s="13"/>
      <c r="C16" s="13"/>
      <c r="E16" s="13"/>
      <c r="H16" s="13"/>
      <c r="I16" s="13"/>
      <c r="K16" s="13"/>
    </row>
    <row r="17" spans="1:12" x14ac:dyDescent="0.3">
      <c r="B17" t="s">
        <v>3</v>
      </c>
      <c r="C17">
        <f>MAX(A:A)</f>
        <v>6</v>
      </c>
      <c r="E17">
        <f ca="1">COUNTIF(E25:E46,"&gt;0")</f>
        <v>5</v>
      </c>
      <c r="F17">
        <f>MAX(A:A)</f>
        <v>6</v>
      </c>
      <c r="H17" t="s">
        <v>3</v>
      </c>
      <c r="I17">
        <f>MAX(G:G)</f>
        <v>6</v>
      </c>
      <c r="K17">
        <f ca="1">COUNTIF(K25:K46,"&gt;0")</f>
        <v>5</v>
      </c>
      <c r="L17">
        <f>MAX(G:G)</f>
        <v>6</v>
      </c>
    </row>
    <row r="18" spans="1:12" x14ac:dyDescent="0.3">
      <c r="B18" t="s">
        <v>5</v>
      </c>
      <c r="C18">
        <f>ROUND(C17*D$4*C$7/D$5/C8,2)</f>
        <v>1710</v>
      </c>
      <c r="E18">
        <f ca="1">ROUND(E17*D$4*E$7/D$5/E8,2)</f>
        <v>950</v>
      </c>
      <c r="H18" t="s">
        <v>5</v>
      </c>
      <c r="I18">
        <f>ROUND(I17*J$4*I$7/J$5/I8,2)</f>
        <v>1140</v>
      </c>
      <c r="K18">
        <f ca="1">ROUND(K17*J$4*K$7/J$5/K8,2)</f>
        <v>475</v>
      </c>
    </row>
    <row r="19" spans="1:12" s="18" customFormat="1" ht="23.4" x14ac:dyDescent="0.45">
      <c r="A19" s="20"/>
      <c r="B19" s="18" t="s">
        <v>4</v>
      </c>
      <c r="C19" s="22">
        <f ca="1">IFERROR(
XIRR(
OFFSET(C25,,,C17+COUNT(C$7:E$7),),
OFFSET(B25,,,C17+COUNT(C$7:E$7),)),
0)</f>
        <v>3.2160869240760809E-2</v>
      </c>
      <c r="D19"/>
      <c r="E19" s="22">
        <f ca="1">IFERROR(
XIRR(
OFFSET(E26,,,C17+1,),
OFFSET(B26,,,C17+1,)),
0)</f>
        <v>7.5687769055366519E-2</v>
      </c>
      <c r="F19" s="17">
        <f ca="1">IFERROR(
XIRR(
OFFSET(D25,,,F17+COUNT(C7:E7),),
OFFSET(B25,,,F17+COUNT(C7:E7),)),
0)</f>
        <v>4.5390889048576369E-2</v>
      </c>
      <c r="G19" s="20"/>
      <c r="H19" s="18" t="s">
        <v>4</v>
      </c>
      <c r="I19" s="22">
        <f ca="1">IFERROR(
XIRR(
OFFSET(I25,,,I17+COUNT(I$7:K$7),),
OFFSET(H25,,,I17+COUNT(I$7:K$7),)),
0)</f>
        <v>4.2503240704536441E-2</v>
      </c>
      <c r="J19"/>
      <c r="K19" s="22">
        <f ca="1">IFERROR(
XIRR(
OFFSET(K26,,,I17+1,),
OFFSET(H26,,,I17+1,)),
0)</f>
        <v>6.0867550969123843E-2</v>
      </c>
      <c r="L19" s="17">
        <f ca="1">IFERROR(
XIRR(
OFFSET(J25,,,L17+COUNT(I7:K7),),
OFFSET(H25,,,L17+COUNT(I7:K7),)),
0)</f>
        <v>4.7554102540016172E-2</v>
      </c>
    </row>
    <row r="20" spans="1:12" x14ac:dyDescent="0.3">
      <c r="B20" t="s">
        <v>20</v>
      </c>
      <c r="C20" s="3">
        <f>(C12+C14+C15)*C8/C7</f>
        <v>1.0744116666666665</v>
      </c>
      <c r="E20" s="3">
        <f>IFERROR((E12+E14+E15)*E8/E7,0)</f>
        <v>0.9034875</v>
      </c>
      <c r="F20" s="3">
        <f>(C20*C7+E20*E7)/F7</f>
        <v>1.0060419999999999</v>
      </c>
      <c r="H20" t="s">
        <v>20</v>
      </c>
      <c r="I20" s="3">
        <f>(I12+I14+I15)*I8/I7</f>
        <v>1.0217825</v>
      </c>
      <c r="K20" s="3">
        <f>IFERROR((K12+K14+K15)*K8/K7,0)</f>
        <v>0.90497499999999997</v>
      </c>
      <c r="L20" s="3">
        <f>(I20*I7+K20*K7)/L7</f>
        <v>0.98284666666666665</v>
      </c>
    </row>
    <row r="21" spans="1:12" x14ac:dyDescent="0.3">
      <c r="B21" t="s">
        <v>6</v>
      </c>
      <c r="C21" s="8">
        <f>(D3-C9)/365</f>
        <v>5.4027397260273968</v>
      </c>
      <c r="D21" s="8"/>
      <c r="E21" s="8">
        <f ca="1">(D3-E9)/365</f>
        <v>4.0794520547945208</v>
      </c>
      <c r="F21" s="8">
        <f ca="1">(D3-TODAY())/365</f>
        <v>4.0794520547945208</v>
      </c>
      <c r="H21" t="s">
        <v>6</v>
      </c>
      <c r="I21" s="8">
        <f>(J3-I9)/365</f>
        <v>5.0246575342465754</v>
      </c>
      <c r="J21" s="8"/>
      <c r="K21" s="8">
        <f ca="1">(J3-K9)/365</f>
        <v>4.0794520547945208</v>
      </c>
      <c r="L21" s="8">
        <f ca="1">(J3-TODAY())/365</f>
        <v>4.0794520547945208</v>
      </c>
    </row>
    <row r="22" spans="1:12" x14ac:dyDescent="0.3">
      <c r="B22" t="s">
        <v>13</v>
      </c>
      <c r="C22" s="15">
        <f>SUM(C25:C42)</f>
        <v>1090.9700000000003</v>
      </c>
      <c r="E22" s="15">
        <f ca="1">SUM(E25:E42)</f>
        <v>1159.0600000000004</v>
      </c>
      <c r="H22" t="s">
        <v>13</v>
      </c>
      <c r="I22" s="15">
        <f>SUM(I25:I42)</f>
        <v>865.98999999999978</v>
      </c>
      <c r="K22" s="15">
        <f ca="1">SUM(K25:K42)</f>
        <v>481.81999999999994</v>
      </c>
    </row>
    <row r="23" spans="1:12" x14ac:dyDescent="0.3">
      <c r="B23" s="13"/>
      <c r="C23" s="13"/>
      <c r="E23" s="13"/>
      <c r="H23" s="13"/>
      <c r="I23" s="13"/>
      <c r="K23" s="13"/>
    </row>
    <row r="25" spans="1:12" x14ac:dyDescent="0.3">
      <c r="B25" s="1">
        <f>C9</f>
        <v>43229</v>
      </c>
      <c r="C25" s="15">
        <f>-SUM(C12:C15)</f>
        <v>-6619.03</v>
      </c>
      <c r="D25" s="13">
        <f>IF(C7&gt;0,-SUM(C12:C15),0)</f>
        <v>-6619.03</v>
      </c>
      <c r="E25" s="15">
        <f t="shared" ref="E25:E46" si="0">IFERROR(D25-C25,"")</f>
        <v>0</v>
      </c>
      <c r="H25" s="1">
        <f>I9</f>
        <v>43367</v>
      </c>
      <c r="I25" s="15">
        <f>-SUM(I12:I15)</f>
        <v>-4274.01</v>
      </c>
      <c r="J25" s="13">
        <f>IF(I7&gt;0,-SUM(I12:I15),0)</f>
        <v>-4274.01</v>
      </c>
      <c r="K25" s="15">
        <f t="shared" ref="K25:K46" si="1">IFERROR(J25-I25,"")</f>
        <v>0</v>
      </c>
    </row>
    <row r="26" spans="1:12" x14ac:dyDescent="0.3">
      <c r="B26" s="1">
        <f ca="1">E9</f>
        <v>43712</v>
      </c>
      <c r="D26" s="13">
        <f ca="1">IF(E7&gt;0,-SUM(E12:E15),0)</f>
        <v>-3790.9399999999996</v>
      </c>
      <c r="E26" s="15">
        <f t="shared" ca="1" si="0"/>
        <v>-3790.9399999999996</v>
      </c>
      <c r="H26" s="1">
        <f ca="1">K9</f>
        <v>43712</v>
      </c>
      <c r="J26" s="13">
        <f ca="1">IF(K7&gt;0,-SUM(K12:K15),0)</f>
        <v>-1993.18</v>
      </c>
      <c r="K26" s="15">
        <f t="shared" ca="1" si="1"/>
        <v>-1993.18</v>
      </c>
    </row>
    <row r="27" spans="1:12" x14ac:dyDescent="0.3">
      <c r="A27" s="19">
        <v>1</v>
      </c>
      <c r="B27" s="1">
        <f>D2</f>
        <v>43375</v>
      </c>
      <c r="C27">
        <f>IF(ISNUMBER(B27),ROUND(IF(B28="",(D$4*C$7/D$5+C$7)/C$8,D$4*C$7/D$5/C$8),2),"")</f>
        <v>285</v>
      </c>
      <c r="D27" s="16">
        <f ca="1">IF(ISNUMBER(B27),ROUND(IF(B28="",D$4/D$5*SUMIF(C$9:E$9,"&lt;"&amp;B27,C$7:E$7)/C$8+SUMIF(C$9:E$9,"&lt;"&amp;B27,C$7:E$7)/C$8,D$4/D$5*SUMIF(C$9:E$9,"&lt;"&amp;B27,C$7:E$7)/C$8),2),"")</f>
        <v>285</v>
      </c>
      <c r="E27" s="15">
        <f t="shared" ca="1" si="0"/>
        <v>0</v>
      </c>
      <c r="G27" s="19">
        <v>1</v>
      </c>
      <c r="H27" s="1">
        <f>J2</f>
        <v>43375</v>
      </c>
      <c r="I27">
        <f>IF(ISNUMBER(H27),ROUND(IF(H28="",(J$4*I$7/J$5+I$7)/I$8,J$4*I$7/J$5/I$8),2),"")</f>
        <v>190</v>
      </c>
      <c r="J27" s="16">
        <f t="shared" ref="J27:J46" ca="1" si="2">IF(ISNUMBER(H27),ROUND(IF(H28="",J$4/J$5*SUMIF(I$9:K$9,"&lt;"&amp;H27,I$7:K$7)/I$8+SUMIF(I$9:K$9,"&lt;"&amp;H27,I$7:K$7)/I$8,J$4/J$5*SUMIF(I$9:K$9,"&lt;"&amp;H27,I$7:K$7)/I$8),2),"")</f>
        <v>190</v>
      </c>
      <c r="K27" s="15">
        <f t="shared" ca="1" si="1"/>
        <v>0</v>
      </c>
    </row>
    <row r="28" spans="1:12" x14ac:dyDescent="0.3">
      <c r="A28" s="19">
        <f>IF(AND(B27&lt;D$3,B27&lt;&gt;0),A27+1,"")</f>
        <v>2</v>
      </c>
      <c r="B28" s="1">
        <f>IF(AND(B27&lt;D$3,B27&lt;&gt;0),DATE(IF(MONTH(B27)&gt;(12-12/D$5),YEAR(B27)+1,YEAR(B27)),IF(MONTH(B27)&gt;(12-12/D$5),MONTH(B27)-(12-12/D$5),MONTH(B27)+12/D$5),DAY(B27)),"")</f>
        <v>43740</v>
      </c>
      <c r="C28">
        <f t="shared" ref="C28:C46" si="3">IF(ISNUMBER(B28),ROUND(IF(B29="",(D$4*C$7/D$5+C$7)/C$8,D$4*C$7/D$5/C$8),2),"")</f>
        <v>285</v>
      </c>
      <c r="D28" s="16">
        <f t="shared" ref="D28:D46" ca="1" si="4">IF(ISNUMBER(B28),ROUND(IF(B29="",D$4/D$5*SUMIF(C$9:E$9,"&lt;"&amp;B28,C$7:E$7)/C$8+SUMIF(C$9:E$9,"&lt;"&amp;B28,C$7:E$7)/C$8,D$4/D$5*SUMIF(C$9:E$9,"&lt;"&amp;B28,C$7:E$7)/C$8),2),"")</f>
        <v>475</v>
      </c>
      <c r="E28" s="15">
        <f ca="1">IFERROR(D28-C28,"")</f>
        <v>190</v>
      </c>
      <c r="G28" s="19">
        <f>IF(AND(H27&lt;J$3,H27&lt;&gt;0),G27+1,"")</f>
        <v>2</v>
      </c>
      <c r="H28" s="1">
        <f>IF(AND(H27&lt;J$3,H27&lt;&gt;0),DATE(IF(MONTH(H27)&gt;(12-12/J$5),YEAR(H27)+1,YEAR(H27)),IF(MONTH(H27)&gt;(12-12/J$5),MONTH(H27)-(12-12/J$5),MONTH(H27)+12/J$5),DAY(H27)),"")</f>
        <v>43740</v>
      </c>
      <c r="I28">
        <f t="shared" ref="I28:I46" si="5">IF(ISNUMBER(H28),ROUND(IF(H29="",(J$4*I$7/J$5+I$7)/I$8,J$4*I$7/J$5/I$8),2),"")</f>
        <v>190</v>
      </c>
      <c r="J28" s="16">
        <f t="shared" ca="1" si="2"/>
        <v>285</v>
      </c>
      <c r="K28" s="15">
        <f ca="1">IFERROR(J28-I28,"")</f>
        <v>95</v>
      </c>
    </row>
    <row r="29" spans="1:12" x14ac:dyDescent="0.3">
      <c r="A29" s="19">
        <f t="shared" ref="A29:A46" si="6">IF(AND(B28&lt;D$3,B28&lt;&gt;0),A28+1,"")</f>
        <v>3</v>
      </c>
      <c r="B29" s="1">
        <f t="shared" ref="B29:B46" si="7">IF(AND(B28&lt;D$3,B28&lt;&gt;0),DATE(IF(MONTH(B28)&gt;(12-12/D$5),YEAR(B28)+1,YEAR(B28)),IF(MONTH(B28)&gt;(12-12/D$5),MONTH(B28)-(12-12/D$5),MONTH(B28)+12/D$5),DAY(B28)),"")</f>
        <v>44106</v>
      </c>
      <c r="C29">
        <f t="shared" si="3"/>
        <v>285</v>
      </c>
      <c r="D29" s="16">
        <f t="shared" ca="1" si="4"/>
        <v>475</v>
      </c>
      <c r="E29" s="15">
        <f t="shared" ca="1" si="0"/>
        <v>190</v>
      </c>
      <c r="G29" s="19">
        <f t="shared" ref="G29:G46" si="8">IF(AND(H28&lt;J$3,H28&lt;&gt;0),G28+1,"")</f>
        <v>3</v>
      </c>
      <c r="H29" s="1">
        <f t="shared" ref="H29:H46" si="9">IF(AND(H28&lt;J$3,H28&lt;&gt;0),DATE(IF(MONTH(H28)&gt;(12-12/J$5),YEAR(H28)+1,YEAR(H28)),IF(MONTH(H28)&gt;(12-12/J$5),MONTH(H28)-(12-12/J$5),MONTH(H28)+12/J$5),DAY(H28)),"")</f>
        <v>44106</v>
      </c>
      <c r="I29">
        <f t="shared" si="5"/>
        <v>190</v>
      </c>
      <c r="J29" s="16">
        <f t="shared" ca="1" si="2"/>
        <v>285</v>
      </c>
      <c r="K29" s="15">
        <f t="shared" ca="1" si="1"/>
        <v>95</v>
      </c>
    </row>
    <row r="30" spans="1:12" x14ac:dyDescent="0.3">
      <c r="A30" s="19">
        <f t="shared" si="6"/>
        <v>4</v>
      </c>
      <c r="B30" s="1">
        <f t="shared" si="7"/>
        <v>44471</v>
      </c>
      <c r="C30">
        <f t="shared" si="3"/>
        <v>285</v>
      </c>
      <c r="D30" s="16">
        <f t="shared" ca="1" si="4"/>
        <v>475</v>
      </c>
      <c r="E30" s="15">
        <f t="shared" ca="1" si="0"/>
        <v>190</v>
      </c>
      <c r="G30" s="19">
        <f t="shared" si="8"/>
        <v>4</v>
      </c>
      <c r="H30" s="1">
        <f t="shared" si="9"/>
        <v>44471</v>
      </c>
      <c r="I30">
        <f t="shared" si="5"/>
        <v>190</v>
      </c>
      <c r="J30" s="16">
        <f t="shared" ca="1" si="2"/>
        <v>285</v>
      </c>
      <c r="K30" s="15">
        <f t="shared" ca="1" si="1"/>
        <v>95</v>
      </c>
    </row>
    <row r="31" spans="1:12" x14ac:dyDescent="0.3">
      <c r="A31" s="19">
        <f t="shared" si="6"/>
        <v>5</v>
      </c>
      <c r="B31" s="1">
        <f t="shared" si="7"/>
        <v>44836</v>
      </c>
      <c r="C31">
        <f t="shared" si="3"/>
        <v>285</v>
      </c>
      <c r="D31" s="16">
        <f t="shared" ca="1" si="4"/>
        <v>475</v>
      </c>
      <c r="E31" s="15">
        <f t="shared" ca="1" si="0"/>
        <v>190</v>
      </c>
      <c r="G31" s="19">
        <f t="shared" si="8"/>
        <v>5</v>
      </c>
      <c r="H31" s="1">
        <f t="shared" si="9"/>
        <v>44836</v>
      </c>
      <c r="I31">
        <f t="shared" si="5"/>
        <v>190</v>
      </c>
      <c r="J31" s="16">
        <f t="shared" ca="1" si="2"/>
        <v>285</v>
      </c>
      <c r="K31" s="15">
        <f t="shared" ca="1" si="1"/>
        <v>95</v>
      </c>
    </row>
    <row r="32" spans="1:12" x14ac:dyDescent="0.3">
      <c r="A32" s="19">
        <f t="shared" si="6"/>
        <v>6</v>
      </c>
      <c r="B32" s="1">
        <f t="shared" si="7"/>
        <v>45201</v>
      </c>
      <c r="C32">
        <f t="shared" si="3"/>
        <v>6285</v>
      </c>
      <c r="D32" s="16">
        <f t="shared" ca="1" si="4"/>
        <v>10475</v>
      </c>
      <c r="E32" s="15">
        <f t="shared" ca="1" si="0"/>
        <v>4190</v>
      </c>
      <c r="G32" s="19">
        <f t="shared" si="8"/>
        <v>6</v>
      </c>
      <c r="H32" s="1">
        <f t="shared" si="9"/>
        <v>45201</v>
      </c>
      <c r="I32">
        <f t="shared" si="5"/>
        <v>4190</v>
      </c>
      <c r="J32" s="16">
        <f t="shared" ca="1" si="2"/>
        <v>6285</v>
      </c>
      <c r="K32" s="15">
        <f t="shared" ca="1" si="1"/>
        <v>2095</v>
      </c>
    </row>
    <row r="33" spans="1:11" x14ac:dyDescent="0.3">
      <c r="A33" s="19" t="str">
        <f t="shared" si="6"/>
        <v/>
      </c>
      <c r="B33" s="1" t="str">
        <f t="shared" si="7"/>
        <v/>
      </c>
      <c r="C33" t="str">
        <f t="shared" si="3"/>
        <v/>
      </c>
      <c r="D33" s="16" t="str">
        <f t="shared" si="4"/>
        <v/>
      </c>
      <c r="E33" s="15" t="str">
        <f t="shared" si="0"/>
        <v/>
      </c>
      <c r="G33" s="19" t="str">
        <f t="shared" si="8"/>
        <v/>
      </c>
      <c r="H33" s="1" t="str">
        <f t="shared" si="9"/>
        <v/>
      </c>
      <c r="I33" t="str">
        <f t="shared" si="5"/>
        <v/>
      </c>
      <c r="J33" s="16" t="str">
        <f t="shared" si="2"/>
        <v/>
      </c>
      <c r="K33" s="15" t="str">
        <f t="shared" si="1"/>
        <v/>
      </c>
    </row>
    <row r="34" spans="1:11" x14ac:dyDescent="0.3">
      <c r="A34" s="19" t="str">
        <f t="shared" si="6"/>
        <v/>
      </c>
      <c r="B34" s="1" t="str">
        <f t="shared" si="7"/>
        <v/>
      </c>
      <c r="C34" t="str">
        <f t="shared" si="3"/>
        <v/>
      </c>
      <c r="D34" s="16" t="str">
        <f t="shared" si="4"/>
        <v/>
      </c>
      <c r="E34" s="15" t="str">
        <f t="shared" si="0"/>
        <v/>
      </c>
      <c r="G34" s="19" t="str">
        <f t="shared" si="8"/>
        <v/>
      </c>
      <c r="H34" s="1" t="str">
        <f t="shared" si="9"/>
        <v/>
      </c>
      <c r="I34" t="str">
        <f t="shared" si="5"/>
        <v/>
      </c>
      <c r="J34" s="16" t="str">
        <f t="shared" si="2"/>
        <v/>
      </c>
      <c r="K34" s="15" t="str">
        <f t="shared" si="1"/>
        <v/>
      </c>
    </row>
    <row r="35" spans="1:11" x14ac:dyDescent="0.3">
      <c r="A35" s="19" t="str">
        <f t="shared" si="6"/>
        <v/>
      </c>
      <c r="B35" s="1" t="str">
        <f t="shared" si="7"/>
        <v/>
      </c>
      <c r="C35" t="str">
        <f t="shared" si="3"/>
        <v/>
      </c>
      <c r="D35" s="16" t="str">
        <f t="shared" si="4"/>
        <v/>
      </c>
      <c r="E35" s="15" t="str">
        <f t="shared" si="0"/>
        <v/>
      </c>
      <c r="G35" s="19" t="str">
        <f t="shared" si="8"/>
        <v/>
      </c>
      <c r="H35" s="1" t="str">
        <f t="shared" si="9"/>
        <v/>
      </c>
      <c r="I35" t="str">
        <f t="shared" si="5"/>
        <v/>
      </c>
      <c r="J35" s="16" t="str">
        <f t="shared" si="2"/>
        <v/>
      </c>
      <c r="K35" s="15" t="str">
        <f t="shared" si="1"/>
        <v/>
      </c>
    </row>
    <row r="36" spans="1:11" x14ac:dyDescent="0.3">
      <c r="A36" s="19" t="str">
        <f t="shared" si="6"/>
        <v/>
      </c>
      <c r="B36" s="1" t="str">
        <f t="shared" si="7"/>
        <v/>
      </c>
      <c r="C36" t="str">
        <f t="shared" si="3"/>
        <v/>
      </c>
      <c r="D36" s="16" t="str">
        <f t="shared" si="4"/>
        <v/>
      </c>
      <c r="E36" s="15" t="str">
        <f t="shared" si="0"/>
        <v/>
      </c>
      <c r="G36" s="19" t="str">
        <f t="shared" si="8"/>
        <v/>
      </c>
      <c r="H36" s="1" t="str">
        <f t="shared" si="9"/>
        <v/>
      </c>
      <c r="I36" t="str">
        <f t="shared" si="5"/>
        <v/>
      </c>
      <c r="J36" s="16" t="str">
        <f t="shared" si="2"/>
        <v/>
      </c>
      <c r="K36" s="15" t="str">
        <f t="shared" si="1"/>
        <v/>
      </c>
    </row>
    <row r="37" spans="1:11" x14ac:dyDescent="0.3">
      <c r="A37" s="19" t="str">
        <f t="shared" si="6"/>
        <v/>
      </c>
      <c r="B37" s="1" t="str">
        <f t="shared" si="7"/>
        <v/>
      </c>
      <c r="C37" t="str">
        <f t="shared" si="3"/>
        <v/>
      </c>
      <c r="D37" s="16" t="str">
        <f t="shared" si="4"/>
        <v/>
      </c>
      <c r="E37" s="15" t="str">
        <f t="shared" si="0"/>
        <v/>
      </c>
      <c r="G37" s="19" t="str">
        <f t="shared" si="8"/>
        <v/>
      </c>
      <c r="H37" s="1" t="str">
        <f t="shared" si="9"/>
        <v/>
      </c>
      <c r="I37" t="str">
        <f t="shared" si="5"/>
        <v/>
      </c>
      <c r="J37" s="16" t="str">
        <f t="shared" si="2"/>
        <v/>
      </c>
      <c r="K37" s="15" t="str">
        <f t="shared" si="1"/>
        <v/>
      </c>
    </row>
    <row r="38" spans="1:11" x14ac:dyDescent="0.3">
      <c r="A38" s="19" t="str">
        <f t="shared" si="6"/>
        <v/>
      </c>
      <c r="B38" s="1" t="str">
        <f t="shared" si="7"/>
        <v/>
      </c>
      <c r="C38" t="str">
        <f t="shared" si="3"/>
        <v/>
      </c>
      <c r="D38" s="16" t="str">
        <f t="shared" si="4"/>
        <v/>
      </c>
      <c r="E38" s="15" t="str">
        <f t="shared" si="0"/>
        <v/>
      </c>
      <c r="G38" s="19" t="str">
        <f t="shared" si="8"/>
        <v/>
      </c>
      <c r="H38" s="1" t="str">
        <f t="shared" si="9"/>
        <v/>
      </c>
      <c r="I38" t="str">
        <f t="shared" si="5"/>
        <v/>
      </c>
      <c r="J38" s="16" t="str">
        <f t="shared" si="2"/>
        <v/>
      </c>
      <c r="K38" s="15" t="str">
        <f t="shared" si="1"/>
        <v/>
      </c>
    </row>
    <row r="39" spans="1:11" x14ac:dyDescent="0.3">
      <c r="A39" s="19" t="str">
        <f t="shared" si="6"/>
        <v/>
      </c>
      <c r="B39" s="1" t="str">
        <f t="shared" si="7"/>
        <v/>
      </c>
      <c r="C39" t="str">
        <f t="shared" si="3"/>
        <v/>
      </c>
      <c r="D39" s="16" t="str">
        <f t="shared" si="4"/>
        <v/>
      </c>
      <c r="E39" s="15" t="str">
        <f t="shared" si="0"/>
        <v/>
      </c>
      <c r="G39" s="19" t="str">
        <f t="shared" si="8"/>
        <v/>
      </c>
      <c r="H39" s="1" t="str">
        <f t="shared" si="9"/>
        <v/>
      </c>
      <c r="I39" t="str">
        <f t="shared" si="5"/>
        <v/>
      </c>
      <c r="J39" s="16" t="str">
        <f t="shared" si="2"/>
        <v/>
      </c>
      <c r="K39" s="15" t="str">
        <f t="shared" si="1"/>
        <v/>
      </c>
    </row>
    <row r="40" spans="1:11" x14ac:dyDescent="0.3">
      <c r="A40" s="19" t="str">
        <f t="shared" si="6"/>
        <v/>
      </c>
      <c r="B40" s="1" t="str">
        <f t="shared" si="7"/>
        <v/>
      </c>
      <c r="C40" t="str">
        <f t="shared" si="3"/>
        <v/>
      </c>
      <c r="D40" s="16" t="str">
        <f t="shared" si="4"/>
        <v/>
      </c>
      <c r="E40" s="15" t="str">
        <f t="shared" si="0"/>
        <v/>
      </c>
      <c r="G40" s="19" t="str">
        <f t="shared" si="8"/>
        <v/>
      </c>
      <c r="H40" s="1" t="str">
        <f t="shared" si="9"/>
        <v/>
      </c>
      <c r="I40" t="str">
        <f t="shared" si="5"/>
        <v/>
      </c>
      <c r="J40" s="16" t="str">
        <f t="shared" si="2"/>
        <v/>
      </c>
      <c r="K40" s="15" t="str">
        <f t="shared" si="1"/>
        <v/>
      </c>
    </row>
    <row r="41" spans="1:11" x14ac:dyDescent="0.3">
      <c r="A41" s="19" t="str">
        <f t="shared" si="6"/>
        <v/>
      </c>
      <c r="B41" s="1" t="str">
        <f t="shared" si="7"/>
        <v/>
      </c>
      <c r="C41" t="str">
        <f t="shared" si="3"/>
        <v/>
      </c>
      <c r="D41" s="16" t="str">
        <f t="shared" si="4"/>
        <v/>
      </c>
      <c r="E41" s="15" t="str">
        <f t="shared" si="0"/>
        <v/>
      </c>
      <c r="G41" s="19" t="str">
        <f t="shared" si="8"/>
        <v/>
      </c>
      <c r="H41" s="1" t="str">
        <f t="shared" si="9"/>
        <v/>
      </c>
      <c r="I41" t="str">
        <f t="shared" si="5"/>
        <v/>
      </c>
      <c r="J41" s="16" t="str">
        <f t="shared" si="2"/>
        <v/>
      </c>
      <c r="K41" s="15" t="str">
        <f t="shared" si="1"/>
        <v/>
      </c>
    </row>
    <row r="42" spans="1:11" x14ac:dyDescent="0.3">
      <c r="A42" s="19" t="str">
        <f t="shared" si="6"/>
        <v/>
      </c>
      <c r="B42" s="1" t="str">
        <f t="shared" si="7"/>
        <v/>
      </c>
      <c r="C42" t="str">
        <f t="shared" si="3"/>
        <v/>
      </c>
      <c r="D42" s="16" t="str">
        <f t="shared" si="4"/>
        <v/>
      </c>
      <c r="E42" s="15" t="str">
        <f t="shared" si="0"/>
        <v/>
      </c>
      <c r="G42" s="19" t="str">
        <f t="shared" si="8"/>
        <v/>
      </c>
      <c r="H42" s="1" t="str">
        <f t="shared" si="9"/>
        <v/>
      </c>
      <c r="I42" t="str">
        <f t="shared" si="5"/>
        <v/>
      </c>
      <c r="J42" s="16" t="str">
        <f t="shared" si="2"/>
        <v/>
      </c>
      <c r="K42" s="15" t="str">
        <f t="shared" si="1"/>
        <v/>
      </c>
    </row>
    <row r="43" spans="1:11" x14ac:dyDescent="0.3">
      <c r="A43" s="19" t="str">
        <f t="shared" si="6"/>
        <v/>
      </c>
      <c r="B43" s="1" t="str">
        <f t="shared" si="7"/>
        <v/>
      </c>
      <c r="C43" t="str">
        <f t="shared" si="3"/>
        <v/>
      </c>
      <c r="D43" s="16" t="str">
        <f t="shared" si="4"/>
        <v/>
      </c>
      <c r="E43" s="15" t="str">
        <f t="shared" si="0"/>
        <v/>
      </c>
      <c r="G43" s="19" t="str">
        <f t="shared" si="8"/>
        <v/>
      </c>
      <c r="H43" s="1" t="str">
        <f t="shared" si="9"/>
        <v/>
      </c>
      <c r="I43" t="str">
        <f t="shared" si="5"/>
        <v/>
      </c>
      <c r="J43" s="16" t="str">
        <f t="shared" si="2"/>
        <v/>
      </c>
      <c r="K43" s="15" t="str">
        <f t="shared" si="1"/>
        <v/>
      </c>
    </row>
    <row r="44" spans="1:11" x14ac:dyDescent="0.3">
      <c r="A44" s="19" t="str">
        <f t="shared" si="6"/>
        <v/>
      </c>
      <c r="B44" s="1" t="str">
        <f t="shared" si="7"/>
        <v/>
      </c>
      <c r="C44" t="str">
        <f t="shared" si="3"/>
        <v/>
      </c>
      <c r="D44" s="16" t="str">
        <f t="shared" si="4"/>
        <v/>
      </c>
      <c r="E44" s="15" t="str">
        <f t="shared" si="0"/>
        <v/>
      </c>
      <c r="G44" s="19" t="str">
        <f t="shared" si="8"/>
        <v/>
      </c>
      <c r="H44" s="1" t="str">
        <f t="shared" si="9"/>
        <v/>
      </c>
      <c r="I44" t="str">
        <f t="shared" si="5"/>
        <v/>
      </c>
      <c r="J44" s="16" t="str">
        <f t="shared" si="2"/>
        <v/>
      </c>
      <c r="K44" s="15" t="str">
        <f t="shared" si="1"/>
        <v/>
      </c>
    </row>
    <row r="45" spans="1:11" x14ac:dyDescent="0.3">
      <c r="A45" s="19" t="str">
        <f t="shared" si="6"/>
        <v/>
      </c>
      <c r="B45" s="1" t="str">
        <f t="shared" si="7"/>
        <v/>
      </c>
      <c r="C45" t="str">
        <f t="shared" si="3"/>
        <v/>
      </c>
      <c r="D45" s="16" t="str">
        <f t="shared" si="4"/>
        <v/>
      </c>
      <c r="E45" s="15" t="str">
        <f t="shared" si="0"/>
        <v/>
      </c>
      <c r="G45" s="19" t="str">
        <f t="shared" si="8"/>
        <v/>
      </c>
      <c r="H45" s="1" t="str">
        <f t="shared" si="9"/>
        <v/>
      </c>
      <c r="I45" t="str">
        <f t="shared" si="5"/>
        <v/>
      </c>
      <c r="J45" s="16" t="str">
        <f t="shared" si="2"/>
        <v/>
      </c>
      <c r="K45" s="15" t="str">
        <f t="shared" si="1"/>
        <v/>
      </c>
    </row>
    <row r="46" spans="1:11" x14ac:dyDescent="0.3">
      <c r="A46" s="19" t="str">
        <f t="shared" si="6"/>
        <v/>
      </c>
      <c r="B46" s="1" t="str">
        <f t="shared" si="7"/>
        <v/>
      </c>
      <c r="C46" t="str">
        <f t="shared" si="3"/>
        <v/>
      </c>
      <c r="D46" s="16" t="str">
        <f t="shared" si="4"/>
        <v/>
      </c>
      <c r="E46" s="15" t="str">
        <f t="shared" si="0"/>
        <v/>
      </c>
      <c r="G46" s="19" t="str">
        <f t="shared" si="8"/>
        <v/>
      </c>
      <c r="H46" s="1" t="str">
        <f t="shared" si="9"/>
        <v/>
      </c>
      <c r="I46" t="str">
        <f t="shared" si="5"/>
        <v/>
      </c>
      <c r="J46" s="16" t="str">
        <f t="shared" si="2"/>
        <v/>
      </c>
      <c r="K46" s="15" t="str">
        <f t="shared" si="1"/>
        <v/>
      </c>
    </row>
    <row r="58" spans="3:9" x14ac:dyDescent="0.3">
      <c r="C58" t="s">
        <v>22</v>
      </c>
      <c r="I58" t="s">
        <v>22</v>
      </c>
    </row>
    <row r="59" spans="3:9" x14ac:dyDescent="0.3">
      <c r="C59" t="s">
        <v>21</v>
      </c>
      <c r="I59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zoomScale="70" zoomScaleNormal="70" workbookViewId="0">
      <selection activeCell="J19" sqref="J19"/>
    </sheetView>
  </sheetViews>
  <sheetFormatPr baseColWidth="10" defaultRowHeight="14.4" x14ac:dyDescent="0.3"/>
  <cols>
    <col min="1" max="1" width="11.5546875" style="19"/>
    <col min="3" max="3" width="13.6640625" customWidth="1"/>
    <col min="4" max="4" width="21.5546875" customWidth="1"/>
    <col min="5" max="5" width="11.6640625" bestFit="1" customWidth="1"/>
    <col min="6" max="6" width="13.109375" bestFit="1" customWidth="1"/>
    <col min="7" max="7" width="11.5546875" style="19"/>
    <col min="9" max="9" width="13.6640625" customWidth="1"/>
    <col min="10" max="10" width="21.5546875" customWidth="1"/>
    <col min="11" max="11" width="11.6640625" bestFit="1" customWidth="1"/>
    <col min="12" max="12" width="13.109375" bestFit="1" customWidth="1"/>
    <col min="13" max="13" width="11.5546875" style="19"/>
    <col min="15" max="15" width="13.6640625" customWidth="1"/>
    <col min="16" max="16" width="21.5546875" customWidth="1"/>
    <col min="17" max="17" width="11.6640625" bestFit="1" customWidth="1"/>
    <col min="18" max="18" width="13.109375" bestFit="1" customWidth="1"/>
    <col min="19" max="19" width="11.5546875" style="19"/>
    <col min="21" max="21" width="13.6640625" customWidth="1"/>
    <col min="22" max="22" width="21.5546875" customWidth="1"/>
    <col min="23" max="23" width="11.6640625" bestFit="1" customWidth="1"/>
    <col min="24" max="24" width="13.109375" bestFit="1" customWidth="1"/>
  </cols>
  <sheetData>
    <row r="1" spans="2:24" ht="17.399999999999999" x14ac:dyDescent="0.3">
      <c r="B1" t="s">
        <v>65</v>
      </c>
      <c r="C1" t="s">
        <v>10</v>
      </c>
      <c r="D1" s="5">
        <v>43739</v>
      </c>
      <c r="E1" s="5">
        <f>D1</f>
        <v>43739</v>
      </c>
      <c r="H1" s="21" t="s">
        <v>16</v>
      </c>
      <c r="I1" t="s">
        <v>10</v>
      </c>
      <c r="J1" s="5">
        <v>43556</v>
      </c>
      <c r="K1" s="5">
        <f>J1</f>
        <v>43556</v>
      </c>
      <c r="N1" s="14" t="s">
        <v>15</v>
      </c>
      <c r="O1" t="s">
        <v>10</v>
      </c>
      <c r="P1" s="5">
        <v>43556</v>
      </c>
      <c r="Q1" s="5">
        <f>P1</f>
        <v>43556</v>
      </c>
      <c r="T1" s="14" t="s">
        <v>17</v>
      </c>
      <c r="U1" t="s">
        <v>10</v>
      </c>
      <c r="V1" s="5">
        <v>43556</v>
      </c>
      <c r="W1" s="5">
        <f>V1</f>
        <v>43556</v>
      </c>
    </row>
    <row r="2" spans="2:24" x14ac:dyDescent="0.3">
      <c r="C2" t="s">
        <v>11</v>
      </c>
      <c r="D2" s="5">
        <v>45565</v>
      </c>
      <c r="I2" t="s">
        <v>11</v>
      </c>
      <c r="J2" s="5">
        <v>43922</v>
      </c>
      <c r="O2" t="s">
        <v>11</v>
      </c>
      <c r="P2" s="5">
        <v>44105</v>
      </c>
      <c r="U2" t="s">
        <v>11</v>
      </c>
      <c r="V2" s="5">
        <v>44470</v>
      </c>
    </row>
    <row r="3" spans="2:24" x14ac:dyDescent="0.3">
      <c r="C3" t="s">
        <v>12</v>
      </c>
      <c r="D3" s="6">
        <v>0.04</v>
      </c>
      <c r="I3" t="s">
        <v>12</v>
      </c>
      <c r="J3" s="6">
        <v>0.06</v>
      </c>
      <c r="O3" t="s">
        <v>12</v>
      </c>
      <c r="P3" s="6">
        <v>0.05</v>
      </c>
      <c r="U3" t="s">
        <v>12</v>
      </c>
      <c r="V3" s="6">
        <v>6.7500000000000004E-2</v>
      </c>
    </row>
    <row r="4" spans="2:24" x14ac:dyDescent="0.3">
      <c r="C4" t="s">
        <v>14</v>
      </c>
      <c r="D4">
        <v>4</v>
      </c>
      <c r="I4" t="s">
        <v>14</v>
      </c>
      <c r="J4">
        <v>4</v>
      </c>
      <c r="O4" t="s">
        <v>14</v>
      </c>
      <c r="P4">
        <v>4</v>
      </c>
      <c r="U4" t="s">
        <v>14</v>
      </c>
      <c r="V4">
        <v>4</v>
      </c>
    </row>
    <row r="6" spans="2:24" x14ac:dyDescent="0.3">
      <c r="B6" t="s">
        <v>18</v>
      </c>
      <c r="C6" s="7">
        <v>4000</v>
      </c>
      <c r="E6" s="7">
        <v>0</v>
      </c>
      <c r="F6">
        <f>SUM(C6:E6)</f>
        <v>4000</v>
      </c>
      <c r="H6" t="s">
        <v>18</v>
      </c>
      <c r="I6" s="7">
        <v>5000</v>
      </c>
      <c r="K6" s="7">
        <v>0</v>
      </c>
      <c r="L6">
        <f>SUM(I6:K6)</f>
        <v>5000</v>
      </c>
      <c r="N6" t="s">
        <v>18</v>
      </c>
      <c r="O6" s="7">
        <v>5000</v>
      </c>
      <c r="Q6" s="7">
        <v>0</v>
      </c>
      <c r="R6">
        <f>SUM(O6:Q6)</f>
        <v>5000</v>
      </c>
      <c r="T6" t="s">
        <v>18</v>
      </c>
      <c r="U6" s="7">
        <v>5000</v>
      </c>
      <c r="W6" s="7">
        <v>0</v>
      </c>
      <c r="X6">
        <f>SUM(U6:W6)</f>
        <v>5000</v>
      </c>
    </row>
    <row r="7" spans="2:24" x14ac:dyDescent="0.3">
      <c r="B7" t="s">
        <v>19</v>
      </c>
      <c r="C7" s="7">
        <v>1</v>
      </c>
      <c r="E7" s="7">
        <v>1</v>
      </c>
      <c r="F7" s="7">
        <v>1.1399999999999999</v>
      </c>
      <c r="H7" t="s">
        <v>19</v>
      </c>
      <c r="I7" s="7">
        <v>1</v>
      </c>
      <c r="K7" s="7">
        <v>1</v>
      </c>
      <c r="L7" s="7">
        <v>1.1399999999999999</v>
      </c>
      <c r="N7" t="s">
        <v>19</v>
      </c>
      <c r="O7" s="7">
        <v>1</v>
      </c>
      <c r="Q7" s="7">
        <v>1.1848000000000001</v>
      </c>
      <c r="R7" s="7">
        <v>1.1399999999999999</v>
      </c>
      <c r="T7" t="s">
        <v>19</v>
      </c>
      <c r="U7" s="7">
        <v>1</v>
      </c>
      <c r="W7" s="7">
        <v>1.1848000000000001</v>
      </c>
      <c r="X7" s="7">
        <v>1.1399999999999999</v>
      </c>
    </row>
    <row r="8" spans="2:24" x14ac:dyDescent="0.3">
      <c r="C8" s="2">
        <v>43671</v>
      </c>
      <c r="E8" s="2">
        <f ca="1">TODAY()</f>
        <v>43712</v>
      </c>
      <c r="I8" s="2">
        <v>43498</v>
      </c>
      <c r="K8" s="2">
        <f ca="1">TODAY()</f>
        <v>43712</v>
      </c>
      <c r="O8" s="2">
        <f ca="1">TODAY()</f>
        <v>43712</v>
      </c>
      <c r="Q8" s="2">
        <v>43235</v>
      </c>
      <c r="U8" s="2">
        <f ca="1">TODAY()</f>
        <v>43712</v>
      </c>
      <c r="W8" s="2">
        <v>43235</v>
      </c>
    </row>
    <row r="9" spans="2:24" x14ac:dyDescent="0.3">
      <c r="C9" s="4">
        <v>1.0098</v>
      </c>
      <c r="E9" s="12">
        <v>1.28</v>
      </c>
      <c r="I9" s="4">
        <v>1.01</v>
      </c>
      <c r="K9" s="12">
        <v>1.02</v>
      </c>
      <c r="O9" s="4">
        <v>1.04</v>
      </c>
      <c r="Q9" s="12">
        <v>1.28</v>
      </c>
      <c r="U9" s="4">
        <v>1.08</v>
      </c>
      <c r="W9" s="12">
        <v>1.28</v>
      </c>
    </row>
    <row r="11" spans="2:24" x14ac:dyDescent="0.3">
      <c r="C11" s="13">
        <f>ROUND(C6*C9/C7,2)</f>
        <v>4039.2</v>
      </c>
      <c r="E11" s="13">
        <f>ROUND(E6*E9/E7,2)</f>
        <v>0</v>
      </c>
      <c r="F11" s="13">
        <f>C11+IF(E$6&gt;0,E11,)</f>
        <v>4039.2</v>
      </c>
      <c r="I11" s="13">
        <f>ROUND(I6*I9/I7,2)</f>
        <v>5050</v>
      </c>
      <c r="K11" s="13">
        <f>ROUND(K6*K9/K7,2)</f>
        <v>0</v>
      </c>
      <c r="L11" s="13">
        <f>I11+IF(K$6&gt;0,K11,)</f>
        <v>5050</v>
      </c>
      <c r="O11" s="13">
        <f>ROUND(O6*O9/O7,2)</f>
        <v>5200</v>
      </c>
      <c r="Q11" s="13">
        <f>ROUND(Q6*Q9/Q7,2)</f>
        <v>0</v>
      </c>
      <c r="R11" s="13">
        <f>O11+IF(Q$6&gt;0,Q11,)</f>
        <v>5200</v>
      </c>
      <c r="U11" s="13">
        <f>ROUND(U6*U9/U7,2)</f>
        <v>5400</v>
      </c>
      <c r="W11" s="13">
        <f>ROUND(W6*W9/W7,2)</f>
        <v>0</v>
      </c>
      <c r="X11" s="13">
        <f>U11+IF(W$6&gt;0,W11,)</f>
        <v>5400</v>
      </c>
    </row>
    <row r="12" spans="2:24" x14ac:dyDescent="0.3">
      <c r="B12" s="13" t="s">
        <v>0</v>
      </c>
      <c r="C12" s="13">
        <f>IFERROR(ROUND(ACCRINT(D1-365/D4,D1,C8+2,D3,C6,1,1)/C7,1),0)</f>
        <v>11.4</v>
      </c>
      <c r="D12" s="15"/>
      <c r="E12" s="13">
        <f ca="1">IFERROR(ROUND(ACCRINT(E1-365/D4,E1,E8+2,D3,E6,1,1)/E7,2),0)</f>
        <v>0</v>
      </c>
      <c r="H12" s="13" t="s">
        <v>0</v>
      </c>
      <c r="I12" s="13">
        <f>IFERROR(ROUND(ACCRINT(J1-365/J4,J1,I8+2,J3,I6,1,1)/I7,2),0)</f>
        <v>29.59</v>
      </c>
      <c r="J12" s="15"/>
      <c r="K12" s="13">
        <f ca="1">IFERROR(ROUND(ACCRINT(K1-365/J4,K1,K8+2,J3,K6,1,1)/K7,2),0)</f>
        <v>0</v>
      </c>
      <c r="N12" s="13" t="s">
        <v>0</v>
      </c>
      <c r="O12" s="13">
        <f ca="1">IFERROR(ROUND(ACCRINT(P1-365/P4,P1,O8+2,P3,O6,1,1)/O7,2),0)</f>
        <v>171.23</v>
      </c>
      <c r="P12" s="15"/>
      <c r="Q12" s="13">
        <f>IFERROR(ROUND(ACCRINT(Q1-365/P4,Q1,Q8+2,P3,Q6,1,1)/Q7,2),0)</f>
        <v>0</v>
      </c>
      <c r="T12" s="13" t="s">
        <v>0</v>
      </c>
      <c r="U12" s="13">
        <f ca="1">IFERROR(ROUND(ACCRINT(V1-365/V4,V1,U8+2,V3,U6,1,1)/U7,2),0)</f>
        <v>231.16</v>
      </c>
      <c r="V12" s="15"/>
      <c r="W12" s="13">
        <f>IFERROR(ROUND(ACCRINT(W1-365/V4,W1,W8+2,V3,W6,1,1)/W7,2),0)</f>
        <v>0</v>
      </c>
    </row>
    <row r="13" spans="2:24" x14ac:dyDescent="0.3">
      <c r="B13" s="13" t="s">
        <v>1</v>
      </c>
      <c r="C13" s="13">
        <f>MAX(9.95,4.95+ROUND(C6*C9/C7*0.25%,2))</f>
        <v>15.05</v>
      </c>
      <c r="D13" s="3"/>
      <c r="E13" s="13">
        <f>MAX(9.95,4.95+ROUND(E6*E9*0.25%,2))</f>
        <v>9.9499999999999993</v>
      </c>
      <c r="F13" s="13">
        <f>C13+IF(E$6&gt;0,E13,)</f>
        <v>15.05</v>
      </c>
      <c r="H13" s="13" t="s">
        <v>1</v>
      </c>
      <c r="I13" s="13">
        <f>MAX(9.95,4.95+ROUND(I6*I9/I7*0.25%,2))</f>
        <v>17.580000000000002</v>
      </c>
      <c r="J13" s="3"/>
      <c r="K13" s="13">
        <f>MAX(9.95,4.95+ROUND(K6*K9*0.25%,2))</f>
        <v>9.9499999999999993</v>
      </c>
      <c r="L13" s="13">
        <f>I13+IF(K$6&gt;0,K13,)</f>
        <v>17.580000000000002</v>
      </c>
      <c r="N13" s="13" t="s">
        <v>1</v>
      </c>
      <c r="O13" s="13">
        <f>MAX(9.95,4.95+ROUND(O6*O9/O7*0.25%,2))</f>
        <v>17.95</v>
      </c>
      <c r="P13" s="3"/>
      <c r="Q13" s="13">
        <f>MAX(9.95,4.95+ROUND(Q6*Q9*0.25%,2))</f>
        <v>9.9499999999999993</v>
      </c>
      <c r="R13" s="13">
        <f>O13+IF(Q$6&gt;0,Q13,)</f>
        <v>17.95</v>
      </c>
      <c r="T13" s="13" t="s">
        <v>1</v>
      </c>
      <c r="U13" s="13">
        <f>MAX(9.95,4.95+ROUND(U6*U9/U7*0.25%,2))</f>
        <v>18.45</v>
      </c>
      <c r="V13" s="3"/>
      <c r="W13" s="13">
        <f>MAX(9.95,4.95+ROUND(W6*W9*0.25%,2))</f>
        <v>9.9499999999999993</v>
      </c>
      <c r="X13" s="13">
        <f>U13+IF(W$6&gt;0,W13,)</f>
        <v>18.45</v>
      </c>
    </row>
    <row r="14" spans="2:24" x14ac:dyDescent="0.3">
      <c r="B14" s="13" t="s">
        <v>2</v>
      </c>
      <c r="C14" s="13"/>
      <c r="E14" s="13">
        <f>IF(ISNUMBER(E6),10,0)</f>
        <v>10</v>
      </c>
      <c r="F14" s="13">
        <f>C14+IF(E$6&gt;0,E14,)</f>
        <v>0</v>
      </c>
      <c r="H14" s="13" t="s">
        <v>2</v>
      </c>
      <c r="I14" s="13"/>
      <c r="K14" s="13">
        <f>IF(ISNUMBER(K6),10,0)</f>
        <v>10</v>
      </c>
      <c r="L14" s="13">
        <f>I14+IF(K$6&gt;0,K14,)</f>
        <v>0</v>
      </c>
      <c r="N14" s="13" t="s">
        <v>2</v>
      </c>
      <c r="O14" s="13"/>
      <c r="Q14" s="13">
        <f>IF(ISNUMBER(Q6),10,0)</f>
        <v>10</v>
      </c>
      <c r="R14" s="13">
        <f>O14+IF(Q$6&gt;0,Q14,)</f>
        <v>0</v>
      </c>
      <c r="T14" s="13" t="s">
        <v>2</v>
      </c>
      <c r="U14" s="13"/>
      <c r="W14" s="13">
        <f>IF(ISNUMBER(W6),10,0)</f>
        <v>10</v>
      </c>
      <c r="X14" s="13">
        <f>U14+IF(W$6&gt;0,W14,)</f>
        <v>0</v>
      </c>
    </row>
    <row r="15" spans="2:24" x14ac:dyDescent="0.3">
      <c r="B15" s="13"/>
      <c r="C15" s="13"/>
      <c r="E15" s="13"/>
      <c r="H15" s="13"/>
      <c r="I15" s="13"/>
      <c r="K15" s="13"/>
      <c r="N15" s="13"/>
      <c r="O15" s="13"/>
      <c r="Q15" s="13"/>
      <c r="T15" s="13"/>
      <c r="U15" s="13"/>
      <c r="W15" s="13"/>
    </row>
    <row r="16" spans="2:24" x14ac:dyDescent="0.3">
      <c r="B16" t="s">
        <v>3</v>
      </c>
      <c r="C16">
        <f>MAX(A:A)</f>
        <v>20</v>
      </c>
      <c r="E16">
        <f ca="1">COUNTIF(E24:E45,"&gt;0")</f>
        <v>0</v>
      </c>
      <c r="F16">
        <f>MAX(A:A)</f>
        <v>20</v>
      </c>
      <c r="H16" t="s">
        <v>3</v>
      </c>
      <c r="I16">
        <f>MAX(G:G)</f>
        <v>5</v>
      </c>
      <c r="K16">
        <f ca="1">COUNTIF(K24:K45,"&gt;0")</f>
        <v>0</v>
      </c>
      <c r="L16">
        <f>MAX(G:G)</f>
        <v>5</v>
      </c>
      <c r="N16" t="s">
        <v>3</v>
      </c>
      <c r="O16">
        <f>MAX(M:M)</f>
        <v>7</v>
      </c>
      <c r="Q16">
        <f ca="1">COUNTIF(Q24:Q45,"&gt;0")</f>
        <v>0</v>
      </c>
      <c r="R16">
        <f>MAX(M:M)</f>
        <v>7</v>
      </c>
      <c r="T16" t="s">
        <v>3</v>
      </c>
      <c r="U16">
        <f>MAX(S:S)</f>
        <v>11</v>
      </c>
      <c r="W16">
        <f ca="1">COUNTIF(W24:W45,"&gt;0")</f>
        <v>0</v>
      </c>
      <c r="X16">
        <f>MAX(S:S)</f>
        <v>11</v>
      </c>
    </row>
    <row r="17" spans="1:24" x14ac:dyDescent="0.3">
      <c r="B17" t="s">
        <v>5</v>
      </c>
      <c r="C17">
        <f>ROUND(C16*D$3*C$6/D$4/C7,2)</f>
        <v>800</v>
      </c>
      <c r="E17">
        <f ca="1">ROUND(E16*D$3*E$6/D$4/E7,2)</f>
        <v>0</v>
      </c>
      <c r="H17" t="s">
        <v>5</v>
      </c>
      <c r="I17">
        <f>ROUND(I16*J$3*I$6/J$4/I7,2)</f>
        <v>375</v>
      </c>
      <c r="K17">
        <f ca="1">ROUND(K16*J$3*K$6/J$4/K7,2)</f>
        <v>0</v>
      </c>
      <c r="N17" t="s">
        <v>5</v>
      </c>
      <c r="O17">
        <f>ROUND(O16*P$3*O$6/P$4/O7,2)</f>
        <v>437.5</v>
      </c>
      <c r="Q17">
        <f ca="1">ROUND(Q16*P$3*Q$6/P$4/Q7,2)</f>
        <v>0</v>
      </c>
      <c r="T17" t="s">
        <v>5</v>
      </c>
      <c r="U17">
        <f>ROUND(U16*V$3*U$6/V$4/U7,2)</f>
        <v>928.13</v>
      </c>
      <c r="W17">
        <f ca="1">ROUND(W16*V$3*W$6/V$4/W7,2)</f>
        <v>0</v>
      </c>
    </row>
    <row r="18" spans="1:24" s="18" customFormat="1" ht="23.4" x14ac:dyDescent="0.45">
      <c r="A18" s="20"/>
      <c r="B18" s="18" t="s">
        <v>4</v>
      </c>
      <c r="C18" s="22">
        <f ca="1">IFERROR(
XIRR(
OFFSET(C24,,,C16+COUNT(C$6:E$6),),
OFFSET(B24,,,C16+COUNT(C$6:E$6),)),
0)</f>
        <v>3.7399521470069891E-2</v>
      </c>
      <c r="D18"/>
      <c r="E18" s="22">
        <f ca="1">IFERROR(
XIRR(
OFFSET(E25,,,C16+1,),
OFFSET(B25,,,C16+1,)),
0)</f>
        <v>0</v>
      </c>
      <c r="F18" s="17">
        <f ca="1">IFERROR(
XIRR(
OFFSET(D24,,,F16+COUNT(C6:E6),),
OFFSET(B24,,,F16+COUNT(C6:E6),)),
0)</f>
        <v>3.7399521470069891E-2</v>
      </c>
      <c r="G18" s="20"/>
      <c r="H18" s="18" t="s">
        <v>4</v>
      </c>
      <c r="I18" s="22">
        <f ca="1">IFERROR(
XIRR(
OFFSET(I24,,,I16+COUNT(I$6:K$6),),
OFFSET(H24,,,I16+COUNT(I$6:K$6),)),
0)</f>
        <v>4.8259773850440987E-2</v>
      </c>
      <c r="J18"/>
      <c r="K18" s="22">
        <f ca="1">IFERROR(
XIRR(
OFFSET(K25,,,I16+1,),
OFFSET(H25,,,I16+1,)),
0)</f>
        <v>0</v>
      </c>
      <c r="L18" s="17">
        <f ca="1">IFERROR(
XIRR(
OFFSET(J24,,,L16+COUNT(I6:K6),),
OFFSET(H24,,,L16+COUNT(I6:K6),)),
0)</f>
        <v>4.8259773850440987E-2</v>
      </c>
      <c r="M18" s="20"/>
      <c r="N18" s="18" t="s">
        <v>4</v>
      </c>
      <c r="O18" s="22">
        <f ca="1">IFERROR(
XIRR(
OFFSET(O24,,,O16+COUNT(O$6:Q$6),),
OFFSET(N24,,,O16+COUNT(O$6:Q$6),)),
0)</f>
        <v>8.8250547647476217E-3</v>
      </c>
      <c r="P18"/>
      <c r="Q18" s="22">
        <f ca="1">IFERROR(
XIRR(
OFFSET(Q25,,,O16+1,),
OFFSET(N25,,,O16+1,)),
0)</f>
        <v>0</v>
      </c>
      <c r="R18" s="17">
        <f ca="1">IFERROR(
XIRR(
OFFSET(P24,,,R16+COUNT(O6:Q6),),
OFFSET(N24,,,R16+COUNT(O6:Q6),)),
0)</f>
        <v>-1.3589444756507876E-2</v>
      </c>
      <c r="S18" s="20"/>
      <c r="T18" s="18" t="s">
        <v>4</v>
      </c>
      <c r="U18" s="22">
        <f ca="1">IFERROR(
XIRR(
OFFSET(U24,,,U16+COUNT(U$6:W$6),),
OFFSET(T24,,,U16+COUNT(U$6:W$6),)),
0)</f>
        <v>2.597691118717194E-2</v>
      </c>
      <c r="V18"/>
      <c r="W18" s="22">
        <f ca="1">IFERROR(
XIRR(
OFFSET(W25,,,U16+1,),
OFFSET(T25,,,U16+1,)),
0)</f>
        <v>0</v>
      </c>
      <c r="X18" s="17">
        <f ca="1">IFERROR(
XIRR(
OFFSET(V24,,,X16+COUNT(U6:W6),),
OFFSET(T24,,,X16+COUNT(U6:W6),)),
0)</f>
        <v>9.9521487951278742E-3</v>
      </c>
    </row>
    <row r="19" spans="1:24" x14ac:dyDescent="0.3">
      <c r="B19" t="s">
        <v>20</v>
      </c>
      <c r="C19" s="3">
        <f>(C11+C13+C14)*C7/C6</f>
        <v>1.0135624999999999</v>
      </c>
      <c r="E19" s="3">
        <f>IFERROR((E11+E13+E14)*E7/E6,0)</f>
        <v>0</v>
      </c>
      <c r="F19" s="3">
        <f>(C19*C6+E19*E6)/F6</f>
        <v>1.0135624999999999</v>
      </c>
      <c r="H19" t="s">
        <v>20</v>
      </c>
      <c r="I19" s="3">
        <f>(I11+I13+I14)*I7/I6</f>
        <v>1.0135160000000001</v>
      </c>
      <c r="K19" s="3">
        <f>IFERROR((K11+K13+K14)*K7/K6,0)</f>
        <v>0</v>
      </c>
      <c r="L19" s="3">
        <f>(I19*I6+K19*K6)/L6</f>
        <v>1.0135160000000001</v>
      </c>
      <c r="N19" t="s">
        <v>20</v>
      </c>
      <c r="O19" s="3">
        <f>(O11+O13+O14)*O7/O6</f>
        <v>1.04359</v>
      </c>
      <c r="Q19" s="3">
        <f>IFERROR((Q11+Q13+Q14)*Q7/Q6,0)</f>
        <v>0</v>
      </c>
      <c r="R19" s="3">
        <f>(O19*O6+Q19*Q6)/R6</f>
        <v>1.04359</v>
      </c>
      <c r="T19" t="s">
        <v>20</v>
      </c>
      <c r="U19" s="3">
        <f>(U11+U13+U14)*U7/U6</f>
        <v>1.08369</v>
      </c>
      <c r="W19" s="3">
        <f>IFERROR((W11+W13+W14)*W7/W6,0)</f>
        <v>0</v>
      </c>
      <c r="X19" s="3">
        <f>(U19*U6+W19*W6)/X6</f>
        <v>1.08369</v>
      </c>
    </row>
    <row r="20" spans="1:24" x14ac:dyDescent="0.3">
      <c r="B20" t="s">
        <v>6</v>
      </c>
      <c r="C20" s="8">
        <f>(D2-C8)/365</f>
        <v>5.1890410958904107</v>
      </c>
      <c r="D20" s="8"/>
      <c r="E20" s="8">
        <f ca="1">(D2-E8)/365</f>
        <v>5.0767123287671234</v>
      </c>
      <c r="F20" s="8">
        <f ca="1">(D2-TODAY())/365</f>
        <v>5.0767123287671234</v>
      </c>
      <c r="H20" t="s">
        <v>6</v>
      </c>
      <c r="I20" s="8">
        <f>(J2-I8)/365</f>
        <v>1.1616438356164382</v>
      </c>
      <c r="J20" s="8"/>
      <c r="K20" s="8">
        <f ca="1">(J2-K8)/365</f>
        <v>0.57534246575342463</v>
      </c>
      <c r="L20" s="8">
        <f ca="1">(J2-TODAY())/365</f>
        <v>0.57534246575342463</v>
      </c>
      <c r="N20" t="s">
        <v>6</v>
      </c>
      <c r="O20" s="8">
        <f ca="1">(P2-O8)/365</f>
        <v>1.0767123287671232</v>
      </c>
      <c r="P20" s="8"/>
      <c r="Q20" s="8">
        <f>(P2-Q8)/365</f>
        <v>2.3835616438356166</v>
      </c>
      <c r="R20" s="8">
        <f ca="1">(P2-TODAY())/365</f>
        <v>1.0767123287671232</v>
      </c>
      <c r="T20" t="s">
        <v>6</v>
      </c>
      <c r="U20" s="8">
        <f ca="1">(V2-U8)/365</f>
        <v>2.0767123287671234</v>
      </c>
      <c r="V20" s="8"/>
      <c r="W20" s="8">
        <f>(V2-W8)/365</f>
        <v>3.3835616438356166</v>
      </c>
      <c r="X20" s="8">
        <f ca="1">(V2-TODAY())/365</f>
        <v>2.0767123287671234</v>
      </c>
    </row>
    <row r="21" spans="1:24" x14ac:dyDescent="0.3">
      <c r="B21" t="s">
        <v>13</v>
      </c>
      <c r="C21" s="15">
        <f>SUM(C24:C52)</f>
        <v>734.34999999999991</v>
      </c>
      <c r="E21" s="15">
        <f ca="1">SUM(E24:E41)</f>
        <v>0</v>
      </c>
      <c r="H21" t="s">
        <v>13</v>
      </c>
      <c r="I21" s="15">
        <f>SUM(I24:I41)</f>
        <v>277.82999999999993</v>
      </c>
      <c r="K21" s="15">
        <f ca="1">SUM(K24:K41)</f>
        <v>0</v>
      </c>
      <c r="N21" t="s">
        <v>13</v>
      </c>
      <c r="O21" s="15">
        <f ca="1">SUM(O24:O41)</f>
        <v>48.320000000000618</v>
      </c>
      <c r="Q21" s="15">
        <f ca="1">SUM(Q24:Q41)</f>
        <v>-125</v>
      </c>
      <c r="T21" t="s">
        <v>13</v>
      </c>
      <c r="U21" s="15">
        <f ca="1">SUM(U24:U41)</f>
        <v>278.57000000000153</v>
      </c>
      <c r="W21" s="15">
        <f ca="1">SUM(W24:W41)</f>
        <v>-168.76</v>
      </c>
    </row>
    <row r="22" spans="1:24" x14ac:dyDescent="0.3">
      <c r="B22" s="13"/>
      <c r="C22" s="13"/>
      <c r="E22" s="13"/>
      <c r="H22" s="13"/>
      <c r="I22" s="13"/>
      <c r="K22" s="13"/>
      <c r="N22" s="13"/>
      <c r="O22" s="13"/>
      <c r="Q22" s="13"/>
      <c r="T22" s="13"/>
      <c r="U22" s="13"/>
      <c r="W22" s="13"/>
    </row>
    <row r="24" spans="1:24" x14ac:dyDescent="0.3">
      <c r="B24" s="1">
        <f>C8</f>
        <v>43671</v>
      </c>
      <c r="C24" s="15">
        <f>-SUM(C11:C14)</f>
        <v>-4065.65</v>
      </c>
      <c r="D24" s="13">
        <f>IF(C6&gt;0,-SUM(C11:C14),0)</f>
        <v>-4065.65</v>
      </c>
      <c r="E24" s="15">
        <f t="shared" ref="E24:E45" si="0">IFERROR(D24-C24,"")</f>
        <v>0</v>
      </c>
      <c r="H24" s="1">
        <f>I8</f>
        <v>43498</v>
      </c>
      <c r="I24" s="15">
        <f>-SUM(I11:I14)</f>
        <v>-5097.17</v>
      </c>
      <c r="J24" s="13">
        <f>IF(I6&gt;0,-SUM(I11:I14),0)</f>
        <v>-5097.17</v>
      </c>
      <c r="K24" s="15">
        <f t="shared" ref="K24:K45" si="1">IFERROR(J24-I24,"")</f>
        <v>0</v>
      </c>
      <c r="N24" s="1">
        <f ca="1">O8</f>
        <v>43712</v>
      </c>
      <c r="O24" s="15">
        <f ca="1">-SUM(O11:O14)</f>
        <v>-5389.1799999999994</v>
      </c>
      <c r="P24" s="13">
        <f ca="1">IF(O6&gt;0,-SUM(O11:O14),0)</f>
        <v>-5389.1799999999994</v>
      </c>
      <c r="Q24" s="15">
        <f t="shared" ref="Q24:Q45" ca="1" si="2">IFERROR(P24-O24,"")</f>
        <v>0</v>
      </c>
      <c r="T24" s="1">
        <f ca="1">U8</f>
        <v>43712</v>
      </c>
      <c r="U24" s="15">
        <f ca="1">-SUM(U11:U14)</f>
        <v>-5649.61</v>
      </c>
      <c r="V24" s="13">
        <f ca="1">IF(U6&gt;0,-SUM(U11:U14),0)</f>
        <v>-5649.61</v>
      </c>
      <c r="W24" s="15">
        <f t="shared" ref="W24:W45" ca="1" si="3">IFERROR(V24-U24,"")</f>
        <v>0</v>
      </c>
    </row>
    <row r="25" spans="1:24" x14ac:dyDescent="0.3">
      <c r="B25" s="1">
        <f ca="1">E8</f>
        <v>43712</v>
      </c>
      <c r="D25" s="13">
        <f>IF(E6&gt;0,-SUM(E11:E14),0)</f>
        <v>0</v>
      </c>
      <c r="E25" s="15">
        <f t="shared" si="0"/>
        <v>0</v>
      </c>
      <c r="H25" s="1">
        <f ca="1">K8</f>
        <v>43712</v>
      </c>
      <c r="J25" s="13">
        <f>IF(K6&gt;0,-SUM(K11:K14),0)</f>
        <v>0</v>
      </c>
      <c r="K25" s="15">
        <f t="shared" si="1"/>
        <v>0</v>
      </c>
      <c r="N25" s="1">
        <f>Q8</f>
        <v>43235</v>
      </c>
      <c r="P25" s="13">
        <f>IF(Q6&gt;0,-SUM(Q11:Q14),0)</f>
        <v>0</v>
      </c>
      <c r="Q25" s="15">
        <f t="shared" si="2"/>
        <v>0</v>
      </c>
      <c r="T25" s="1">
        <f>W8</f>
        <v>43235</v>
      </c>
      <c r="V25" s="13">
        <f>IF(W6&gt;0,-SUM(W11:W14),0)</f>
        <v>0</v>
      </c>
      <c r="W25" s="15">
        <f t="shared" si="3"/>
        <v>0</v>
      </c>
    </row>
    <row r="26" spans="1:24" x14ac:dyDescent="0.3">
      <c r="A26" s="19">
        <v>1</v>
      </c>
      <c r="B26" s="1">
        <f>D1</f>
        <v>43739</v>
      </c>
      <c r="C26">
        <f>IF(ISNUMBER(B26),ROUND(IF(B27="",(D$3*C$6/D$4+C$6)/C$7,D$3*C$6/D$4/C$7),2),"")</f>
        <v>40</v>
      </c>
      <c r="D26" s="16">
        <f ca="1">IF(ISNUMBER(B26),ROUND(IF(B27="",D$3/D$4*SUMIF(C$8:E$8,"&lt;"&amp;B26,C$6:E$6)/C$7+SUMIF(C$8:E$8,"&lt;"&amp;B26,C$6:E$6)/C$7,D$3/D$4*SUMIF(C$8:E$8,"&lt;"&amp;B26,C$6:E$6)/C$7),2),"")</f>
        <v>40</v>
      </c>
      <c r="E26" s="15">
        <f t="shared" ca="1" si="0"/>
        <v>0</v>
      </c>
      <c r="G26" s="19">
        <v>1</v>
      </c>
      <c r="H26" s="1">
        <f>J1</f>
        <v>43556</v>
      </c>
      <c r="I26">
        <f>IF(ISNUMBER(H26),ROUND(IF(H27="",(J$3*I$6/J$4+I$6)/I$7,J$3*I$6/J$4/I$7),2),"")</f>
        <v>75</v>
      </c>
      <c r="J26" s="16">
        <f ca="1">IF(ISNUMBER(H26),ROUND(IF(H27="",J$3/J$4*SUMIF(I$8:K$8,"&lt;"&amp;H26,I$6:K$6)/I$7+SUMIF(I$8:K$8,"&lt;"&amp;H26,I$6:K$6)/I$7,J$3/J$4*SUMIF(I$8:K$8,"&lt;"&amp;H26,I$6:K$6)/I$7),2),"")</f>
        <v>75</v>
      </c>
      <c r="K26" s="15">
        <f t="shared" ca="1" si="1"/>
        <v>0</v>
      </c>
      <c r="M26" s="19">
        <v>1</v>
      </c>
      <c r="N26" s="1">
        <f>P1</f>
        <v>43556</v>
      </c>
      <c r="O26">
        <f>IF(ISNUMBER(N26),ROUND(IF(N27="",(P$3*O$6/P$4+O$6)/O$7,P$3*O$6/P$4/O$7),2),"")</f>
        <v>62.5</v>
      </c>
      <c r="P26" s="16">
        <f ca="1">IF(ISNUMBER(N26),ROUND(IF(N27="",P$3/P$4*SUMIF(O$8:Q$8,"&lt;"&amp;N26,O$6:Q$6)/O$7+SUMIF(O$8:Q$8,"&lt;"&amp;N26,O$6:Q$6)/O$7,P$3/P$4*SUMIF(O$8:Q$8,"&lt;"&amp;N26,O$6:Q$6)/O$7),2),"")</f>
        <v>0</v>
      </c>
      <c r="Q26" s="15">
        <f t="shared" ca="1" si="2"/>
        <v>-62.5</v>
      </c>
      <c r="S26" s="19">
        <v>1</v>
      </c>
      <c r="T26" s="1">
        <f>V1</f>
        <v>43556</v>
      </c>
      <c r="U26">
        <f>IF(ISNUMBER(T26),ROUND(IF(T27="",(V$3*U$6/V$4+U$6)/U$7,V$3*U$6/V$4/U$7),2),"")</f>
        <v>84.38</v>
      </c>
      <c r="V26" s="16">
        <f ca="1">IF(ISNUMBER(T26),ROUND(IF(T27="",V$3/V$4*SUMIF(U$8:W$8,"&lt;"&amp;T26,U$6:W$6)/U$7+SUMIF(U$8:W$8,"&lt;"&amp;T26,U$6:W$6)/U$7,V$3/V$4*SUMIF(U$8:W$8,"&lt;"&amp;T26,U$6:W$6)/U$7),2),"")</f>
        <v>0</v>
      </c>
      <c r="W26" s="15">
        <f t="shared" ca="1" si="3"/>
        <v>-84.38</v>
      </c>
    </row>
    <row r="27" spans="1:24" x14ac:dyDescent="0.3">
      <c r="A27" s="19">
        <f>IF(AND(B26&lt;D$2,B26&lt;&gt;0),A26+1,"")</f>
        <v>2</v>
      </c>
      <c r="B27" s="1">
        <f>IF(AND(B26&lt;D$2,B26&lt;&gt;0),DATE(IF(MONTH(B26)&gt;(12-12/D$4),YEAR(B26)+1,YEAR(B26)),IF(MONTH(B26)&gt;(12-12/D$4),MONTH(B26)-(12-12/D$4),MONTH(B26)+12/D$4),DAY(B26)),"")</f>
        <v>43831</v>
      </c>
      <c r="C27">
        <f t="shared" ref="C27:C45" si="4">IF(ISNUMBER(B27),ROUND(IF(B28="",(D$3*C$6/D$4+C$6)/C$7,D$3*C$6/D$4/C$7),2),"")</f>
        <v>40</v>
      </c>
      <c r="D27" s="16">
        <f t="shared" ref="D27:D45" ca="1" si="5">IF(ISNUMBER(B27),ROUND(IF(B28="",D$3/D$4*SUMIF(C$8:E$8,"&lt;"&amp;B27,C$6:E$6)/C$7+SUMIF(C$8:E$8,"&lt;"&amp;B27,C$6:E$6)/C$7,D$3/D$4*SUMIF(C$8:E$8,"&lt;"&amp;B27,C$6:E$6)/C$7),2),"")</f>
        <v>40</v>
      </c>
      <c r="E27" s="15">
        <f t="shared" ca="1" si="0"/>
        <v>0</v>
      </c>
      <c r="G27" s="19">
        <f>IF(AND(H26&lt;J$2,H26&lt;&gt;0),G26+1,"")</f>
        <v>2</v>
      </c>
      <c r="H27" s="1">
        <f>IF(AND(H26&lt;J$2,H26&lt;&gt;0),DATE(IF(MONTH(H26)&gt;(12-12/J$4),YEAR(H26)+1,YEAR(H26)),IF(MONTH(H26)&gt;(12-12/J$4),MONTH(H26)-(12-12/J$4),MONTH(H26)+12/J$4),DAY(H26)),"")</f>
        <v>43647</v>
      </c>
      <c r="I27">
        <f t="shared" ref="I27:I45" si="6">IF(ISNUMBER(H27),ROUND(IF(H28="",(J$3*I$6/J$4+I$6)/I$7,J$3*I$6/J$4/I$7),2),"")</f>
        <v>75</v>
      </c>
      <c r="J27" s="16">
        <f t="shared" ref="J27:J45" ca="1" si="7">IF(ISNUMBER(H27),ROUND(IF(H28="",J$3/J$4*SUMIF(I$8:K$8,"&lt;"&amp;H27,I$6:K$6)/I$7+SUMIF(I$8:K$8,"&lt;"&amp;H27,I$6:K$6)/I$7,J$3/J$4*SUMIF(I$8:K$8,"&lt;"&amp;H27,I$6:K$6)/I$7),2),"")</f>
        <v>75</v>
      </c>
      <c r="K27" s="15">
        <f t="shared" ca="1" si="1"/>
        <v>0</v>
      </c>
      <c r="M27" s="19">
        <f>IF(AND(N26&lt;P$2,N26&lt;&gt;0),M26+1,"")</f>
        <v>2</v>
      </c>
      <c r="N27" s="1">
        <f>IF(AND(N26&lt;P$2,N26&lt;&gt;0),DATE(IF(MONTH(N26)&gt;(12-12/P$4),YEAR(N26)+1,YEAR(N26)),IF(MONTH(N26)&gt;(12-12/P$4),MONTH(N26)-(12-12/P$4),MONTH(N26)+12/P$4),DAY(N26)),"")</f>
        <v>43647</v>
      </c>
      <c r="O27">
        <f t="shared" ref="O27:O45" si="8">IF(ISNUMBER(N27),ROUND(IF(N28="",(P$3*O$6/P$4+O$6)/O$7,P$3*O$6/P$4/O$7),2),"")</f>
        <v>62.5</v>
      </c>
      <c r="P27" s="16">
        <f t="shared" ref="P27:P45" ca="1" si="9">IF(ISNUMBER(N27),ROUND(IF(N28="",P$3/P$4*SUMIF(O$8:Q$8,"&lt;"&amp;N27,O$6:Q$6)/O$7+SUMIF(O$8:Q$8,"&lt;"&amp;N27,O$6:Q$6)/O$7,P$3/P$4*SUMIF(O$8:Q$8,"&lt;"&amp;N27,O$6:Q$6)/O$7),2),"")</f>
        <v>0</v>
      </c>
      <c r="Q27" s="15">
        <f t="shared" ca="1" si="2"/>
        <v>-62.5</v>
      </c>
      <c r="S27" s="19">
        <f>IF(AND(T26&lt;V$2,T26&lt;&gt;0),S26+1,"")</f>
        <v>2</v>
      </c>
      <c r="T27" s="1">
        <f>IF(AND(T26&lt;V$2,T26&lt;&gt;0),DATE(IF(MONTH(T26)&gt;(12-12/V$4),YEAR(T26)+1,YEAR(T26)),IF(MONTH(T26)&gt;(12-12/V$4),MONTH(T26)-(12-12/V$4),MONTH(T26)+12/V$4),DAY(T26)),"")</f>
        <v>43647</v>
      </c>
      <c r="U27">
        <f t="shared" ref="U27:U45" si="10">IF(ISNUMBER(T27),ROUND(IF(T28="",(V$3*U$6/V$4+U$6)/U$7,V$3*U$6/V$4/U$7),2),"")</f>
        <v>84.38</v>
      </c>
      <c r="V27" s="16">
        <f t="shared" ref="V27:V45" ca="1" si="11">IF(ISNUMBER(T27),ROUND(IF(T28="",V$3/V$4*SUMIF(U$8:W$8,"&lt;"&amp;T27,U$6:W$6)/U$7+SUMIF(U$8:W$8,"&lt;"&amp;T27,U$6:W$6)/U$7,V$3/V$4*SUMIF(U$8:W$8,"&lt;"&amp;T27,U$6:W$6)/U$7),2),"")</f>
        <v>0</v>
      </c>
      <c r="W27" s="15">
        <f t="shared" ca="1" si="3"/>
        <v>-84.38</v>
      </c>
    </row>
    <row r="28" spans="1:24" x14ac:dyDescent="0.3">
      <c r="A28" s="19">
        <f t="shared" ref="A28:A45" si="12">IF(AND(B27&lt;D$2,B27&lt;&gt;0),A27+1,"")</f>
        <v>3</v>
      </c>
      <c r="B28" s="1">
        <f t="shared" ref="B28:B45" si="13">IF(AND(B27&lt;D$2,B27&lt;&gt;0),DATE(IF(MONTH(B27)&gt;(12-12/D$4),YEAR(B27)+1,YEAR(B27)),IF(MONTH(B27)&gt;(12-12/D$4),MONTH(B27)-(12-12/D$4),MONTH(B27)+12/D$4),DAY(B27)),"")</f>
        <v>43922</v>
      </c>
      <c r="C28">
        <f t="shared" si="4"/>
        <v>40</v>
      </c>
      <c r="D28" s="16">
        <f t="shared" ca="1" si="5"/>
        <v>40</v>
      </c>
      <c r="E28" s="15">
        <f t="shared" ca="1" si="0"/>
        <v>0</v>
      </c>
      <c r="G28" s="19">
        <f t="shared" ref="G28:G45" si="14">IF(AND(H27&lt;J$2,H27&lt;&gt;0),G27+1,"")</f>
        <v>3</v>
      </c>
      <c r="H28" s="1">
        <f t="shared" ref="H28:H45" si="15">IF(AND(H27&lt;J$2,H27&lt;&gt;0),DATE(IF(MONTH(H27)&gt;(12-12/J$4),YEAR(H27)+1,YEAR(H27)),IF(MONTH(H27)&gt;(12-12/J$4),MONTH(H27)-(12-12/J$4),MONTH(H27)+12/J$4),DAY(H27)),"")</f>
        <v>43739</v>
      </c>
      <c r="I28">
        <f t="shared" si="6"/>
        <v>75</v>
      </c>
      <c r="J28" s="16">
        <f t="shared" ca="1" si="7"/>
        <v>75</v>
      </c>
      <c r="K28" s="15">
        <f t="shared" ca="1" si="1"/>
        <v>0</v>
      </c>
      <c r="M28" s="19">
        <f t="shared" ref="M28:M45" si="16">IF(AND(N27&lt;P$2,N27&lt;&gt;0),M27+1,"")</f>
        <v>3</v>
      </c>
      <c r="N28" s="1">
        <f t="shared" ref="N28:N45" si="17">IF(AND(N27&lt;P$2,N27&lt;&gt;0),DATE(IF(MONTH(N27)&gt;(12-12/P$4),YEAR(N27)+1,YEAR(N27)),IF(MONTH(N27)&gt;(12-12/P$4),MONTH(N27)-(12-12/P$4),MONTH(N27)+12/P$4),DAY(N27)),"")</f>
        <v>43739</v>
      </c>
      <c r="O28">
        <f t="shared" si="8"/>
        <v>62.5</v>
      </c>
      <c r="P28" s="16">
        <f t="shared" ca="1" si="9"/>
        <v>62.5</v>
      </c>
      <c r="Q28" s="15">
        <f t="shared" ca="1" si="2"/>
        <v>0</v>
      </c>
      <c r="S28" s="19">
        <f t="shared" ref="S28:S45" si="18">IF(AND(T27&lt;V$2,T27&lt;&gt;0),S27+1,"")</f>
        <v>3</v>
      </c>
      <c r="T28" s="1">
        <f t="shared" ref="T28:T45" si="19">IF(AND(T27&lt;V$2,T27&lt;&gt;0),DATE(IF(MONTH(T27)&gt;(12-12/V$4),YEAR(T27)+1,YEAR(T27)),IF(MONTH(T27)&gt;(12-12/V$4),MONTH(T27)-(12-12/V$4),MONTH(T27)+12/V$4),DAY(T27)),"")</f>
        <v>43739</v>
      </c>
      <c r="U28">
        <f t="shared" si="10"/>
        <v>84.38</v>
      </c>
      <c r="V28" s="16">
        <f t="shared" ca="1" si="11"/>
        <v>84.38</v>
      </c>
      <c r="W28" s="15">
        <f t="shared" ca="1" si="3"/>
        <v>0</v>
      </c>
    </row>
    <row r="29" spans="1:24" x14ac:dyDescent="0.3">
      <c r="A29" s="19">
        <f t="shared" si="12"/>
        <v>4</v>
      </c>
      <c r="B29" s="1">
        <f t="shared" si="13"/>
        <v>44013</v>
      </c>
      <c r="C29">
        <f t="shared" si="4"/>
        <v>40</v>
      </c>
      <c r="D29" s="16">
        <f t="shared" ca="1" si="5"/>
        <v>40</v>
      </c>
      <c r="E29" s="15">
        <f t="shared" ca="1" si="0"/>
        <v>0</v>
      </c>
      <c r="G29" s="19">
        <f t="shared" si="14"/>
        <v>4</v>
      </c>
      <c r="H29" s="1">
        <f t="shared" si="15"/>
        <v>43831</v>
      </c>
      <c r="I29">
        <f t="shared" si="6"/>
        <v>75</v>
      </c>
      <c r="J29" s="16">
        <f t="shared" ca="1" si="7"/>
        <v>75</v>
      </c>
      <c r="K29" s="15">
        <f t="shared" ca="1" si="1"/>
        <v>0</v>
      </c>
      <c r="M29" s="19">
        <f t="shared" si="16"/>
        <v>4</v>
      </c>
      <c r="N29" s="1">
        <f t="shared" si="17"/>
        <v>43831</v>
      </c>
      <c r="O29">
        <f t="shared" si="8"/>
        <v>62.5</v>
      </c>
      <c r="P29" s="16">
        <f t="shared" ca="1" si="9"/>
        <v>62.5</v>
      </c>
      <c r="Q29" s="15">
        <f t="shared" ca="1" si="2"/>
        <v>0</v>
      </c>
      <c r="S29" s="19">
        <f t="shared" si="18"/>
        <v>4</v>
      </c>
      <c r="T29" s="1">
        <f t="shared" si="19"/>
        <v>43831</v>
      </c>
      <c r="U29">
        <f t="shared" si="10"/>
        <v>84.38</v>
      </c>
      <c r="V29" s="16">
        <f t="shared" ca="1" si="11"/>
        <v>84.38</v>
      </c>
      <c r="W29" s="15">
        <f t="shared" ca="1" si="3"/>
        <v>0</v>
      </c>
    </row>
    <row r="30" spans="1:24" x14ac:dyDescent="0.3">
      <c r="A30" s="19">
        <f t="shared" si="12"/>
        <v>5</v>
      </c>
      <c r="B30" s="1">
        <f t="shared" si="13"/>
        <v>44105</v>
      </c>
      <c r="C30">
        <f t="shared" si="4"/>
        <v>40</v>
      </c>
      <c r="D30" s="16">
        <f t="shared" ca="1" si="5"/>
        <v>40</v>
      </c>
      <c r="E30" s="15">
        <f t="shared" ca="1" si="0"/>
        <v>0</v>
      </c>
      <c r="G30" s="19">
        <f t="shared" si="14"/>
        <v>5</v>
      </c>
      <c r="H30" s="1">
        <f t="shared" si="15"/>
        <v>43922</v>
      </c>
      <c r="I30">
        <f t="shared" si="6"/>
        <v>5075</v>
      </c>
      <c r="J30" s="16">
        <f t="shared" ca="1" si="7"/>
        <v>5075</v>
      </c>
      <c r="K30" s="15">
        <f t="shared" ca="1" si="1"/>
        <v>0</v>
      </c>
      <c r="M30" s="19">
        <f t="shared" si="16"/>
        <v>5</v>
      </c>
      <c r="N30" s="1">
        <f t="shared" si="17"/>
        <v>43922</v>
      </c>
      <c r="O30">
        <f t="shared" si="8"/>
        <v>62.5</v>
      </c>
      <c r="P30" s="16">
        <f t="shared" ca="1" si="9"/>
        <v>62.5</v>
      </c>
      <c r="Q30" s="15">
        <f t="shared" ca="1" si="2"/>
        <v>0</v>
      </c>
      <c r="S30" s="19">
        <f t="shared" si="18"/>
        <v>5</v>
      </c>
      <c r="T30" s="1">
        <f t="shared" si="19"/>
        <v>43922</v>
      </c>
      <c r="U30">
        <f t="shared" si="10"/>
        <v>84.38</v>
      </c>
      <c r="V30" s="16">
        <f t="shared" ca="1" si="11"/>
        <v>84.38</v>
      </c>
      <c r="W30" s="15">
        <f t="shared" ca="1" si="3"/>
        <v>0</v>
      </c>
    </row>
    <row r="31" spans="1:24" x14ac:dyDescent="0.3">
      <c r="A31" s="19">
        <f t="shared" si="12"/>
        <v>6</v>
      </c>
      <c r="B31" s="1">
        <f t="shared" si="13"/>
        <v>44197</v>
      </c>
      <c r="C31">
        <f t="shared" si="4"/>
        <v>40</v>
      </c>
      <c r="D31" s="16">
        <f t="shared" ca="1" si="5"/>
        <v>40</v>
      </c>
      <c r="E31" s="15">
        <f t="shared" ca="1" si="0"/>
        <v>0</v>
      </c>
      <c r="G31" s="19" t="str">
        <f t="shared" si="14"/>
        <v/>
      </c>
      <c r="H31" s="1" t="str">
        <f t="shared" si="15"/>
        <v/>
      </c>
      <c r="I31" t="str">
        <f t="shared" si="6"/>
        <v/>
      </c>
      <c r="J31" s="16" t="str">
        <f t="shared" si="7"/>
        <v/>
      </c>
      <c r="K31" s="15" t="str">
        <f t="shared" si="1"/>
        <v/>
      </c>
      <c r="M31" s="19">
        <f t="shared" si="16"/>
        <v>6</v>
      </c>
      <c r="N31" s="1">
        <f t="shared" si="17"/>
        <v>44013</v>
      </c>
      <c r="O31">
        <f t="shared" si="8"/>
        <v>62.5</v>
      </c>
      <c r="P31" s="16">
        <f t="shared" ca="1" si="9"/>
        <v>62.5</v>
      </c>
      <c r="Q31" s="15">
        <f t="shared" ca="1" si="2"/>
        <v>0</v>
      </c>
      <c r="S31" s="19">
        <f t="shared" si="18"/>
        <v>6</v>
      </c>
      <c r="T31" s="1">
        <f t="shared" si="19"/>
        <v>44013</v>
      </c>
      <c r="U31">
        <f t="shared" si="10"/>
        <v>84.38</v>
      </c>
      <c r="V31" s="16">
        <f t="shared" ca="1" si="11"/>
        <v>84.38</v>
      </c>
      <c r="W31" s="15">
        <f t="shared" ca="1" si="3"/>
        <v>0</v>
      </c>
    </row>
    <row r="32" spans="1:24" x14ac:dyDescent="0.3">
      <c r="A32" s="19">
        <f t="shared" si="12"/>
        <v>7</v>
      </c>
      <c r="B32" s="1">
        <f t="shared" si="13"/>
        <v>44287</v>
      </c>
      <c r="C32">
        <f t="shared" si="4"/>
        <v>40</v>
      </c>
      <c r="D32" s="16">
        <f t="shared" ca="1" si="5"/>
        <v>40</v>
      </c>
      <c r="E32" s="15">
        <f t="shared" ca="1" si="0"/>
        <v>0</v>
      </c>
      <c r="G32" s="19" t="str">
        <f t="shared" si="14"/>
        <v/>
      </c>
      <c r="H32" s="1" t="str">
        <f t="shared" si="15"/>
        <v/>
      </c>
      <c r="I32" t="str">
        <f t="shared" si="6"/>
        <v/>
      </c>
      <c r="J32" s="16" t="str">
        <f t="shared" si="7"/>
        <v/>
      </c>
      <c r="K32" s="15" t="str">
        <f t="shared" si="1"/>
        <v/>
      </c>
      <c r="M32" s="19">
        <f t="shared" si="16"/>
        <v>7</v>
      </c>
      <c r="N32" s="1">
        <f t="shared" si="17"/>
        <v>44105</v>
      </c>
      <c r="O32">
        <f t="shared" si="8"/>
        <v>5062.5</v>
      </c>
      <c r="P32" s="16">
        <f t="shared" ca="1" si="9"/>
        <v>5062.5</v>
      </c>
      <c r="Q32" s="15">
        <f t="shared" ca="1" si="2"/>
        <v>0</v>
      </c>
      <c r="S32" s="19">
        <f t="shared" si="18"/>
        <v>7</v>
      </c>
      <c r="T32" s="1">
        <f t="shared" si="19"/>
        <v>44105</v>
      </c>
      <c r="U32">
        <f t="shared" si="10"/>
        <v>84.38</v>
      </c>
      <c r="V32" s="16">
        <f t="shared" ca="1" si="11"/>
        <v>84.38</v>
      </c>
      <c r="W32" s="15">
        <f t="shared" ca="1" si="3"/>
        <v>0</v>
      </c>
    </row>
    <row r="33" spans="1:23" x14ac:dyDescent="0.3">
      <c r="A33" s="19">
        <f t="shared" si="12"/>
        <v>8</v>
      </c>
      <c r="B33" s="1">
        <f t="shared" si="13"/>
        <v>44378</v>
      </c>
      <c r="C33">
        <f t="shared" si="4"/>
        <v>40</v>
      </c>
      <c r="D33" s="16">
        <f t="shared" ca="1" si="5"/>
        <v>40</v>
      </c>
      <c r="E33" s="15">
        <f t="shared" ca="1" si="0"/>
        <v>0</v>
      </c>
      <c r="G33" s="19" t="str">
        <f t="shared" si="14"/>
        <v/>
      </c>
      <c r="H33" s="1" t="str">
        <f t="shared" si="15"/>
        <v/>
      </c>
      <c r="I33" t="str">
        <f t="shared" si="6"/>
        <v/>
      </c>
      <c r="J33" s="16" t="str">
        <f t="shared" si="7"/>
        <v/>
      </c>
      <c r="K33" s="15" t="str">
        <f t="shared" si="1"/>
        <v/>
      </c>
      <c r="M33" s="19" t="str">
        <f t="shared" si="16"/>
        <v/>
      </c>
      <c r="N33" s="1" t="str">
        <f t="shared" si="17"/>
        <v/>
      </c>
      <c r="O33" t="str">
        <f t="shared" si="8"/>
        <v/>
      </c>
      <c r="P33" s="16" t="str">
        <f t="shared" si="9"/>
        <v/>
      </c>
      <c r="Q33" s="15" t="str">
        <f t="shared" si="2"/>
        <v/>
      </c>
      <c r="S33" s="19">
        <f t="shared" si="18"/>
        <v>8</v>
      </c>
      <c r="T33" s="1">
        <f t="shared" si="19"/>
        <v>44197</v>
      </c>
      <c r="U33">
        <f t="shared" si="10"/>
        <v>84.38</v>
      </c>
      <c r="V33" s="16">
        <f t="shared" ca="1" si="11"/>
        <v>84.38</v>
      </c>
      <c r="W33" s="15">
        <f t="shared" ca="1" si="3"/>
        <v>0</v>
      </c>
    </row>
    <row r="34" spans="1:23" x14ac:dyDescent="0.3">
      <c r="A34" s="19">
        <f t="shared" si="12"/>
        <v>9</v>
      </c>
      <c r="B34" s="1">
        <f t="shared" si="13"/>
        <v>44470</v>
      </c>
      <c r="C34">
        <f t="shared" si="4"/>
        <v>40</v>
      </c>
      <c r="D34" s="16">
        <f t="shared" ca="1" si="5"/>
        <v>40</v>
      </c>
      <c r="E34" s="15">
        <f t="shared" ca="1" si="0"/>
        <v>0</v>
      </c>
      <c r="G34" s="19" t="str">
        <f t="shared" si="14"/>
        <v/>
      </c>
      <c r="H34" s="1" t="str">
        <f t="shared" si="15"/>
        <v/>
      </c>
      <c r="I34" t="str">
        <f t="shared" si="6"/>
        <v/>
      </c>
      <c r="J34" s="16" t="str">
        <f t="shared" si="7"/>
        <v/>
      </c>
      <c r="K34" s="15" t="str">
        <f t="shared" si="1"/>
        <v/>
      </c>
      <c r="M34" s="19" t="str">
        <f t="shared" si="16"/>
        <v/>
      </c>
      <c r="N34" s="1" t="str">
        <f t="shared" si="17"/>
        <v/>
      </c>
      <c r="O34" t="str">
        <f t="shared" si="8"/>
        <v/>
      </c>
      <c r="P34" s="16" t="str">
        <f t="shared" si="9"/>
        <v/>
      </c>
      <c r="Q34" s="15" t="str">
        <f t="shared" si="2"/>
        <v/>
      </c>
      <c r="S34" s="19">
        <f t="shared" si="18"/>
        <v>9</v>
      </c>
      <c r="T34" s="1">
        <f t="shared" si="19"/>
        <v>44287</v>
      </c>
      <c r="U34">
        <f t="shared" si="10"/>
        <v>84.38</v>
      </c>
      <c r="V34" s="16">
        <f t="shared" ca="1" si="11"/>
        <v>84.38</v>
      </c>
      <c r="W34" s="15">
        <f t="shared" ca="1" si="3"/>
        <v>0</v>
      </c>
    </row>
    <row r="35" spans="1:23" x14ac:dyDescent="0.3">
      <c r="A35" s="19">
        <f t="shared" si="12"/>
        <v>10</v>
      </c>
      <c r="B35" s="1">
        <f t="shared" si="13"/>
        <v>44562</v>
      </c>
      <c r="C35">
        <f t="shared" si="4"/>
        <v>40</v>
      </c>
      <c r="D35" s="16">
        <f t="shared" ca="1" si="5"/>
        <v>40</v>
      </c>
      <c r="E35" s="15">
        <f t="shared" ca="1" si="0"/>
        <v>0</v>
      </c>
      <c r="G35" s="19" t="str">
        <f t="shared" si="14"/>
        <v/>
      </c>
      <c r="H35" s="1" t="str">
        <f t="shared" si="15"/>
        <v/>
      </c>
      <c r="I35" t="str">
        <f t="shared" si="6"/>
        <v/>
      </c>
      <c r="J35" s="16" t="str">
        <f t="shared" si="7"/>
        <v/>
      </c>
      <c r="K35" s="15" t="str">
        <f t="shared" si="1"/>
        <v/>
      </c>
      <c r="M35" s="19" t="str">
        <f t="shared" si="16"/>
        <v/>
      </c>
      <c r="N35" s="1" t="str">
        <f t="shared" si="17"/>
        <v/>
      </c>
      <c r="O35" t="str">
        <f t="shared" si="8"/>
        <v/>
      </c>
      <c r="P35" s="16" t="str">
        <f t="shared" si="9"/>
        <v/>
      </c>
      <c r="Q35" s="15" t="str">
        <f t="shared" si="2"/>
        <v/>
      </c>
      <c r="S35" s="19">
        <f t="shared" si="18"/>
        <v>10</v>
      </c>
      <c r="T35" s="1">
        <f t="shared" si="19"/>
        <v>44378</v>
      </c>
      <c r="U35">
        <f t="shared" si="10"/>
        <v>84.38</v>
      </c>
      <c r="V35" s="16">
        <f t="shared" ca="1" si="11"/>
        <v>84.38</v>
      </c>
      <c r="W35" s="15">
        <f t="shared" ca="1" si="3"/>
        <v>0</v>
      </c>
    </row>
    <row r="36" spans="1:23" x14ac:dyDescent="0.3">
      <c r="A36" s="19">
        <f t="shared" si="12"/>
        <v>11</v>
      </c>
      <c r="B36" s="1">
        <f t="shared" si="13"/>
        <v>44652</v>
      </c>
      <c r="C36">
        <f t="shared" si="4"/>
        <v>40</v>
      </c>
      <c r="D36" s="16">
        <f t="shared" ca="1" si="5"/>
        <v>40</v>
      </c>
      <c r="E36" s="15">
        <f t="shared" ca="1" si="0"/>
        <v>0</v>
      </c>
      <c r="G36" s="19" t="str">
        <f t="shared" si="14"/>
        <v/>
      </c>
      <c r="H36" s="1" t="str">
        <f t="shared" si="15"/>
        <v/>
      </c>
      <c r="I36" t="str">
        <f t="shared" si="6"/>
        <v/>
      </c>
      <c r="J36" s="16" t="str">
        <f t="shared" si="7"/>
        <v/>
      </c>
      <c r="K36" s="15" t="str">
        <f t="shared" si="1"/>
        <v/>
      </c>
      <c r="M36" s="19" t="str">
        <f t="shared" si="16"/>
        <v/>
      </c>
      <c r="N36" s="1" t="str">
        <f t="shared" si="17"/>
        <v/>
      </c>
      <c r="O36" t="str">
        <f t="shared" si="8"/>
        <v/>
      </c>
      <c r="P36" s="16" t="str">
        <f t="shared" si="9"/>
        <v/>
      </c>
      <c r="Q36" s="15" t="str">
        <f t="shared" si="2"/>
        <v/>
      </c>
      <c r="S36" s="19">
        <f t="shared" si="18"/>
        <v>11</v>
      </c>
      <c r="T36" s="1">
        <f t="shared" si="19"/>
        <v>44470</v>
      </c>
      <c r="U36">
        <f t="shared" si="10"/>
        <v>5084.38</v>
      </c>
      <c r="V36" s="16">
        <f t="shared" ca="1" si="11"/>
        <v>5084.38</v>
      </c>
      <c r="W36" s="15">
        <f t="shared" ca="1" si="3"/>
        <v>0</v>
      </c>
    </row>
    <row r="37" spans="1:23" x14ac:dyDescent="0.3">
      <c r="A37" s="19">
        <f t="shared" si="12"/>
        <v>12</v>
      </c>
      <c r="B37" s="1">
        <f t="shared" si="13"/>
        <v>44743</v>
      </c>
      <c r="C37">
        <f t="shared" si="4"/>
        <v>40</v>
      </c>
      <c r="D37" s="16">
        <f t="shared" ca="1" si="5"/>
        <v>40</v>
      </c>
      <c r="E37" s="15">
        <f t="shared" ca="1" si="0"/>
        <v>0</v>
      </c>
      <c r="G37" s="19" t="str">
        <f t="shared" si="14"/>
        <v/>
      </c>
      <c r="H37" s="1" t="str">
        <f t="shared" si="15"/>
        <v/>
      </c>
      <c r="I37" t="str">
        <f t="shared" si="6"/>
        <v/>
      </c>
      <c r="J37" s="16" t="str">
        <f t="shared" si="7"/>
        <v/>
      </c>
      <c r="K37" s="15" t="str">
        <f t="shared" si="1"/>
        <v/>
      </c>
      <c r="M37" s="19" t="str">
        <f t="shared" si="16"/>
        <v/>
      </c>
      <c r="N37" s="1" t="str">
        <f t="shared" si="17"/>
        <v/>
      </c>
      <c r="O37" t="str">
        <f t="shared" si="8"/>
        <v/>
      </c>
      <c r="P37" s="16" t="str">
        <f t="shared" si="9"/>
        <v/>
      </c>
      <c r="Q37" s="15" t="str">
        <f t="shared" si="2"/>
        <v/>
      </c>
      <c r="S37" s="19" t="str">
        <f t="shared" si="18"/>
        <v/>
      </c>
      <c r="T37" s="1" t="str">
        <f t="shared" si="19"/>
        <v/>
      </c>
      <c r="U37" t="str">
        <f t="shared" si="10"/>
        <v/>
      </c>
      <c r="V37" s="16" t="str">
        <f t="shared" si="11"/>
        <v/>
      </c>
      <c r="W37" s="15" t="str">
        <f t="shared" si="3"/>
        <v/>
      </c>
    </row>
    <row r="38" spans="1:23" x14ac:dyDescent="0.3">
      <c r="A38" s="19">
        <f t="shared" si="12"/>
        <v>13</v>
      </c>
      <c r="B38" s="1">
        <f t="shared" si="13"/>
        <v>44835</v>
      </c>
      <c r="C38">
        <f t="shared" si="4"/>
        <v>40</v>
      </c>
      <c r="D38" s="16">
        <f t="shared" ca="1" si="5"/>
        <v>40</v>
      </c>
      <c r="E38" s="15">
        <f t="shared" ca="1" si="0"/>
        <v>0</v>
      </c>
      <c r="G38" s="19" t="str">
        <f t="shared" si="14"/>
        <v/>
      </c>
      <c r="H38" s="1" t="str">
        <f t="shared" si="15"/>
        <v/>
      </c>
      <c r="I38" t="str">
        <f t="shared" si="6"/>
        <v/>
      </c>
      <c r="J38" s="16" t="str">
        <f t="shared" si="7"/>
        <v/>
      </c>
      <c r="K38" s="15" t="str">
        <f t="shared" si="1"/>
        <v/>
      </c>
      <c r="M38" s="19" t="str">
        <f t="shared" si="16"/>
        <v/>
      </c>
      <c r="N38" s="1" t="str">
        <f t="shared" si="17"/>
        <v/>
      </c>
      <c r="O38" t="str">
        <f t="shared" si="8"/>
        <v/>
      </c>
      <c r="P38" s="16" t="str">
        <f t="shared" si="9"/>
        <v/>
      </c>
      <c r="Q38" s="15" t="str">
        <f t="shared" si="2"/>
        <v/>
      </c>
      <c r="S38" s="19" t="str">
        <f t="shared" si="18"/>
        <v/>
      </c>
      <c r="T38" s="1" t="str">
        <f t="shared" si="19"/>
        <v/>
      </c>
      <c r="U38" t="str">
        <f t="shared" si="10"/>
        <v/>
      </c>
      <c r="V38" s="16" t="str">
        <f t="shared" si="11"/>
        <v/>
      </c>
      <c r="W38" s="15" t="str">
        <f t="shared" si="3"/>
        <v/>
      </c>
    </row>
    <row r="39" spans="1:23" x14ac:dyDescent="0.3">
      <c r="A39" s="19">
        <f t="shared" si="12"/>
        <v>14</v>
      </c>
      <c r="B39" s="1">
        <f t="shared" si="13"/>
        <v>44927</v>
      </c>
      <c r="C39">
        <f t="shared" si="4"/>
        <v>40</v>
      </c>
      <c r="D39" s="16">
        <f t="shared" ca="1" si="5"/>
        <v>40</v>
      </c>
      <c r="E39" s="15">
        <f t="shared" ca="1" si="0"/>
        <v>0</v>
      </c>
      <c r="G39" s="19" t="str">
        <f t="shared" si="14"/>
        <v/>
      </c>
      <c r="H39" s="1" t="str">
        <f t="shared" si="15"/>
        <v/>
      </c>
      <c r="I39" t="str">
        <f t="shared" si="6"/>
        <v/>
      </c>
      <c r="J39" s="16" t="str">
        <f t="shared" si="7"/>
        <v/>
      </c>
      <c r="K39" s="15" t="str">
        <f t="shared" si="1"/>
        <v/>
      </c>
      <c r="M39" s="19" t="str">
        <f t="shared" si="16"/>
        <v/>
      </c>
      <c r="N39" s="1" t="str">
        <f t="shared" si="17"/>
        <v/>
      </c>
      <c r="O39" t="str">
        <f t="shared" si="8"/>
        <v/>
      </c>
      <c r="P39" s="16" t="str">
        <f t="shared" si="9"/>
        <v/>
      </c>
      <c r="Q39" s="15" t="str">
        <f t="shared" si="2"/>
        <v/>
      </c>
      <c r="S39" s="19" t="str">
        <f t="shared" si="18"/>
        <v/>
      </c>
      <c r="T39" s="1" t="str">
        <f t="shared" si="19"/>
        <v/>
      </c>
      <c r="U39" t="str">
        <f t="shared" si="10"/>
        <v/>
      </c>
      <c r="V39" s="16" t="str">
        <f t="shared" si="11"/>
        <v/>
      </c>
      <c r="W39" s="15" t="str">
        <f t="shared" si="3"/>
        <v/>
      </c>
    </row>
    <row r="40" spans="1:23" x14ac:dyDescent="0.3">
      <c r="A40" s="19">
        <f t="shared" si="12"/>
        <v>15</v>
      </c>
      <c r="B40" s="1">
        <f t="shared" si="13"/>
        <v>45017</v>
      </c>
      <c r="C40">
        <f t="shared" si="4"/>
        <v>40</v>
      </c>
      <c r="D40" s="16">
        <f t="shared" ca="1" si="5"/>
        <v>40</v>
      </c>
      <c r="E40" s="15">
        <f t="shared" ca="1" si="0"/>
        <v>0</v>
      </c>
      <c r="G40" s="19" t="str">
        <f t="shared" si="14"/>
        <v/>
      </c>
      <c r="H40" s="1" t="str">
        <f t="shared" si="15"/>
        <v/>
      </c>
      <c r="I40" t="str">
        <f t="shared" si="6"/>
        <v/>
      </c>
      <c r="J40" s="16" t="str">
        <f t="shared" si="7"/>
        <v/>
      </c>
      <c r="K40" s="15" t="str">
        <f t="shared" si="1"/>
        <v/>
      </c>
      <c r="M40" s="19" t="str">
        <f t="shared" si="16"/>
        <v/>
      </c>
      <c r="N40" s="1" t="str">
        <f t="shared" si="17"/>
        <v/>
      </c>
      <c r="O40" t="str">
        <f t="shared" si="8"/>
        <v/>
      </c>
      <c r="P40" s="16" t="str">
        <f t="shared" si="9"/>
        <v/>
      </c>
      <c r="Q40" s="15" t="str">
        <f t="shared" si="2"/>
        <v/>
      </c>
      <c r="S40" s="19" t="str">
        <f t="shared" si="18"/>
        <v/>
      </c>
      <c r="T40" s="1" t="str">
        <f t="shared" si="19"/>
        <v/>
      </c>
      <c r="U40" t="str">
        <f t="shared" si="10"/>
        <v/>
      </c>
      <c r="V40" s="16" t="str">
        <f t="shared" si="11"/>
        <v/>
      </c>
      <c r="W40" s="15" t="str">
        <f t="shared" si="3"/>
        <v/>
      </c>
    </row>
    <row r="41" spans="1:23" x14ac:dyDescent="0.3">
      <c r="A41" s="19">
        <f t="shared" si="12"/>
        <v>16</v>
      </c>
      <c r="B41" s="1">
        <f t="shared" si="13"/>
        <v>45108</v>
      </c>
      <c r="C41">
        <f t="shared" si="4"/>
        <v>40</v>
      </c>
      <c r="D41" s="16">
        <f t="shared" ca="1" si="5"/>
        <v>40</v>
      </c>
      <c r="E41" s="15">
        <f t="shared" ca="1" si="0"/>
        <v>0</v>
      </c>
      <c r="G41" s="19" t="str">
        <f t="shared" si="14"/>
        <v/>
      </c>
      <c r="H41" s="1" t="str">
        <f t="shared" si="15"/>
        <v/>
      </c>
      <c r="I41" t="str">
        <f t="shared" si="6"/>
        <v/>
      </c>
      <c r="J41" s="16" t="str">
        <f t="shared" si="7"/>
        <v/>
      </c>
      <c r="K41" s="15" t="str">
        <f t="shared" si="1"/>
        <v/>
      </c>
      <c r="M41" s="19" t="str">
        <f t="shared" si="16"/>
        <v/>
      </c>
      <c r="N41" s="1" t="str">
        <f t="shared" si="17"/>
        <v/>
      </c>
      <c r="O41" t="str">
        <f t="shared" si="8"/>
        <v/>
      </c>
      <c r="P41" s="16" t="str">
        <f t="shared" si="9"/>
        <v/>
      </c>
      <c r="Q41" s="15" t="str">
        <f t="shared" si="2"/>
        <v/>
      </c>
      <c r="S41" s="19" t="str">
        <f t="shared" si="18"/>
        <v/>
      </c>
      <c r="T41" s="1" t="str">
        <f t="shared" si="19"/>
        <v/>
      </c>
      <c r="U41" t="str">
        <f t="shared" si="10"/>
        <v/>
      </c>
      <c r="V41" s="16" t="str">
        <f t="shared" si="11"/>
        <v/>
      </c>
      <c r="W41" s="15" t="str">
        <f t="shared" si="3"/>
        <v/>
      </c>
    </row>
    <row r="42" spans="1:23" x14ac:dyDescent="0.3">
      <c r="A42" s="19">
        <f t="shared" si="12"/>
        <v>17</v>
      </c>
      <c r="B42" s="1">
        <f t="shared" si="13"/>
        <v>45200</v>
      </c>
      <c r="C42">
        <f t="shared" si="4"/>
        <v>40</v>
      </c>
      <c r="D42" s="16">
        <f t="shared" ca="1" si="5"/>
        <v>40</v>
      </c>
      <c r="E42" s="15">
        <f t="shared" ca="1" si="0"/>
        <v>0</v>
      </c>
      <c r="G42" s="19" t="str">
        <f t="shared" si="14"/>
        <v/>
      </c>
      <c r="H42" s="1" t="str">
        <f t="shared" si="15"/>
        <v/>
      </c>
      <c r="I42" t="str">
        <f t="shared" si="6"/>
        <v/>
      </c>
      <c r="J42" s="16" t="str">
        <f t="shared" si="7"/>
        <v/>
      </c>
      <c r="K42" s="15" t="str">
        <f t="shared" si="1"/>
        <v/>
      </c>
      <c r="M42" s="19" t="str">
        <f t="shared" si="16"/>
        <v/>
      </c>
      <c r="N42" s="1" t="str">
        <f t="shared" si="17"/>
        <v/>
      </c>
      <c r="O42" t="str">
        <f t="shared" si="8"/>
        <v/>
      </c>
      <c r="P42" s="16" t="str">
        <f t="shared" si="9"/>
        <v/>
      </c>
      <c r="Q42" s="15" t="str">
        <f t="shared" si="2"/>
        <v/>
      </c>
      <c r="S42" s="19" t="str">
        <f t="shared" si="18"/>
        <v/>
      </c>
      <c r="T42" s="1" t="str">
        <f t="shared" si="19"/>
        <v/>
      </c>
      <c r="U42" t="str">
        <f t="shared" si="10"/>
        <v/>
      </c>
      <c r="V42" s="16" t="str">
        <f t="shared" si="11"/>
        <v/>
      </c>
      <c r="W42" s="15" t="str">
        <f t="shared" si="3"/>
        <v/>
      </c>
    </row>
    <row r="43" spans="1:23" x14ac:dyDescent="0.3">
      <c r="A43" s="19">
        <f t="shared" si="12"/>
        <v>18</v>
      </c>
      <c r="B43" s="1">
        <f t="shared" si="13"/>
        <v>45292</v>
      </c>
      <c r="C43">
        <f t="shared" si="4"/>
        <v>40</v>
      </c>
      <c r="D43" s="16">
        <f t="shared" ca="1" si="5"/>
        <v>40</v>
      </c>
      <c r="E43" s="15">
        <f t="shared" ca="1" si="0"/>
        <v>0</v>
      </c>
      <c r="G43" s="19" t="str">
        <f t="shared" si="14"/>
        <v/>
      </c>
      <c r="H43" s="1" t="str">
        <f t="shared" si="15"/>
        <v/>
      </c>
      <c r="I43" t="str">
        <f t="shared" si="6"/>
        <v/>
      </c>
      <c r="J43" s="16" t="str">
        <f t="shared" si="7"/>
        <v/>
      </c>
      <c r="K43" s="15" t="str">
        <f t="shared" si="1"/>
        <v/>
      </c>
      <c r="M43" s="19" t="str">
        <f t="shared" si="16"/>
        <v/>
      </c>
      <c r="N43" s="1" t="str">
        <f t="shared" si="17"/>
        <v/>
      </c>
      <c r="O43" t="str">
        <f t="shared" si="8"/>
        <v/>
      </c>
      <c r="P43" s="16" t="str">
        <f t="shared" si="9"/>
        <v/>
      </c>
      <c r="Q43" s="15" t="str">
        <f t="shared" si="2"/>
        <v/>
      </c>
      <c r="S43" s="19" t="str">
        <f t="shared" si="18"/>
        <v/>
      </c>
      <c r="T43" s="1" t="str">
        <f t="shared" si="19"/>
        <v/>
      </c>
      <c r="U43" t="str">
        <f t="shared" si="10"/>
        <v/>
      </c>
      <c r="V43" s="16" t="str">
        <f t="shared" si="11"/>
        <v/>
      </c>
      <c r="W43" s="15" t="str">
        <f t="shared" si="3"/>
        <v/>
      </c>
    </row>
    <row r="44" spans="1:23" x14ac:dyDescent="0.3">
      <c r="A44" s="19">
        <f t="shared" si="12"/>
        <v>19</v>
      </c>
      <c r="B44" s="1">
        <f t="shared" si="13"/>
        <v>45383</v>
      </c>
      <c r="C44">
        <f t="shared" si="4"/>
        <v>40</v>
      </c>
      <c r="D44" s="16">
        <f t="shared" ca="1" si="5"/>
        <v>40</v>
      </c>
      <c r="E44" s="15">
        <f t="shared" ca="1" si="0"/>
        <v>0</v>
      </c>
      <c r="G44" s="19" t="str">
        <f t="shared" si="14"/>
        <v/>
      </c>
      <c r="H44" s="1" t="str">
        <f t="shared" si="15"/>
        <v/>
      </c>
      <c r="I44" t="str">
        <f t="shared" si="6"/>
        <v/>
      </c>
      <c r="J44" s="16" t="str">
        <f t="shared" si="7"/>
        <v/>
      </c>
      <c r="K44" s="15" t="str">
        <f t="shared" si="1"/>
        <v/>
      </c>
      <c r="M44" s="19" t="str">
        <f t="shared" si="16"/>
        <v/>
      </c>
      <c r="N44" s="1" t="str">
        <f t="shared" si="17"/>
        <v/>
      </c>
      <c r="O44" t="str">
        <f t="shared" si="8"/>
        <v/>
      </c>
      <c r="P44" s="16" t="str">
        <f t="shared" si="9"/>
        <v/>
      </c>
      <c r="Q44" s="15" t="str">
        <f t="shared" si="2"/>
        <v/>
      </c>
      <c r="S44" s="19" t="str">
        <f t="shared" si="18"/>
        <v/>
      </c>
      <c r="T44" s="1" t="str">
        <f t="shared" si="19"/>
        <v/>
      </c>
      <c r="U44" t="str">
        <f t="shared" si="10"/>
        <v/>
      </c>
      <c r="V44" s="16" t="str">
        <f t="shared" si="11"/>
        <v/>
      </c>
      <c r="W44" s="15" t="str">
        <f t="shared" si="3"/>
        <v/>
      </c>
    </row>
    <row r="45" spans="1:23" x14ac:dyDescent="0.3">
      <c r="A45" s="19">
        <f t="shared" si="12"/>
        <v>20</v>
      </c>
      <c r="B45" s="1">
        <f t="shared" si="13"/>
        <v>45474</v>
      </c>
      <c r="C45">
        <f t="shared" si="4"/>
        <v>4040</v>
      </c>
      <c r="D45" s="16">
        <f t="shared" ca="1" si="5"/>
        <v>4040</v>
      </c>
      <c r="E45" s="15">
        <f t="shared" ca="1" si="0"/>
        <v>0</v>
      </c>
      <c r="G45" s="19" t="str">
        <f t="shared" si="14"/>
        <v/>
      </c>
      <c r="H45" s="1" t="str">
        <f t="shared" si="15"/>
        <v/>
      </c>
      <c r="I45" t="str">
        <f t="shared" si="6"/>
        <v/>
      </c>
      <c r="J45" s="16" t="str">
        <f t="shared" si="7"/>
        <v/>
      </c>
      <c r="K45" s="15" t="str">
        <f t="shared" si="1"/>
        <v/>
      </c>
      <c r="M45" s="19" t="str">
        <f t="shared" si="16"/>
        <v/>
      </c>
      <c r="N45" s="1" t="str">
        <f t="shared" si="17"/>
        <v/>
      </c>
      <c r="O45" t="str">
        <f t="shared" si="8"/>
        <v/>
      </c>
      <c r="P45" s="16" t="str">
        <f t="shared" si="9"/>
        <v/>
      </c>
      <c r="Q45" s="15" t="str">
        <f t="shared" si="2"/>
        <v/>
      </c>
      <c r="S45" s="19" t="str">
        <f t="shared" si="18"/>
        <v/>
      </c>
      <c r="T45" s="1" t="str">
        <f t="shared" si="19"/>
        <v/>
      </c>
      <c r="U45" t="str">
        <f t="shared" si="10"/>
        <v/>
      </c>
      <c r="V45" s="16" t="str">
        <f t="shared" si="11"/>
        <v/>
      </c>
      <c r="W45" s="15" t="str">
        <f t="shared" si="3"/>
        <v/>
      </c>
    </row>
    <row r="57" spans="3:21" x14ac:dyDescent="0.3">
      <c r="C57" t="s">
        <v>22</v>
      </c>
      <c r="I57" t="s">
        <v>22</v>
      </c>
      <c r="O57" t="s">
        <v>22</v>
      </c>
      <c r="U57" t="s">
        <v>22</v>
      </c>
    </row>
    <row r="58" spans="3:21" x14ac:dyDescent="0.3">
      <c r="C58" t="s">
        <v>21</v>
      </c>
      <c r="I58" t="s">
        <v>21</v>
      </c>
      <c r="O58" t="s">
        <v>21</v>
      </c>
      <c r="U58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LEER</vt:lpstr>
      <vt:lpstr>evan</vt:lpstr>
      <vt:lpstr>Mogo</vt:lpstr>
      <vt:lpstr>Ekosem</vt:lpstr>
      <vt:lpstr>Ferratum</vt:lpstr>
      <vt:lpstr>USA</vt:lpstr>
      <vt:lpstr>IKB</vt:lpstr>
      <vt:lpstr>NLB</vt:lpstr>
      <vt:lpstr>PCC</vt:lpstr>
      <vt:lpstr>Türkei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Branscheid, Robert</dc:creator>
  <cp:lastModifiedBy>Windows-Benutzer</cp:lastModifiedBy>
  <dcterms:created xsi:type="dcterms:W3CDTF">2018-05-04T13:04:09Z</dcterms:created>
  <dcterms:modified xsi:type="dcterms:W3CDTF">2019-09-04T08:43:48Z</dcterms:modified>
</cp:coreProperties>
</file>