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bi\Desktop\"/>
    </mc:Choice>
  </mc:AlternateContent>
  <xr:revisionPtr revIDLastSave="0" documentId="13_ncr:1_{7F919836-DFF1-4BDB-9B64-72FC89EC7E9B}" xr6:coauthVersionLast="45" xr6:coauthVersionMax="45" xr10:uidLastSave="{00000000-0000-0000-0000-000000000000}"/>
  <bookViews>
    <workbookView xWindow="-110" yWindow="-110" windowWidth="19420" windowHeight="10420" xr2:uid="{DC0B9D74-DA08-4894-880B-3A7C93FC506B}"/>
  </bookViews>
  <sheets>
    <sheet name="Sheet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" i="7" l="1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8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8" i="7"/>
  <c r="Q3" i="7"/>
  <c r="C15" i="7"/>
  <c r="C19" i="7" s="1"/>
  <c r="C20" i="7" s="1"/>
  <c r="C14" i="7"/>
  <c r="H3" i="7" s="1"/>
  <c r="C13" i="7"/>
  <c r="G3" i="7" s="1"/>
  <c r="C7" i="7"/>
  <c r="C8" i="7" s="1"/>
  <c r="H8" i="7" l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L3" i="7"/>
  <c r="C16" i="7"/>
  <c r="K3" i="7" s="1"/>
  <c r="K8" i="7" s="1"/>
  <c r="K9" i="7" s="1"/>
  <c r="K10" i="7" s="1"/>
  <c r="K11" i="7" s="1"/>
  <c r="K12" i="7" s="1"/>
  <c r="K13" i="7" s="1"/>
  <c r="K14" i="7" s="1"/>
  <c r="K15" i="7" s="1"/>
  <c r="K16" i="7" s="1"/>
  <c r="K17" i="7" s="1"/>
  <c r="K18" i="7" s="1"/>
  <c r="K19" i="7" s="1"/>
  <c r="K20" i="7" s="1"/>
  <c r="K21" i="7" s="1"/>
  <c r="K22" i="7" s="1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 s="1"/>
  <c r="K35" i="7" s="1"/>
  <c r="K36" i="7" s="1"/>
  <c r="K37" i="7" s="1"/>
  <c r="K38" i="7" s="1"/>
  <c r="K39" i="7" s="1"/>
  <c r="K40" i="7" s="1"/>
  <c r="K41" i="7" s="1"/>
  <c r="K42" i="7" s="1"/>
  <c r="K43" i="7" s="1"/>
  <c r="K44" i="7" s="1"/>
  <c r="K45" i="7" s="1"/>
  <c r="C9" i="7"/>
  <c r="C21" i="7" s="1"/>
  <c r="M3" i="7" l="1"/>
  <c r="N3" i="7" s="1"/>
  <c r="O3" i="7" s="1"/>
  <c r="P3" i="7" s="1"/>
  <c r="R3" i="7" l="1"/>
  <c r="T3" i="7" l="1"/>
  <c r="I8" i="7" l="1"/>
  <c r="G8" i="7"/>
  <c r="L8" i="7" s="1"/>
  <c r="J8" i="7"/>
  <c r="M8" i="7" l="1"/>
  <c r="N8" i="7" s="1"/>
  <c r="O8" i="7" s="1"/>
  <c r="P8" i="7" s="1"/>
  <c r="R8" i="7" s="1"/>
  <c r="T8" i="7" s="1"/>
  <c r="G9" i="7" s="1"/>
  <c r="I9" i="7" l="1"/>
  <c r="L9" i="7"/>
  <c r="J9" i="7" l="1"/>
  <c r="M9" i="7" l="1"/>
  <c r="N9" i="7" s="1"/>
  <c r="O9" i="7" s="1"/>
  <c r="P9" i="7" s="1"/>
  <c r="R9" i="7" l="1"/>
  <c r="T9" i="7" l="1"/>
  <c r="G10" i="7" s="1"/>
  <c r="L10" i="7" s="1"/>
  <c r="J10" i="7" l="1"/>
  <c r="I10" i="7"/>
  <c r="M10" i="7" l="1"/>
  <c r="N10" i="7" s="1"/>
  <c r="O10" i="7" s="1"/>
  <c r="P10" i="7" s="1"/>
  <c r="R10" i="7" s="1"/>
  <c r="T10" i="7" l="1"/>
  <c r="J11" i="7" l="1"/>
  <c r="M11" i="7" s="1"/>
  <c r="I11" i="7"/>
  <c r="G11" i="7"/>
  <c r="L11" i="7" s="1"/>
  <c r="N11" i="7" l="1"/>
  <c r="O11" i="7" s="1"/>
  <c r="P11" i="7" s="1"/>
  <c r="R11" i="7" s="1"/>
  <c r="T11" i="7" l="1"/>
  <c r="G12" i="7" l="1"/>
  <c r="L12" i="7" s="1"/>
  <c r="I12" i="7"/>
  <c r="J12" i="7"/>
  <c r="M12" i="7" l="1"/>
  <c r="N12" i="7" s="1"/>
  <c r="O12" i="7" s="1"/>
  <c r="P12" i="7" s="1"/>
  <c r="R12" i="7" s="1"/>
  <c r="T12" i="7" l="1"/>
  <c r="J13" i="7" s="1"/>
  <c r="I13" i="7" l="1"/>
  <c r="G13" i="7"/>
  <c r="L13" i="7" s="1"/>
  <c r="M13" i="7"/>
  <c r="N13" i="7" l="1"/>
  <c r="O13" i="7" s="1"/>
  <c r="P13" i="7" s="1"/>
  <c r="R13" i="7" s="1"/>
  <c r="T13" i="7" l="1"/>
  <c r="G14" i="7" s="1"/>
  <c r="L14" i="7" s="1"/>
  <c r="J14" i="7"/>
  <c r="I14" i="7"/>
  <c r="M14" i="7" l="1"/>
  <c r="N14" i="7" s="1"/>
  <c r="O14" i="7" s="1"/>
  <c r="P14" i="7" s="1"/>
  <c r="R14" i="7" s="1"/>
  <c r="T14" i="7" l="1"/>
  <c r="G15" i="7" l="1"/>
  <c r="L15" i="7" s="1"/>
  <c r="J15" i="7"/>
  <c r="I15" i="7"/>
  <c r="M15" i="7" l="1"/>
  <c r="N15" i="7" s="1"/>
  <c r="O15" i="7" s="1"/>
  <c r="P15" i="7" s="1"/>
  <c r="R15" i="7" s="1"/>
  <c r="T15" i="7" l="1"/>
  <c r="G16" i="7" l="1"/>
  <c r="L16" i="7" s="1"/>
  <c r="J16" i="7"/>
  <c r="I16" i="7"/>
  <c r="M16" i="7" l="1"/>
  <c r="N16" i="7" s="1"/>
  <c r="O16" i="7" s="1"/>
  <c r="P16" i="7" s="1"/>
  <c r="R16" i="7" s="1"/>
  <c r="T16" i="7" l="1"/>
  <c r="G17" i="7" l="1"/>
  <c r="L17" i="7" s="1"/>
  <c r="J17" i="7"/>
  <c r="I17" i="7"/>
  <c r="M17" i="7" l="1"/>
  <c r="N17" i="7" s="1"/>
  <c r="O17" i="7" s="1"/>
  <c r="P17" i="7" s="1"/>
  <c r="R17" i="7" s="1"/>
  <c r="T17" i="7" l="1"/>
  <c r="G18" i="7" l="1"/>
  <c r="L18" i="7" s="1"/>
  <c r="J18" i="7"/>
  <c r="I18" i="7"/>
  <c r="M18" i="7" l="1"/>
  <c r="N18" i="7" s="1"/>
  <c r="O18" i="7" s="1"/>
  <c r="P18" i="7" s="1"/>
  <c r="R18" i="7" s="1"/>
  <c r="T18" i="7" l="1"/>
  <c r="G19" i="7" l="1"/>
  <c r="L19" i="7" s="1"/>
  <c r="J19" i="7"/>
  <c r="I19" i="7"/>
  <c r="M19" i="7" l="1"/>
  <c r="N19" i="7" s="1"/>
  <c r="O19" i="7" s="1"/>
  <c r="P19" i="7" s="1"/>
  <c r="R19" i="7" s="1"/>
  <c r="T19" i="7" l="1"/>
  <c r="G20" i="7" l="1"/>
  <c r="L20" i="7" s="1"/>
  <c r="J20" i="7"/>
  <c r="I20" i="7"/>
  <c r="M20" i="7" l="1"/>
  <c r="N20" i="7" s="1"/>
  <c r="O20" i="7" s="1"/>
  <c r="P20" i="7" s="1"/>
  <c r="R20" i="7" s="1"/>
  <c r="T20" i="7" l="1"/>
  <c r="G21" i="7" l="1"/>
  <c r="L21" i="7" s="1"/>
  <c r="J21" i="7"/>
  <c r="I21" i="7"/>
  <c r="M21" i="7" l="1"/>
  <c r="N21" i="7" s="1"/>
  <c r="O21" i="7" s="1"/>
  <c r="P21" i="7" s="1"/>
  <c r="R21" i="7" s="1"/>
  <c r="T21" i="7" l="1"/>
  <c r="G22" i="7" l="1"/>
  <c r="L22" i="7" s="1"/>
  <c r="J22" i="7"/>
  <c r="I22" i="7"/>
  <c r="M22" i="7" l="1"/>
  <c r="N22" i="7" s="1"/>
  <c r="O22" i="7" s="1"/>
  <c r="P22" i="7" s="1"/>
  <c r="R22" i="7" s="1"/>
  <c r="T22" i="7" l="1"/>
  <c r="G23" i="7" l="1"/>
  <c r="L23" i="7" s="1"/>
  <c r="J23" i="7"/>
  <c r="I23" i="7"/>
  <c r="M23" i="7" l="1"/>
  <c r="N23" i="7" s="1"/>
  <c r="O23" i="7" s="1"/>
  <c r="P23" i="7" s="1"/>
  <c r="R23" i="7" s="1"/>
  <c r="T23" i="7" s="1"/>
  <c r="J24" i="7" l="1"/>
  <c r="G24" i="7"/>
  <c r="I24" i="7"/>
  <c r="M24" i="7" l="1"/>
  <c r="L24" i="7"/>
  <c r="N24" i="7" s="1"/>
  <c r="O24" i="7" s="1"/>
  <c r="P24" i="7" s="1"/>
  <c r="R24" i="7" s="1"/>
  <c r="T24" i="7" l="1"/>
  <c r="G25" i="7" l="1"/>
  <c r="L25" i="7" s="1"/>
  <c r="J25" i="7"/>
  <c r="I25" i="7"/>
  <c r="M25" i="7" l="1"/>
  <c r="N25" i="7" s="1"/>
  <c r="O25" i="7" s="1"/>
  <c r="P25" i="7" s="1"/>
  <c r="R25" i="7" s="1"/>
  <c r="T25" i="7" l="1"/>
  <c r="I26" i="7" l="1"/>
  <c r="J26" i="7"/>
  <c r="G26" i="7"/>
  <c r="L26" i="7" s="1"/>
  <c r="M26" i="7" l="1"/>
  <c r="N26" i="7" s="1"/>
  <c r="O26" i="7" s="1"/>
  <c r="P26" i="7" s="1"/>
  <c r="R26" i="7" s="1"/>
  <c r="T26" i="7" s="1"/>
  <c r="G27" i="7" s="1"/>
  <c r="J27" i="7" l="1"/>
  <c r="L27" i="7"/>
  <c r="I27" i="7"/>
  <c r="M27" i="7" l="1"/>
  <c r="N27" i="7" s="1"/>
  <c r="O27" i="7" s="1"/>
  <c r="P27" i="7" s="1"/>
  <c r="R27" i="7" l="1"/>
  <c r="T27" i="7" s="1"/>
  <c r="J28" i="7" l="1"/>
  <c r="G28" i="7"/>
  <c r="I28" i="7"/>
  <c r="M28" i="7" l="1"/>
  <c r="L28" i="7"/>
  <c r="N28" i="7" l="1"/>
  <c r="O28" i="7" s="1"/>
  <c r="P28" i="7" s="1"/>
  <c r="R28" i="7" s="1"/>
  <c r="T28" i="7" s="1"/>
  <c r="I29" i="7" l="1"/>
  <c r="J29" i="7"/>
  <c r="G29" i="7"/>
  <c r="M29" i="7" l="1"/>
  <c r="L29" i="7"/>
  <c r="N29" i="7" l="1"/>
  <c r="O29" i="7" s="1"/>
  <c r="P29" i="7" s="1"/>
  <c r="R29" i="7" s="1"/>
  <c r="T29" i="7" l="1"/>
  <c r="I30" i="7" l="1"/>
  <c r="G30" i="7"/>
  <c r="L30" i="7" s="1"/>
  <c r="J30" i="7"/>
  <c r="M30" i="7" l="1"/>
  <c r="N30" i="7" s="1"/>
  <c r="O30" i="7" s="1"/>
  <c r="P30" i="7" s="1"/>
  <c r="R30" i="7" s="1"/>
  <c r="T30" i="7" s="1"/>
  <c r="I31" i="7" l="1"/>
  <c r="J31" i="7"/>
  <c r="G31" i="7"/>
  <c r="L31" i="7" s="1"/>
  <c r="M31" i="7" l="1"/>
  <c r="N31" i="7" s="1"/>
  <c r="O31" i="7" s="1"/>
  <c r="P31" i="7" s="1"/>
  <c r="R31" i="7" l="1"/>
  <c r="T31" i="7" s="1"/>
  <c r="J32" i="7" l="1"/>
  <c r="I32" i="7"/>
  <c r="G32" i="7"/>
  <c r="L32" i="7" s="1"/>
  <c r="M32" i="7" l="1"/>
  <c r="N32" i="7" s="1"/>
  <c r="O32" i="7" s="1"/>
  <c r="P32" i="7" s="1"/>
  <c r="R32" i="7" s="1"/>
  <c r="T32" i="7" s="1"/>
  <c r="I33" i="7" l="1"/>
  <c r="J33" i="7"/>
  <c r="G33" i="7"/>
  <c r="L33" i="7" l="1"/>
  <c r="M33" i="7"/>
  <c r="N33" i="7" s="1"/>
  <c r="O33" i="7" s="1"/>
  <c r="P33" i="7" s="1"/>
  <c r="R33" i="7" s="1"/>
  <c r="T33" i="7" s="1"/>
  <c r="G34" i="7" l="1"/>
  <c r="L34" i="7" s="1"/>
  <c r="J34" i="7"/>
  <c r="I34" i="7"/>
  <c r="M34" i="7" l="1"/>
  <c r="N34" i="7" s="1"/>
  <c r="O34" i="7" s="1"/>
  <c r="P34" i="7" s="1"/>
  <c r="R34" i="7" s="1"/>
  <c r="T34" i="7" s="1"/>
  <c r="J35" i="7" s="1"/>
  <c r="M35" i="7" l="1"/>
  <c r="I35" i="7"/>
  <c r="G35" i="7"/>
  <c r="L35" i="7" l="1"/>
  <c r="N35" i="7" s="1"/>
  <c r="O35" i="7" s="1"/>
  <c r="P35" i="7" s="1"/>
  <c r="R35" i="7" l="1"/>
  <c r="T35" i="7" s="1"/>
  <c r="J36" i="7" l="1"/>
  <c r="I36" i="7"/>
  <c r="G36" i="7"/>
  <c r="L36" i="7" l="1"/>
  <c r="M36" i="7"/>
  <c r="N36" i="7" l="1"/>
  <c r="O36" i="7" s="1"/>
  <c r="P36" i="7" s="1"/>
  <c r="R36" i="7" s="1"/>
  <c r="T36" i="7" s="1"/>
  <c r="G37" i="7" l="1"/>
  <c r="L37" i="7" s="1"/>
  <c r="J37" i="7"/>
  <c r="I37" i="7"/>
  <c r="M37" i="7" l="1"/>
  <c r="N37" i="7" s="1"/>
  <c r="O37" i="7" s="1"/>
  <c r="P37" i="7" s="1"/>
  <c r="R37" i="7" s="1"/>
  <c r="T37" i="7" s="1"/>
  <c r="J38" i="7" s="1"/>
  <c r="G38" i="7" l="1"/>
  <c r="L38" i="7" s="1"/>
  <c r="I38" i="7"/>
  <c r="M38" i="7"/>
  <c r="N38" i="7" l="1"/>
  <c r="O38" i="7" s="1"/>
  <c r="P38" i="7" s="1"/>
  <c r="R38" i="7" s="1"/>
  <c r="T38" i="7" l="1"/>
  <c r="I39" i="7" l="1"/>
  <c r="G39" i="7"/>
  <c r="L39" i="7" s="1"/>
  <c r="J39" i="7"/>
  <c r="M39" i="7" l="1"/>
  <c r="N39" i="7" s="1"/>
  <c r="O39" i="7" s="1"/>
  <c r="P39" i="7" s="1"/>
  <c r="R39" i="7" s="1"/>
  <c r="T39" i="7" s="1"/>
  <c r="G40" i="7" s="1"/>
  <c r="L40" i="7" s="1"/>
  <c r="I40" i="7" l="1"/>
  <c r="J40" i="7"/>
  <c r="M40" i="7" l="1"/>
  <c r="N40" i="7" s="1"/>
  <c r="O40" i="7" s="1"/>
  <c r="P40" i="7" s="1"/>
  <c r="R40" i="7" s="1"/>
  <c r="T40" i="7" s="1"/>
  <c r="J41" i="7" s="1"/>
  <c r="M41" i="7" l="1"/>
  <c r="I41" i="7"/>
  <c r="G41" i="7"/>
  <c r="L41" i="7" s="1"/>
  <c r="N41" i="7" l="1"/>
  <c r="O41" i="7" s="1"/>
  <c r="P41" i="7" s="1"/>
  <c r="R41" i="7" s="1"/>
  <c r="T41" i="7" s="1"/>
  <c r="J42" i="7" l="1"/>
  <c r="G42" i="7"/>
  <c r="L42" i="7" s="1"/>
  <c r="I42" i="7"/>
  <c r="M42" i="7" l="1"/>
  <c r="N42" i="7" s="1"/>
  <c r="O42" i="7" s="1"/>
  <c r="P42" i="7" s="1"/>
  <c r="R42" i="7" s="1"/>
  <c r="T42" i="7" s="1"/>
  <c r="G43" i="7" l="1"/>
  <c r="I43" i="7"/>
  <c r="J43" i="7"/>
  <c r="M43" i="7" l="1"/>
  <c r="L43" i="7"/>
  <c r="N43" i="7" l="1"/>
  <c r="O43" i="7" s="1"/>
  <c r="P43" i="7" s="1"/>
  <c r="R43" i="7" s="1"/>
  <c r="T43" i="7" s="1"/>
  <c r="I44" i="7" l="1"/>
  <c r="J44" i="7"/>
  <c r="G44" i="7"/>
  <c r="L44" i="7" l="1"/>
  <c r="M44" i="7"/>
  <c r="N44" i="7" l="1"/>
  <c r="O44" i="7" s="1"/>
  <c r="P44" i="7" s="1"/>
  <c r="R44" i="7" s="1"/>
  <c r="T44" i="7" s="1"/>
  <c r="G45" i="7" l="1"/>
  <c r="L45" i="7" s="1"/>
  <c r="I45" i="7"/>
  <c r="J45" i="7"/>
  <c r="M45" i="7" l="1"/>
  <c r="N45" i="7" s="1"/>
  <c r="O45" i="7" s="1"/>
  <c r="P45" i="7" s="1"/>
  <c r="R45" i="7" s="1"/>
  <c r="T45" i="7" s="1"/>
</calcChain>
</file>

<file path=xl/sharedStrings.xml><?xml version="1.0" encoding="utf-8"?>
<sst xmlns="http://schemas.openxmlformats.org/spreadsheetml/2006/main" count="85" uniqueCount="84">
  <si>
    <t>G</t>
  </si>
  <si>
    <t>T</t>
  </si>
  <si>
    <t>Ziel-Allokation</t>
  </si>
  <si>
    <t>Vanguard All World</t>
  </si>
  <si>
    <t>Tagesgeld</t>
  </si>
  <si>
    <t>Date</t>
  </si>
  <si>
    <t>Open</t>
  </si>
  <si>
    <t>Low</t>
  </si>
  <si>
    <t>T_min</t>
  </si>
  <si>
    <t>dk_fix</t>
  </si>
  <si>
    <t>dk</t>
  </si>
  <si>
    <t>Monatliche Sparrate</t>
  </si>
  <si>
    <t>Wöchentliche Sparrate</t>
  </si>
  <si>
    <t>davon RK1</t>
  </si>
  <si>
    <t>davon RK3</t>
  </si>
  <si>
    <t>Startkapital</t>
  </si>
  <si>
    <t>Virtuelles Startkapital</t>
  </si>
  <si>
    <t>Annahme Wertzuwachs RK3</t>
  </si>
  <si>
    <t>pro Woche</t>
  </si>
  <si>
    <t>RK1 real</t>
  </si>
  <si>
    <t>RK1 virtuell</t>
  </si>
  <si>
    <t>RK3 virtuell</t>
  </si>
  <si>
    <t>in Anteilen (Startkurs)</t>
  </si>
  <si>
    <t>KW 1</t>
  </si>
  <si>
    <t>RK3 virtuell in Anteilen (Startkurs)</t>
  </si>
  <si>
    <t>Startkurs</t>
  </si>
  <si>
    <t>Reales RK3</t>
  </si>
  <si>
    <t>Virtuelles RK3</t>
  </si>
  <si>
    <t>RK 3 [€]</t>
  </si>
  <si>
    <t>RK1 [€]</t>
  </si>
  <si>
    <t>Limit</t>
  </si>
  <si>
    <t>aktueller Kurs</t>
  </si>
  <si>
    <t>Kauf [j/n]</t>
  </si>
  <si>
    <t>KW 2</t>
  </si>
  <si>
    <t>KW 3</t>
  </si>
  <si>
    <t>KW 4</t>
  </si>
  <si>
    <t>KW 5</t>
  </si>
  <si>
    <t>KW 6</t>
  </si>
  <si>
    <t>KW 7</t>
  </si>
  <si>
    <t>KW 8</t>
  </si>
  <si>
    <t>KW 9</t>
  </si>
  <si>
    <t>KW 10</t>
  </si>
  <si>
    <t>KW 11</t>
  </si>
  <si>
    <t>KW 12</t>
  </si>
  <si>
    <t>KW 13</t>
  </si>
  <si>
    <t>KW 14</t>
  </si>
  <si>
    <t>KW 15</t>
  </si>
  <si>
    <t>KW 16</t>
  </si>
  <si>
    <t>KW 17</t>
  </si>
  <si>
    <t>KW 18</t>
  </si>
  <si>
    <t>KW 19</t>
  </si>
  <si>
    <t>KW 20</t>
  </si>
  <si>
    <t>KW 21</t>
  </si>
  <si>
    <t>KW 22</t>
  </si>
  <si>
    <t>KW 23</t>
  </si>
  <si>
    <t>KW 24</t>
  </si>
  <si>
    <t>KW 25</t>
  </si>
  <si>
    <t>KW 26</t>
  </si>
  <si>
    <t>KW 27</t>
  </si>
  <si>
    <t>KW 28</t>
  </si>
  <si>
    <t>KW 29</t>
  </si>
  <si>
    <t>KW 30</t>
  </si>
  <si>
    <t>KW 31</t>
  </si>
  <si>
    <t>KW 32</t>
  </si>
  <si>
    <t>KW 33</t>
  </si>
  <si>
    <t>KW 34</t>
  </si>
  <si>
    <t>KW 35</t>
  </si>
  <si>
    <t>KW 36</t>
  </si>
  <si>
    <t>KW 37</t>
  </si>
  <si>
    <t>KW 38</t>
  </si>
  <si>
    <t>KW 39</t>
  </si>
  <si>
    <t>Reales RK1</t>
  </si>
  <si>
    <t>Virtuelles RK1</t>
  </si>
  <si>
    <t>+ RK1 Sparrate</t>
  </si>
  <si>
    <t>+ RK3 Sparrate</t>
  </si>
  <si>
    <t>- RK3 Liquiditätsrückstellung</t>
  </si>
  <si>
    <t>Liquiditätsrückstellung pro Woche</t>
  </si>
  <si>
    <t>-RK1 Sparrate</t>
  </si>
  <si>
    <t>Liquiditäts-
rückstellung</t>
  </si>
  <si>
    <t>+RK3 Liquid.</t>
  </si>
  <si>
    <t xml:space="preserve">+ ggf. Kauf </t>
  </si>
  <si>
    <t>- erwarteter Zuwachs</t>
  </si>
  <si>
    <t>weekly low</t>
  </si>
  <si>
    <t>- ggf. Kaufkosten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</si>
</sst>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6" fontId="0" fillId="0" borderId="0" xfId="0" applyNumberFormat="1"/>
    <xf numFmtId="44" fontId="0" fillId="0" borderId="0" xfId="1" applyFont="1"/>
    <xf numFmtId="14" fontId="4" fillId="0" borderId="1" xfId="0" applyNumberFormat="1" applyFont="1" applyBorder="1" applyAlignment="1">
      <alignment horizontal="right" wrapText="1"/>
    </xf>
    <xf numFmtId="8" fontId="0" fillId="0" borderId="0" xfId="0" applyNumberFormat="1"/>
    <xf numFmtId="2" fontId="0" fillId="0" borderId="0" xfId="0" applyNumberFormat="1"/>
    <xf numFmtId="44" fontId="0" fillId="0" borderId="0" xfId="0" applyNumberFormat="1"/>
    <xf numFmtId="9" fontId="0" fillId="0" borderId="0" xfId="2" applyFont="1"/>
    <xf numFmtId="0" fontId="0" fillId="0" borderId="4" xfId="0" applyBorder="1"/>
    <xf numFmtId="0" fontId="2" fillId="0" borderId="8" xfId="0" applyFont="1" applyBorder="1"/>
    <xf numFmtId="0" fontId="0" fillId="0" borderId="9" xfId="0" applyBorder="1"/>
    <xf numFmtId="0" fontId="0" fillId="2" borderId="4" xfId="0" applyFill="1" applyBorder="1"/>
    <xf numFmtId="0" fontId="0" fillId="3" borderId="6" xfId="0" applyFill="1" applyBorder="1"/>
    <xf numFmtId="0" fontId="2" fillId="0" borderId="2" xfId="0" applyFont="1" applyBorder="1"/>
    <xf numFmtId="6" fontId="0" fillId="0" borderId="7" xfId="0" applyNumberFormat="1" applyFill="1" applyBorder="1"/>
    <xf numFmtId="6" fontId="6" fillId="0" borderId="3" xfId="0" applyNumberFormat="1" applyFont="1" applyBorder="1"/>
    <xf numFmtId="9" fontId="6" fillId="2" borderId="5" xfId="0" applyNumberFormat="1" applyFont="1" applyFill="1" applyBorder="1"/>
    <xf numFmtId="9" fontId="6" fillId="3" borderId="7" xfId="0" applyNumberFormat="1" applyFont="1" applyFill="1" applyBorder="1"/>
    <xf numFmtId="0" fontId="0" fillId="0" borderId="8" xfId="0" applyBorder="1"/>
    <xf numFmtId="6" fontId="6" fillId="0" borderId="9" xfId="0" applyNumberFormat="1" applyFont="1" applyBorder="1"/>
    <xf numFmtId="0" fontId="0" fillId="0" borderId="6" xfId="0" applyBorder="1"/>
    <xf numFmtId="6" fontId="6" fillId="0" borderId="7" xfId="0" applyNumberFormat="1" applyFont="1" applyBorder="1"/>
    <xf numFmtId="0" fontId="5" fillId="2" borderId="4" xfId="0" applyFont="1" applyFill="1" applyBorder="1"/>
    <xf numFmtId="6" fontId="5" fillId="2" borderId="5" xfId="0" applyNumberFormat="1" applyFont="1" applyFill="1" applyBorder="1"/>
    <xf numFmtId="0" fontId="0" fillId="3" borderId="4" xfId="0" applyFill="1" applyBorder="1"/>
    <xf numFmtId="6" fontId="0" fillId="3" borderId="5" xfId="0" applyNumberFormat="1" applyFill="1" applyBorder="1"/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44" fontId="4" fillId="0" borderId="1" xfId="1" applyFont="1" applyBorder="1" applyAlignment="1">
      <alignment horizontal="right" wrapText="1"/>
    </xf>
    <xf numFmtId="0" fontId="0" fillId="0" borderId="4" xfId="0" applyFill="1" applyBorder="1"/>
    <xf numFmtId="8" fontId="6" fillId="0" borderId="5" xfId="0" applyNumberFormat="1" applyFont="1" applyBorder="1"/>
    <xf numFmtId="0" fontId="0" fillId="0" borderId="6" xfId="0" applyFill="1" applyBorder="1"/>
    <xf numFmtId="9" fontId="6" fillId="0" borderId="7" xfId="0" applyNumberFormat="1" applyFont="1" applyBorder="1"/>
    <xf numFmtId="9" fontId="6" fillId="0" borderId="9" xfId="0" applyNumberFormat="1" applyFont="1" applyBorder="1"/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2" fontId="0" fillId="0" borderId="5" xfId="0" applyNumberFormat="1" applyBorder="1"/>
    <xf numFmtId="164" fontId="0" fillId="0" borderId="5" xfId="1" applyNumberFormat="1" applyFont="1" applyFill="1" applyBorder="1"/>
    <xf numFmtId="164" fontId="0" fillId="0" borderId="5" xfId="0" applyNumberFormat="1" applyFill="1" applyBorder="1"/>
    <xf numFmtId="2" fontId="0" fillId="3" borderId="7" xfId="0" applyNumberFormat="1" applyFill="1" applyBorder="1"/>
    <xf numFmtId="6" fontId="0" fillId="0" borderId="5" xfId="0" applyNumberFormat="1" applyBorder="1"/>
    <xf numFmtId="6" fontId="6" fillId="0" borderId="5" xfId="0" applyNumberFormat="1" applyFont="1" applyBorder="1"/>
    <xf numFmtId="2" fontId="0" fillId="0" borderId="0" xfId="1" applyNumberFormat="1" applyFont="1"/>
    <xf numFmtId="0" fontId="8" fillId="4" borderId="0" xfId="0" quotePrefix="1" applyFont="1" applyFill="1"/>
    <xf numFmtId="0" fontId="8" fillId="4" borderId="0" xfId="0" quotePrefix="1" applyFont="1" applyFill="1" applyAlignment="1">
      <alignment wrapText="1"/>
    </xf>
    <xf numFmtId="0" fontId="8" fillId="4" borderId="12" xfId="0" quotePrefix="1" applyFont="1" applyFill="1" applyBorder="1"/>
    <xf numFmtId="0" fontId="8" fillId="4" borderId="12" xfId="0" applyFont="1" applyFill="1" applyBorder="1"/>
    <xf numFmtId="0" fontId="2" fillId="0" borderId="0" xfId="0" applyFont="1"/>
    <xf numFmtId="0" fontId="2" fillId="0" borderId="0" xfId="0" applyFont="1" applyAlignment="1">
      <alignment wrapText="1"/>
    </xf>
    <xf numFmtId="0" fontId="8" fillId="4" borderId="0" xfId="0" quotePrefix="1" applyFont="1" applyFill="1" applyBorder="1"/>
    <xf numFmtId="0" fontId="8" fillId="4" borderId="0" xfId="0" applyFont="1" applyFill="1" applyBorder="1"/>
    <xf numFmtId="0" fontId="9" fillId="4" borderId="0" xfId="0" quotePrefix="1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9" formatCode="dd/mm/yyyy"/>
      <alignment horizontal="right" vertical="bottom" textRotation="0" wrapText="1" indent="0" justifyLastLine="0" shrinkToFit="0" readingOrder="0"/>
      <border diagonalUp="0" diagonalDown="0" outline="0">
        <left/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border outline="0">
        <top style="medium">
          <color rgb="FFCCCCCC"/>
        </top>
      </border>
    </dxf>
    <dxf>
      <border outline="0">
        <bottom style="medium">
          <color rgb="FFCCCCCC"/>
        </bottom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27B70F-C024-425E-9679-56EC3380BCE8}" name="Table13" displayName="Table13" ref="B27:D66" totalsRowShown="0" headerRowDxfId="7" dataDxfId="6" headerRowBorderDxfId="4" tableBorderDxfId="5" totalsRowBorderDxfId="3">
  <autoFilter ref="B27:D66" xr:uid="{D803C06D-E4AF-419A-865C-52E0EDEEA621}"/>
  <tableColumns count="3">
    <tableColumn id="1" xr3:uid="{03B94E74-819F-4B84-91ED-F3D1B4EEBD4C}" name="Date" dataDxfId="0"/>
    <tableColumn id="2" xr3:uid="{A868E05F-B626-401B-A31D-F30D073B3428}" name="Open" dataDxfId="1" dataCellStyle="Currency"/>
    <tableColumn id="4" xr3:uid="{C717F4F2-A4B6-41C7-BBC2-32ECD6EAB098}" name="Low" dataDxfId="2" dataCellStyle="Currenc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20B18-6E93-463C-9576-16D82D78DFA5}">
  <dimension ref="B2:T66"/>
  <sheetViews>
    <sheetView tabSelected="1" zoomScale="55" zoomScaleNormal="55" workbookViewId="0">
      <selection activeCell="F2" sqref="F2:T45"/>
    </sheetView>
  </sheetViews>
  <sheetFormatPr defaultRowHeight="14.5" x14ac:dyDescent="0.35"/>
  <cols>
    <col min="2" max="2" width="29.453125" bestFit="1" customWidth="1"/>
    <col min="3" max="3" width="8.7265625" bestFit="1" customWidth="1"/>
    <col min="7" max="7" width="20.08984375" bestFit="1" customWidth="1"/>
    <col min="8" max="8" width="12.08984375" bestFit="1" customWidth="1"/>
    <col min="9" max="9" width="11.90625" customWidth="1"/>
    <col min="10" max="10" width="11" bestFit="1" customWidth="1"/>
    <col min="11" max="11" width="15.54296875" bestFit="1" customWidth="1"/>
    <col min="12" max="12" width="8.36328125" bestFit="1" customWidth="1"/>
    <col min="13" max="13" width="12.81640625" bestFit="1" customWidth="1"/>
    <col min="14" max="14" width="12.08984375" bestFit="1" customWidth="1"/>
    <col min="15" max="15" width="9.6328125" bestFit="1" customWidth="1"/>
    <col min="16" max="16" width="4.1796875" bestFit="1" customWidth="1"/>
    <col min="17" max="17" width="12.453125" bestFit="1" customWidth="1"/>
    <col min="18" max="18" width="8.54296875" bestFit="1" customWidth="1"/>
    <col min="19" max="19" width="10.08984375" bestFit="1" customWidth="1"/>
    <col min="20" max="20" width="8.6328125" bestFit="1" customWidth="1"/>
  </cols>
  <sheetData>
    <row r="2" spans="2:20" ht="29" x14ac:dyDescent="0.35">
      <c r="B2" s="9" t="s">
        <v>2</v>
      </c>
      <c r="C2" s="10"/>
      <c r="G2" s="47" t="s">
        <v>71</v>
      </c>
      <c r="H2" s="47" t="s">
        <v>72</v>
      </c>
      <c r="I2" s="48" t="s">
        <v>78</v>
      </c>
      <c r="J2" s="47" t="s">
        <v>26</v>
      </c>
      <c r="K2" s="47" t="s">
        <v>27</v>
      </c>
      <c r="L2" s="47" t="s">
        <v>29</v>
      </c>
      <c r="M2" s="47" t="s">
        <v>28</v>
      </c>
      <c r="N2" s="47" t="s">
        <v>0</v>
      </c>
      <c r="O2" s="47" t="s">
        <v>1</v>
      </c>
      <c r="P2" s="47" t="s">
        <v>10</v>
      </c>
      <c r="Q2" s="47" t="s">
        <v>31</v>
      </c>
      <c r="R2" s="47" t="s">
        <v>30</v>
      </c>
      <c r="S2" s="47" t="s">
        <v>82</v>
      </c>
      <c r="T2" s="47" t="s">
        <v>32</v>
      </c>
    </row>
    <row r="3" spans="2:20" x14ac:dyDescent="0.35">
      <c r="B3" s="11" t="s">
        <v>4</v>
      </c>
      <c r="C3" s="16">
        <v>0.1</v>
      </c>
      <c r="F3" s="47" t="s">
        <v>23</v>
      </c>
      <c r="G3" s="1">
        <f>C13</f>
        <v>5000</v>
      </c>
      <c r="H3" s="1">
        <f>C14</f>
        <v>5000</v>
      </c>
      <c r="I3" s="2">
        <v>0</v>
      </c>
      <c r="J3" s="42">
        <v>0</v>
      </c>
      <c r="K3" s="5">
        <f>C16</f>
        <v>1384.1894801599508</v>
      </c>
      <c r="L3" s="1">
        <f>G3+H3</f>
        <v>10000</v>
      </c>
      <c r="M3" s="6">
        <f>(J3+K3)*Q3</f>
        <v>90000</v>
      </c>
      <c r="N3" s="4">
        <f>L3+M3</f>
        <v>100000</v>
      </c>
      <c r="O3" s="2">
        <f>MAX($C$23,-N3*$C$3*$C$4*$C$24)</f>
        <v>450</v>
      </c>
      <c r="P3" s="7">
        <f>((((N3-M3-O3)*$C$4/$C$3)-O3)/M3)-1</f>
        <v>-5.0000000000000044E-2</v>
      </c>
      <c r="Q3" s="6">
        <f>C28</f>
        <v>65.02</v>
      </c>
      <c r="R3" s="6">
        <f>IF(P3&lt;=0,Q3*(1+P3),Q3)</f>
        <v>61.768999999999991</v>
      </c>
      <c r="S3" s="6">
        <f>D28</f>
        <v>64.489999999999995</v>
      </c>
      <c r="T3">
        <f>IF(P3&gt;=0,1,IF(S3&lt;=R3,1,0))</f>
        <v>0</v>
      </c>
    </row>
    <row r="4" spans="2:20" x14ac:dyDescent="0.35">
      <c r="B4" s="12" t="s">
        <v>3</v>
      </c>
      <c r="C4" s="17">
        <v>0.9</v>
      </c>
      <c r="G4" s="43" t="s">
        <v>73</v>
      </c>
      <c r="H4" s="43" t="s">
        <v>77</v>
      </c>
      <c r="I4" s="43" t="s">
        <v>79</v>
      </c>
      <c r="J4" s="44" t="s">
        <v>80</v>
      </c>
      <c r="K4" s="43" t="s">
        <v>81</v>
      </c>
    </row>
    <row r="5" spans="2:20" x14ac:dyDescent="0.35">
      <c r="G5" s="49" t="s">
        <v>74</v>
      </c>
      <c r="H5" s="50"/>
      <c r="I5" s="50"/>
      <c r="J5" s="50"/>
      <c r="K5" s="51"/>
    </row>
    <row r="6" spans="2:20" x14ac:dyDescent="0.35">
      <c r="B6" s="13" t="s">
        <v>11</v>
      </c>
      <c r="C6" s="15">
        <v>900</v>
      </c>
      <c r="G6" s="49" t="s">
        <v>75</v>
      </c>
      <c r="H6" s="50"/>
      <c r="I6" s="50"/>
      <c r="J6" s="50"/>
      <c r="K6" s="50"/>
    </row>
    <row r="7" spans="2:20" ht="15" thickBot="1" x14ac:dyDescent="0.4">
      <c r="B7" s="8" t="s">
        <v>12</v>
      </c>
      <c r="C7" s="37">
        <f>C6*12/52</f>
        <v>207.69230769230768</v>
      </c>
      <c r="G7" s="45" t="s">
        <v>83</v>
      </c>
      <c r="H7" s="46"/>
      <c r="I7" s="46"/>
      <c r="J7" s="46"/>
      <c r="K7" s="46"/>
    </row>
    <row r="8" spans="2:20" ht="15" thickTop="1" x14ac:dyDescent="0.35">
      <c r="B8" s="34" t="s">
        <v>13</v>
      </c>
      <c r="C8" s="38">
        <f>C7*C3</f>
        <v>20.76923076923077</v>
      </c>
      <c r="F8" s="47" t="s">
        <v>33</v>
      </c>
      <c r="G8" s="1">
        <f>G3+$C$8+$C$9-$C$21-T3*O3</f>
        <v>5124.6153846153848</v>
      </c>
      <c r="H8" s="1">
        <f>MAX(H3-$C$8,0)</f>
        <v>4979.2307692307695</v>
      </c>
      <c r="I8" s="6">
        <f>I3*(1-T3)+$C$21</f>
        <v>83.076923076923066</v>
      </c>
      <c r="J8" s="5">
        <f>J3+T3*(O3+I3)/R3</f>
        <v>0</v>
      </c>
      <c r="K8" s="5">
        <f>MAX(K3-$C$20,0)</f>
        <v>1382.5923384520738</v>
      </c>
      <c r="L8" s="1">
        <f>G8+H8</f>
        <v>10103.846153846154</v>
      </c>
      <c r="M8" s="6">
        <f>(J8+K8)*Q8</f>
        <v>92730.468139980585</v>
      </c>
      <c r="N8" s="4">
        <f>L8+M8</f>
        <v>102834.31429382674</v>
      </c>
      <c r="O8" s="2">
        <f>MAX($C$23,-N8*$C$3*$C$4*$C$24)</f>
        <v>462.75441432222044</v>
      </c>
      <c r="P8" s="7">
        <f>((((N8-M8-O8)*$C$4/$C$3)-O8)/M8)-1</f>
        <v>-6.9269540286273412E-2</v>
      </c>
      <c r="Q8" s="6">
        <f>C29</f>
        <v>67.069999999999993</v>
      </c>
      <c r="R8" s="6">
        <f>IF(P8&lt;=0,Q8*(1+P8),Q8)</f>
        <v>62.424091932999637</v>
      </c>
      <c r="S8" s="6">
        <f>D29</f>
        <v>66.400000000000006</v>
      </c>
      <c r="T8">
        <f>IF(P8&gt;=0,1,IF(S8&lt;=R8,1,0))</f>
        <v>0</v>
      </c>
    </row>
    <row r="9" spans="2:20" x14ac:dyDescent="0.35">
      <c r="B9" s="35" t="s">
        <v>14</v>
      </c>
      <c r="C9" s="14">
        <f>C7*C4</f>
        <v>186.92307692307691</v>
      </c>
      <c r="F9" s="47" t="s">
        <v>34</v>
      </c>
      <c r="G9" s="1">
        <f>G8+$C$8+$C$9-$C$21-T8*O8</f>
        <v>5249.2307692307695</v>
      </c>
      <c r="H9" s="1">
        <f>MAX(H8-$C$8,0)</f>
        <v>4958.461538461539</v>
      </c>
      <c r="I9" s="6">
        <f>I8*(1-T8)+$C$21</f>
        <v>166.15384615384613</v>
      </c>
      <c r="J9" s="5">
        <f>J8+T8*(O8+I8)/R8</f>
        <v>0</v>
      </c>
      <c r="K9" s="5">
        <f>MAX(K8-$C$20,0)</f>
        <v>1380.9951967441968</v>
      </c>
      <c r="L9" s="1">
        <f t="shared" ref="L9:L24" si="0">G9+H9</f>
        <v>10207.692307692309</v>
      </c>
      <c r="M9" s="6">
        <f>(J9+K9)*Q9</f>
        <v>93230.98573220073</v>
      </c>
      <c r="N9" s="4">
        <f>L9+M9</f>
        <v>103438.67803989304</v>
      </c>
      <c r="O9" s="2">
        <f t="shared" ref="O9:O45" si="1">MAX($C$23,-N9*$C$3*$C$4*$C$24)</f>
        <v>465.47405117951877</v>
      </c>
      <c r="P9" s="7">
        <f>((((N9-M9-O9)*$C$4/$C$3)-O9)/M9)-1</f>
        <v>-6.4533217443898616E-2</v>
      </c>
      <c r="Q9" s="6">
        <f t="shared" ref="Q9:Q24" si="2">C30</f>
        <v>67.510000000000005</v>
      </c>
      <c r="R9" s="6">
        <f>IF(P9&lt;=0,Q9*(1+P9),Q9)</f>
        <v>63.153362490362412</v>
      </c>
      <c r="S9" s="6">
        <f t="shared" ref="S9:S45" si="3">D30</f>
        <v>67.459999999999994</v>
      </c>
      <c r="T9">
        <f t="shared" ref="T9:T45" si="4">IF(P9&gt;=0,1,IF(S9&lt;=R9,1,0))</f>
        <v>0</v>
      </c>
    </row>
    <row r="10" spans="2:20" x14ac:dyDescent="0.35">
      <c r="F10" s="47" t="s">
        <v>35</v>
      </c>
      <c r="G10" s="1">
        <f>G9+$C$8+$C$9-$C$21-T9*O9</f>
        <v>5373.8461538461543</v>
      </c>
      <c r="H10" s="1">
        <f t="shared" ref="H10:H45" si="5">MAX(H9-$C$8,0)</f>
        <v>4937.6923076923085</v>
      </c>
      <c r="I10" s="6">
        <f>I9*(1-T9)+$C$21</f>
        <v>249.2307692307692</v>
      </c>
      <c r="J10" s="5">
        <f>J9+T9*(O9+I9)/R9</f>
        <v>0</v>
      </c>
      <c r="K10" s="5">
        <f t="shared" ref="K10:K45" si="6">MAX(K9-$C$20,0)</f>
        <v>1379.3980550363199</v>
      </c>
      <c r="L10" s="1">
        <f t="shared" si="0"/>
        <v>10311.538461538463</v>
      </c>
      <c r="M10" s="6">
        <f>(J10+K10)*Q10</f>
        <v>96475.099969240211</v>
      </c>
      <c r="N10" s="4">
        <f>L10+M10</f>
        <v>106786.63843077868</v>
      </c>
      <c r="O10" s="2">
        <f t="shared" si="1"/>
        <v>480.53987293850417</v>
      </c>
      <c r="P10" s="7">
        <f t="shared" ref="P10:P24" si="7">((((N10-M10-O10)*$C$4/$C$3)-O10)/M10)-1</f>
        <v>-8.7863630589465003E-2</v>
      </c>
      <c r="Q10" s="6">
        <f t="shared" si="2"/>
        <v>69.94</v>
      </c>
      <c r="R10" s="6">
        <f>IF(P10&lt;=0,Q10*(1+P10),Q10)</f>
        <v>63.794817676572812</v>
      </c>
      <c r="S10" s="6">
        <f t="shared" si="3"/>
        <v>68.84</v>
      </c>
      <c r="T10">
        <f t="shared" si="4"/>
        <v>0</v>
      </c>
    </row>
    <row r="11" spans="2:20" x14ac:dyDescent="0.35">
      <c r="B11" s="18" t="s">
        <v>15</v>
      </c>
      <c r="C11" s="19">
        <v>5000</v>
      </c>
      <c r="F11" s="47" t="s">
        <v>36</v>
      </c>
      <c r="G11" s="1">
        <f>G10+$C$8+$C$9-$C$21-T10*O10</f>
        <v>5498.461538461539</v>
      </c>
      <c r="H11" s="1">
        <f t="shared" si="5"/>
        <v>4916.923076923078</v>
      </c>
      <c r="I11" s="6">
        <f>I10*(1-T10)+$C$21</f>
        <v>332.30769230769226</v>
      </c>
      <c r="J11" s="5">
        <f>J10+T10*(O10+I10)/R10</f>
        <v>0</v>
      </c>
      <c r="K11" s="5">
        <f t="shared" si="6"/>
        <v>1377.8009133284429</v>
      </c>
      <c r="L11" s="1">
        <f t="shared" si="0"/>
        <v>10415.384615384617</v>
      </c>
      <c r="M11" s="6">
        <f>(J11+K11)*Q11</f>
        <v>96129.16972292545</v>
      </c>
      <c r="N11" s="4">
        <f>L11+M11</f>
        <v>106544.55433831006</v>
      </c>
      <c r="O11" s="2">
        <f t="shared" si="1"/>
        <v>479.45049452239527</v>
      </c>
      <c r="P11" s="7">
        <f t="shared" si="7"/>
        <v>-7.4745398825330045E-2</v>
      </c>
      <c r="Q11" s="6">
        <f t="shared" si="2"/>
        <v>69.77</v>
      </c>
      <c r="R11" s="6">
        <f>IF(P11&lt;=0,Q11*(1+P11),Q11)</f>
        <v>64.555013523956717</v>
      </c>
      <c r="S11" s="6">
        <f t="shared" si="3"/>
        <v>69.12</v>
      </c>
      <c r="T11">
        <f t="shared" si="4"/>
        <v>0</v>
      </c>
    </row>
    <row r="12" spans="2:20" x14ac:dyDescent="0.35">
      <c r="B12" s="20" t="s">
        <v>16</v>
      </c>
      <c r="C12" s="21">
        <v>95000</v>
      </c>
      <c r="F12" s="47" t="s">
        <v>37</v>
      </c>
      <c r="G12" s="1">
        <f>G11+$C$8+$C$9-$C$21-T11*O11</f>
        <v>5623.0769230769238</v>
      </c>
      <c r="H12" s="1">
        <f t="shared" si="5"/>
        <v>4896.1538461538476</v>
      </c>
      <c r="I12" s="6">
        <f>I11*(1-T11)+$C$21</f>
        <v>415.38461538461536</v>
      </c>
      <c r="J12" s="5">
        <f>J11+T11*(O11+I11)/R11</f>
        <v>0</v>
      </c>
      <c r="K12" s="5">
        <f t="shared" si="6"/>
        <v>1376.2037716205659</v>
      </c>
      <c r="L12" s="1">
        <f t="shared" si="0"/>
        <v>10519.230769230771</v>
      </c>
      <c r="M12" s="6">
        <f>(J12+K12)*Q12</f>
        <v>97366.416842155042</v>
      </c>
      <c r="N12" s="4">
        <f>L12+M12</f>
        <v>107885.64761138581</v>
      </c>
      <c r="O12" s="2">
        <f t="shared" si="1"/>
        <v>485.48541425123614</v>
      </c>
      <c r="P12" s="7">
        <f t="shared" si="7"/>
        <v>-7.7523588793733778E-2</v>
      </c>
      <c r="Q12" s="6">
        <f t="shared" si="2"/>
        <v>70.75</v>
      </c>
      <c r="R12" s="6">
        <f>IF(P12&lt;=0,Q12*(1+P12),Q12)</f>
        <v>65.265206092843329</v>
      </c>
      <c r="S12" s="6">
        <f t="shared" si="3"/>
        <v>70.72</v>
      </c>
      <c r="T12">
        <f t="shared" si="4"/>
        <v>0</v>
      </c>
    </row>
    <row r="13" spans="2:20" x14ac:dyDescent="0.35">
      <c r="B13" s="22" t="s">
        <v>19</v>
      </c>
      <c r="C13" s="23">
        <f>C11</f>
        <v>5000</v>
      </c>
      <c r="F13" s="47" t="s">
        <v>38</v>
      </c>
      <c r="G13" s="1">
        <f>G12+$C$8+$C$9-$C$21-T12*O12</f>
        <v>5747.6923076923085</v>
      </c>
      <c r="H13" s="1">
        <f t="shared" si="5"/>
        <v>4875.3846153846171</v>
      </c>
      <c r="I13" s="6">
        <f>I12*(1-T12)+$C$21</f>
        <v>498.46153846153845</v>
      </c>
      <c r="J13" s="5">
        <f>J12+T12*(O12+I12)/R12</f>
        <v>0</v>
      </c>
      <c r="K13" s="5">
        <f t="shared" si="6"/>
        <v>1374.606629912689</v>
      </c>
      <c r="L13" s="1">
        <f t="shared" si="0"/>
        <v>10623.076923076926</v>
      </c>
      <c r="M13" s="6">
        <f>(J13+K13)*Q13</f>
        <v>98160.659442065109</v>
      </c>
      <c r="N13" s="4">
        <f>L13+M13</f>
        <v>108783.73636514203</v>
      </c>
      <c r="O13" s="2">
        <f t="shared" si="1"/>
        <v>489.52681364313912</v>
      </c>
      <c r="P13" s="7">
        <f t="shared" si="7"/>
        <v>-7.5878007677812942E-2</v>
      </c>
      <c r="Q13" s="6">
        <f t="shared" si="2"/>
        <v>71.41</v>
      </c>
      <c r="R13" s="6">
        <f>IF(P13&lt;=0,Q13*(1+P13),Q13)</f>
        <v>65.991551471727377</v>
      </c>
      <c r="S13" s="6">
        <f t="shared" si="3"/>
        <v>71.11</v>
      </c>
      <c r="T13">
        <f t="shared" si="4"/>
        <v>0</v>
      </c>
    </row>
    <row r="14" spans="2:20" x14ac:dyDescent="0.35">
      <c r="B14" s="22" t="s">
        <v>20</v>
      </c>
      <c r="C14" s="23">
        <f>C3*(C12+C11)-C11</f>
        <v>5000</v>
      </c>
      <c r="F14" s="47" t="s">
        <v>39</v>
      </c>
      <c r="G14" s="1">
        <f>G13+$C$8+$C$9-$C$21-T13*O13</f>
        <v>5872.3076923076933</v>
      </c>
      <c r="H14" s="1">
        <f t="shared" si="5"/>
        <v>4854.6153846153866</v>
      </c>
      <c r="I14" s="6">
        <f>I13*(1-T13)+$C$21</f>
        <v>581.53846153846155</v>
      </c>
      <c r="J14" s="5">
        <f>J13+T13*(O13+I13)/R13</f>
        <v>0</v>
      </c>
      <c r="K14" s="5">
        <f t="shared" si="6"/>
        <v>1373.009488204812</v>
      </c>
      <c r="L14" s="1">
        <f t="shared" si="0"/>
        <v>10726.92307692308</v>
      </c>
      <c r="M14" s="6">
        <f>(J14+K14)*Q14</f>
        <v>100353.26349288972</v>
      </c>
      <c r="N14" s="4">
        <f>L14+M14</f>
        <v>111080.18656981279</v>
      </c>
      <c r="O14" s="2">
        <f t="shared" si="1"/>
        <v>499.86083956415763</v>
      </c>
      <c r="P14" s="7">
        <f t="shared" si="7"/>
        <v>-8.7785527740687375E-2</v>
      </c>
      <c r="Q14" s="6">
        <f t="shared" si="2"/>
        <v>73.09</v>
      </c>
      <c r="R14" s="6">
        <f>IF(P14&lt;=0,Q14*(1+P14),Q14)</f>
        <v>66.673755777433158</v>
      </c>
      <c r="S14" s="6">
        <f t="shared" si="3"/>
        <v>72.73</v>
      </c>
      <c r="T14">
        <f t="shared" si="4"/>
        <v>0</v>
      </c>
    </row>
    <row r="15" spans="2:20" x14ac:dyDescent="0.35">
      <c r="B15" s="24" t="s">
        <v>21</v>
      </c>
      <c r="C15" s="25">
        <f>C4*(C11+C12)</f>
        <v>90000</v>
      </c>
      <c r="F15" s="47" t="s">
        <v>40</v>
      </c>
      <c r="G15" s="1">
        <f>G14+$C$8+$C$9-$C$21-T14*O14</f>
        <v>5996.923076923078</v>
      </c>
      <c r="H15" s="1">
        <f t="shared" si="5"/>
        <v>4833.8461538461561</v>
      </c>
      <c r="I15" s="6">
        <f>I14*(1-T14)+$C$21</f>
        <v>664.61538461538464</v>
      </c>
      <c r="J15" s="5">
        <f>J14+T14*(O14+I14)/R14</f>
        <v>0</v>
      </c>
      <c r="K15" s="5">
        <f t="shared" si="6"/>
        <v>1371.412346496935</v>
      </c>
      <c r="L15" s="1">
        <f t="shared" si="0"/>
        <v>10830.769230769234</v>
      </c>
      <c r="M15" s="6">
        <f>(J15+K15)*Q15</f>
        <v>101182.80292454387</v>
      </c>
      <c r="N15" s="4">
        <f>L15+M15</f>
        <v>112013.5721553131</v>
      </c>
      <c r="O15" s="2">
        <f t="shared" si="1"/>
        <v>504.06107469890895</v>
      </c>
      <c r="P15" s="7">
        <f t="shared" si="7"/>
        <v>-8.6442461977777718E-2</v>
      </c>
      <c r="Q15" s="6">
        <f t="shared" si="2"/>
        <v>73.78</v>
      </c>
      <c r="R15" s="6">
        <f>IF(P15&lt;=0,Q15*(1+P15),Q15)</f>
        <v>67.402275155279554</v>
      </c>
      <c r="S15" s="6">
        <f t="shared" si="3"/>
        <v>72.91</v>
      </c>
      <c r="T15">
        <f t="shared" si="4"/>
        <v>0</v>
      </c>
    </row>
    <row r="16" spans="2:20" x14ac:dyDescent="0.35">
      <c r="B16" s="12" t="s">
        <v>24</v>
      </c>
      <c r="C16" s="39">
        <f>C15/C22</f>
        <v>1384.1894801599508</v>
      </c>
      <c r="F16" s="47" t="s">
        <v>41</v>
      </c>
      <c r="G16" s="1">
        <f>G15+$C$8+$C$9-$C$21-T15*O15</f>
        <v>6121.5384615384628</v>
      </c>
      <c r="H16" s="1">
        <f t="shared" si="5"/>
        <v>4813.0769230769256</v>
      </c>
      <c r="I16" s="6">
        <f>I15*(1-T15)+$C$21</f>
        <v>747.69230769230774</v>
      </c>
      <c r="J16" s="5">
        <f>J15+T15*(O15+I15)/R15</f>
        <v>0</v>
      </c>
      <c r="K16" s="5">
        <f t="shared" si="6"/>
        <v>1369.815204789058</v>
      </c>
      <c r="L16" s="1">
        <f t="shared" si="0"/>
        <v>10934.615384615388</v>
      </c>
      <c r="M16" s="6">
        <f>(J16+K16)*Q16</f>
        <v>101243.04178595927</v>
      </c>
      <c r="N16" s="4">
        <f>L16+M16</f>
        <v>112177.65717057466</v>
      </c>
      <c r="O16" s="2">
        <f t="shared" si="1"/>
        <v>504.79945726758609</v>
      </c>
      <c r="P16" s="7">
        <f t="shared" si="7"/>
        <v>-7.7827550003435109E-2</v>
      </c>
      <c r="Q16" s="6">
        <f t="shared" si="2"/>
        <v>73.91</v>
      </c>
      <c r="R16" s="6">
        <f>IF(P16&lt;=0,Q16*(1+P16),Q16)</f>
        <v>68.157765779246105</v>
      </c>
      <c r="S16" s="6">
        <f t="shared" si="3"/>
        <v>72.400000000000006</v>
      </c>
      <c r="T16">
        <f t="shared" si="4"/>
        <v>0</v>
      </c>
    </row>
    <row r="17" spans="2:20" x14ac:dyDescent="0.35">
      <c r="F17" s="47" t="s">
        <v>42</v>
      </c>
      <c r="G17" s="1">
        <f>G16+$C$8+$C$9-$C$21-T16*O16</f>
        <v>6246.1538461538476</v>
      </c>
      <c r="H17" s="1">
        <f t="shared" si="5"/>
        <v>4792.3076923076951</v>
      </c>
      <c r="I17" s="6">
        <f>I16*(1-T16)+$C$21</f>
        <v>830.76923076923083</v>
      </c>
      <c r="J17" s="5">
        <f>J16+T16*(O16+I16)/R16</f>
        <v>0</v>
      </c>
      <c r="K17" s="5">
        <f t="shared" si="6"/>
        <v>1368.2180630811811</v>
      </c>
      <c r="L17" s="1">
        <f t="shared" si="0"/>
        <v>11038.461538461543</v>
      </c>
      <c r="M17" s="6">
        <f>(J17+K17)*Q17</f>
        <v>99879.918604926221</v>
      </c>
      <c r="N17" s="4">
        <f>L17+M17</f>
        <v>110918.38014338777</v>
      </c>
      <c r="O17" s="2">
        <f t="shared" si="1"/>
        <v>499.13271064524497</v>
      </c>
      <c r="P17" s="7">
        <f t="shared" si="7"/>
        <v>-5.5317344491230491E-2</v>
      </c>
      <c r="Q17" s="6">
        <f t="shared" si="2"/>
        <v>73</v>
      </c>
      <c r="R17" s="6">
        <f>IF(P17&lt;=0,Q17*(1+P17),Q17)</f>
        <v>68.961833852140174</v>
      </c>
      <c r="S17" s="6">
        <f t="shared" si="3"/>
        <v>73</v>
      </c>
      <c r="T17">
        <f t="shared" si="4"/>
        <v>0</v>
      </c>
    </row>
    <row r="18" spans="2:20" x14ac:dyDescent="0.35">
      <c r="B18" s="18" t="s">
        <v>17</v>
      </c>
      <c r="C18" s="33">
        <v>0.06</v>
      </c>
      <c r="F18" s="47" t="s">
        <v>43</v>
      </c>
      <c r="G18" s="1">
        <f>G17+$C$8+$C$9-$C$21-T17*O17</f>
        <v>6370.7692307692323</v>
      </c>
      <c r="H18" s="1">
        <f t="shared" si="5"/>
        <v>4771.5384615384646</v>
      </c>
      <c r="I18" s="6">
        <f>I17*(1-T17)+$C$21</f>
        <v>913.84615384615392</v>
      </c>
      <c r="J18" s="5">
        <f>J17+T17*(O17+I17)/R17</f>
        <v>0</v>
      </c>
      <c r="K18" s="5">
        <f t="shared" si="6"/>
        <v>1366.6209213733041</v>
      </c>
      <c r="L18" s="1">
        <f t="shared" si="0"/>
        <v>11142.307692307697</v>
      </c>
      <c r="M18" s="6">
        <f>(J18+K18)*Q18</f>
        <v>101512.60203960903</v>
      </c>
      <c r="N18" s="4">
        <f>L18+M18</f>
        <v>112654.90973191673</v>
      </c>
      <c r="O18" s="2">
        <f t="shared" si="1"/>
        <v>506.94709379362541</v>
      </c>
      <c r="P18" s="7">
        <f t="shared" si="7"/>
        <v>-6.2074103314948781E-2</v>
      </c>
      <c r="Q18" s="6">
        <f t="shared" si="2"/>
        <v>74.28</v>
      </c>
      <c r="R18" s="6">
        <f>IF(P18&lt;=0,Q18*(1+P18),Q18)</f>
        <v>69.669135605765604</v>
      </c>
      <c r="S18" s="6">
        <f t="shared" si="3"/>
        <v>73.739999999999995</v>
      </c>
      <c r="T18">
        <f t="shared" si="4"/>
        <v>0</v>
      </c>
    </row>
    <row r="19" spans="2:20" x14ac:dyDescent="0.35">
      <c r="B19" s="34" t="s">
        <v>18</v>
      </c>
      <c r="C19" s="40">
        <f>C15*C18/52</f>
        <v>103.84615384615384</v>
      </c>
      <c r="F19" s="47" t="s">
        <v>44</v>
      </c>
      <c r="G19" s="1">
        <f>G18+$C$8+$C$9-$C$21-T18*O18</f>
        <v>6495.3846153846171</v>
      </c>
      <c r="H19" s="1">
        <f t="shared" si="5"/>
        <v>4750.7692307692341</v>
      </c>
      <c r="I19" s="6">
        <f>I18*(1-T18)+$C$21</f>
        <v>996.92307692307702</v>
      </c>
      <c r="J19" s="5">
        <f>J18+T18*(O18+I18)/R18</f>
        <v>0</v>
      </c>
      <c r="K19" s="5">
        <f t="shared" si="6"/>
        <v>1365.0237796654271</v>
      </c>
      <c r="L19" s="1">
        <f t="shared" si="0"/>
        <v>11246.153846153851</v>
      </c>
      <c r="M19" s="6">
        <f>(J19+K19)*Q19</f>
        <v>100615.90279913862</v>
      </c>
      <c r="N19" s="4">
        <f>L19+M19</f>
        <v>111862.05664529247</v>
      </c>
      <c r="O19" s="2">
        <f t="shared" si="1"/>
        <v>503.37925490381616</v>
      </c>
      <c r="P19" s="7">
        <f t="shared" si="7"/>
        <v>-4.4071668686852306E-2</v>
      </c>
      <c r="Q19" s="6">
        <f t="shared" si="2"/>
        <v>73.709999999999994</v>
      </c>
      <c r="R19" s="6">
        <f>IF(P19&lt;=0,Q19*(1+P19),Q19)</f>
        <v>70.461477301092117</v>
      </c>
      <c r="S19" s="6">
        <f t="shared" si="3"/>
        <v>73.36</v>
      </c>
      <c r="T19">
        <f t="shared" si="4"/>
        <v>0</v>
      </c>
    </row>
    <row r="20" spans="2:20" x14ac:dyDescent="0.35">
      <c r="B20" s="34" t="s">
        <v>22</v>
      </c>
      <c r="C20" s="36">
        <f>C19/C22</f>
        <v>1.5971417078768664</v>
      </c>
      <c r="F20" s="47" t="s">
        <v>45</v>
      </c>
      <c r="G20" s="1">
        <f>G19+$C$8+$C$9-$C$21-T19*O19</f>
        <v>6620.0000000000018</v>
      </c>
      <c r="H20" s="1">
        <f t="shared" si="5"/>
        <v>4730.0000000000036</v>
      </c>
      <c r="I20" s="6">
        <f>I19*(1-T19)+$C$21</f>
        <v>1080</v>
      </c>
      <c r="J20" s="5">
        <f>J19+T19*(O19+I19)/R19</f>
        <v>0</v>
      </c>
      <c r="K20" s="5">
        <f t="shared" si="6"/>
        <v>1363.4266379575502</v>
      </c>
      <c r="L20" s="1">
        <f t="shared" si="0"/>
        <v>11350.000000000005</v>
      </c>
      <c r="M20" s="6">
        <f>(J20+K20)*Q20</f>
        <v>102652.39157182396</v>
      </c>
      <c r="N20" s="4">
        <f>L20+M20</f>
        <v>114002.39157182396</v>
      </c>
      <c r="O20" s="2">
        <f t="shared" si="1"/>
        <v>513.01076207320796</v>
      </c>
      <c r="P20" s="7">
        <f t="shared" si="7"/>
        <v>-5.4869634368090558E-2</v>
      </c>
      <c r="Q20" s="6">
        <f t="shared" si="2"/>
        <v>75.290000000000006</v>
      </c>
      <c r="R20" s="6">
        <f>IF(P20&lt;=0,Q20*(1+P20),Q20)</f>
        <v>71.158865228426464</v>
      </c>
      <c r="S20" s="6">
        <f t="shared" si="3"/>
        <v>75.02</v>
      </c>
      <c r="T20">
        <f t="shared" si="4"/>
        <v>0</v>
      </c>
    </row>
    <row r="21" spans="2:20" x14ac:dyDescent="0.35">
      <c r="B21" s="8" t="s">
        <v>76</v>
      </c>
      <c r="C21" s="40">
        <f>C9-C19</f>
        <v>83.076923076923066</v>
      </c>
      <c r="F21" s="47" t="s">
        <v>46</v>
      </c>
      <c r="G21" s="1">
        <f>G20+$C$8+$C$9-$C$21-T20*O20</f>
        <v>6744.6153846153866</v>
      </c>
      <c r="H21" s="1">
        <f t="shared" si="5"/>
        <v>4709.2307692307731</v>
      </c>
      <c r="I21" s="6">
        <f>I20*(1-T20)+$C$21</f>
        <v>1163.0769230769231</v>
      </c>
      <c r="J21" s="5">
        <f>J20+T20*(O20+I20)/R20</f>
        <v>0</v>
      </c>
      <c r="K21" s="5">
        <f t="shared" si="6"/>
        <v>1361.8294962496732</v>
      </c>
      <c r="L21" s="1">
        <f t="shared" si="0"/>
        <v>11453.84615384616</v>
      </c>
      <c r="M21" s="6">
        <f>(J21+K21)*Q21</f>
        <v>103621.60636963764</v>
      </c>
      <c r="N21" s="4">
        <f>L21+M21</f>
        <v>115075.45252348379</v>
      </c>
      <c r="O21" s="2">
        <f t="shared" si="1"/>
        <v>517.83953635567718</v>
      </c>
      <c r="P21" s="7">
        <f t="shared" si="7"/>
        <v>-5.5156318733287635E-2</v>
      </c>
      <c r="Q21" s="6">
        <f t="shared" si="2"/>
        <v>76.09</v>
      </c>
      <c r="R21" s="6">
        <f>IF(P21&lt;=0,Q21*(1+P21),Q21)</f>
        <v>71.893155707584143</v>
      </c>
      <c r="S21" s="6">
        <f t="shared" si="3"/>
        <v>75.67</v>
      </c>
      <c r="T21">
        <f t="shared" si="4"/>
        <v>0</v>
      </c>
    </row>
    <row r="22" spans="2:20" x14ac:dyDescent="0.35">
      <c r="B22" s="8" t="s">
        <v>25</v>
      </c>
      <c r="C22" s="30">
        <v>65.02</v>
      </c>
      <c r="F22" s="47" t="s">
        <v>47</v>
      </c>
      <c r="G22" s="1">
        <f>G21+$C$8+$C$9-$C$21-T21*O21</f>
        <v>6869.2307692307713</v>
      </c>
      <c r="H22" s="1">
        <f t="shared" si="5"/>
        <v>4688.4615384615427</v>
      </c>
      <c r="I22" s="6">
        <f>I21*(1-T21)+$C$21</f>
        <v>1246.1538461538462</v>
      </c>
      <c r="J22" s="5">
        <f>J21+T21*(O21+I21)/R21</f>
        <v>0</v>
      </c>
      <c r="K22" s="5">
        <f t="shared" si="6"/>
        <v>1360.2323545417962</v>
      </c>
      <c r="L22" s="1">
        <f t="shared" si="0"/>
        <v>11557.692307692314</v>
      </c>
      <c r="M22" s="6">
        <f>(J22+K22)*Q22</f>
        <v>103867.34259281156</v>
      </c>
      <c r="N22" s="4">
        <f>L22+M22</f>
        <v>115425.03490050387</v>
      </c>
      <c r="O22" s="2">
        <f t="shared" si="1"/>
        <v>519.41265705226749</v>
      </c>
      <c r="P22" s="7">
        <f t="shared" si="7"/>
        <v>-4.8544983131708408E-2</v>
      </c>
      <c r="Q22" s="6">
        <f t="shared" si="2"/>
        <v>76.36</v>
      </c>
      <c r="R22" s="6">
        <f>IF(P22&lt;=0,Q22*(1+P22),Q22)</f>
        <v>72.653105088062745</v>
      </c>
      <c r="S22" s="6">
        <f t="shared" si="3"/>
        <v>75.930000000000007</v>
      </c>
      <c r="T22">
        <f t="shared" si="4"/>
        <v>0</v>
      </c>
    </row>
    <row r="23" spans="2:20" x14ac:dyDescent="0.35">
      <c r="B23" s="29" t="s">
        <v>8</v>
      </c>
      <c r="C23" s="41">
        <v>400</v>
      </c>
      <c r="F23" s="47" t="s">
        <v>48</v>
      </c>
      <c r="G23" s="1">
        <f>G22+$C$8+$C$9-$C$21-T22*O22</f>
        <v>6993.8461538461561</v>
      </c>
      <c r="H23" s="1">
        <f t="shared" si="5"/>
        <v>4667.6923076923122</v>
      </c>
      <c r="I23" s="6">
        <f>I22*(1-T22)+$C$21</f>
        <v>1329.2307692307693</v>
      </c>
      <c r="J23" s="5">
        <f>J22+T22*(O22+I22)/R22</f>
        <v>0</v>
      </c>
      <c r="K23" s="5">
        <f t="shared" si="6"/>
        <v>1358.6352128339192</v>
      </c>
      <c r="L23" s="1">
        <f t="shared" si="0"/>
        <v>11661.538461538468</v>
      </c>
      <c r="M23" s="6">
        <f>(J23+K23)*Q23</f>
        <v>104044.28459882153</v>
      </c>
      <c r="N23" s="4">
        <f>L23+M23</f>
        <v>115705.82306035999</v>
      </c>
      <c r="O23" s="2">
        <f t="shared" si="1"/>
        <v>520.67620377162007</v>
      </c>
      <c r="P23" s="7">
        <f t="shared" si="7"/>
        <v>-4.1301648613000119E-2</v>
      </c>
      <c r="Q23" s="6">
        <f t="shared" si="2"/>
        <v>76.58</v>
      </c>
      <c r="R23" s="6">
        <f>IF(P23&lt;=0,Q23*(1+P23),Q23)</f>
        <v>73.417119749216454</v>
      </c>
      <c r="S23" s="6">
        <f t="shared" si="3"/>
        <v>76.5</v>
      </c>
      <c r="T23">
        <f t="shared" si="4"/>
        <v>0</v>
      </c>
    </row>
    <row r="24" spans="2:20" x14ac:dyDescent="0.35">
      <c r="B24" s="31" t="s">
        <v>9</v>
      </c>
      <c r="C24" s="32">
        <v>-0.05</v>
      </c>
      <c r="F24" s="47" t="s">
        <v>49</v>
      </c>
      <c r="G24" s="1">
        <f>G23+$C$8+$C$9-$C$21-T23*O23</f>
        <v>7118.4615384615408</v>
      </c>
      <c r="H24" s="1">
        <f t="shared" si="5"/>
        <v>4646.9230769230817</v>
      </c>
      <c r="I24" s="6">
        <f>I23*(1-T23)+$C$21</f>
        <v>1412.3076923076924</v>
      </c>
      <c r="J24" s="5">
        <f>J23+T23*(O23+I23)/R23</f>
        <v>0</v>
      </c>
      <c r="K24" s="5">
        <f t="shared" si="6"/>
        <v>1357.0380711260423</v>
      </c>
      <c r="L24" s="1">
        <f t="shared" si="0"/>
        <v>11765.384615384623</v>
      </c>
      <c r="M24" s="6">
        <f>(J24+K24)*Q24</f>
        <v>105143.30975084576</v>
      </c>
      <c r="N24" s="4">
        <f>L24+M24</f>
        <v>116908.69436623038</v>
      </c>
      <c r="O24" s="2">
        <f t="shared" si="1"/>
        <v>526.08912464803677</v>
      </c>
      <c r="P24" s="7">
        <f t="shared" si="7"/>
        <v>-4.2948424103875893E-2</v>
      </c>
      <c r="Q24" s="6">
        <f t="shared" si="2"/>
        <v>77.48</v>
      </c>
      <c r="R24" s="6">
        <f>IF(P24&lt;=0,Q24*(1+P24),Q24)</f>
        <v>74.152356100431703</v>
      </c>
      <c r="S24" s="6">
        <f t="shared" si="3"/>
        <v>76.64</v>
      </c>
      <c r="T24">
        <f t="shared" si="4"/>
        <v>0</v>
      </c>
    </row>
    <row r="25" spans="2:20" x14ac:dyDescent="0.35">
      <c r="F25" s="47" t="s">
        <v>50</v>
      </c>
      <c r="G25" s="1">
        <f>G24+$C$8+$C$9-$C$21-T24*O24</f>
        <v>7243.0769230769256</v>
      </c>
      <c r="H25" s="1">
        <f t="shared" si="5"/>
        <v>4626.1538461538512</v>
      </c>
      <c r="I25" s="6">
        <f>I24*(1-T24)+$C$21</f>
        <v>1495.3846153846155</v>
      </c>
      <c r="J25" s="5">
        <f>J24+T24*(O24+I24)/R24</f>
        <v>0</v>
      </c>
      <c r="K25" s="5">
        <f t="shared" si="6"/>
        <v>1355.4409294181653</v>
      </c>
      <c r="L25" s="1">
        <f t="shared" ref="L25:L45" si="8">G25+H25</f>
        <v>11869.230769230777</v>
      </c>
      <c r="M25" s="6">
        <f>(J25+K25)*Q25</f>
        <v>103487.91496107691</v>
      </c>
      <c r="N25" s="4">
        <f>L25+M25</f>
        <v>115357.14573030769</v>
      </c>
      <c r="O25" s="2">
        <f t="shared" si="1"/>
        <v>519.10715578638462</v>
      </c>
      <c r="P25" s="7">
        <f t="shared" ref="P25:P45" si="9">((((N25-M25-O25)*$C$4/$C$3)-O25)/M25)-1</f>
        <v>-1.7933587671196016E-2</v>
      </c>
      <c r="Q25" s="6">
        <f>C46</f>
        <v>76.349999999999994</v>
      </c>
      <c r="R25" s="6">
        <f>IF(P25&lt;=0,Q25*(1+P25),Q25)</f>
        <v>74.980770581304185</v>
      </c>
      <c r="S25" s="6">
        <f t="shared" si="3"/>
        <v>74.2</v>
      </c>
      <c r="T25">
        <f t="shared" si="4"/>
        <v>1</v>
      </c>
    </row>
    <row r="26" spans="2:20" x14ac:dyDescent="0.35">
      <c r="B26" t="s">
        <v>3</v>
      </c>
      <c r="F26" s="47" t="s">
        <v>51</v>
      </c>
      <c r="G26" s="1">
        <f>G25+$C$8+$C$9-$C$21-T25*O25</f>
        <v>6848.5851519059261</v>
      </c>
      <c r="H26" s="1">
        <f t="shared" si="5"/>
        <v>4605.3846153846207</v>
      </c>
      <c r="I26" s="6">
        <f>I25*(1-T25)+$C$21</f>
        <v>83.076923076923066</v>
      </c>
      <c r="J26" s="5">
        <f>J25+T25*(O25+I25)/R25</f>
        <v>26.866778716105863</v>
      </c>
      <c r="K26" s="5">
        <f t="shared" si="6"/>
        <v>1353.8437877102883</v>
      </c>
      <c r="L26" s="1">
        <f t="shared" si="8"/>
        <v>11453.969767290546</v>
      </c>
      <c r="M26" s="6">
        <f>(J26+K26)*Q26</f>
        <v>103442.83563666546</v>
      </c>
      <c r="N26" s="4">
        <f>L26+M26</f>
        <v>114896.80540395601</v>
      </c>
      <c r="O26" s="2">
        <f t="shared" si="1"/>
        <v>517.0356243178021</v>
      </c>
      <c r="P26" s="7">
        <f t="shared" si="9"/>
        <v>-5.3434961833831895E-2</v>
      </c>
      <c r="Q26" s="6">
        <f>C47</f>
        <v>74.92</v>
      </c>
      <c r="R26" s="6">
        <f>IF(P26&lt;=0,Q26*(1+P26),Q26)</f>
        <v>70.916652659409323</v>
      </c>
      <c r="S26" s="6">
        <f t="shared" si="3"/>
        <v>73.48</v>
      </c>
      <c r="T26">
        <f t="shared" si="4"/>
        <v>0</v>
      </c>
    </row>
    <row r="27" spans="2:20" ht="15" thickBot="1" x14ac:dyDescent="0.4">
      <c r="B27" s="26" t="s">
        <v>5</v>
      </c>
      <c r="C27" s="27" t="s">
        <v>6</v>
      </c>
      <c r="D27" s="27" t="s">
        <v>7</v>
      </c>
      <c r="F27" s="47" t="s">
        <v>52</v>
      </c>
      <c r="G27" s="1">
        <f>G26+$C$8+$C$9-$C$21-T26*O26</f>
        <v>6973.2005365213108</v>
      </c>
      <c r="H27" s="1">
        <f t="shared" si="5"/>
        <v>4584.6153846153902</v>
      </c>
      <c r="I27" s="6">
        <f>I26*(1-T26)+$C$21</f>
        <v>166.15384615384613</v>
      </c>
      <c r="J27" s="5">
        <f>J26+T26*(O26+I26)/R26</f>
        <v>26.866778716105863</v>
      </c>
      <c r="K27" s="5">
        <f t="shared" si="6"/>
        <v>1352.2466460024114</v>
      </c>
      <c r="L27" s="1">
        <f t="shared" si="8"/>
        <v>11557.815921136702</v>
      </c>
      <c r="M27" s="6">
        <f>(J27+K27)*Q27</f>
        <v>104247.18377447272</v>
      </c>
      <c r="N27" s="4">
        <f>L27+M27</f>
        <v>115804.99969560943</v>
      </c>
      <c r="O27" s="2">
        <f t="shared" si="1"/>
        <v>521.1224986302426</v>
      </c>
      <c r="P27" s="7">
        <f t="shared" si="9"/>
        <v>-5.2165106755396651E-2</v>
      </c>
      <c r="Q27" s="6">
        <f>C48</f>
        <v>75.59</v>
      </c>
      <c r="R27" s="6">
        <f>IF(P27&lt;=0,Q27*(1+P27),Q27)</f>
        <v>71.646839580359568</v>
      </c>
      <c r="S27" s="6">
        <f t="shared" si="3"/>
        <v>73.849999999999994</v>
      </c>
      <c r="T27">
        <f t="shared" si="4"/>
        <v>0</v>
      </c>
    </row>
    <row r="28" spans="2:20" ht="15" thickBot="1" x14ac:dyDescent="0.4">
      <c r="B28" s="3">
        <v>43469</v>
      </c>
      <c r="C28" s="28">
        <v>65.02</v>
      </c>
      <c r="D28" s="28">
        <v>64.489999999999995</v>
      </c>
      <c r="F28" s="47" t="s">
        <v>53</v>
      </c>
      <c r="G28" s="1">
        <f>G27+$C$8+$C$9-$C$21-T27*O27</f>
        <v>7097.8159211366956</v>
      </c>
      <c r="H28" s="1">
        <f t="shared" si="5"/>
        <v>4563.8461538461597</v>
      </c>
      <c r="I28" s="6">
        <f>I27*(1-T27)+$C$21</f>
        <v>249.2307692307692</v>
      </c>
      <c r="J28" s="5">
        <f>J27+T27*(O27+I27)/R27</f>
        <v>26.866778716105863</v>
      </c>
      <c r="K28" s="5">
        <f t="shared" si="6"/>
        <v>1350.6495042945344</v>
      </c>
      <c r="L28" s="1">
        <f t="shared" si="8"/>
        <v>11661.662074982854</v>
      </c>
      <c r="M28" s="6">
        <f>(J28+K28)*Q28</f>
        <v>102266.80885070993</v>
      </c>
      <c r="N28" s="4">
        <f>L28+M28</f>
        <v>113928.47092569279</v>
      </c>
      <c r="O28" s="2">
        <f t="shared" si="1"/>
        <v>512.67811916561766</v>
      </c>
      <c r="P28" s="7">
        <f t="shared" si="9"/>
        <v>-2.3845775525080937E-2</v>
      </c>
      <c r="Q28" s="6">
        <f>C49</f>
        <v>74.239999999999995</v>
      </c>
      <c r="R28" s="6">
        <f>IF(P28&lt;=0,Q28*(1+P28),Q28)</f>
        <v>72.469689625017992</v>
      </c>
      <c r="S28" s="6">
        <f t="shared" si="3"/>
        <v>72.92</v>
      </c>
      <c r="T28">
        <f t="shared" si="4"/>
        <v>0</v>
      </c>
    </row>
    <row r="29" spans="2:20" ht="15" thickBot="1" x14ac:dyDescent="0.4">
      <c r="B29" s="3">
        <v>43476</v>
      </c>
      <c r="C29" s="28">
        <v>67.069999999999993</v>
      </c>
      <c r="D29" s="28">
        <v>66.400000000000006</v>
      </c>
      <c r="F29" s="47" t="s">
        <v>54</v>
      </c>
      <c r="G29" s="1">
        <f>G28+$C$8+$C$9-$C$21-T28*O28</f>
        <v>7222.4313057520803</v>
      </c>
      <c r="H29" s="1">
        <f t="shared" si="5"/>
        <v>4543.0769230769292</v>
      </c>
      <c r="I29" s="6">
        <f>I28*(1-T28)+$C$21</f>
        <v>332.30769230769226</v>
      </c>
      <c r="J29" s="5">
        <f>J28+T28*(O28+I28)/R28</f>
        <v>26.866778716105863</v>
      </c>
      <c r="K29" s="5">
        <f t="shared" si="6"/>
        <v>1349.0523625866574</v>
      </c>
      <c r="L29" s="1">
        <f t="shared" si="8"/>
        <v>11765.50822882901</v>
      </c>
      <c r="M29" s="6">
        <f>(J29+K29)*Q29</f>
        <v>100180.67267825421</v>
      </c>
      <c r="N29" s="4">
        <f>L29+M29</f>
        <v>111946.18090708322</v>
      </c>
      <c r="O29" s="2">
        <f t="shared" si="1"/>
        <v>503.75781408187459</v>
      </c>
      <c r="P29" s="7">
        <f t="shared" si="9"/>
        <v>6.7011253013267158E-3</v>
      </c>
      <c r="Q29" s="6">
        <f>C50</f>
        <v>72.81</v>
      </c>
      <c r="R29" s="6">
        <f>IF(P29&lt;=0,Q29*(1+P29),Q29)</f>
        <v>72.81</v>
      </c>
      <c r="S29" s="6">
        <f t="shared" si="3"/>
        <v>72.540000000000006</v>
      </c>
      <c r="T29">
        <f t="shared" si="4"/>
        <v>1</v>
      </c>
    </row>
    <row r="30" spans="2:20" ht="15" thickBot="1" x14ac:dyDescent="0.4">
      <c r="B30" s="3">
        <v>43483</v>
      </c>
      <c r="C30" s="28">
        <v>67.510000000000005</v>
      </c>
      <c r="D30" s="28">
        <v>67.459999999999994</v>
      </c>
      <c r="F30" s="47" t="s">
        <v>55</v>
      </c>
      <c r="G30" s="1">
        <f>G29+$C$8+$C$9-$C$21-T29*O29</f>
        <v>6843.288876285591</v>
      </c>
      <c r="H30" s="1">
        <f t="shared" si="5"/>
        <v>4522.3076923076987</v>
      </c>
      <c r="I30" s="6">
        <f>I29*(1-T29)+$C$21</f>
        <v>83.076923076923066</v>
      </c>
      <c r="J30" s="5">
        <f>J29+T29*(O29+I29)/R29</f>
        <v>38.349617699618662</v>
      </c>
      <c r="K30" s="5">
        <f t="shared" si="6"/>
        <v>1347.4552208787804</v>
      </c>
      <c r="L30" s="1">
        <f t="shared" si="8"/>
        <v>11365.59656859329</v>
      </c>
      <c r="M30" s="6">
        <f>(J30+K30)*Q30</f>
        <v>104337.24629656768</v>
      </c>
      <c r="N30" s="4">
        <f>L30+M30</f>
        <v>115702.84286516097</v>
      </c>
      <c r="O30" s="2">
        <f t="shared" si="1"/>
        <v>520.66279289322449</v>
      </c>
      <c r="P30" s="7">
        <f t="shared" si="9"/>
        <v>-6.9519805875871032E-2</v>
      </c>
      <c r="Q30" s="6">
        <f>C51</f>
        <v>75.290000000000006</v>
      </c>
      <c r="R30" s="6">
        <f>IF(P30&lt;=0,Q30*(1+P30),Q30)</f>
        <v>70.055853815605673</v>
      </c>
      <c r="S30" s="6">
        <f t="shared" si="3"/>
        <v>74.81</v>
      </c>
      <c r="T30">
        <f t="shared" si="4"/>
        <v>0</v>
      </c>
    </row>
    <row r="31" spans="2:20" ht="15" thickBot="1" x14ac:dyDescent="0.4">
      <c r="B31" s="3">
        <v>43490</v>
      </c>
      <c r="C31" s="28">
        <v>69.94</v>
      </c>
      <c r="D31" s="28">
        <v>68.84</v>
      </c>
      <c r="F31" s="47" t="s">
        <v>56</v>
      </c>
      <c r="G31" s="1">
        <f>G30+$C$8+$C$9-$C$21-T30*O30</f>
        <v>6967.9042609009757</v>
      </c>
      <c r="H31" s="1">
        <f t="shared" si="5"/>
        <v>4501.5384615384683</v>
      </c>
      <c r="I31" s="6">
        <f>I30*(1-T30)+$C$21</f>
        <v>166.15384615384613</v>
      </c>
      <c r="J31" s="5">
        <f>J30+T30*(O30+I30)/R30</f>
        <v>38.349617699618662</v>
      </c>
      <c r="K31" s="5">
        <f t="shared" si="6"/>
        <v>1345.8580791709035</v>
      </c>
      <c r="L31" s="1">
        <f t="shared" si="8"/>
        <v>11469.442722439444</v>
      </c>
      <c r="M31" s="6">
        <f>(J31+K31)*Q31</f>
        <v>104895.25926884817</v>
      </c>
      <c r="N31" s="4">
        <f>L31+M31</f>
        <v>116364.70199128761</v>
      </c>
      <c r="O31" s="2">
        <f t="shared" si="1"/>
        <v>523.64115896079431</v>
      </c>
      <c r="P31" s="7">
        <f t="shared" si="9"/>
        <v>-6.5843646363456299E-2</v>
      </c>
      <c r="Q31" s="6">
        <f>C52</f>
        <v>75.78</v>
      </c>
      <c r="R31" s="6">
        <f>IF(P31&lt;=0,Q31*(1+P31),Q31)</f>
        <v>70.790368478577278</v>
      </c>
      <c r="S31" s="6">
        <f t="shared" si="3"/>
        <v>75.319999999999993</v>
      </c>
      <c r="T31">
        <f t="shared" si="4"/>
        <v>0</v>
      </c>
    </row>
    <row r="32" spans="2:20" ht="15" thickBot="1" x14ac:dyDescent="0.4">
      <c r="B32" s="3">
        <v>43497</v>
      </c>
      <c r="C32" s="28">
        <v>69.77</v>
      </c>
      <c r="D32" s="28">
        <v>69.12</v>
      </c>
      <c r="F32" s="47" t="s">
        <v>57</v>
      </c>
      <c r="G32" s="1">
        <f>G31+$C$8+$C$9-$C$21-T31*O31</f>
        <v>7092.5196455163605</v>
      </c>
      <c r="H32" s="1">
        <f t="shared" si="5"/>
        <v>4480.7692307692378</v>
      </c>
      <c r="I32" s="6">
        <f>I31*(1-T31)+$C$21</f>
        <v>249.2307692307692</v>
      </c>
      <c r="J32" s="5">
        <f>J31+T31*(O31+I31)/R31</f>
        <v>38.349617699618662</v>
      </c>
      <c r="K32" s="5">
        <f t="shared" si="6"/>
        <v>1344.2609374630265</v>
      </c>
      <c r="L32" s="1">
        <f t="shared" si="8"/>
        <v>11573.288876285598</v>
      </c>
      <c r="M32" s="6">
        <f>(J32+K32)*Q32</f>
        <v>105783.53357549399</v>
      </c>
      <c r="N32" s="4">
        <f>L32+M32</f>
        <v>117356.82245177959</v>
      </c>
      <c r="O32" s="2">
        <f t="shared" si="1"/>
        <v>528.10570103300813</v>
      </c>
      <c r="P32" s="7">
        <f t="shared" si="9"/>
        <v>-6.5274721555087845E-2</v>
      </c>
      <c r="Q32" s="6">
        <f>C53</f>
        <v>76.510000000000005</v>
      </c>
      <c r="R32" s="6">
        <f>IF(P32&lt;=0,Q32*(1+P32),Q32)</f>
        <v>71.515831053820236</v>
      </c>
      <c r="S32" s="6">
        <f t="shared" si="3"/>
        <v>75.2</v>
      </c>
      <c r="T32">
        <f t="shared" si="4"/>
        <v>0</v>
      </c>
    </row>
    <row r="33" spans="2:20" ht="15" thickBot="1" x14ac:dyDescent="0.4">
      <c r="B33" s="3">
        <v>43504</v>
      </c>
      <c r="C33" s="28">
        <v>70.75</v>
      </c>
      <c r="D33" s="28">
        <v>70.72</v>
      </c>
      <c r="F33" s="47" t="s">
        <v>58</v>
      </c>
      <c r="G33" s="1">
        <f>G32+$C$8+$C$9-$C$21-T32*O32</f>
        <v>7217.1350301317452</v>
      </c>
      <c r="H33" s="1">
        <f t="shared" si="5"/>
        <v>4460.0000000000073</v>
      </c>
      <c r="I33" s="6">
        <f>I32*(1-T32)+$C$21</f>
        <v>332.30769230769226</v>
      </c>
      <c r="J33" s="5">
        <f>J32+T32*(O32+I32)/R32</f>
        <v>38.349617699618662</v>
      </c>
      <c r="K33" s="5">
        <f t="shared" si="6"/>
        <v>1342.6637957551495</v>
      </c>
      <c r="L33" s="1">
        <f t="shared" si="8"/>
        <v>11677.135030131753</v>
      </c>
      <c r="M33" s="6">
        <f>(J33+K33)*Q33</f>
        <v>106199.93149467168</v>
      </c>
      <c r="N33" s="4">
        <f>L33+M33</f>
        <v>117877.06652480343</v>
      </c>
      <c r="O33" s="2">
        <f t="shared" si="1"/>
        <v>530.4467993616156</v>
      </c>
      <c r="P33" s="7">
        <f t="shared" si="9"/>
        <v>-6.0359589002405678E-2</v>
      </c>
      <c r="Q33" s="6">
        <f>C54</f>
        <v>76.900000000000006</v>
      </c>
      <c r="R33" s="6">
        <f>IF(P33&lt;=0,Q33*(1+P33),Q33)</f>
        <v>72.258347605715002</v>
      </c>
      <c r="S33" s="6">
        <f t="shared" si="3"/>
        <v>76.7</v>
      </c>
      <c r="T33">
        <f t="shared" si="4"/>
        <v>0</v>
      </c>
    </row>
    <row r="34" spans="2:20" ht="15" thickBot="1" x14ac:dyDescent="0.4">
      <c r="B34" s="3">
        <v>43511</v>
      </c>
      <c r="C34" s="28">
        <v>71.41</v>
      </c>
      <c r="D34" s="28">
        <v>71.11</v>
      </c>
      <c r="F34" s="47" t="s">
        <v>59</v>
      </c>
      <c r="G34" s="1">
        <f>G33+$C$8+$C$9-$C$21-T33*O33</f>
        <v>7341.75041474713</v>
      </c>
      <c r="H34" s="1">
        <f t="shared" si="5"/>
        <v>4439.2307692307768</v>
      </c>
      <c r="I34" s="6">
        <f>I33*(1-T33)+$C$21</f>
        <v>415.38461538461536</v>
      </c>
      <c r="J34" s="5">
        <f>J33+T33*(O33+I33)/R33</f>
        <v>38.349617699618662</v>
      </c>
      <c r="K34" s="5">
        <f t="shared" si="6"/>
        <v>1341.0666540472726</v>
      </c>
      <c r="L34" s="1">
        <f t="shared" si="8"/>
        <v>11780.981183977907</v>
      </c>
      <c r="M34" s="6">
        <f>(J34+K34)*Q34</f>
        <v>106890.96689766659</v>
      </c>
      <c r="N34" s="4">
        <f>L34+M34</f>
        <v>118671.94808164448</v>
      </c>
      <c r="O34" s="2">
        <f t="shared" si="1"/>
        <v>534.0237663674003</v>
      </c>
      <c r="P34" s="7">
        <f t="shared" si="9"/>
        <v>-5.802523904080148E-2</v>
      </c>
      <c r="Q34" s="6">
        <f>C55</f>
        <v>77.489999999999995</v>
      </c>
      <c r="R34" s="6">
        <f>IF(P34&lt;=0,Q34*(1+P34),Q34)</f>
        <v>72.993624226728286</v>
      </c>
      <c r="S34" s="6">
        <f t="shared" si="3"/>
        <v>77</v>
      </c>
      <c r="T34">
        <f t="shared" si="4"/>
        <v>0</v>
      </c>
    </row>
    <row r="35" spans="2:20" ht="15" thickBot="1" x14ac:dyDescent="0.4">
      <c r="B35" s="3">
        <v>43518</v>
      </c>
      <c r="C35" s="28">
        <v>73.09</v>
      </c>
      <c r="D35" s="28">
        <v>72.73</v>
      </c>
      <c r="F35" s="47" t="s">
        <v>60</v>
      </c>
      <c r="G35" s="1">
        <f>G34+$C$8+$C$9-$C$21-T34*O34</f>
        <v>7466.3657993625147</v>
      </c>
      <c r="H35" s="1">
        <f t="shared" si="5"/>
        <v>4418.4615384615463</v>
      </c>
      <c r="I35" s="6">
        <f>I34*(1-T34)+$C$21</f>
        <v>498.46153846153845</v>
      </c>
      <c r="J35" s="5">
        <f>J34+T34*(O34+I34)/R34</f>
        <v>38.349617699618662</v>
      </c>
      <c r="K35" s="5">
        <f t="shared" si="6"/>
        <v>1339.4695123393956</v>
      </c>
      <c r="L35" s="1">
        <f t="shared" si="8"/>
        <v>11884.827337824061</v>
      </c>
      <c r="M35" s="6">
        <f>(J35+K35)*Q35</f>
        <v>107152.99374313412</v>
      </c>
      <c r="N35" s="4">
        <f>L35+M35</f>
        <v>119037.82108095818</v>
      </c>
      <c r="O35" s="2">
        <f t="shared" si="1"/>
        <v>535.67019486431184</v>
      </c>
      <c r="P35" s="7">
        <f t="shared" si="9"/>
        <v>-5.1760099812574123E-2</v>
      </c>
      <c r="Q35" s="6">
        <f>C56</f>
        <v>77.77</v>
      </c>
      <c r="R35" s="6">
        <f>IF(P35&lt;=0,Q35*(1+P35),Q35)</f>
        <v>73.744617037576106</v>
      </c>
      <c r="S35" s="6">
        <f t="shared" si="3"/>
        <v>77.040000000000006</v>
      </c>
      <c r="T35">
        <f t="shared" si="4"/>
        <v>0</v>
      </c>
    </row>
    <row r="36" spans="2:20" ht="15" thickBot="1" x14ac:dyDescent="0.4">
      <c r="B36" s="3">
        <v>43525</v>
      </c>
      <c r="C36" s="28">
        <v>73.78</v>
      </c>
      <c r="D36" s="28">
        <v>72.91</v>
      </c>
      <c r="F36" s="47" t="s">
        <v>61</v>
      </c>
      <c r="G36" s="1">
        <f>G35+$C$8+$C$9-$C$21-T35*O35</f>
        <v>7590.9811839778995</v>
      </c>
      <c r="H36" s="1">
        <f t="shared" si="5"/>
        <v>4397.6923076923158</v>
      </c>
      <c r="I36" s="6">
        <f>I35*(1-T35)+$C$21</f>
        <v>581.53846153846155</v>
      </c>
      <c r="J36" s="5">
        <f>J35+T35*(O35+I35)/R35</f>
        <v>38.349617699618662</v>
      </c>
      <c r="K36" s="5">
        <f t="shared" si="6"/>
        <v>1337.8723706315186</v>
      </c>
      <c r="L36" s="1">
        <f t="shared" si="8"/>
        <v>11988.673491670215</v>
      </c>
      <c r="M36" s="6">
        <f>(J36+K36)*Q36</f>
        <v>106739.77741496301</v>
      </c>
      <c r="N36" s="4">
        <f>L36+M36</f>
        <v>118728.45090663322</v>
      </c>
      <c r="O36" s="2">
        <f t="shared" si="1"/>
        <v>534.27802907984949</v>
      </c>
      <c r="P36" s="7">
        <f t="shared" si="9"/>
        <v>-3.9202782524661917E-2</v>
      </c>
      <c r="Q36" s="6">
        <f>C57</f>
        <v>77.56</v>
      </c>
      <c r="R36" s="6">
        <f>IF(P36&lt;=0,Q36*(1+P36),Q36)</f>
        <v>74.519432187387224</v>
      </c>
      <c r="S36" s="6">
        <f t="shared" si="3"/>
        <v>77.36</v>
      </c>
      <c r="T36">
        <f t="shared" si="4"/>
        <v>0</v>
      </c>
    </row>
    <row r="37" spans="2:20" ht="15" thickBot="1" x14ac:dyDescent="0.4">
      <c r="B37" s="3">
        <v>43532</v>
      </c>
      <c r="C37" s="28">
        <v>73.91</v>
      </c>
      <c r="D37" s="28">
        <v>72.400000000000006</v>
      </c>
      <c r="F37" s="47" t="s">
        <v>62</v>
      </c>
      <c r="G37" s="1">
        <f>G36+$C$8+$C$9-$C$21-T36*O36</f>
        <v>7715.5965685932842</v>
      </c>
      <c r="H37" s="1">
        <f t="shared" si="5"/>
        <v>4376.9230769230853</v>
      </c>
      <c r="I37" s="6">
        <f>I36*(1-T36)+$C$21</f>
        <v>664.61538461538464</v>
      </c>
      <c r="J37" s="5">
        <f>J36+T36*(O36+I36)/R36</f>
        <v>38.349617699618662</v>
      </c>
      <c r="K37" s="5">
        <f t="shared" si="6"/>
        <v>1336.2752289236416</v>
      </c>
      <c r="L37" s="1">
        <f t="shared" si="8"/>
        <v>12092.51964551637</v>
      </c>
      <c r="M37" s="6">
        <f>(J37+K37)*Q37</f>
        <v>108031.76669612202</v>
      </c>
      <c r="N37" s="4">
        <f>L37+M37</f>
        <v>120124.28634163839</v>
      </c>
      <c r="O37" s="2">
        <f t="shared" si="1"/>
        <v>540.55928853737282</v>
      </c>
      <c r="P37" s="7">
        <f t="shared" si="9"/>
        <v>-4.2623414507334423E-2</v>
      </c>
      <c r="Q37" s="6">
        <f>C58</f>
        <v>78.59</v>
      </c>
      <c r="R37" s="6">
        <f>IF(P37&lt;=0,Q37*(1+P37),Q37)</f>
        <v>75.240225853868594</v>
      </c>
      <c r="S37" s="6">
        <f t="shared" si="3"/>
        <v>75.92</v>
      </c>
      <c r="T37">
        <f t="shared" si="4"/>
        <v>0</v>
      </c>
    </row>
    <row r="38" spans="2:20" ht="15" thickBot="1" x14ac:dyDescent="0.4">
      <c r="B38" s="3">
        <v>43539</v>
      </c>
      <c r="C38" s="28">
        <v>73</v>
      </c>
      <c r="D38" s="28">
        <v>73</v>
      </c>
      <c r="F38" s="47" t="s">
        <v>63</v>
      </c>
      <c r="G38" s="1">
        <f>G37+$C$8+$C$9-$C$21-T37*O37</f>
        <v>7840.211953208669</v>
      </c>
      <c r="H38" s="1">
        <f t="shared" si="5"/>
        <v>4356.1538461538548</v>
      </c>
      <c r="I38" s="6">
        <f>I37*(1-T37)+$C$21</f>
        <v>747.69230769230774</v>
      </c>
      <c r="J38" s="5">
        <f>J37+T37*(O37+I37)/R37</f>
        <v>38.349617699618662</v>
      </c>
      <c r="K38" s="5">
        <f t="shared" si="6"/>
        <v>1334.6780872157647</v>
      </c>
      <c r="L38" s="1">
        <f t="shared" si="8"/>
        <v>12196.365799362524</v>
      </c>
      <c r="M38" s="6">
        <f>(J38+K38)*Q38</f>
        <v>103649.86144406228</v>
      </c>
      <c r="N38" s="4">
        <f>L38+M38</f>
        <v>115846.2272434248</v>
      </c>
      <c r="O38" s="2">
        <f t="shared" si="1"/>
        <v>521.30802259541167</v>
      </c>
      <c r="P38" s="7">
        <f t="shared" si="9"/>
        <v>8.725052900667718E-3</v>
      </c>
      <c r="Q38" s="6">
        <f>C59</f>
        <v>75.489999999999995</v>
      </c>
      <c r="R38" s="6">
        <f>IF(P38&lt;=0,Q38*(1+P38),Q38)</f>
        <v>75.489999999999995</v>
      </c>
      <c r="S38" s="6">
        <f t="shared" si="3"/>
        <v>73.44</v>
      </c>
      <c r="T38">
        <f t="shared" si="4"/>
        <v>1</v>
      </c>
    </row>
    <row r="39" spans="2:20" ht="15" thickBot="1" x14ac:dyDescent="0.4">
      <c r="B39" s="3">
        <v>43546</v>
      </c>
      <c r="C39" s="28">
        <v>74.28</v>
      </c>
      <c r="D39" s="28">
        <v>73.739999999999995</v>
      </c>
      <c r="F39" s="47" t="s">
        <v>64</v>
      </c>
      <c r="G39" s="1">
        <f>G38+$C$8+$C$9-$C$21-T38*O38</f>
        <v>7443.519315228642</v>
      </c>
      <c r="H39" s="1">
        <f t="shared" si="5"/>
        <v>4335.3846153846243</v>
      </c>
      <c r="I39" s="6">
        <f>I38*(1-T38)+$C$21</f>
        <v>83.076923076923066</v>
      </c>
      <c r="J39" s="5">
        <f>J38+T38*(O38+I38)/R38</f>
        <v>55.159795607788212</v>
      </c>
      <c r="K39" s="5">
        <f t="shared" si="6"/>
        <v>1333.0809455078877</v>
      </c>
      <c r="L39" s="1">
        <f t="shared" si="8"/>
        <v>11778.903930613265</v>
      </c>
      <c r="M39" s="6">
        <f>(J39+K39)*Q39</f>
        <v>104603.93984306618</v>
      </c>
      <c r="N39" s="4">
        <f>L39+M39</f>
        <v>116382.84377367944</v>
      </c>
      <c r="O39" s="2">
        <f t="shared" si="1"/>
        <v>523.72279698155751</v>
      </c>
      <c r="P39" s="7">
        <f t="shared" si="9"/>
        <v>-3.6624169635579462E-2</v>
      </c>
      <c r="Q39" s="6">
        <f>C60</f>
        <v>75.349999999999994</v>
      </c>
      <c r="R39" s="6">
        <f>IF(P39&lt;=0,Q39*(1+P39),Q39)</f>
        <v>72.590368817959089</v>
      </c>
      <c r="S39" s="6">
        <f t="shared" si="3"/>
        <v>73.45</v>
      </c>
      <c r="T39">
        <f t="shared" si="4"/>
        <v>0</v>
      </c>
    </row>
    <row r="40" spans="2:20" ht="15" thickBot="1" x14ac:dyDescent="0.4">
      <c r="B40" s="3">
        <v>43553</v>
      </c>
      <c r="C40" s="28">
        <v>73.709999999999994</v>
      </c>
      <c r="D40" s="28">
        <v>73.36</v>
      </c>
      <c r="F40" s="47" t="s">
        <v>65</v>
      </c>
      <c r="G40" s="1">
        <f>G39+$C$8+$C$9-$C$21-T39*O39</f>
        <v>7568.1346998440267</v>
      </c>
      <c r="H40" s="1">
        <f t="shared" si="5"/>
        <v>4314.6153846153939</v>
      </c>
      <c r="I40" s="6">
        <f>I39*(1-T39)+$C$21</f>
        <v>166.15384615384613</v>
      </c>
      <c r="J40" s="5">
        <f>J39+T39*(O39+I39)/R39</f>
        <v>55.159795607788212</v>
      </c>
      <c r="K40" s="5">
        <f t="shared" si="6"/>
        <v>1331.4838038000107</v>
      </c>
      <c r="L40" s="1">
        <f t="shared" si="8"/>
        <v>11882.750084459421</v>
      </c>
      <c r="M40" s="6">
        <f>(J40+K40)*Q40</f>
        <v>104774.7903712533</v>
      </c>
      <c r="N40" s="4">
        <f>L40+M40</f>
        <v>116657.54045571272</v>
      </c>
      <c r="O40" s="2">
        <f t="shared" si="1"/>
        <v>524.9589320507074</v>
      </c>
      <c r="P40" s="7">
        <f t="shared" si="9"/>
        <v>-2.939284269348974E-2</v>
      </c>
      <c r="Q40" s="6">
        <f>C61</f>
        <v>75.56</v>
      </c>
      <c r="R40" s="6">
        <f>IF(P40&lt;=0,Q40*(1+P40),Q40)</f>
        <v>73.339076806079916</v>
      </c>
      <c r="S40" s="6">
        <f t="shared" si="3"/>
        <v>74.19</v>
      </c>
      <c r="T40">
        <f t="shared" si="4"/>
        <v>0</v>
      </c>
    </row>
    <row r="41" spans="2:20" ht="15" thickBot="1" x14ac:dyDescent="0.4">
      <c r="B41" s="3">
        <v>43560</v>
      </c>
      <c r="C41" s="28">
        <v>75.290000000000006</v>
      </c>
      <c r="D41" s="28">
        <v>75.02</v>
      </c>
      <c r="F41" s="47" t="s">
        <v>66</v>
      </c>
      <c r="G41" s="1">
        <f>G40+$C$8+$C$9-$C$21-T40*O40</f>
        <v>7692.7500844594115</v>
      </c>
      <c r="H41" s="1">
        <f t="shared" si="5"/>
        <v>4293.8461538461634</v>
      </c>
      <c r="I41" s="6">
        <f>I40*(1-T40)+$C$21</f>
        <v>249.2307692307692</v>
      </c>
      <c r="J41" s="5">
        <f>J40+T40*(O40+I40)/R40</f>
        <v>55.159795607788212</v>
      </c>
      <c r="K41" s="5">
        <f t="shared" si="6"/>
        <v>1329.8866620921337</v>
      </c>
      <c r="L41" s="1">
        <f t="shared" si="8"/>
        <v>11986.596238305574</v>
      </c>
      <c r="M41" s="6">
        <f>(J41+K41)*Q41</f>
        <v>101967.12021586827</v>
      </c>
      <c r="N41" s="4">
        <f>L41+M41</f>
        <v>113953.71645417385</v>
      </c>
      <c r="O41" s="2">
        <f t="shared" si="1"/>
        <v>512.79172404378232</v>
      </c>
      <c r="P41" s="7">
        <f t="shared" si="9"/>
        <v>7.6919764604865826E-3</v>
      </c>
      <c r="Q41" s="6">
        <f>C62</f>
        <v>73.62</v>
      </c>
      <c r="R41" s="6">
        <f>IF(P41&lt;=0,Q41*(1+P41),Q41)</f>
        <v>73.62</v>
      </c>
      <c r="S41" s="6">
        <f t="shared" si="3"/>
        <v>73.62</v>
      </c>
      <c r="T41">
        <f t="shared" si="4"/>
        <v>1</v>
      </c>
    </row>
    <row r="42" spans="2:20" ht="15" thickBot="1" x14ac:dyDescent="0.4">
      <c r="B42" s="3">
        <v>43567</v>
      </c>
      <c r="C42" s="28">
        <v>76.09</v>
      </c>
      <c r="D42" s="28">
        <v>75.67</v>
      </c>
      <c r="F42" s="47" t="s">
        <v>67</v>
      </c>
      <c r="G42" s="1">
        <f>G41+$C$8+$C$9-$C$21-T41*O41</f>
        <v>7304.5737450310135</v>
      </c>
      <c r="H42" s="1">
        <f t="shared" si="5"/>
        <v>4273.0769230769329</v>
      </c>
      <c r="I42" s="6">
        <f>I41*(1-T41)+$C$21</f>
        <v>83.076923076923066</v>
      </c>
      <c r="J42" s="5">
        <f>J41+T41*(O41+I41)/R41</f>
        <v>65.510549387665307</v>
      </c>
      <c r="K42" s="5">
        <f t="shared" si="6"/>
        <v>1328.2895203842568</v>
      </c>
      <c r="L42" s="1">
        <f t="shared" si="8"/>
        <v>11577.650668107946</v>
      </c>
      <c r="M42" s="6">
        <f>(J42+K42)*Q42</f>
        <v>106653.58133894748</v>
      </c>
      <c r="N42" s="4">
        <f>L42+M42</f>
        <v>118231.23200705543</v>
      </c>
      <c r="O42" s="2">
        <f t="shared" si="1"/>
        <v>532.0405440317495</v>
      </c>
      <c r="P42" s="7">
        <f t="shared" si="9"/>
        <v>-7.2900794035072436E-2</v>
      </c>
      <c r="Q42" s="6">
        <f>C63</f>
        <v>76.52</v>
      </c>
      <c r="R42" s="6">
        <f>IF(P42&lt;=0,Q42*(1+P42),Q42)</f>
        <v>70.941631240436251</v>
      </c>
      <c r="S42" s="6">
        <f t="shared" si="3"/>
        <v>76.19</v>
      </c>
      <c r="T42">
        <f t="shared" si="4"/>
        <v>0</v>
      </c>
    </row>
    <row r="43" spans="2:20" ht="15" thickBot="1" x14ac:dyDescent="0.4">
      <c r="B43" s="3">
        <v>43573</v>
      </c>
      <c r="C43" s="28">
        <v>76.36</v>
      </c>
      <c r="D43" s="28">
        <v>75.930000000000007</v>
      </c>
      <c r="F43" s="47" t="s">
        <v>68</v>
      </c>
      <c r="G43" s="1">
        <f>G42+$C$8+$C$9-$C$21-T42*O42</f>
        <v>7429.1891296463982</v>
      </c>
      <c r="H43" s="1">
        <f t="shared" si="5"/>
        <v>4252.3076923077024</v>
      </c>
      <c r="I43" s="6">
        <f>I42*(1-T42)+$C$21</f>
        <v>166.15384615384613</v>
      </c>
      <c r="J43" s="5">
        <f>J42+T42*(O42+I42)/R42</f>
        <v>65.510549387665307</v>
      </c>
      <c r="K43" s="5">
        <f t="shared" si="6"/>
        <v>1326.6923786763798</v>
      </c>
      <c r="L43" s="1">
        <f t="shared" si="8"/>
        <v>11681.496821954101</v>
      </c>
      <c r="M43" s="6">
        <f>(J43+K43)*Q43</f>
        <v>108898.11303316962</v>
      </c>
      <c r="N43" s="4">
        <f>L43+M43</f>
        <v>120579.60985512372</v>
      </c>
      <c r="O43" s="2">
        <f t="shared" si="1"/>
        <v>542.60824434805681</v>
      </c>
      <c r="P43" s="7">
        <f t="shared" si="9"/>
        <v>-8.4397459451513446E-2</v>
      </c>
      <c r="Q43" s="6">
        <f>C64</f>
        <v>78.22</v>
      </c>
      <c r="R43" s="6">
        <f>IF(P43&lt;=0,Q43*(1+P43),Q43)</f>
        <v>71.618430721702623</v>
      </c>
      <c r="S43" s="6">
        <f t="shared" si="3"/>
        <v>77.64</v>
      </c>
      <c r="T43">
        <f t="shared" si="4"/>
        <v>0</v>
      </c>
    </row>
    <row r="44" spans="2:20" ht="15" thickBot="1" x14ac:dyDescent="0.4">
      <c r="B44" s="3">
        <v>43581</v>
      </c>
      <c r="C44" s="28">
        <v>76.58</v>
      </c>
      <c r="D44" s="28">
        <v>76.5</v>
      </c>
      <c r="F44" s="47" t="s">
        <v>69</v>
      </c>
      <c r="G44" s="1">
        <f>G43+$C$8+$C$9-$C$21-T43*O43</f>
        <v>7553.804514261783</v>
      </c>
      <c r="H44" s="1">
        <f t="shared" si="5"/>
        <v>4231.5384615384719</v>
      </c>
      <c r="I44" s="6">
        <f>I43*(1-T43)+$C$21</f>
        <v>249.2307692307692</v>
      </c>
      <c r="J44" s="5">
        <f>J43+T43*(O43+I43)/R43</f>
        <v>65.510549387665307</v>
      </c>
      <c r="K44" s="5">
        <f t="shared" si="6"/>
        <v>1325.0952369685028</v>
      </c>
      <c r="L44" s="1">
        <f t="shared" si="8"/>
        <v>11785.342975800255</v>
      </c>
      <c r="M44" s="6">
        <f>(J44+K44)*Q44</f>
        <v>109426.76932836688</v>
      </c>
      <c r="N44" s="4">
        <f>L44+M44</f>
        <v>121212.11230416714</v>
      </c>
      <c r="O44" s="2">
        <f t="shared" si="1"/>
        <v>545.45450536875217</v>
      </c>
      <c r="P44" s="7">
        <f t="shared" si="9"/>
        <v>-8.0539959773512138E-2</v>
      </c>
      <c r="Q44" s="6">
        <f>C65</f>
        <v>78.69</v>
      </c>
      <c r="R44" s="6">
        <f>IF(P44&lt;=0,Q44*(1+P44),Q44)</f>
        <v>72.352310565422329</v>
      </c>
      <c r="S44" s="6">
        <f t="shared" si="3"/>
        <v>78.459999999999994</v>
      </c>
      <c r="T44">
        <f t="shared" si="4"/>
        <v>0</v>
      </c>
    </row>
    <row r="45" spans="2:20" ht="15" thickBot="1" x14ac:dyDescent="0.4">
      <c r="B45" s="3">
        <v>43588</v>
      </c>
      <c r="C45" s="28">
        <v>77.48</v>
      </c>
      <c r="D45" s="28">
        <v>76.64</v>
      </c>
      <c r="F45" s="47" t="s">
        <v>70</v>
      </c>
      <c r="G45" s="1">
        <f>G44+$C$8+$C$9-$C$21-T44*O44</f>
        <v>7678.4198988771677</v>
      </c>
      <c r="H45" s="1">
        <f t="shared" si="5"/>
        <v>4210.7692307692414</v>
      </c>
      <c r="I45" s="6">
        <f>I44*(1-T44)+$C$21</f>
        <v>332.30769230769226</v>
      </c>
      <c r="J45" s="5">
        <f>J44+T44*(O44+I44)/R44</f>
        <v>65.510549387665307</v>
      </c>
      <c r="K45" s="5">
        <f t="shared" si="6"/>
        <v>1323.4980952606259</v>
      </c>
      <c r="L45" s="1">
        <f t="shared" si="8"/>
        <v>11889.189129646409</v>
      </c>
      <c r="M45" s="6">
        <f>(J45+K45)*Q45</f>
        <v>109842.80361878687</v>
      </c>
      <c r="N45" s="4">
        <f>L45+M45</f>
        <v>121731.99274843329</v>
      </c>
      <c r="O45" s="2">
        <f t="shared" si="1"/>
        <v>547.7939673679499</v>
      </c>
      <c r="P45" s="7">
        <f t="shared" si="9"/>
        <v>-7.5726773640234724E-2</v>
      </c>
      <c r="Q45" s="6">
        <f>C66</f>
        <v>79.08</v>
      </c>
      <c r="R45" s="6">
        <f>IF(P45&lt;=0,Q45*(1+P45),Q45)</f>
        <v>73.091526740530242</v>
      </c>
      <c r="S45" s="6">
        <f t="shared" si="3"/>
        <v>77.959999999999994</v>
      </c>
      <c r="T45">
        <f t="shared" si="4"/>
        <v>0</v>
      </c>
    </row>
    <row r="46" spans="2:20" ht="15" thickBot="1" x14ac:dyDescent="0.4">
      <c r="B46" s="3">
        <v>43595</v>
      </c>
      <c r="C46" s="28">
        <v>76.349999999999994</v>
      </c>
      <c r="D46" s="28">
        <v>74.2</v>
      </c>
    </row>
    <row r="47" spans="2:20" ht="15" thickBot="1" x14ac:dyDescent="0.4">
      <c r="B47" s="3">
        <v>43602</v>
      </c>
      <c r="C47" s="28">
        <v>74.92</v>
      </c>
      <c r="D47" s="28">
        <v>73.48</v>
      </c>
    </row>
    <row r="48" spans="2:20" ht="15" thickBot="1" x14ac:dyDescent="0.4">
      <c r="B48" s="3">
        <v>43609</v>
      </c>
      <c r="C48" s="28">
        <v>75.59</v>
      </c>
      <c r="D48" s="28">
        <v>73.849999999999994</v>
      </c>
    </row>
    <row r="49" spans="2:4" ht="15" thickBot="1" x14ac:dyDescent="0.4">
      <c r="B49" s="3">
        <v>43616</v>
      </c>
      <c r="C49" s="28">
        <v>74.239999999999995</v>
      </c>
      <c r="D49" s="28">
        <v>72.92</v>
      </c>
    </row>
    <row r="50" spans="2:4" ht="15" thickBot="1" x14ac:dyDescent="0.4">
      <c r="B50" s="3">
        <v>43623</v>
      </c>
      <c r="C50" s="28">
        <v>72.81</v>
      </c>
      <c r="D50" s="28">
        <v>72.540000000000006</v>
      </c>
    </row>
    <row r="51" spans="2:4" ht="15" thickBot="1" x14ac:dyDescent="0.4">
      <c r="B51" s="3">
        <v>43630</v>
      </c>
      <c r="C51" s="28">
        <v>75.290000000000006</v>
      </c>
      <c r="D51" s="28">
        <v>74.81</v>
      </c>
    </row>
    <row r="52" spans="2:4" ht="15" thickBot="1" x14ac:dyDescent="0.4">
      <c r="B52" s="3">
        <v>43637</v>
      </c>
      <c r="C52" s="28">
        <v>75.78</v>
      </c>
      <c r="D52" s="28">
        <v>75.319999999999993</v>
      </c>
    </row>
    <row r="53" spans="2:4" ht="15" thickBot="1" x14ac:dyDescent="0.4">
      <c r="B53" s="3">
        <v>43644</v>
      </c>
      <c r="C53" s="28">
        <v>76.510000000000005</v>
      </c>
      <c r="D53" s="28">
        <v>75.2</v>
      </c>
    </row>
    <row r="54" spans="2:4" ht="15" thickBot="1" x14ac:dyDescent="0.4">
      <c r="B54" s="3">
        <v>43651</v>
      </c>
      <c r="C54" s="28">
        <v>76.900000000000006</v>
      </c>
      <c r="D54" s="28">
        <v>76.7</v>
      </c>
    </row>
    <row r="55" spans="2:4" ht="15" thickBot="1" x14ac:dyDescent="0.4">
      <c r="B55" s="3">
        <v>43658</v>
      </c>
      <c r="C55" s="28">
        <v>77.489999999999995</v>
      </c>
      <c r="D55" s="28">
        <v>77</v>
      </c>
    </row>
    <row r="56" spans="2:4" ht="15" thickBot="1" x14ac:dyDescent="0.4">
      <c r="B56" s="3">
        <v>43665</v>
      </c>
      <c r="C56" s="28">
        <v>77.77</v>
      </c>
      <c r="D56" s="28">
        <v>77.040000000000006</v>
      </c>
    </row>
    <row r="57" spans="2:4" ht="15" thickBot="1" x14ac:dyDescent="0.4">
      <c r="B57" s="3">
        <v>43672</v>
      </c>
      <c r="C57" s="28">
        <v>77.56</v>
      </c>
      <c r="D57" s="28">
        <v>77.36</v>
      </c>
    </row>
    <row r="58" spans="2:4" ht="15" thickBot="1" x14ac:dyDescent="0.4">
      <c r="B58" s="3">
        <v>43679</v>
      </c>
      <c r="C58" s="28">
        <v>78.59</v>
      </c>
      <c r="D58" s="28">
        <v>75.92</v>
      </c>
    </row>
    <row r="59" spans="2:4" ht="15" thickBot="1" x14ac:dyDescent="0.4">
      <c r="B59" s="3">
        <v>43686</v>
      </c>
      <c r="C59" s="28">
        <v>75.489999999999995</v>
      </c>
      <c r="D59" s="28">
        <v>73.44</v>
      </c>
    </row>
    <row r="60" spans="2:4" ht="15" thickBot="1" x14ac:dyDescent="0.4">
      <c r="B60" s="3">
        <v>43693</v>
      </c>
      <c r="C60" s="28">
        <v>75.349999999999994</v>
      </c>
      <c r="D60" s="28">
        <v>73.45</v>
      </c>
    </row>
    <row r="61" spans="2:4" ht="15" thickBot="1" x14ac:dyDescent="0.4">
      <c r="B61" s="3">
        <v>43700</v>
      </c>
      <c r="C61" s="28">
        <v>75.56</v>
      </c>
      <c r="D61" s="28">
        <v>74.19</v>
      </c>
    </row>
    <row r="62" spans="2:4" ht="15" thickBot="1" x14ac:dyDescent="0.4">
      <c r="B62" s="3">
        <v>43707</v>
      </c>
      <c r="C62" s="28">
        <v>73.62</v>
      </c>
      <c r="D62" s="28">
        <v>73.62</v>
      </c>
    </row>
    <row r="63" spans="2:4" ht="15" thickBot="1" x14ac:dyDescent="0.4">
      <c r="B63" s="3">
        <v>43714</v>
      </c>
      <c r="C63" s="28">
        <v>76.52</v>
      </c>
      <c r="D63" s="28">
        <v>76.19</v>
      </c>
    </row>
    <row r="64" spans="2:4" ht="15" thickBot="1" x14ac:dyDescent="0.4">
      <c r="B64" s="3">
        <v>43721</v>
      </c>
      <c r="C64" s="28">
        <v>78.22</v>
      </c>
      <c r="D64" s="28">
        <v>77.64</v>
      </c>
    </row>
    <row r="65" spans="2:4" ht="15" thickBot="1" x14ac:dyDescent="0.4">
      <c r="B65" s="3">
        <v>43728</v>
      </c>
      <c r="C65" s="28">
        <v>78.69</v>
      </c>
      <c r="D65" s="28">
        <v>78.459999999999994</v>
      </c>
    </row>
    <row r="66" spans="2:4" ht="15" thickBot="1" x14ac:dyDescent="0.4">
      <c r="B66" s="3">
        <v>43735</v>
      </c>
      <c r="C66" s="28">
        <v>79.08</v>
      </c>
      <c r="D66" s="28">
        <v>77.959999999999994</v>
      </c>
    </row>
  </sheetData>
  <phoneticPr fontId="7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Korbi</dc:creator>
  <cp:lastModifiedBy>Korbi</cp:lastModifiedBy>
  <dcterms:created xsi:type="dcterms:W3CDTF">2019-10-12T15:33:19Z</dcterms:created>
  <dcterms:modified xsi:type="dcterms:W3CDTF">2019-10-14T13:41:46Z</dcterms:modified>
</cp:coreProperties>
</file>