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bi\Desktop\"/>
    </mc:Choice>
  </mc:AlternateContent>
  <xr:revisionPtr revIDLastSave="0" documentId="13_ncr:1_{84E5AE7B-EB53-4919-8DC5-95F11F09C01C}" xr6:coauthVersionLast="45" xr6:coauthVersionMax="45" xr10:uidLastSave="{00000000-0000-0000-0000-000000000000}"/>
  <bookViews>
    <workbookView xWindow="-110" yWindow="-110" windowWidth="19420" windowHeight="10420" xr2:uid="{6E2C1D66-CFD1-4932-91E1-1EC90B72DF0A}"/>
  </bookViews>
  <sheets>
    <sheet name="dumm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5" i="2" l="1"/>
  <c r="Q14" i="2" l="1"/>
  <c r="M48" i="2"/>
  <c r="J14" i="2"/>
  <c r="J13" i="2"/>
  <c r="K13" i="2"/>
  <c r="V13" i="2"/>
  <c r="U13" i="2"/>
  <c r="R14" i="2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E14" i="2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T13" i="2"/>
  <c r="D7" i="2"/>
  <c r="D8" i="2" s="1"/>
  <c r="D9" i="2" s="1"/>
  <c r="D6" i="2"/>
  <c r="M13" i="2" l="1"/>
  <c r="N13" i="2"/>
  <c r="T14" i="2"/>
  <c r="U14" i="2" s="1"/>
  <c r="V14" i="2" s="1"/>
  <c r="I14" i="2" l="1"/>
  <c r="K14" i="2" s="1"/>
  <c r="M14" i="2" s="1"/>
  <c r="N14" i="2" s="1"/>
  <c r="I15" i="2" s="1"/>
  <c r="J15" i="2" s="1"/>
  <c r="O13" i="2"/>
  <c r="P13" i="2" s="1"/>
  <c r="Q13" i="2"/>
  <c r="W13" i="2" s="1"/>
  <c r="X13" i="2" s="1"/>
  <c r="T15" i="2"/>
  <c r="U15" i="2" s="1"/>
  <c r="V15" i="2" s="1"/>
  <c r="R16" i="2" s="1"/>
  <c r="O14" i="2" l="1"/>
  <c r="P14" i="2" s="1"/>
  <c r="W14" i="2" s="1"/>
  <c r="X14" i="2" s="1"/>
  <c r="T16" i="2"/>
  <c r="U16" i="2" s="1"/>
  <c r="V16" i="2" s="1"/>
  <c r="R17" i="2" s="1"/>
  <c r="T17" i="2" l="1"/>
  <c r="U17" i="2" s="1"/>
  <c r="V17" i="2" s="1"/>
  <c r="R18" i="2" s="1"/>
  <c r="K15" i="2"/>
  <c r="M15" i="2" l="1"/>
  <c r="N15" i="2" s="1"/>
  <c r="T18" i="2"/>
  <c r="U18" i="2" s="1"/>
  <c r="V18" i="2" s="1"/>
  <c r="R19" i="2" s="1"/>
  <c r="T19" i="2" l="1"/>
  <c r="U19" i="2" s="1"/>
  <c r="V19" i="2" s="1"/>
  <c r="R20" i="2" s="1"/>
  <c r="O15" i="2"/>
  <c r="I16" i="2"/>
  <c r="J16" i="2" s="1"/>
  <c r="P15" i="2" l="1"/>
  <c r="Q15" i="2" s="1"/>
  <c r="W15" i="2" s="1"/>
  <c r="X15" i="2" s="1"/>
  <c r="T20" i="2"/>
  <c r="U20" i="2" s="1"/>
  <c r="V20" i="2" s="1"/>
  <c r="R21" i="2" s="1"/>
  <c r="T21" i="2" l="1"/>
  <c r="U21" i="2" s="1"/>
  <c r="V21" i="2" s="1"/>
  <c r="R22" i="2" s="1"/>
  <c r="K16" i="2"/>
  <c r="M16" i="2" l="1"/>
  <c r="N16" i="2" s="1"/>
  <c r="T22" i="2"/>
  <c r="U22" i="2" s="1"/>
  <c r="V22" i="2" s="1"/>
  <c r="R23" i="2" s="1"/>
  <c r="T23" i="2" l="1"/>
  <c r="U23" i="2" s="1"/>
  <c r="V23" i="2" s="1"/>
  <c r="R24" i="2" s="1"/>
  <c r="O16" i="2"/>
  <c r="I17" i="2"/>
  <c r="J17" i="2" s="1"/>
  <c r="P16" i="2" l="1"/>
  <c r="Q16" i="2" s="1"/>
  <c r="W16" i="2" s="1"/>
  <c r="X16" i="2" s="1"/>
  <c r="T24" i="2"/>
  <c r="U24" i="2" s="1"/>
  <c r="V24" i="2" s="1"/>
  <c r="R25" i="2" s="1"/>
  <c r="T25" i="2" l="1"/>
  <c r="U25" i="2" s="1"/>
  <c r="V25" i="2" s="1"/>
  <c r="R26" i="2" s="1"/>
  <c r="K17" i="2"/>
  <c r="T26" i="2" l="1"/>
  <c r="U26" i="2" s="1"/>
  <c r="V26" i="2" s="1"/>
  <c r="R27" i="2" s="1"/>
  <c r="M17" i="2"/>
  <c r="N17" i="2" s="1"/>
  <c r="O17" i="2" l="1"/>
  <c r="I18" i="2"/>
  <c r="J18" i="2" s="1"/>
  <c r="T27" i="2"/>
  <c r="U27" i="2" s="1"/>
  <c r="V27" i="2" s="1"/>
  <c r="R28" i="2" s="1"/>
  <c r="T28" i="2" l="1"/>
  <c r="U28" i="2" s="1"/>
  <c r="V28" i="2" s="1"/>
  <c r="R29" i="2" s="1"/>
  <c r="P17" i="2"/>
  <c r="Q17" i="2" s="1"/>
  <c r="W17" i="2" s="1"/>
  <c r="X17" i="2" s="1"/>
  <c r="T29" i="2" l="1"/>
  <c r="U29" i="2" s="1"/>
  <c r="V29" i="2" s="1"/>
  <c r="R30" i="2" s="1"/>
  <c r="K18" i="2"/>
  <c r="T30" i="2" l="1"/>
  <c r="U30" i="2" s="1"/>
  <c r="V30" i="2" s="1"/>
  <c r="R31" i="2" s="1"/>
  <c r="M18" i="2"/>
  <c r="N18" i="2" s="1"/>
  <c r="T31" i="2" l="1"/>
  <c r="U31" i="2" s="1"/>
  <c r="V31" i="2" s="1"/>
  <c r="R32" i="2" s="1"/>
  <c r="O18" i="2"/>
  <c r="I19" i="2"/>
  <c r="J19" i="2" s="1"/>
  <c r="T32" i="2" l="1"/>
  <c r="U32" i="2" s="1"/>
  <c r="V32" i="2" s="1"/>
  <c r="R33" i="2" s="1"/>
  <c r="P18" i="2"/>
  <c r="Q18" i="2" s="1"/>
  <c r="W18" i="2" s="1"/>
  <c r="X18" i="2" s="1"/>
  <c r="T33" i="2" l="1"/>
  <c r="U33" i="2" s="1"/>
  <c r="V33" i="2" s="1"/>
  <c r="R34" i="2" s="1"/>
  <c r="K19" i="2"/>
  <c r="T34" i="2" l="1"/>
  <c r="U34" i="2" s="1"/>
  <c r="V34" i="2" s="1"/>
  <c r="R35" i="2" s="1"/>
  <c r="M19" i="2"/>
  <c r="N19" i="2" s="1"/>
  <c r="O19" i="2" l="1"/>
  <c r="I20" i="2"/>
  <c r="J20" i="2" s="1"/>
  <c r="T35" i="2"/>
  <c r="U35" i="2" s="1"/>
  <c r="V35" i="2" s="1"/>
  <c r="R36" i="2" s="1"/>
  <c r="T36" i="2" l="1"/>
  <c r="U36" i="2" s="1"/>
  <c r="V36" i="2" s="1"/>
  <c r="R37" i="2" s="1"/>
  <c r="P19" i="2"/>
  <c r="Q19" i="2" s="1"/>
  <c r="W19" i="2" s="1"/>
  <c r="X19" i="2" s="1"/>
  <c r="T37" i="2" l="1"/>
  <c r="U37" i="2" s="1"/>
  <c r="V37" i="2" s="1"/>
  <c r="R38" i="2" s="1"/>
  <c r="K20" i="2"/>
  <c r="M20" i="2" s="1"/>
  <c r="T38" i="2" l="1"/>
  <c r="U38" i="2" s="1"/>
  <c r="V38" i="2" s="1"/>
  <c r="R39" i="2" s="1"/>
  <c r="N20" i="2"/>
  <c r="T39" i="2" l="1"/>
  <c r="U39" i="2" s="1"/>
  <c r="V39" i="2" s="1"/>
  <c r="R40" i="2" s="1"/>
  <c r="O20" i="2"/>
  <c r="I21" i="2"/>
  <c r="J21" i="2" s="1"/>
  <c r="T40" i="2" l="1"/>
  <c r="U40" i="2" s="1"/>
  <c r="V40" i="2" s="1"/>
  <c r="R41" i="2" s="1"/>
  <c r="P20" i="2"/>
  <c r="Q20" i="2" s="1"/>
  <c r="W20" i="2" s="1"/>
  <c r="X20" i="2" s="1"/>
  <c r="T41" i="2" l="1"/>
  <c r="U41" i="2" s="1"/>
  <c r="V41" i="2" s="1"/>
  <c r="R42" i="2" s="1"/>
  <c r="K21" i="2"/>
  <c r="M21" i="2" s="1"/>
  <c r="T42" i="2" l="1"/>
  <c r="U42" i="2" s="1"/>
  <c r="V42" i="2" s="1"/>
  <c r="R43" i="2" s="1"/>
  <c r="N21" i="2"/>
  <c r="T43" i="2" l="1"/>
  <c r="U43" i="2" s="1"/>
  <c r="V43" i="2" s="1"/>
  <c r="R44" i="2" s="1"/>
  <c r="O21" i="2"/>
  <c r="I22" i="2"/>
  <c r="J22" i="2" s="1"/>
  <c r="T44" i="2" l="1"/>
  <c r="U44" i="2" s="1"/>
  <c r="V44" i="2" s="1"/>
  <c r="R45" i="2" s="1"/>
  <c r="P21" i="2"/>
  <c r="Q21" i="2" s="1"/>
  <c r="W21" i="2" s="1"/>
  <c r="X21" i="2" s="1"/>
  <c r="T45" i="2" l="1"/>
  <c r="U45" i="2" s="1"/>
  <c r="V45" i="2" s="1"/>
  <c r="R46" i="2" s="1"/>
  <c r="K22" i="2"/>
  <c r="M22" i="2" s="1"/>
  <c r="N22" i="2" l="1"/>
  <c r="T46" i="2"/>
  <c r="U46" i="2" s="1"/>
  <c r="V46" i="2" s="1"/>
  <c r="R47" i="2" s="1"/>
  <c r="T47" i="2" l="1"/>
  <c r="U47" i="2" s="1"/>
  <c r="V47" i="2" s="1"/>
  <c r="R48" i="2" s="1"/>
  <c r="O22" i="2"/>
  <c r="I23" i="2"/>
  <c r="J23" i="2" s="1"/>
  <c r="T48" i="2" l="1"/>
  <c r="U48" i="2" s="1"/>
  <c r="V48" i="2" s="1"/>
  <c r="P22" i="2"/>
  <c r="Q22" i="2" s="1"/>
  <c r="W22" i="2" s="1"/>
  <c r="X22" i="2" s="1"/>
  <c r="K23" i="2" l="1"/>
  <c r="M23" i="2" l="1"/>
  <c r="N23" i="2" s="1"/>
  <c r="O23" i="2" l="1"/>
  <c r="I24" i="2"/>
  <c r="J24" i="2" s="1"/>
  <c r="P23" i="2" l="1"/>
  <c r="Q23" i="2" s="1"/>
  <c r="W23" i="2" s="1"/>
  <c r="X23" i="2" s="1"/>
  <c r="K24" i="2" l="1"/>
  <c r="M24" i="2"/>
  <c r="N24" i="2" l="1"/>
  <c r="O24" i="2" l="1"/>
  <c r="I25" i="2"/>
  <c r="J25" i="2" s="1"/>
  <c r="P24" i="2" l="1"/>
  <c r="Q24" i="2" s="1"/>
  <c r="W24" i="2" s="1"/>
  <c r="X24" i="2" s="1"/>
  <c r="K25" i="2" l="1"/>
  <c r="M25" i="2" s="1"/>
  <c r="N25" i="2" l="1"/>
  <c r="O25" i="2" l="1"/>
  <c r="I26" i="2"/>
  <c r="J26" i="2" s="1"/>
  <c r="P25" i="2" l="1"/>
  <c r="Q25" i="2" s="1"/>
  <c r="W25" i="2" s="1"/>
  <c r="X25" i="2" s="1"/>
  <c r="K26" i="2" l="1"/>
  <c r="M26" i="2" s="1"/>
  <c r="N26" i="2" l="1"/>
  <c r="O26" i="2" l="1"/>
  <c r="I27" i="2"/>
  <c r="J27" i="2" s="1"/>
  <c r="P26" i="2" l="1"/>
  <c r="Q26" i="2" s="1"/>
  <c r="W26" i="2" s="1"/>
  <c r="X26" i="2" s="1"/>
  <c r="K27" i="2" l="1"/>
  <c r="M27" i="2" l="1"/>
  <c r="N27" i="2" s="1"/>
  <c r="I28" i="2" l="1"/>
  <c r="J28" i="2" s="1"/>
  <c r="O27" i="2"/>
  <c r="P27" i="2" l="1"/>
  <c r="Q27" i="2" s="1"/>
  <c r="W27" i="2" s="1"/>
  <c r="X27" i="2" s="1"/>
  <c r="K28" i="2" l="1"/>
  <c r="M28" i="2" l="1"/>
  <c r="N28" i="2" s="1"/>
  <c r="O28" i="2" l="1"/>
  <c r="P28" i="2" s="1"/>
  <c r="Q28" i="2" s="1"/>
  <c r="W28" i="2" s="1"/>
  <c r="X28" i="2" s="1"/>
  <c r="I29" i="2"/>
  <c r="J29" i="2" s="1"/>
  <c r="K29" i="2" l="1"/>
  <c r="M29" i="2" s="1"/>
  <c r="N29" i="2" l="1"/>
  <c r="I30" i="2" l="1"/>
  <c r="J30" i="2" s="1"/>
  <c r="O29" i="2"/>
  <c r="P29" i="2" l="1"/>
  <c r="Q29" i="2" s="1"/>
  <c r="W29" i="2" s="1"/>
  <c r="X29" i="2" s="1"/>
  <c r="K30" i="2" l="1"/>
  <c r="M30" i="2" l="1"/>
  <c r="N30" i="2" s="1"/>
  <c r="I31" i="2" l="1"/>
  <c r="J31" i="2" s="1"/>
  <c r="O30" i="2"/>
  <c r="P30" i="2" l="1"/>
  <c r="Q30" i="2" s="1"/>
  <c r="W30" i="2" s="1"/>
  <c r="X30" i="2" s="1"/>
  <c r="K31" i="2" l="1"/>
  <c r="M31" i="2" l="1"/>
  <c r="N31" i="2" s="1"/>
  <c r="I32" i="2" l="1"/>
  <c r="J32" i="2" s="1"/>
  <c r="O31" i="2"/>
  <c r="P31" i="2" l="1"/>
  <c r="Q31" i="2" s="1"/>
  <c r="W31" i="2" s="1"/>
  <c r="X31" i="2" s="1"/>
  <c r="K32" i="2" l="1"/>
  <c r="M32" i="2" l="1"/>
  <c r="N32" i="2" s="1"/>
  <c r="I33" i="2" l="1"/>
  <c r="J33" i="2" s="1"/>
  <c r="O32" i="2"/>
  <c r="P32" i="2" l="1"/>
  <c r="Q32" i="2" s="1"/>
  <c r="W32" i="2" s="1"/>
  <c r="X32" i="2" s="1"/>
  <c r="K33" i="2" l="1"/>
  <c r="M33" i="2" s="1"/>
  <c r="N33" i="2" l="1"/>
  <c r="I34" i="2" l="1"/>
  <c r="J34" i="2" s="1"/>
  <c r="O33" i="2"/>
  <c r="P33" i="2" l="1"/>
  <c r="Q33" i="2" s="1"/>
  <c r="W33" i="2" s="1"/>
  <c r="X33" i="2" s="1"/>
  <c r="K34" i="2" l="1"/>
  <c r="M34" i="2" l="1"/>
  <c r="N34" i="2" s="1"/>
  <c r="I35" i="2" l="1"/>
  <c r="J35" i="2" s="1"/>
  <c r="O34" i="2"/>
  <c r="P34" i="2" l="1"/>
  <c r="Q34" i="2" s="1"/>
  <c r="W34" i="2" s="1"/>
  <c r="X34" i="2" s="1"/>
  <c r="K35" i="2" l="1"/>
  <c r="M35" i="2" l="1"/>
  <c r="N35" i="2" s="1"/>
  <c r="I36" i="2" l="1"/>
  <c r="J36" i="2" s="1"/>
  <c r="O35" i="2"/>
  <c r="P35" i="2" l="1"/>
  <c r="Q35" i="2" s="1"/>
  <c r="W35" i="2" s="1"/>
  <c r="X35" i="2" s="1"/>
  <c r="K36" i="2" l="1"/>
  <c r="M36" i="2" l="1"/>
  <c r="N36" i="2" s="1"/>
  <c r="I37" i="2" l="1"/>
  <c r="J37" i="2" s="1"/>
  <c r="O36" i="2"/>
  <c r="P36" i="2" l="1"/>
  <c r="Q36" i="2" s="1"/>
  <c r="W36" i="2" s="1"/>
  <c r="X36" i="2" s="1"/>
  <c r="K37" i="2" l="1"/>
  <c r="M37" i="2" s="1"/>
  <c r="N37" i="2" l="1"/>
  <c r="I38" i="2" l="1"/>
  <c r="J38" i="2" s="1"/>
  <c r="O37" i="2"/>
  <c r="P37" i="2" l="1"/>
  <c r="Q37" i="2" s="1"/>
  <c r="W37" i="2" s="1"/>
  <c r="X37" i="2" s="1"/>
  <c r="K38" i="2" l="1"/>
  <c r="M38" i="2" s="1"/>
  <c r="N38" i="2" l="1"/>
  <c r="I39" i="2" l="1"/>
  <c r="J39" i="2" s="1"/>
  <c r="O38" i="2"/>
  <c r="P38" i="2" l="1"/>
  <c r="Q38" i="2" s="1"/>
  <c r="W38" i="2" s="1"/>
  <c r="X38" i="2" s="1"/>
  <c r="K39" i="2" l="1"/>
  <c r="M39" i="2" l="1"/>
  <c r="N39" i="2" s="1"/>
  <c r="O39" i="2" l="1"/>
  <c r="I40" i="2"/>
  <c r="J40" i="2" s="1"/>
  <c r="P39" i="2"/>
  <c r="Q39" i="2" s="1"/>
  <c r="W39" i="2" s="1"/>
  <c r="X39" i="2" s="1"/>
  <c r="K40" i="2" l="1"/>
  <c r="M40" i="2" s="1"/>
  <c r="N40" i="2" l="1"/>
  <c r="I41" i="2" l="1"/>
  <c r="J41" i="2" s="1"/>
  <c r="O40" i="2"/>
  <c r="P40" i="2" l="1"/>
  <c r="Q40" i="2" s="1"/>
  <c r="W40" i="2" s="1"/>
  <c r="X40" i="2" s="1"/>
  <c r="K41" i="2" l="1"/>
  <c r="M41" i="2" l="1"/>
  <c r="N41" i="2" s="1"/>
  <c r="I42" i="2" l="1"/>
  <c r="J42" i="2" s="1"/>
  <c r="O41" i="2"/>
  <c r="P41" i="2" l="1"/>
  <c r="Q41" i="2" s="1"/>
  <c r="W41" i="2" s="1"/>
  <c r="X41" i="2" s="1"/>
  <c r="K42" i="2" l="1"/>
  <c r="M42" i="2" s="1"/>
  <c r="N42" i="2" l="1"/>
  <c r="I43" i="2" l="1"/>
  <c r="J43" i="2" s="1"/>
  <c r="O42" i="2"/>
  <c r="P42" i="2" l="1"/>
  <c r="Q42" i="2" s="1"/>
  <c r="W42" i="2" s="1"/>
  <c r="X42" i="2" s="1"/>
  <c r="K43" i="2" l="1"/>
  <c r="M43" i="2" l="1"/>
  <c r="N43" i="2" s="1"/>
  <c r="I44" i="2" l="1"/>
  <c r="J44" i="2" s="1"/>
  <c r="O43" i="2"/>
  <c r="P43" i="2" l="1"/>
  <c r="Q43" i="2" s="1"/>
  <c r="W43" i="2" s="1"/>
  <c r="X43" i="2" s="1"/>
  <c r="K44" i="2" l="1"/>
  <c r="M44" i="2" l="1"/>
  <c r="N44" i="2" s="1"/>
  <c r="I45" i="2" l="1"/>
  <c r="J45" i="2" s="1"/>
  <c r="O44" i="2"/>
  <c r="P44" i="2" l="1"/>
  <c r="Q44" i="2" s="1"/>
  <c r="W44" i="2" s="1"/>
  <c r="X44" i="2" s="1"/>
  <c r="K45" i="2" l="1"/>
  <c r="M45" i="2" l="1"/>
  <c r="N45" i="2" s="1"/>
  <c r="I46" i="2" l="1"/>
  <c r="J46" i="2" s="1"/>
  <c r="O45" i="2"/>
  <c r="P45" i="2" l="1"/>
  <c r="Q45" i="2" s="1"/>
  <c r="W45" i="2" s="1"/>
  <c r="X45" i="2" s="1"/>
  <c r="K46" i="2" l="1"/>
  <c r="M46" i="2" l="1"/>
  <c r="N46" i="2" s="1"/>
  <c r="I47" i="2" l="1"/>
  <c r="J47" i="2" s="1"/>
  <c r="O46" i="2"/>
  <c r="P46" i="2" l="1"/>
  <c r="Q46" i="2" s="1"/>
  <c r="W46" i="2" s="1"/>
  <c r="X46" i="2" s="1"/>
  <c r="K47" i="2" l="1"/>
  <c r="M47" i="2" l="1"/>
  <c r="N47" i="2" s="1"/>
  <c r="I48" i="2" l="1"/>
  <c r="J48" i="2" s="1"/>
  <c r="O47" i="2"/>
  <c r="P47" i="2" l="1"/>
  <c r="Q47" i="2" s="1"/>
  <c r="W47" i="2" s="1"/>
  <c r="X47" i="2" s="1"/>
  <c r="K48" i="2" l="1"/>
  <c r="N48" i="2" l="1"/>
  <c r="O48" i="2" s="1"/>
  <c r="P48" i="2" l="1"/>
  <c r="Q48" i="2" s="1"/>
  <c r="W48" i="2" s="1"/>
  <c r="X48" i="2" s="1"/>
</calcChain>
</file>

<file path=xl/sharedStrings.xml><?xml version="1.0" encoding="utf-8"?>
<sst xmlns="http://schemas.openxmlformats.org/spreadsheetml/2006/main" count="45" uniqueCount="44">
  <si>
    <t>Parameter</t>
  </si>
  <si>
    <t>Grenzsteuersatz</t>
  </si>
  <si>
    <t>Jährlicher Eigenbetrag</t>
  </si>
  <si>
    <t>Staatliche Förderung</t>
  </si>
  <si>
    <t>Jährliche Gesamtsparleistung</t>
  </si>
  <si>
    <t>Steuerentlastung (abzüglich Zulage)</t>
  </si>
  <si>
    <t>Netto-Sparleistung</t>
  </si>
  <si>
    <t>Förderquote</t>
  </si>
  <si>
    <t>Alter</t>
  </si>
  <si>
    <t>Jahr</t>
  </si>
  <si>
    <t>Nettoeinzahlung</t>
  </si>
  <si>
    <t>Sparrate</t>
  </si>
  <si>
    <t>Förderung</t>
  </si>
  <si>
    <t>Kosten fix</t>
  </si>
  <si>
    <t>Kosten %</t>
  </si>
  <si>
    <t>Wertsteigerung</t>
  </si>
  <si>
    <t>Riester</t>
  </si>
  <si>
    <t>ETF</t>
  </si>
  <si>
    <t>Einzahlung</t>
  </si>
  <si>
    <t>TER</t>
  </si>
  <si>
    <t>Kapitalertragssteuer</t>
  </si>
  <si>
    <t>FAZIT</t>
  </si>
  <si>
    <t>36€ p.a. / wird anteilig berechnet</t>
  </si>
  <si>
    <t>Gebühr auf Vertragsguthaben</t>
  </si>
  <si>
    <t>FairEtf bis 83 --&gt; hohe Aktienquote</t>
  </si>
  <si>
    <t>Annahme 1</t>
  </si>
  <si>
    <t>schlechtestens 0,6%; durchschn.0,25%</t>
  </si>
  <si>
    <t>Annahme 2</t>
  </si>
  <si>
    <t>TER ist 0,1% schlechter als ETF</t>
  </si>
  <si>
    <t>Durchschnittliches Jahresguthaben</t>
  </si>
  <si>
    <t>Guthaben Jahresstart</t>
  </si>
  <si>
    <t>Guthaben Jahresende (nach Kosten)</t>
  </si>
  <si>
    <t>Guthaben
Jahresbeginn</t>
  </si>
  <si>
    <t>Vorteile Riester
[absolut]</t>
  </si>
  <si>
    <t>Vorteil
[%]</t>
  </si>
  <si>
    <t>Durchschnittliches
Jahresguthaben</t>
  </si>
  <si>
    <t>Kosten
fix</t>
  </si>
  <si>
    <t xml:space="preserve">Netto ETF
</t>
  </si>
  <si>
    <t>Gewinn
(KapErtSt)</t>
  </si>
  <si>
    <t>Gewinn
(Einkommenssteuer)</t>
  </si>
  <si>
    <t>Summe bei Auszahlung (förderschädlich)</t>
  </si>
  <si>
    <t>Einzahlungen
kummuliert</t>
  </si>
  <si>
    <t>Förderung
kummuliert</t>
  </si>
  <si>
    <t xml:space="preserve">Auszahlung Netto (förderschädlich)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</si>
</sst>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9" fontId="0" fillId="0" borderId="0" xfId="0" applyNumberFormat="1"/>
    <xf numFmtId="6" fontId="0" fillId="0" borderId="0" xfId="0" applyNumberFormat="1"/>
    <xf numFmtId="6" fontId="0" fillId="0" borderId="1" xfId="0" applyNumberFormat="1" applyBorder="1"/>
    <xf numFmtId="0" fontId="2" fillId="0" borderId="0" xfId="0" applyFont="1"/>
    <xf numFmtId="6" fontId="2" fillId="0" borderId="0" xfId="0" applyNumberFormat="1" applyFont="1"/>
    <xf numFmtId="9" fontId="2" fillId="0" borderId="0" xfId="2" applyFont="1"/>
    <xf numFmtId="9" fontId="0" fillId="2" borderId="0" xfId="0" applyNumberFormat="1" applyFill="1"/>
    <xf numFmtId="10" fontId="0" fillId="0" borderId="0" xfId="0" applyNumberFormat="1"/>
    <xf numFmtId="10" fontId="0" fillId="0" borderId="0" xfId="2" applyNumberFormat="1" applyFont="1"/>
    <xf numFmtId="44" fontId="0" fillId="0" borderId="0" xfId="1" applyFont="1"/>
    <xf numFmtId="44" fontId="2" fillId="0" borderId="0" xfId="1" applyFont="1"/>
    <xf numFmtId="44" fontId="0" fillId="0" borderId="0" xfId="0" applyNumberFormat="1"/>
    <xf numFmtId="44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Font="1"/>
    <xf numFmtId="44" fontId="1" fillId="0" borderId="0" xfId="1" applyFont="1"/>
    <xf numFmtId="0" fontId="0" fillId="0" borderId="0" xfId="0" applyFont="1" applyAlignment="1">
      <alignment wrapText="1"/>
    </xf>
    <xf numFmtId="44" fontId="1" fillId="3" borderId="0" xfId="1" applyFont="1" applyFill="1"/>
    <xf numFmtId="44" fontId="2" fillId="3" borderId="0" xfId="1" applyFont="1" applyFill="1"/>
    <xf numFmtId="0" fontId="4" fillId="0" borderId="0" xfId="0" applyFont="1"/>
    <xf numFmtId="44" fontId="5" fillId="0" borderId="0" xfId="0" applyNumberFormat="1" applyFont="1"/>
    <xf numFmtId="9" fontId="0" fillId="0" borderId="0" xfId="2" applyFont="1"/>
    <xf numFmtId="0" fontId="3" fillId="4" borderId="0" xfId="0" applyFont="1" applyFill="1" applyAlignment="1">
      <alignment horizontal="center"/>
    </xf>
    <xf numFmtId="6" fontId="0" fillId="0" borderId="0" xfId="1" applyNumberFormat="1" applyFont="1"/>
    <xf numFmtId="44" fontId="0" fillId="0" borderId="10" xfId="0" applyNumberFormat="1" applyBorder="1"/>
    <xf numFmtId="44" fontId="1" fillId="0" borderId="0" xfId="1" applyFont="1" applyBorder="1"/>
    <xf numFmtId="44" fontId="0" fillId="0" borderId="0" xfId="0" applyNumberFormat="1" applyBorder="1"/>
    <xf numFmtId="44" fontId="2" fillId="0" borderId="0" xfId="0" applyNumberFormat="1" applyFont="1" applyBorder="1"/>
    <xf numFmtId="44" fontId="0" fillId="0" borderId="0" xfId="0" applyNumberFormat="1" applyFont="1" applyBorder="1"/>
    <xf numFmtId="0" fontId="0" fillId="6" borderId="10" xfId="0" applyFill="1" applyBorder="1" applyAlignment="1">
      <alignment wrapText="1"/>
    </xf>
    <xf numFmtId="0" fontId="0" fillId="6" borderId="0" xfId="0" applyFill="1" applyBorder="1"/>
    <xf numFmtId="0" fontId="0" fillId="6" borderId="0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0" borderId="7" xfId="0" quotePrefix="1" applyBorder="1" applyAlignment="1">
      <alignment horizontal="left"/>
    </xf>
    <xf numFmtId="0" fontId="0" fillId="0" borderId="8" xfId="0" quotePrefix="1" applyBorder="1" applyAlignment="1">
      <alignment horizontal="left"/>
    </xf>
    <xf numFmtId="164" fontId="0" fillId="0" borderId="8" xfId="2" applyNumberFormat="1" applyFont="1" applyBorder="1" applyAlignment="1">
      <alignment horizontal="left"/>
    </xf>
    <xf numFmtId="164" fontId="0" fillId="0" borderId="9" xfId="2" applyNumberFormat="1" applyFont="1" applyBorder="1" applyAlignment="1">
      <alignment horizontal="left"/>
    </xf>
    <xf numFmtId="0" fontId="3" fillId="4" borderId="0" xfId="0" applyFont="1" applyFill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9" fontId="2" fillId="0" borderId="0" xfId="0" applyNumberFormat="1" applyFont="1" applyBorder="1" applyAlignment="1">
      <alignment horizontal="left"/>
    </xf>
    <xf numFmtId="9" fontId="0" fillId="0" borderId="0" xfId="0" applyNumberFormat="1" applyBorder="1" applyAlignment="1">
      <alignment horizontal="left"/>
    </xf>
    <xf numFmtId="9" fontId="0" fillId="0" borderId="6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10" fontId="0" fillId="0" borderId="0" xfId="0" applyNumberFormat="1" applyBorder="1" applyAlignment="1">
      <alignment horizontal="left"/>
    </xf>
    <xf numFmtId="10" fontId="0" fillId="0" borderId="6" xfId="0" applyNumberForma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14">
    <dxf>
      <numFmt numFmtId="14" formatCode="0.00%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/>
      </font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font>
        <b val="0"/>
      </font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fill>
        <patternFill>
          <bgColor theme="9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0836E3-CD95-4392-BAEB-6F994E6E7C97}" name="Table14" displayName="Table14" ref="B12:X48" totalsRowShown="0">
  <autoFilter ref="B12:X48" xr:uid="{0AC00D45-AE02-452B-95C6-EE4B4EBF5D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ABAE5EF1-9972-4914-8B4E-57A68D1C948A}" name="Alter"/>
    <tableColumn id="2" xr3:uid="{7A23A8E6-E182-4C13-968D-CC121C678BA3}" name="Jahr"/>
    <tableColumn id="3" xr3:uid="{7C1190DA-133B-4473-8CA4-55895B323891}" name="Nettoeinzahlung" dataCellStyle="Currency"/>
    <tableColumn id="4" xr3:uid="{A8BA7AFB-3035-4620-B4AE-D6FD11DBF601}" name="Einzahlungen_x000a_kummuliert" dataCellStyle="Currency">
      <calculatedColumnFormula>E12+D13</calculatedColumnFormula>
    </tableColumn>
    <tableColumn id="5" xr3:uid="{C3329BF9-E69E-43EE-B44F-31896657BC0E}" name="Förderung" dataDxfId="11" dataCellStyle="Currency">
      <calculatedColumnFormula>457+175</calculatedColumnFormula>
    </tableColumn>
    <tableColumn id="6" xr3:uid="{99DB4FE9-C8EC-4C24-AA2E-A8851BF38DA4}" name="Förderung_x000a_kummuliert" dataCellStyle="Currency">
      <calculatedColumnFormula>G12+F13</calculatedColumnFormula>
    </tableColumn>
    <tableColumn id="7" xr3:uid="{AE6D1D5F-92E7-4F35-A910-4DF2A90EE0BC}" name="Sparrate" dataCellStyle="Currency"/>
    <tableColumn id="8" xr3:uid="{D58901A3-28DF-442A-8552-6F70EB51BFEF}" name="Guthaben Jahresstart" dataCellStyle="Currency"/>
    <tableColumn id="27" xr3:uid="{37924C8B-90B8-47AE-A5B1-38BED101D00D}" name="Durchschnittliches_x000a_Jahresguthaben" dataDxfId="10" dataCellStyle="Currency">
      <calculatedColumnFormula>Table14[[#This Row],[Guthaben Jahresstart]]+0.5*Table14[[#This Row],[Sparrate]]</calculatedColumnFormula>
    </tableColumn>
    <tableColumn id="9" xr3:uid="{34268017-CD39-46BA-91DE-2BCC9E883E76}" name="Wertsteigerung" dataCellStyle="Currency"/>
    <tableColumn id="10" xr3:uid="{E13A7C49-056B-406A-97A5-00F4D2CCA56E}" name="Kosten_x000a_fix" dataCellStyle="Currency">
      <calculatedColumnFormula>IF(Table14[[#This Row],[Guthaben Jahresstart]]&lt;5000,$H$3,IF(Table14[[#This Row],[Guthaben Jahresstart]]&lt;10000,$I$3,$J$3))</calculatedColumnFormula>
    </tableColumn>
    <tableColumn id="11" xr3:uid="{529A034A-71A9-4507-BE0C-C3EE3ED4D132}" name="Kosten %" dataCellStyle="Currency"/>
    <tableColumn id="12" xr3:uid="{612041E7-80EE-4206-9DD0-A5A6A33BE818}" name="Guthaben Jahresende (nach Kosten)" dataCellStyle="Currency">
      <calculatedColumnFormula>Table14[[#This Row],[Wertsteigerung]]+(#REF!)*(Table14[[#This Row],[Kosten
fix]]+Table14[[#This Row],[Kosten %]])</calculatedColumnFormula>
    </tableColumn>
    <tableColumn id="22" xr3:uid="{DD129F68-AC45-408F-AAAF-AD2F2B6CA0D5}" name="Summe bei Auszahlung (förderschädlich)" dataDxfId="9" dataCellStyle="Currency">
      <calculatedColumnFormula>Table14[[#This Row],[Guthaben Jahresende (nach Kosten)]]-Table14[[#This Row],[Förderung
kummuliert]]</calculatedColumnFormula>
    </tableColumn>
    <tableColumn id="23" xr3:uid="{1835FDD9-FE9D-4DAA-ADDF-BDCB4932B24F}" name="Gewinn_x000a_(Einkommenssteuer)" dataDxfId="8" dataCellStyle="Currency">
      <calculatedColumnFormula>Table14[[#This Row],[Summe bei Auszahlung (förderschädlich)]]-Table14[[#This Row],[Einzahlungen
kummuliert]]</calculatedColumnFormula>
    </tableColumn>
    <tableColumn id="24" xr3:uid="{E4B04983-937E-4EED-A444-958A49A1B62B}" name="Auszahlung Netto (förderschädlich) " dataDxfId="7" dataCellStyle="Currency">
      <calculatedColumnFormula>Table14[[#This Row],[Summe bei Auszahlung (förderschädlich)]]-Table14[[#This Row],[Gewinn
(Einkommenssteuer)]]*D3</calculatedColumnFormula>
    </tableColumn>
    <tableColumn id="18" xr3:uid="{EBEDF476-FE2C-428A-B3C2-5D1907D4D603}" name="Guthaben_x000a_Jahresbeginn" dataDxfId="6">
      <calculatedColumnFormula>Table14[[#This Row],[Nettoeinzahlung]]</calculatedColumnFormula>
    </tableColumn>
    <tableColumn id="19" xr3:uid="{2D2E4987-471F-4AF3-A880-C5762C282160}" name="Einzahlung" dataDxfId="5"/>
    <tableColumn id="20" xr3:uid="{DC1148D9-26C9-4912-8752-0CCA7C2F8BDD}" name="Durchschnittliches Jahresguthaben" dataDxfId="4">
      <calculatedColumnFormula>Table14[[#This Row],[Guthaben
Jahresbeginn]]+0.5*Table14[[#This Row],[Einzahlung]]</calculatedColumnFormula>
    </tableColumn>
    <tableColumn id="30" xr3:uid="{C1177130-79B4-4721-9599-4564AECCA27E}" name="Gewinn_x000a_(KapErtSt)" dataDxfId="3"/>
    <tableColumn id="25" xr3:uid="{2D94A101-2F95-459D-A632-E53D82CEB0E1}" name="Netto ETF_x000a_" dataDxfId="2">
      <calculatedColumnFormula>Table14[[#This Row],[Einzahlung]]-Table14[[#This Row],[Durchschnittliches Jahresguthaben]]*$U$9</calculatedColumnFormula>
    </tableColumn>
    <tableColumn id="26" xr3:uid="{EB3D3917-8588-495E-9BF5-8AD661823692}" name="Vorteile Riester_x000a_[absolut]" dataDxfId="1">
      <calculatedColumnFormula>Table14[[#This Row],[Auszahlung Netto (förderschädlich) ]]-Table14[[#This Row],[Netto ETF
]]</calculatedColumnFormula>
    </tableColumn>
    <tableColumn id="14" xr3:uid="{B060C0BE-B197-4132-B2BF-CB44920B3F77}" name="Vorteil_x000a_[%]" dataDxfId="0" dataCellStyle="Percent">
      <calculatedColumnFormula>Table14[[#This Row],[Vorteile Riester
'[absolut']]]/Table14[[#This Row],[Auszahlung Netto (förderschädlich)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C3D9-2328-441B-A3BE-8E33C09C9855}">
  <dimension ref="B1:Y55"/>
  <sheetViews>
    <sheetView tabSelected="1" topLeftCell="A4" zoomScale="55" zoomScaleNormal="55" workbookViewId="0">
      <selection activeCell="R15" sqref="R15"/>
    </sheetView>
  </sheetViews>
  <sheetFormatPr defaultRowHeight="14.5" x14ac:dyDescent="0.35"/>
  <cols>
    <col min="1" max="1" width="1.36328125" customWidth="1"/>
    <col min="2" max="2" width="6.54296875" customWidth="1"/>
    <col min="3" max="3" width="6.7265625" customWidth="1"/>
    <col min="4" max="4" width="14.7265625" customWidth="1"/>
    <col min="5" max="5" width="13.08984375" bestFit="1" customWidth="1"/>
    <col min="6" max="6" width="9.90625" customWidth="1"/>
    <col min="7" max="7" width="12.453125" bestFit="1" customWidth="1"/>
    <col min="8" max="8" width="12.08984375" customWidth="1"/>
    <col min="9" max="9" width="13.54296875" customWidth="1"/>
    <col min="10" max="10" width="16.90625" customWidth="1"/>
    <col min="11" max="11" width="15.36328125" customWidth="1"/>
    <col min="12" max="12" width="7" bestFit="1" customWidth="1"/>
    <col min="13" max="13" width="11" bestFit="1" customWidth="1"/>
    <col min="14" max="14" width="22.81640625" customWidth="1"/>
    <col min="15" max="15" width="20.26953125" customWidth="1"/>
    <col min="16" max="16" width="11.81640625" style="15" bestFit="1" customWidth="1"/>
    <col min="17" max="17" width="21.81640625" customWidth="1"/>
    <col min="18" max="18" width="12.453125" style="15" bestFit="1" customWidth="1"/>
    <col min="19" max="19" width="11.36328125" style="15" bestFit="1" customWidth="1"/>
    <col min="20" max="20" width="18.26953125" bestFit="1" customWidth="1"/>
    <col min="21" max="21" width="11.36328125" bestFit="1" customWidth="1"/>
    <col min="22" max="22" width="12.54296875" bestFit="1" customWidth="1"/>
    <col min="23" max="23" width="14.7265625" bestFit="1" customWidth="1"/>
    <col min="24" max="24" width="7.36328125" bestFit="1" customWidth="1"/>
    <col min="25" max="25" width="7.7265625" bestFit="1" customWidth="1"/>
    <col min="26" max="26" width="17.7265625" customWidth="1"/>
    <col min="27" max="27" width="14.7265625" bestFit="1" customWidth="1"/>
  </cols>
  <sheetData>
    <row r="1" spans="2:24" ht="7.5" customHeight="1" thickBot="1" x14ac:dyDescent="0.4"/>
    <row r="2" spans="2:24" x14ac:dyDescent="0.35">
      <c r="B2" s="4" t="s">
        <v>0</v>
      </c>
      <c r="G2" s="48" t="s">
        <v>13</v>
      </c>
      <c r="H2" s="49"/>
      <c r="I2" s="49"/>
      <c r="J2" s="49" t="s">
        <v>22</v>
      </c>
      <c r="K2" s="49"/>
      <c r="L2" s="50"/>
    </row>
    <row r="3" spans="2:24" x14ac:dyDescent="0.35">
      <c r="B3" t="s">
        <v>1</v>
      </c>
      <c r="D3" s="7">
        <v>0.42</v>
      </c>
      <c r="G3" s="42" t="s">
        <v>23</v>
      </c>
      <c r="H3" s="43"/>
      <c r="I3" s="43"/>
      <c r="J3" s="51">
        <v>6.0000000000000001E-3</v>
      </c>
      <c r="K3" s="51"/>
      <c r="L3" s="52"/>
    </row>
    <row r="4" spans="2:24" x14ac:dyDescent="0.35">
      <c r="B4" t="s">
        <v>2</v>
      </c>
      <c r="D4" s="2">
        <v>1925</v>
      </c>
      <c r="G4" s="42" t="s">
        <v>19</v>
      </c>
      <c r="H4" s="43"/>
      <c r="I4" s="43"/>
      <c r="J4" s="43" t="s">
        <v>26</v>
      </c>
      <c r="K4" s="43"/>
      <c r="L4" s="44"/>
    </row>
    <row r="5" spans="2:24" ht="15" thickBot="1" x14ac:dyDescent="0.4">
      <c r="B5" t="s">
        <v>3</v>
      </c>
      <c r="D5" s="3">
        <v>175</v>
      </c>
      <c r="G5" s="42" t="s">
        <v>25</v>
      </c>
      <c r="H5" s="43"/>
      <c r="I5" s="43"/>
      <c r="J5" s="43" t="s">
        <v>28</v>
      </c>
      <c r="K5" s="43"/>
      <c r="L5" s="44"/>
    </row>
    <row r="6" spans="2:24" ht="15" thickTop="1" x14ac:dyDescent="0.35">
      <c r="B6" t="s">
        <v>4</v>
      </c>
      <c r="D6" s="2">
        <f>D4+D5</f>
        <v>2100</v>
      </c>
      <c r="G6" s="42" t="s">
        <v>27</v>
      </c>
      <c r="H6" s="43"/>
      <c r="I6" s="43"/>
      <c r="J6" s="43" t="s">
        <v>24</v>
      </c>
      <c r="K6" s="43"/>
      <c r="L6" s="44"/>
    </row>
    <row r="7" spans="2:24" x14ac:dyDescent="0.35">
      <c r="B7" t="s">
        <v>5</v>
      </c>
      <c r="D7" s="2">
        <f>D6*D3-D5</f>
        <v>707</v>
      </c>
      <c r="G7" s="42" t="s">
        <v>15</v>
      </c>
      <c r="H7" s="43"/>
      <c r="I7" s="43"/>
      <c r="J7" s="45">
        <v>0.05</v>
      </c>
      <c r="K7" s="46"/>
      <c r="L7" s="47"/>
      <c r="U7" s="1"/>
    </row>
    <row r="8" spans="2:24" ht="15" thickBot="1" x14ac:dyDescent="0.4">
      <c r="B8" t="s">
        <v>6</v>
      </c>
      <c r="D8" s="5">
        <f>D4-D7</f>
        <v>1218</v>
      </c>
      <c r="G8" s="34" t="s">
        <v>20</v>
      </c>
      <c r="H8" s="35"/>
      <c r="I8" s="35"/>
      <c r="J8" s="36">
        <v>0.26374999999999998</v>
      </c>
      <c r="K8" s="36"/>
      <c r="L8" s="37"/>
      <c r="U8" s="8"/>
    </row>
    <row r="9" spans="2:24" x14ac:dyDescent="0.35">
      <c r="B9" t="s">
        <v>7</v>
      </c>
      <c r="D9" s="6">
        <f>1-D8/D6</f>
        <v>0.42000000000000004</v>
      </c>
      <c r="U9" s="8"/>
    </row>
    <row r="10" spans="2:24" x14ac:dyDescent="0.35">
      <c r="D10" s="22"/>
    </row>
    <row r="11" spans="2:24" ht="23.5" x14ac:dyDescent="0.55000000000000004">
      <c r="D11" s="38" t="s">
        <v>16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23"/>
      <c r="R11" s="39" t="s">
        <v>17</v>
      </c>
      <c r="S11" s="40"/>
      <c r="T11" s="40"/>
      <c r="U11" s="40"/>
      <c r="V11" s="40"/>
      <c r="W11" s="41" t="s">
        <v>21</v>
      </c>
      <c r="X11" s="41"/>
    </row>
    <row r="12" spans="2:24" ht="27" customHeight="1" x14ac:dyDescent="0.35">
      <c r="B12" t="s">
        <v>8</v>
      </c>
      <c r="C12" t="s">
        <v>9</v>
      </c>
      <c r="D12" t="s">
        <v>10</v>
      </c>
      <c r="E12" s="14" t="s">
        <v>41</v>
      </c>
      <c r="F12" t="s">
        <v>12</v>
      </c>
      <c r="G12" s="14" t="s">
        <v>42</v>
      </c>
      <c r="H12" t="s">
        <v>11</v>
      </c>
      <c r="I12" s="14" t="s">
        <v>30</v>
      </c>
      <c r="J12" s="14" t="s">
        <v>35</v>
      </c>
      <c r="K12" s="14" t="s">
        <v>15</v>
      </c>
      <c r="L12" s="14" t="s">
        <v>36</v>
      </c>
      <c r="M12" s="14" t="s">
        <v>14</v>
      </c>
      <c r="N12" s="14" t="s">
        <v>31</v>
      </c>
      <c r="O12" s="14" t="s">
        <v>40</v>
      </c>
      <c r="P12" s="17" t="s">
        <v>39</v>
      </c>
      <c r="Q12" s="17" t="s">
        <v>43</v>
      </c>
      <c r="R12" s="30" t="s">
        <v>32</v>
      </c>
      <c r="S12" s="31" t="s">
        <v>18</v>
      </c>
      <c r="T12" s="32" t="s">
        <v>29</v>
      </c>
      <c r="U12" s="32" t="s">
        <v>38</v>
      </c>
      <c r="V12" s="32" t="s">
        <v>37</v>
      </c>
      <c r="W12" s="33" t="s">
        <v>33</v>
      </c>
      <c r="X12" s="33" t="s">
        <v>34</v>
      </c>
    </row>
    <row r="13" spans="2:24" x14ac:dyDescent="0.35">
      <c r="B13">
        <v>32</v>
      </c>
      <c r="C13">
        <v>2020</v>
      </c>
      <c r="D13" s="10">
        <v>1218</v>
      </c>
      <c r="E13" s="10">
        <v>1218</v>
      </c>
      <c r="F13" s="10">
        <v>882</v>
      </c>
      <c r="G13" s="10">
        <v>882</v>
      </c>
      <c r="H13" s="10">
        <v>2100</v>
      </c>
      <c r="I13" s="10">
        <v>0</v>
      </c>
      <c r="J13" s="10">
        <f>Table14[[#This Row],[Guthaben Jahresstart]]+0.5*Table14[[#This Row],[Sparrate]]</f>
        <v>1050</v>
      </c>
      <c r="K13" s="10">
        <f>Table14[[#This Row],[Durchschnittliches
Jahresguthaben]]*($J$7-0.001)</f>
        <v>51.45</v>
      </c>
      <c r="L13" s="24">
        <v>36</v>
      </c>
      <c r="M13" s="10">
        <f>(Table14[[#This Row],[Durchschnittliches
Jahresguthaben]]+Table14[[#This Row],[Wertsteigerung]]*0.5)*$J$3</f>
        <v>6.4543499999999998</v>
      </c>
      <c r="N13" s="10">
        <f>Table14[[#This Row],[Guthaben Jahresstart]]+Table14[[#This Row],[Sparrate]]+Table14[[#This Row],[Wertsteigerung]]-Table14[[#This Row],[Kosten
fix]]-Table14[[#This Row],[Kosten %]]</f>
        <v>2108.9956499999998</v>
      </c>
      <c r="O13" s="16">
        <f>Table14[[#This Row],[Guthaben Jahresende (nach Kosten)]]-Table14[[#This Row],[Förderung
kummuliert]]</f>
        <v>1226.9956499999998</v>
      </c>
      <c r="P13" s="16">
        <f>Table14[[#This Row],[Summe bei Auszahlung (förderschädlich)]]-Table14[[#This Row],[Einzahlungen
kummuliert]]</f>
        <v>8.9956499999998414</v>
      </c>
      <c r="Q13" s="11">
        <f>Table14[[#This Row],[Guthaben Jahresende (nach Kosten)]]-Table14[[#This Row],[Förderung
kummuliert]]</f>
        <v>1226.9956499999998</v>
      </c>
      <c r="R13" s="25">
        <v>0</v>
      </c>
      <c r="S13" s="26">
        <v>1218</v>
      </c>
      <c r="T13" s="27">
        <f>Table14[[#This Row],[Guthaben
Jahresbeginn]]+0.5*Table14[[#This Row],[Einzahlung]]</f>
        <v>609</v>
      </c>
      <c r="U13" s="27">
        <f>Table14[[#This Row],[Durchschnittliches Jahresguthaben]]*$J$7</f>
        <v>30.450000000000003</v>
      </c>
      <c r="V13" s="28">
        <f>Table14[[#This Row],[Guthaben
Jahresbeginn]]+Table14[[#This Row],[Einzahlung]]+Table14[[#This Row],[Gewinn
(KapErtSt)]]*(1-$J$8)</f>
        <v>1240.4188125000001</v>
      </c>
      <c r="W13" s="21">
        <f>Table14[[#This Row],[Auszahlung Netto (förderschädlich) ]]-Table14[[#This Row],[Netto ETF
]]</f>
        <v>-13.423162500000217</v>
      </c>
      <c r="X13" s="9">
        <f>Table14[[#This Row],[Vorteile Riester
'[absolut']]]/Table14[[#This Row],[Auszahlung Netto (förderschädlich) ]]</f>
        <v>-1.0939861522736629E-2</v>
      </c>
    </row>
    <row r="14" spans="2:24" x14ac:dyDescent="0.35">
      <c r="B14">
        <v>33</v>
      </c>
      <c r="C14">
        <v>2021</v>
      </c>
      <c r="D14" s="10">
        <v>1218</v>
      </c>
      <c r="E14" s="10">
        <f>E13+D14</f>
        <v>2436</v>
      </c>
      <c r="F14" s="10">
        <v>882</v>
      </c>
      <c r="G14" s="10">
        <f>G13+F14</f>
        <v>1764</v>
      </c>
      <c r="H14" s="10">
        <v>2100</v>
      </c>
      <c r="I14" s="10">
        <f>N13</f>
        <v>2108.9956499999998</v>
      </c>
      <c r="J14" s="10">
        <f>Table14[[#This Row],[Guthaben Jahresstart]]+0.5*Table14[[#This Row],[Sparrate]]</f>
        <v>3158.9956499999998</v>
      </c>
      <c r="K14" s="10">
        <f>Table14[[#This Row],[Durchschnittliches
Jahresguthaben]]*($J$7-0.001)</f>
        <v>154.79078684999999</v>
      </c>
      <c r="L14" s="24">
        <v>36</v>
      </c>
      <c r="M14" s="10">
        <f>(Table14[[#This Row],[Durchschnittliches
Jahresguthaben]]+Table14[[#This Row],[Wertsteigerung]]*0.5)*$J$3</f>
        <v>19.418346260549999</v>
      </c>
      <c r="N14" s="10">
        <f>Table14[[#This Row],[Guthaben Jahresstart]]+Table14[[#This Row],[Sparrate]]+Table14[[#This Row],[Wertsteigerung]]-Table14[[#This Row],[Kosten
fix]]-Table14[[#This Row],[Kosten %]]</f>
        <v>4308.3680905894498</v>
      </c>
      <c r="O14" s="16">
        <f>Table14[[#This Row],[Guthaben Jahresende (nach Kosten)]]-Table14[[#This Row],[Förderung
kummuliert]]</f>
        <v>2544.3680905894498</v>
      </c>
      <c r="P14" s="16">
        <f>Table14[[#This Row],[Summe bei Auszahlung (förderschädlich)]]-Table14[[#This Row],[Einzahlungen
kummuliert]]</f>
        <v>108.36809058944982</v>
      </c>
      <c r="Q14" s="11">
        <f>Table14[[#This Row],[Summe bei Auszahlung (förderschädlich)]]-Table14[[#This Row],[Gewinn
(Einkommenssteuer)]]*$D$3</f>
        <v>2498.8534925418808</v>
      </c>
      <c r="R14" s="25">
        <f>V13</f>
        <v>1240.4188125000001</v>
      </c>
      <c r="S14" s="29">
        <v>1218</v>
      </c>
      <c r="T14" s="27">
        <f>Table14[[#This Row],[Guthaben
Jahresbeginn]]+0.5*Table14[[#This Row],[Einzahlung]]</f>
        <v>1849.4188125000001</v>
      </c>
      <c r="U14" s="27">
        <f>Table14[[#This Row],[Durchschnittliches Jahresguthaben]]*$J$7</f>
        <v>92.470940625000011</v>
      </c>
      <c r="V14" s="28">
        <f>Table14[[#This Row],[Guthaben
Jahresbeginn]]+Table14[[#This Row],[Einzahlung]]+Table14[[#This Row],[Gewinn
(KapErtSt)]]*(1-$J$8)</f>
        <v>2526.5005425351565</v>
      </c>
      <c r="W14" s="21">
        <f>Table14[[#This Row],[Auszahlung Netto (förderschädlich) ]]-Table14[[#This Row],[Netto ETF
]]</f>
        <v>-27.647049993275687</v>
      </c>
      <c r="X14" s="9">
        <f>Table14[[#This Row],[Vorteile Riester
'[absolut']]]/Table14[[#This Row],[Auszahlung Netto (förderschädlich) ]]</f>
        <v>-1.1063893932073859E-2</v>
      </c>
    </row>
    <row r="15" spans="2:24" x14ac:dyDescent="0.35">
      <c r="B15">
        <v>34</v>
      </c>
      <c r="C15">
        <v>2022</v>
      </c>
      <c r="D15" s="10">
        <v>1218</v>
      </c>
      <c r="E15" s="10">
        <f>E14+D15</f>
        <v>3654</v>
      </c>
      <c r="F15" s="10">
        <v>882</v>
      </c>
      <c r="G15" s="10">
        <f>G14+F15</f>
        <v>2646</v>
      </c>
      <c r="H15" s="10">
        <v>2100</v>
      </c>
      <c r="I15" s="10">
        <f t="shared" ref="I15:I48" si="0">N14</f>
        <v>4308.3680905894498</v>
      </c>
      <c r="J15" s="10">
        <f>Table14[[#This Row],[Guthaben Jahresstart]]+0.5*Table14[[#This Row],[Sparrate]]</f>
        <v>5358.3680905894498</v>
      </c>
      <c r="K15" s="10">
        <f>Table14[[#This Row],[Durchschnittliches
Jahresguthaben]]*($J$7-0.001)</f>
        <v>262.56003643888306</v>
      </c>
      <c r="L15" s="24">
        <v>36</v>
      </c>
      <c r="M15" s="10">
        <f>(Table14[[#This Row],[Durchschnittliches
Jahresguthaben]]+Table14[[#This Row],[Wertsteigerung]]*0.5)*$J$3</f>
        <v>32.937888652853346</v>
      </c>
      <c r="N15" s="10">
        <f>Table14[[#This Row],[Guthaben Jahresstart]]+Table14[[#This Row],[Sparrate]]+Table14[[#This Row],[Wertsteigerung]]-Table14[[#This Row],[Kosten
fix]]-Table14[[#This Row],[Kosten %]]</f>
        <v>6601.9902383754797</v>
      </c>
      <c r="O15" s="16">
        <f>Table14[[#This Row],[Guthaben Jahresende (nach Kosten)]]-Table14[[#This Row],[Förderung
kummuliert]]</f>
        <v>3955.9902383754797</v>
      </c>
      <c r="P15" s="16">
        <f>Table14[[#This Row],[Summe bei Auszahlung (förderschädlich)]]-Table14[[#This Row],[Einzahlungen
kummuliert]]</f>
        <v>301.99023837547975</v>
      </c>
      <c r="Q15" s="11">
        <f>Table14[[#This Row],[Summe bei Auszahlung (förderschädlich)]]-Table14[[#This Row],[Gewinn
(Einkommenssteuer)]]*$D$3</f>
        <v>3829.1543382577784</v>
      </c>
      <c r="R15" s="25">
        <f t="shared" ref="R15:R48" si="1">V14</f>
        <v>2526.5005425351565</v>
      </c>
      <c r="S15" s="29">
        <v>1218</v>
      </c>
      <c r="T15" s="27">
        <f>Table14[[#This Row],[Guthaben
Jahresbeginn]]+0.5*Table14[[#This Row],[Einzahlung]]</f>
        <v>3135.5005425351565</v>
      </c>
      <c r="U15" s="27">
        <f>Table14[[#This Row],[Durchschnittliches Jahresguthaben]]*$J$7</f>
        <v>156.77502712675783</v>
      </c>
      <c r="V15" s="28">
        <f>Table14[[#This Row],[Guthaben
Jahresbeginn]]+Table14[[#This Row],[Einzahlung]]+Table14[[#This Row],[Gewinn
(KapErtSt)]]*(1-$J$8)</f>
        <v>3859.9261562572319</v>
      </c>
      <c r="W15" s="21">
        <f>Table14[[#This Row],[Auszahlung Netto (förderschädlich) ]]-Table14[[#This Row],[Netto ETF
]]</f>
        <v>-30.77181799945356</v>
      </c>
      <c r="X15" s="9">
        <f>Table14[[#This Row],[Vorteile Riester
'[absolut']]]/Table14[[#This Row],[Auszahlung Netto (förderschädlich) ]]</f>
        <v>-8.0361916186053733E-3</v>
      </c>
    </row>
    <row r="16" spans="2:24" x14ac:dyDescent="0.35">
      <c r="B16">
        <v>35</v>
      </c>
      <c r="C16">
        <v>2023</v>
      </c>
      <c r="D16" s="10">
        <v>1218</v>
      </c>
      <c r="E16" s="10">
        <f t="shared" ref="E16:E48" si="2">E15+D16</f>
        <v>4872</v>
      </c>
      <c r="F16" s="10">
        <v>882</v>
      </c>
      <c r="G16" s="10">
        <f t="shared" ref="G16:G48" si="3">G15+F16</f>
        <v>3528</v>
      </c>
      <c r="H16" s="10">
        <v>2100</v>
      </c>
      <c r="I16" s="10">
        <f t="shared" si="0"/>
        <v>6601.9902383754797</v>
      </c>
      <c r="J16" s="10">
        <f>Table14[[#This Row],[Guthaben Jahresstart]]+0.5*Table14[[#This Row],[Sparrate]]</f>
        <v>7651.9902383754797</v>
      </c>
      <c r="K16" s="10">
        <f>Table14[[#This Row],[Durchschnittliches
Jahresguthaben]]*($J$7-0.001)</f>
        <v>374.94752168039849</v>
      </c>
      <c r="L16" s="24">
        <v>36</v>
      </c>
      <c r="M16" s="10">
        <f>(Table14[[#This Row],[Durchschnittliches
Jahresguthaben]]+Table14[[#This Row],[Wertsteigerung]]*0.5)*$J$3</f>
        <v>47.036783995294073</v>
      </c>
      <c r="N16" s="10">
        <f>Table14[[#This Row],[Guthaben Jahresstart]]+Table14[[#This Row],[Sparrate]]+Table14[[#This Row],[Wertsteigerung]]-Table14[[#This Row],[Kosten
fix]]-Table14[[#This Row],[Kosten %]]</f>
        <v>8993.9009760605841</v>
      </c>
      <c r="O16" s="16">
        <f>Table14[[#This Row],[Guthaben Jahresende (nach Kosten)]]-Table14[[#This Row],[Förderung
kummuliert]]</f>
        <v>5465.9009760605841</v>
      </c>
      <c r="P16" s="16">
        <f>Table14[[#This Row],[Summe bei Auszahlung (förderschädlich)]]-Table14[[#This Row],[Einzahlungen
kummuliert]]</f>
        <v>593.90097606058407</v>
      </c>
      <c r="Q16" s="11">
        <f>Table14[[#This Row],[Summe bei Auszahlung (förderschädlich)]]-Table14[[#This Row],[Gewinn
(Einkommenssteuer)]]*$D$3</f>
        <v>5216.4625661151385</v>
      </c>
      <c r="R16" s="25">
        <f t="shared" si="1"/>
        <v>3859.9261562572319</v>
      </c>
      <c r="S16" s="29">
        <v>1218</v>
      </c>
      <c r="T16" s="27">
        <f>Table14[[#This Row],[Guthaben
Jahresbeginn]]+0.5*Table14[[#This Row],[Einzahlung]]</f>
        <v>4468.9261562572319</v>
      </c>
      <c r="U16" s="27">
        <f>Table14[[#This Row],[Durchschnittliches Jahresguthaben]]*$J$7</f>
        <v>223.44630781286162</v>
      </c>
      <c r="V16" s="28">
        <f>Table14[[#This Row],[Guthaben
Jahresbeginn]]+Table14[[#This Row],[Einzahlung]]+Table14[[#This Row],[Gewinn
(KapErtSt)]]*(1-$J$8)</f>
        <v>5242.4385003844509</v>
      </c>
      <c r="W16" s="21">
        <f>Table14[[#This Row],[Auszahlung Netto (förderschädlich) ]]-Table14[[#This Row],[Netto ETF
]]</f>
        <v>-25.975934269312347</v>
      </c>
      <c r="X16" s="9">
        <f>Table14[[#This Row],[Vorteile Riester
'[absolut']]]/Table14[[#This Row],[Auszahlung Netto (förderschädlich) ]]</f>
        <v>-4.9796071456633551E-3</v>
      </c>
    </row>
    <row r="17" spans="2:24" x14ac:dyDescent="0.35">
      <c r="B17">
        <v>36</v>
      </c>
      <c r="C17">
        <v>2024</v>
      </c>
      <c r="D17" s="10">
        <v>1218</v>
      </c>
      <c r="E17" s="10">
        <f t="shared" si="2"/>
        <v>6090</v>
      </c>
      <c r="F17" s="10">
        <v>882</v>
      </c>
      <c r="G17" s="10">
        <f t="shared" si="3"/>
        <v>4410</v>
      </c>
      <c r="H17" s="10">
        <v>2100</v>
      </c>
      <c r="I17" s="10">
        <f t="shared" si="0"/>
        <v>8993.9009760605841</v>
      </c>
      <c r="J17" s="10">
        <f>Table14[[#This Row],[Guthaben Jahresstart]]+0.5*Table14[[#This Row],[Sparrate]]</f>
        <v>10043.900976060584</v>
      </c>
      <c r="K17" s="10">
        <f>Table14[[#This Row],[Durchschnittliches
Jahresguthaben]]*($J$7-0.001)</f>
        <v>492.15114782696861</v>
      </c>
      <c r="L17" s="24">
        <v>36</v>
      </c>
      <c r="M17" s="10">
        <f>(Table14[[#This Row],[Durchschnittliches
Jahresguthaben]]+Table14[[#This Row],[Wertsteigerung]]*0.5)*$J$3</f>
        <v>61.739859299844412</v>
      </c>
      <c r="N17" s="10">
        <f>Table14[[#This Row],[Guthaben Jahresstart]]+Table14[[#This Row],[Sparrate]]+Table14[[#This Row],[Wertsteigerung]]-Table14[[#This Row],[Kosten
fix]]-Table14[[#This Row],[Kosten %]]</f>
        <v>11488.312264587708</v>
      </c>
      <c r="O17" s="16">
        <f>Table14[[#This Row],[Guthaben Jahresende (nach Kosten)]]-Table14[[#This Row],[Förderung
kummuliert]]</f>
        <v>7078.3122645877083</v>
      </c>
      <c r="P17" s="16">
        <f>Table14[[#This Row],[Summe bei Auszahlung (förderschädlich)]]-Table14[[#This Row],[Einzahlungen
kummuliert]]</f>
        <v>988.31226458770834</v>
      </c>
      <c r="Q17" s="11">
        <f>Table14[[#This Row],[Summe bei Auszahlung (förderschädlich)]]-Table14[[#This Row],[Gewinn
(Einkommenssteuer)]]*$D$3</f>
        <v>6663.2211134608706</v>
      </c>
      <c r="R17" s="25">
        <f t="shared" si="1"/>
        <v>5242.4385003844509</v>
      </c>
      <c r="S17" s="29">
        <v>1218</v>
      </c>
      <c r="T17" s="27">
        <f>Table14[[#This Row],[Guthaben
Jahresbeginn]]+0.5*Table14[[#This Row],[Einzahlung]]</f>
        <v>5851.4385003844509</v>
      </c>
      <c r="U17" s="27">
        <f>Table14[[#This Row],[Durchschnittliches Jahresguthaben]]*$J$7</f>
        <v>292.57192501922253</v>
      </c>
      <c r="V17" s="28">
        <f>Table14[[#This Row],[Guthaben
Jahresbeginn]]+Table14[[#This Row],[Einzahlung]]+Table14[[#This Row],[Gewinn
(KapErtSt)]]*(1-$J$8)</f>
        <v>6675.8445801798534</v>
      </c>
      <c r="W17" s="21">
        <f>Table14[[#This Row],[Auszahlung Netto (förderschädlich) ]]-Table14[[#This Row],[Netto ETF
]]</f>
        <v>-12.623466718982854</v>
      </c>
      <c r="X17" s="9">
        <f>Table14[[#This Row],[Vorteile Riester
'[absolut']]]/Table14[[#This Row],[Auszahlung Netto (förderschädlich) ]]</f>
        <v>-1.8944991474890796E-3</v>
      </c>
    </row>
    <row r="18" spans="2:24" x14ac:dyDescent="0.35">
      <c r="B18">
        <v>37</v>
      </c>
      <c r="C18">
        <v>2025</v>
      </c>
      <c r="D18" s="10">
        <v>1218</v>
      </c>
      <c r="E18" s="10">
        <f t="shared" si="2"/>
        <v>7308</v>
      </c>
      <c r="F18" s="10">
        <v>882</v>
      </c>
      <c r="G18" s="10">
        <f t="shared" si="3"/>
        <v>5292</v>
      </c>
      <c r="H18" s="10">
        <v>2100</v>
      </c>
      <c r="I18" s="10">
        <f t="shared" si="0"/>
        <v>11488.312264587708</v>
      </c>
      <c r="J18" s="10">
        <f>Table14[[#This Row],[Guthaben Jahresstart]]+0.5*Table14[[#This Row],[Sparrate]]</f>
        <v>12538.312264587708</v>
      </c>
      <c r="K18" s="10">
        <f>Table14[[#This Row],[Durchschnittliches
Jahresguthaben]]*($J$7-0.001)</f>
        <v>614.37730096479777</v>
      </c>
      <c r="L18" s="24">
        <v>36</v>
      </c>
      <c r="M18" s="10">
        <f>(Table14[[#This Row],[Durchschnittliches
Jahresguthaben]]+Table14[[#This Row],[Wertsteigerung]]*0.5)*$J$3</f>
        <v>77.073005490420655</v>
      </c>
      <c r="N18" s="10">
        <f>Table14[[#This Row],[Guthaben Jahresstart]]+Table14[[#This Row],[Sparrate]]+Table14[[#This Row],[Wertsteigerung]]-Table14[[#This Row],[Kosten
fix]]-Table14[[#This Row],[Kosten %]]</f>
        <v>14089.616560062084</v>
      </c>
      <c r="O18" s="16">
        <f>Table14[[#This Row],[Guthaben Jahresende (nach Kosten)]]-Table14[[#This Row],[Förderung
kummuliert]]</f>
        <v>8797.6165600620843</v>
      </c>
      <c r="P18" s="16">
        <f>Table14[[#This Row],[Summe bei Auszahlung (förderschädlich)]]-Table14[[#This Row],[Einzahlungen
kummuliert]]</f>
        <v>1489.6165600620843</v>
      </c>
      <c r="Q18" s="11">
        <f>Table14[[#This Row],[Summe bei Auszahlung (förderschädlich)]]-Table14[[#This Row],[Gewinn
(Einkommenssteuer)]]*$D$3</f>
        <v>8171.977604836009</v>
      </c>
      <c r="R18" s="25">
        <f t="shared" si="1"/>
        <v>6675.8445801798534</v>
      </c>
      <c r="S18" s="29">
        <v>1218</v>
      </c>
      <c r="T18" s="27">
        <f>Table14[[#This Row],[Guthaben
Jahresbeginn]]+0.5*Table14[[#This Row],[Einzahlung]]</f>
        <v>7284.8445801798534</v>
      </c>
      <c r="U18" s="27">
        <f>Table14[[#This Row],[Durchschnittliches Jahresguthaben]]*$J$7</f>
        <v>364.24222900899269</v>
      </c>
      <c r="V18" s="28">
        <f>Table14[[#This Row],[Guthaben
Jahresbeginn]]+Table14[[#This Row],[Einzahlung]]+Table14[[#This Row],[Gewinn
(KapErtSt)]]*(1-$J$8)</f>
        <v>8162.0179212877247</v>
      </c>
      <c r="W18" s="21">
        <f>Table14[[#This Row],[Auszahlung Netto (förderschädlich) ]]-Table14[[#This Row],[Netto ETF
]]</f>
        <v>9.9596835482843744</v>
      </c>
      <c r="X18" s="9">
        <f>Table14[[#This Row],[Vorteile Riester
'[absolut']]]/Table14[[#This Row],[Auszahlung Netto (förderschädlich) ]]</f>
        <v>1.2187605044818573E-3</v>
      </c>
    </row>
    <row r="19" spans="2:24" x14ac:dyDescent="0.35">
      <c r="B19">
        <v>38</v>
      </c>
      <c r="C19">
        <v>2026</v>
      </c>
      <c r="D19" s="10">
        <v>1218</v>
      </c>
      <c r="E19" s="10">
        <f t="shared" si="2"/>
        <v>8526</v>
      </c>
      <c r="F19" s="10">
        <v>882</v>
      </c>
      <c r="G19" s="10">
        <f t="shared" si="3"/>
        <v>6174</v>
      </c>
      <c r="H19" s="10">
        <v>2100</v>
      </c>
      <c r="I19" s="10">
        <f t="shared" si="0"/>
        <v>14089.616560062084</v>
      </c>
      <c r="J19" s="10">
        <f>Table14[[#This Row],[Guthaben Jahresstart]]+0.5*Table14[[#This Row],[Sparrate]]</f>
        <v>15139.616560062084</v>
      </c>
      <c r="K19" s="10">
        <f>Table14[[#This Row],[Durchschnittliches
Jahresguthaben]]*($J$7-0.001)</f>
        <v>741.8412114430422</v>
      </c>
      <c r="L19" s="24">
        <v>36</v>
      </c>
      <c r="M19" s="10">
        <f>(Table14[[#This Row],[Durchschnittliches
Jahresguthaben]]+Table14[[#This Row],[Wertsteigerung]]*0.5)*$J$3</f>
        <v>93.063222994701633</v>
      </c>
      <c r="N19" s="10">
        <f>Table14[[#This Row],[Guthaben Jahresstart]]+Table14[[#This Row],[Sparrate]]+Table14[[#This Row],[Wertsteigerung]]-Table14[[#This Row],[Kosten
fix]]-Table14[[#This Row],[Kosten %]]</f>
        <v>16802.394548510427</v>
      </c>
      <c r="O19" s="16">
        <f>Table14[[#This Row],[Guthaben Jahresende (nach Kosten)]]-Table14[[#This Row],[Förderung
kummuliert]]</f>
        <v>10628.394548510427</v>
      </c>
      <c r="P19" s="16">
        <f>Table14[[#This Row],[Summe bei Auszahlung (förderschädlich)]]-Table14[[#This Row],[Einzahlungen
kummuliert]]</f>
        <v>2102.3945485104268</v>
      </c>
      <c r="Q19" s="11">
        <f>Table14[[#This Row],[Summe bei Auszahlung (förderschädlich)]]-Table14[[#This Row],[Gewinn
(Einkommenssteuer)]]*$D$3</f>
        <v>9745.3888381360484</v>
      </c>
      <c r="R19" s="25">
        <f t="shared" si="1"/>
        <v>8162.0179212877247</v>
      </c>
      <c r="S19" s="29">
        <v>1218</v>
      </c>
      <c r="T19" s="27">
        <f>Table14[[#This Row],[Guthaben
Jahresbeginn]]+0.5*Table14[[#This Row],[Einzahlung]]</f>
        <v>8771.0179212877247</v>
      </c>
      <c r="U19" s="27">
        <f>Table14[[#This Row],[Durchschnittliches Jahresguthaben]]*$J$7</f>
        <v>438.55089606438628</v>
      </c>
      <c r="V19" s="28">
        <f>Table14[[#This Row],[Guthaben
Jahresbeginn]]+Table14[[#This Row],[Einzahlung]]+Table14[[#This Row],[Gewinn
(KapErtSt)]]*(1-$J$8)</f>
        <v>9702.9010185151292</v>
      </c>
      <c r="W19" s="21">
        <f>Table14[[#This Row],[Auszahlung Netto (förderschädlich) ]]-Table14[[#This Row],[Netto ETF
]]</f>
        <v>42.487819620919254</v>
      </c>
      <c r="X19" s="9">
        <f>Table14[[#This Row],[Vorteile Riester
'[absolut']]]/Table14[[#This Row],[Auszahlung Netto (förderschädlich) ]]</f>
        <v>4.3597870055891667E-3</v>
      </c>
    </row>
    <row r="20" spans="2:24" x14ac:dyDescent="0.35">
      <c r="B20">
        <v>39</v>
      </c>
      <c r="C20">
        <v>2027</v>
      </c>
      <c r="D20" s="10">
        <v>1218</v>
      </c>
      <c r="E20" s="10">
        <f t="shared" si="2"/>
        <v>9744</v>
      </c>
      <c r="F20" s="10">
        <v>882</v>
      </c>
      <c r="G20" s="10">
        <f t="shared" si="3"/>
        <v>7056</v>
      </c>
      <c r="H20" s="10">
        <v>2100</v>
      </c>
      <c r="I20" s="10">
        <f t="shared" si="0"/>
        <v>16802.394548510427</v>
      </c>
      <c r="J20" s="10">
        <f>Table14[[#This Row],[Guthaben Jahresstart]]+0.5*Table14[[#This Row],[Sparrate]]</f>
        <v>17852.394548510427</v>
      </c>
      <c r="K20" s="10">
        <f>Table14[[#This Row],[Durchschnittliches
Jahresguthaben]]*($J$7-0.001)</f>
        <v>874.76733287701097</v>
      </c>
      <c r="L20" s="24">
        <v>36</v>
      </c>
      <c r="M20" s="10">
        <f>(Table14[[#This Row],[Durchschnittliches
Jahresguthaben]]+Table14[[#This Row],[Wertsteigerung]]*0.5)*$J$3</f>
        <v>109.73866928969359</v>
      </c>
      <c r="N20" s="10">
        <f>Table14[[#This Row],[Guthaben Jahresstart]]+Table14[[#This Row],[Sparrate]]+Table14[[#This Row],[Wertsteigerung]]-Table14[[#This Row],[Kosten
fix]]-Table14[[#This Row],[Kosten %]]</f>
        <v>19631.423212097743</v>
      </c>
      <c r="O20" s="16">
        <f>Table14[[#This Row],[Guthaben Jahresende (nach Kosten)]]-Table14[[#This Row],[Förderung
kummuliert]]</f>
        <v>12575.423212097743</v>
      </c>
      <c r="P20" s="16">
        <f>Table14[[#This Row],[Summe bei Auszahlung (förderschädlich)]]-Table14[[#This Row],[Einzahlungen
kummuliert]]</f>
        <v>2831.4232120977431</v>
      </c>
      <c r="Q20" s="11">
        <f>Table14[[#This Row],[Summe bei Auszahlung (förderschädlich)]]-Table14[[#This Row],[Gewinn
(Einkommenssteuer)]]*$D$3</f>
        <v>11386.225463016692</v>
      </c>
      <c r="R20" s="25">
        <f t="shared" si="1"/>
        <v>9702.9010185151292</v>
      </c>
      <c r="S20" s="29">
        <v>1218</v>
      </c>
      <c r="T20" s="27">
        <f>Table14[[#This Row],[Guthaben
Jahresbeginn]]+0.5*Table14[[#This Row],[Einzahlung]]</f>
        <v>10311.901018515129</v>
      </c>
      <c r="U20" s="27">
        <f>Table14[[#This Row],[Durchschnittliches Jahresguthaben]]*$J$7</f>
        <v>515.59505092575648</v>
      </c>
      <c r="V20" s="28">
        <f>Table14[[#This Row],[Guthaben
Jahresbeginn]]+Table14[[#This Row],[Einzahlung]]+Table14[[#This Row],[Gewinn
(KapErtSt)]]*(1-$J$8)</f>
        <v>11300.507874759218</v>
      </c>
      <c r="W20" s="21">
        <f>Table14[[#This Row],[Auszahlung Netto (förderschädlich) ]]-Table14[[#This Row],[Netto ETF
]]</f>
        <v>85.717588257473835</v>
      </c>
      <c r="X20" s="9">
        <f>Table14[[#This Row],[Vorteile Riester
'[absolut']]]/Table14[[#This Row],[Auszahlung Netto (förderschädlich) ]]</f>
        <v>7.528182937874447E-3</v>
      </c>
    </row>
    <row r="21" spans="2:24" x14ac:dyDescent="0.35">
      <c r="B21">
        <v>40</v>
      </c>
      <c r="C21">
        <v>2028</v>
      </c>
      <c r="D21" s="10">
        <v>1218</v>
      </c>
      <c r="E21" s="10">
        <f t="shared" si="2"/>
        <v>10962</v>
      </c>
      <c r="F21" s="10">
        <v>882</v>
      </c>
      <c r="G21" s="10">
        <f t="shared" si="3"/>
        <v>7938</v>
      </c>
      <c r="H21" s="10">
        <v>2100</v>
      </c>
      <c r="I21" s="10">
        <f t="shared" si="0"/>
        <v>19631.423212097743</v>
      </c>
      <c r="J21" s="10">
        <f>Table14[[#This Row],[Guthaben Jahresstart]]+0.5*Table14[[#This Row],[Sparrate]]</f>
        <v>20681.423212097743</v>
      </c>
      <c r="K21" s="10">
        <f>Table14[[#This Row],[Durchschnittliches
Jahresguthaben]]*($J$7-0.001)</f>
        <v>1013.3897373927895</v>
      </c>
      <c r="L21" s="24">
        <v>36</v>
      </c>
      <c r="M21" s="10">
        <f>(Table14[[#This Row],[Durchschnittliches
Jahresguthaben]]+Table14[[#This Row],[Wertsteigerung]]*0.5)*$J$3</f>
        <v>127.12870848476483</v>
      </c>
      <c r="N21" s="10">
        <f>Table14[[#This Row],[Guthaben Jahresstart]]+Table14[[#This Row],[Sparrate]]+Table14[[#This Row],[Wertsteigerung]]-Table14[[#This Row],[Kosten
fix]]-Table14[[#This Row],[Kosten %]]</f>
        <v>22581.684241005769</v>
      </c>
      <c r="O21" s="16">
        <f>Table14[[#This Row],[Guthaben Jahresende (nach Kosten)]]-Table14[[#This Row],[Förderung
kummuliert]]</f>
        <v>14643.684241005769</v>
      </c>
      <c r="P21" s="16">
        <f>Table14[[#This Row],[Summe bei Auszahlung (förderschädlich)]]-Table14[[#This Row],[Einzahlungen
kummuliert]]</f>
        <v>3681.6842410057689</v>
      </c>
      <c r="Q21" s="11">
        <f>Table14[[#This Row],[Summe bei Auszahlung (förderschädlich)]]-Table14[[#This Row],[Gewinn
(Einkommenssteuer)]]*$D$3</f>
        <v>13097.376859783346</v>
      </c>
      <c r="R21" s="25">
        <f t="shared" si="1"/>
        <v>11300.507874759218</v>
      </c>
      <c r="S21" s="29">
        <v>1218</v>
      </c>
      <c r="T21" s="27">
        <f>Table14[[#This Row],[Guthaben
Jahresbeginn]]+0.5*Table14[[#This Row],[Einzahlung]]</f>
        <v>11909.507874759218</v>
      </c>
      <c r="U21" s="27">
        <f>Table14[[#This Row],[Durchschnittliches Jahresguthaben]]*$J$7</f>
        <v>595.47539373796087</v>
      </c>
      <c r="V21" s="28">
        <f>Table14[[#This Row],[Guthaben
Jahresbeginn]]+Table14[[#This Row],[Einzahlung]]+Table14[[#This Row],[Gewinn
(KapErtSt)]]*(1-$J$8)</f>
        <v>12956.926633398791</v>
      </c>
      <c r="W21" s="21">
        <f>Table14[[#This Row],[Auszahlung Netto (förderschädlich) ]]-Table14[[#This Row],[Netto ETF
]]</f>
        <v>140.45022638455521</v>
      </c>
      <c r="X21" s="9">
        <f>Table14[[#This Row],[Vorteile Riester
'[absolut']]]/Table14[[#This Row],[Auszahlung Netto (förderschädlich) ]]</f>
        <v>1.0723538605338603E-2</v>
      </c>
    </row>
    <row r="22" spans="2:24" x14ac:dyDescent="0.35">
      <c r="B22">
        <v>41</v>
      </c>
      <c r="C22">
        <v>2029</v>
      </c>
      <c r="D22" s="10">
        <v>1218</v>
      </c>
      <c r="E22" s="10">
        <f t="shared" si="2"/>
        <v>12180</v>
      </c>
      <c r="F22" s="10">
        <v>882</v>
      </c>
      <c r="G22" s="10">
        <f t="shared" si="3"/>
        <v>8820</v>
      </c>
      <c r="H22" s="10">
        <v>2100</v>
      </c>
      <c r="I22" s="10">
        <f t="shared" si="0"/>
        <v>22581.684241005769</v>
      </c>
      <c r="J22" s="10">
        <f>Table14[[#This Row],[Guthaben Jahresstart]]+0.5*Table14[[#This Row],[Sparrate]]</f>
        <v>23631.684241005769</v>
      </c>
      <c r="K22" s="10">
        <f>Table14[[#This Row],[Durchschnittliches
Jahresguthaben]]*($J$7-0.001)</f>
        <v>1157.9525278092826</v>
      </c>
      <c r="L22" s="24">
        <v>36</v>
      </c>
      <c r="M22" s="10">
        <f>(Table14[[#This Row],[Durchschnittliches
Jahresguthaben]]+Table14[[#This Row],[Wertsteigerung]]*0.5)*$J$3</f>
        <v>145.26396302946247</v>
      </c>
      <c r="N22" s="10">
        <f>Table14[[#This Row],[Guthaben Jahresstart]]+Table14[[#This Row],[Sparrate]]+Table14[[#This Row],[Wertsteigerung]]-Table14[[#This Row],[Kosten
fix]]-Table14[[#This Row],[Kosten %]]</f>
        <v>25658.372805785591</v>
      </c>
      <c r="O22" s="16">
        <f>Table14[[#This Row],[Guthaben Jahresende (nach Kosten)]]-Table14[[#This Row],[Förderung
kummuliert]]</f>
        <v>16838.372805785591</v>
      </c>
      <c r="P22" s="16">
        <f>Table14[[#This Row],[Summe bei Auszahlung (förderschädlich)]]-Table14[[#This Row],[Einzahlungen
kummuliert]]</f>
        <v>4658.3728057855915</v>
      </c>
      <c r="Q22" s="11">
        <f>Table14[[#This Row],[Summe bei Auszahlung (förderschädlich)]]-Table14[[#This Row],[Gewinn
(Einkommenssteuer)]]*$D$3</f>
        <v>14881.856227355644</v>
      </c>
      <c r="R22" s="25">
        <f t="shared" si="1"/>
        <v>12956.926633398791</v>
      </c>
      <c r="S22" s="29">
        <v>1218</v>
      </c>
      <c r="T22" s="27">
        <f>Table14[[#This Row],[Guthaben
Jahresbeginn]]+0.5*Table14[[#This Row],[Einzahlung]]</f>
        <v>13565.926633398791</v>
      </c>
      <c r="U22" s="27">
        <f>Table14[[#This Row],[Durchschnittliches Jahresguthaben]]*$J$7</f>
        <v>678.2963316699396</v>
      </c>
      <c r="V22" s="28">
        <f>Table14[[#This Row],[Guthaben
Jahresbeginn]]+Table14[[#This Row],[Einzahlung]]+Table14[[#This Row],[Gewinn
(KapErtSt)]]*(1-$J$8)</f>
        <v>14674.322307590784</v>
      </c>
      <c r="W22" s="21">
        <f>Table14[[#This Row],[Auszahlung Netto (förderschädlich) ]]-Table14[[#This Row],[Netto ETF
]]</f>
        <v>207.53391976485909</v>
      </c>
      <c r="X22" s="9">
        <f>Table14[[#This Row],[Vorteile Riester
'[absolut']]]/Table14[[#This Row],[Auszahlung Netto (förderschädlich) ]]</f>
        <v>1.394543238385631E-2</v>
      </c>
    </row>
    <row r="23" spans="2:24" x14ac:dyDescent="0.35">
      <c r="B23">
        <v>42</v>
      </c>
      <c r="C23">
        <v>2030</v>
      </c>
      <c r="D23" s="10">
        <v>1218</v>
      </c>
      <c r="E23" s="10">
        <f t="shared" si="2"/>
        <v>13398</v>
      </c>
      <c r="F23" s="10">
        <v>882</v>
      </c>
      <c r="G23" s="10">
        <f t="shared" si="3"/>
        <v>9702</v>
      </c>
      <c r="H23" s="10">
        <v>2100</v>
      </c>
      <c r="I23" s="10">
        <f t="shared" si="0"/>
        <v>25658.372805785591</v>
      </c>
      <c r="J23" s="10">
        <f>Table14[[#This Row],[Guthaben Jahresstart]]+0.5*Table14[[#This Row],[Sparrate]]</f>
        <v>26708.372805785591</v>
      </c>
      <c r="K23" s="10">
        <f>Table14[[#This Row],[Durchschnittliches
Jahresguthaben]]*($J$7-0.001)</f>
        <v>1308.7102674834941</v>
      </c>
      <c r="L23" s="24">
        <v>36</v>
      </c>
      <c r="M23" s="10">
        <f>(Table14[[#This Row],[Durchschnittliches
Jahresguthaben]]+Table14[[#This Row],[Wertsteigerung]]*0.5)*$J$3</f>
        <v>164.17636763716405</v>
      </c>
      <c r="N23" s="10">
        <f>Table14[[#This Row],[Guthaben Jahresstart]]+Table14[[#This Row],[Sparrate]]+Table14[[#This Row],[Wertsteigerung]]-Table14[[#This Row],[Kosten
fix]]-Table14[[#This Row],[Kosten %]]</f>
        <v>28866.906705631922</v>
      </c>
      <c r="O23" s="16">
        <f>Table14[[#This Row],[Guthaben Jahresende (nach Kosten)]]-Table14[[#This Row],[Förderung
kummuliert]]</f>
        <v>19164.906705631922</v>
      </c>
      <c r="P23" s="16">
        <f>Table14[[#This Row],[Summe bei Auszahlung (förderschädlich)]]-Table14[[#This Row],[Einzahlungen
kummuliert]]</f>
        <v>5766.9067056319218</v>
      </c>
      <c r="Q23" s="11">
        <f>Table14[[#This Row],[Summe bei Auszahlung (förderschädlich)]]-Table14[[#This Row],[Gewinn
(Einkommenssteuer)]]*$D$3</f>
        <v>16742.805889266514</v>
      </c>
      <c r="R23" s="25">
        <f t="shared" si="1"/>
        <v>14674.322307590784</v>
      </c>
      <c r="S23" s="29">
        <v>1218</v>
      </c>
      <c r="T23" s="27">
        <f>Table14[[#This Row],[Guthaben
Jahresbeginn]]+0.5*Table14[[#This Row],[Einzahlung]]</f>
        <v>15283.322307590784</v>
      </c>
      <c r="U23" s="27">
        <f>Table14[[#This Row],[Durchschnittliches Jahresguthaben]]*$J$7</f>
        <v>764.16611537953929</v>
      </c>
      <c r="V23" s="28">
        <f>Table14[[#This Row],[Guthaben
Jahresbeginn]]+Table14[[#This Row],[Einzahlung]]+Table14[[#This Row],[Gewinn
(KapErtSt)]]*(1-$J$8)</f>
        <v>16454.939610038971</v>
      </c>
      <c r="W23" s="21">
        <f>Table14[[#This Row],[Auszahlung Netto (förderschädlich) ]]-Table14[[#This Row],[Netto ETF
]]</f>
        <v>287.86627922754269</v>
      </c>
      <c r="X23" s="9">
        <f>Table14[[#This Row],[Vorteile Riester
'[absolut']]]/Table14[[#This Row],[Auszahlung Netto (förderschädlich) ]]</f>
        <v>1.7193431085054157E-2</v>
      </c>
    </row>
    <row r="24" spans="2:24" x14ac:dyDescent="0.35">
      <c r="B24">
        <v>43</v>
      </c>
      <c r="C24">
        <v>2031</v>
      </c>
      <c r="D24" s="10">
        <v>1218</v>
      </c>
      <c r="E24" s="10">
        <f t="shared" si="2"/>
        <v>14616</v>
      </c>
      <c r="F24" s="10">
        <v>882</v>
      </c>
      <c r="G24" s="10">
        <f t="shared" si="3"/>
        <v>10584</v>
      </c>
      <c r="H24" s="10">
        <v>2100</v>
      </c>
      <c r="I24" s="10">
        <f t="shared" si="0"/>
        <v>28866.906705631922</v>
      </c>
      <c r="J24" s="10">
        <f>Table14[[#This Row],[Guthaben Jahresstart]]+0.5*Table14[[#This Row],[Sparrate]]</f>
        <v>29916.906705631922</v>
      </c>
      <c r="K24" s="10">
        <f>Table14[[#This Row],[Durchschnittliches
Jahresguthaben]]*($J$7-0.001)</f>
        <v>1465.9284285759643</v>
      </c>
      <c r="L24" s="24">
        <v>36</v>
      </c>
      <c r="M24" s="10">
        <f>(Table14[[#This Row],[Durchschnittliches
Jahresguthaben]]+Table14[[#This Row],[Wertsteigerung]]*0.5)*$J$3</f>
        <v>183.89922551951943</v>
      </c>
      <c r="N24" s="10">
        <f>Table14[[#This Row],[Guthaben Jahresstart]]+Table14[[#This Row],[Sparrate]]+Table14[[#This Row],[Wertsteigerung]]-Table14[[#This Row],[Kosten
fix]]-Table14[[#This Row],[Kosten %]]</f>
        <v>32212.935908688367</v>
      </c>
      <c r="O24" s="16">
        <f>Table14[[#This Row],[Guthaben Jahresende (nach Kosten)]]-Table14[[#This Row],[Förderung
kummuliert]]</f>
        <v>21628.935908688367</v>
      </c>
      <c r="P24" s="16">
        <f>Table14[[#This Row],[Summe bei Auszahlung (förderschädlich)]]-Table14[[#This Row],[Einzahlungen
kummuliert]]</f>
        <v>7012.9359086883669</v>
      </c>
      <c r="Q24" s="11">
        <f>Table14[[#This Row],[Summe bei Auszahlung (förderschädlich)]]-Table14[[#This Row],[Gewinn
(Einkommenssteuer)]]*$D$3</f>
        <v>18683.502827039254</v>
      </c>
      <c r="R24" s="25">
        <f t="shared" si="1"/>
        <v>16454.939610038971</v>
      </c>
      <c r="S24" s="29">
        <v>1218</v>
      </c>
      <c r="T24" s="27">
        <f>Table14[[#This Row],[Guthaben
Jahresbeginn]]+0.5*Table14[[#This Row],[Einzahlung]]</f>
        <v>17063.939610038971</v>
      </c>
      <c r="U24" s="27">
        <f>Table14[[#This Row],[Durchschnittliches Jahresguthaben]]*$J$7</f>
        <v>853.19698050194859</v>
      </c>
      <c r="V24" s="28">
        <f>Table14[[#This Row],[Guthaben
Jahresbeginn]]+Table14[[#This Row],[Einzahlung]]+Table14[[#This Row],[Gewinn
(KapErtSt)]]*(1-$J$8)</f>
        <v>18301.105886933532</v>
      </c>
      <c r="W24" s="21">
        <f>Table14[[#This Row],[Auszahlung Netto (förderschädlich) ]]-Table14[[#This Row],[Netto ETF
]]</f>
        <v>382.39694010572202</v>
      </c>
      <c r="X24" s="9">
        <f>Table14[[#This Row],[Vorteile Riester
'[absolut']]]/Table14[[#This Row],[Auszahlung Netto (förderschädlich) ]]</f>
        <v>2.046709033342009E-2</v>
      </c>
    </row>
    <row r="25" spans="2:24" x14ac:dyDescent="0.35">
      <c r="B25">
        <v>44</v>
      </c>
      <c r="C25">
        <v>2032</v>
      </c>
      <c r="D25" s="10">
        <v>1218</v>
      </c>
      <c r="E25" s="10">
        <f t="shared" si="2"/>
        <v>15834</v>
      </c>
      <c r="F25" s="10">
        <v>882</v>
      </c>
      <c r="G25" s="10">
        <f t="shared" si="3"/>
        <v>11466</v>
      </c>
      <c r="H25" s="10">
        <v>2100</v>
      </c>
      <c r="I25" s="10">
        <f t="shared" si="0"/>
        <v>32212.935908688367</v>
      </c>
      <c r="J25" s="10">
        <f>Table14[[#This Row],[Guthaben Jahresstart]]+0.5*Table14[[#This Row],[Sparrate]]</f>
        <v>33262.935908688363</v>
      </c>
      <c r="K25" s="10">
        <f>Table14[[#This Row],[Durchschnittliches
Jahresguthaben]]*($J$7-0.001)</f>
        <v>1629.8838595257298</v>
      </c>
      <c r="L25" s="24">
        <v>36</v>
      </c>
      <c r="M25" s="10">
        <f>(Table14[[#This Row],[Durchschnittliches
Jahresguthaben]]+Table14[[#This Row],[Wertsteigerung]]*0.5)*$J$3</f>
        <v>204.46726703070735</v>
      </c>
      <c r="N25" s="10">
        <f>Table14[[#This Row],[Guthaben Jahresstart]]+Table14[[#This Row],[Sparrate]]+Table14[[#This Row],[Wertsteigerung]]-Table14[[#This Row],[Kosten
fix]]-Table14[[#This Row],[Kosten %]]</f>
        <v>35702.352501183392</v>
      </c>
      <c r="O25" s="16">
        <f>Table14[[#This Row],[Guthaben Jahresende (nach Kosten)]]-Table14[[#This Row],[Förderung
kummuliert]]</f>
        <v>24236.352501183392</v>
      </c>
      <c r="P25" s="16">
        <f>Table14[[#This Row],[Summe bei Auszahlung (förderschädlich)]]-Table14[[#This Row],[Einzahlungen
kummuliert]]</f>
        <v>8402.3525011833917</v>
      </c>
      <c r="Q25" s="11">
        <f>Table14[[#This Row],[Summe bei Auszahlung (förderschädlich)]]-Table14[[#This Row],[Gewinn
(Einkommenssteuer)]]*$D$3</f>
        <v>20707.364450686367</v>
      </c>
      <c r="R25" s="25">
        <f t="shared" si="1"/>
        <v>18301.105886933532</v>
      </c>
      <c r="S25" s="29">
        <v>1218</v>
      </c>
      <c r="T25" s="27">
        <f>Table14[[#This Row],[Guthaben
Jahresbeginn]]+0.5*Table14[[#This Row],[Einzahlung]]</f>
        <v>18910.105886933532</v>
      </c>
      <c r="U25" s="27">
        <f>Table14[[#This Row],[Durchschnittliches Jahresguthaben]]*$J$7</f>
        <v>945.50529434667669</v>
      </c>
      <c r="V25" s="28">
        <f>Table14[[#This Row],[Guthaben
Jahresbeginn]]+Table14[[#This Row],[Einzahlung]]+Table14[[#This Row],[Gewinn
(KapErtSt)]]*(1-$J$8)</f>
        <v>20215.234159896274</v>
      </c>
      <c r="W25" s="21">
        <f>Table14[[#This Row],[Auszahlung Netto (förderschädlich) ]]-Table14[[#This Row],[Netto ETF
]]</f>
        <v>492.13029079009357</v>
      </c>
      <c r="X25" s="9">
        <f>Table14[[#This Row],[Vorteile Riester
'[absolut']]]/Table14[[#This Row],[Auszahlung Netto (förderschädlich) ]]</f>
        <v>2.3765954955884374E-2</v>
      </c>
    </row>
    <row r="26" spans="2:24" x14ac:dyDescent="0.35">
      <c r="B26">
        <v>45</v>
      </c>
      <c r="C26">
        <v>2033</v>
      </c>
      <c r="D26" s="10">
        <v>1218</v>
      </c>
      <c r="E26" s="10">
        <f t="shared" si="2"/>
        <v>17052</v>
      </c>
      <c r="F26" s="10">
        <v>882</v>
      </c>
      <c r="G26" s="10">
        <f t="shared" si="3"/>
        <v>12348</v>
      </c>
      <c r="H26" s="10">
        <v>2100</v>
      </c>
      <c r="I26" s="10">
        <f t="shared" si="0"/>
        <v>35702.352501183392</v>
      </c>
      <c r="J26" s="10">
        <f>Table14[[#This Row],[Guthaben Jahresstart]]+0.5*Table14[[#This Row],[Sparrate]]</f>
        <v>36752.352501183392</v>
      </c>
      <c r="K26" s="10">
        <f>Table14[[#This Row],[Durchschnittliches
Jahresguthaben]]*($J$7-0.001)</f>
        <v>1800.8652725579864</v>
      </c>
      <c r="L26" s="24">
        <v>36</v>
      </c>
      <c r="M26" s="10">
        <f>(Table14[[#This Row],[Durchschnittliches
Jahresguthaben]]+Table14[[#This Row],[Wertsteigerung]]*0.5)*$J$3</f>
        <v>225.91671082477433</v>
      </c>
      <c r="N26" s="10">
        <f>Table14[[#This Row],[Guthaben Jahresstart]]+Table14[[#This Row],[Sparrate]]+Table14[[#This Row],[Wertsteigerung]]-Table14[[#This Row],[Kosten
fix]]-Table14[[#This Row],[Kosten %]]</f>
        <v>39341.301062916609</v>
      </c>
      <c r="O26" s="16">
        <f>Table14[[#This Row],[Guthaben Jahresende (nach Kosten)]]-Table14[[#This Row],[Förderung
kummuliert]]</f>
        <v>26993.301062916609</v>
      </c>
      <c r="P26" s="16">
        <f>Table14[[#This Row],[Summe bei Auszahlung (förderschädlich)]]-Table14[[#This Row],[Einzahlungen
kummuliert]]</f>
        <v>9941.3010629166092</v>
      </c>
      <c r="Q26" s="11">
        <f>Table14[[#This Row],[Summe bei Auszahlung (förderschädlich)]]-Table14[[#This Row],[Gewinn
(Einkommenssteuer)]]*$D$3</f>
        <v>22817.954616491632</v>
      </c>
      <c r="R26" s="25">
        <f t="shared" si="1"/>
        <v>20215.234159896274</v>
      </c>
      <c r="S26" s="29">
        <v>1218</v>
      </c>
      <c r="T26" s="27">
        <f>Table14[[#This Row],[Guthaben
Jahresbeginn]]+0.5*Table14[[#This Row],[Einzahlung]]</f>
        <v>20824.234159896274</v>
      </c>
      <c r="U26" s="27">
        <f>Table14[[#This Row],[Durchschnittliches Jahresguthaben]]*$J$7</f>
        <v>1041.2117079948137</v>
      </c>
      <c r="V26" s="28">
        <f>Table14[[#This Row],[Guthaben
Jahresbeginn]]+Table14[[#This Row],[Einzahlung]]+Table14[[#This Row],[Gewinn
(KapErtSt)]]*(1-$J$8)</f>
        <v>22199.826279907455</v>
      </c>
      <c r="W26" s="21">
        <f>Table14[[#This Row],[Auszahlung Netto (förderschädlich) ]]-Table14[[#This Row],[Netto ETF
]]</f>
        <v>618.1283365841773</v>
      </c>
      <c r="X26" s="9">
        <f>Table14[[#This Row],[Vorteile Riester
'[absolut']]]/Table14[[#This Row],[Auszahlung Netto (förderschädlich) ]]</f>
        <v>2.7089559383093272E-2</v>
      </c>
    </row>
    <row r="27" spans="2:24" x14ac:dyDescent="0.35">
      <c r="B27">
        <v>46</v>
      </c>
      <c r="C27">
        <v>2034</v>
      </c>
      <c r="D27" s="10">
        <v>1218</v>
      </c>
      <c r="E27" s="10">
        <f t="shared" si="2"/>
        <v>18270</v>
      </c>
      <c r="F27" s="10">
        <v>882</v>
      </c>
      <c r="G27" s="10">
        <f t="shared" si="3"/>
        <v>13230</v>
      </c>
      <c r="H27" s="10">
        <v>2100</v>
      </c>
      <c r="I27" s="10">
        <f t="shared" si="0"/>
        <v>39341.301062916609</v>
      </c>
      <c r="J27" s="10">
        <f>Table14[[#This Row],[Guthaben Jahresstart]]+0.5*Table14[[#This Row],[Sparrate]]</f>
        <v>40391.301062916609</v>
      </c>
      <c r="K27" s="10">
        <f>Table14[[#This Row],[Durchschnittliches
Jahresguthaben]]*($J$7-0.001)</f>
        <v>1979.173752082914</v>
      </c>
      <c r="L27" s="24">
        <v>36</v>
      </c>
      <c r="M27" s="10">
        <f>(Table14[[#This Row],[Durchschnittliches
Jahresguthaben]]+Table14[[#This Row],[Wertsteigerung]]*0.5)*$J$3</f>
        <v>248.28532763374841</v>
      </c>
      <c r="N27" s="10">
        <f>Table14[[#This Row],[Guthaben Jahresstart]]+Table14[[#This Row],[Sparrate]]+Table14[[#This Row],[Wertsteigerung]]-Table14[[#This Row],[Kosten
fix]]-Table14[[#This Row],[Kosten %]]</f>
        <v>43136.189487365773</v>
      </c>
      <c r="O27" s="16">
        <f>Table14[[#This Row],[Guthaben Jahresende (nach Kosten)]]-Table14[[#This Row],[Förderung
kummuliert]]</f>
        <v>29906.189487365773</v>
      </c>
      <c r="P27" s="16">
        <f>Table14[[#This Row],[Summe bei Auszahlung (förderschädlich)]]-Table14[[#This Row],[Einzahlungen
kummuliert]]</f>
        <v>11636.189487365773</v>
      </c>
      <c r="Q27" s="11">
        <f>Table14[[#This Row],[Summe bei Auszahlung (förderschädlich)]]-Table14[[#This Row],[Gewinn
(Einkommenssteuer)]]*$D$3</f>
        <v>25018.989902672147</v>
      </c>
      <c r="R27" s="25">
        <f t="shared" si="1"/>
        <v>22199.826279907455</v>
      </c>
      <c r="S27" s="29">
        <v>1218</v>
      </c>
      <c r="T27" s="27">
        <f>Table14[[#This Row],[Guthaben
Jahresbeginn]]+0.5*Table14[[#This Row],[Einzahlung]]</f>
        <v>22808.826279907455</v>
      </c>
      <c r="U27" s="27">
        <f>Table14[[#This Row],[Durchschnittliches Jahresguthaben]]*$J$7</f>
        <v>1140.4413139953729</v>
      </c>
      <c r="V27" s="28">
        <f>Table14[[#This Row],[Guthaben
Jahresbeginn]]+Table14[[#This Row],[Einzahlung]]+Table14[[#This Row],[Gewinn
(KapErtSt)]]*(1-$J$8)</f>
        <v>24257.476197336549</v>
      </c>
      <c r="W27" s="21">
        <f>Table14[[#This Row],[Auszahlung Netto (förderschädlich) ]]-Table14[[#This Row],[Netto ETF
]]</f>
        <v>761.51370533559748</v>
      </c>
      <c r="X27" s="9">
        <f>Table14[[#This Row],[Vorteile Riester
'[absolut']]]/Table14[[#This Row],[Auszahlung Netto (förderschädlich) ]]</f>
        <v>3.0437428061564714E-2</v>
      </c>
    </row>
    <row r="28" spans="2:24" x14ac:dyDescent="0.35">
      <c r="B28">
        <v>47</v>
      </c>
      <c r="C28">
        <v>2035</v>
      </c>
      <c r="D28" s="10">
        <v>1218</v>
      </c>
      <c r="E28" s="10">
        <f t="shared" si="2"/>
        <v>19488</v>
      </c>
      <c r="F28" s="10">
        <v>882</v>
      </c>
      <c r="G28" s="10">
        <f t="shared" si="3"/>
        <v>14112</v>
      </c>
      <c r="H28" s="10">
        <v>2100</v>
      </c>
      <c r="I28" s="10">
        <f t="shared" si="0"/>
        <v>43136.189487365773</v>
      </c>
      <c r="J28" s="10">
        <f>Table14[[#This Row],[Guthaben Jahresstart]]+0.5*Table14[[#This Row],[Sparrate]]</f>
        <v>44186.189487365773</v>
      </c>
      <c r="K28" s="10">
        <f>Table14[[#This Row],[Durchschnittliches
Jahresguthaben]]*($J$7-0.001)</f>
        <v>2165.1232848809232</v>
      </c>
      <c r="L28" s="24">
        <v>36</v>
      </c>
      <c r="M28" s="10">
        <f>(Table14[[#This Row],[Durchschnittliches
Jahresguthaben]]+Table14[[#This Row],[Wertsteigerung]]*0.5)*$J$3</f>
        <v>271.61250677883737</v>
      </c>
      <c r="N28" s="10">
        <f>Table14[[#This Row],[Guthaben Jahresstart]]+Table14[[#This Row],[Sparrate]]+Table14[[#This Row],[Wertsteigerung]]-Table14[[#This Row],[Kosten
fix]]-Table14[[#This Row],[Kosten %]]</f>
        <v>47093.700265467858</v>
      </c>
      <c r="O28" s="16">
        <f>Table14[[#This Row],[Guthaben Jahresende (nach Kosten)]]-Table14[[#This Row],[Förderung
kummuliert]]</f>
        <v>32981.700265467858</v>
      </c>
      <c r="P28" s="16">
        <f>Table14[[#This Row],[Summe bei Auszahlung (förderschädlich)]]-Table14[[#This Row],[Einzahlungen
kummuliert]]</f>
        <v>13493.700265467858</v>
      </c>
      <c r="Q28" s="11">
        <f>Table14[[#This Row],[Summe bei Auszahlung (förderschädlich)]]-Table14[[#This Row],[Gewinn
(Einkommenssteuer)]]*$D$3</f>
        <v>27314.346153971357</v>
      </c>
      <c r="R28" s="25">
        <f t="shared" si="1"/>
        <v>24257.476197336549</v>
      </c>
      <c r="S28" s="29">
        <v>1218</v>
      </c>
      <c r="T28" s="27">
        <f>Table14[[#This Row],[Guthaben
Jahresbeginn]]+0.5*Table14[[#This Row],[Einzahlung]]</f>
        <v>24866.476197336549</v>
      </c>
      <c r="U28" s="27">
        <f>Table14[[#This Row],[Durchschnittliches Jahresguthaben]]*$J$7</f>
        <v>1243.3238098668276</v>
      </c>
      <c r="V28" s="28">
        <f>Table14[[#This Row],[Guthaben
Jahresbeginn]]+Table14[[#This Row],[Einzahlung]]+Table14[[#This Row],[Gewinn
(KapErtSt)]]*(1-$J$8)</f>
        <v>26390.873352351002</v>
      </c>
      <c r="W28" s="21">
        <f>Table14[[#This Row],[Auszahlung Netto (förderschädlich) ]]-Table14[[#This Row],[Netto ETF
]]</f>
        <v>923.47280162035531</v>
      </c>
      <c r="X28" s="9">
        <f>Table14[[#This Row],[Vorteile Riester
'[absolut']]]/Table14[[#This Row],[Auszahlung Netto (förderschädlich) ]]</f>
        <v>3.3809075875905141E-2</v>
      </c>
    </row>
    <row r="29" spans="2:24" x14ac:dyDescent="0.35">
      <c r="B29">
        <v>48</v>
      </c>
      <c r="C29">
        <v>2036</v>
      </c>
      <c r="D29" s="10">
        <v>1218</v>
      </c>
      <c r="E29" s="10">
        <f t="shared" si="2"/>
        <v>20706</v>
      </c>
      <c r="F29" s="10">
        <v>882</v>
      </c>
      <c r="G29" s="10">
        <f t="shared" si="3"/>
        <v>14994</v>
      </c>
      <c r="H29" s="10">
        <v>2100</v>
      </c>
      <c r="I29" s="10">
        <f t="shared" si="0"/>
        <v>47093.700265467858</v>
      </c>
      <c r="J29" s="10">
        <f>Table14[[#This Row],[Guthaben Jahresstart]]+0.5*Table14[[#This Row],[Sparrate]]</f>
        <v>48143.700265467858</v>
      </c>
      <c r="K29" s="10">
        <f>Table14[[#This Row],[Durchschnittliches
Jahresguthaben]]*($J$7-0.001)</f>
        <v>2359.0413130079251</v>
      </c>
      <c r="L29" s="24">
        <v>36</v>
      </c>
      <c r="M29" s="10">
        <f>(Table14[[#This Row],[Durchschnittliches
Jahresguthaben]]+Table14[[#This Row],[Wertsteigerung]]*0.5)*$J$3</f>
        <v>295.93932553183095</v>
      </c>
      <c r="N29" s="10">
        <f>Table14[[#This Row],[Guthaben Jahresstart]]+Table14[[#This Row],[Sparrate]]+Table14[[#This Row],[Wertsteigerung]]-Table14[[#This Row],[Kosten
fix]]-Table14[[#This Row],[Kosten %]]</f>
        <v>51220.802252943955</v>
      </c>
      <c r="O29" s="16">
        <f>Table14[[#This Row],[Guthaben Jahresende (nach Kosten)]]-Table14[[#This Row],[Förderung
kummuliert]]</f>
        <v>36226.802252943955</v>
      </c>
      <c r="P29" s="16">
        <f>Table14[[#This Row],[Summe bei Auszahlung (förderschädlich)]]-Table14[[#This Row],[Einzahlungen
kummuliert]]</f>
        <v>15520.802252943955</v>
      </c>
      <c r="Q29" s="11">
        <f>Table14[[#This Row],[Summe bei Auszahlung (förderschädlich)]]-Table14[[#This Row],[Gewinn
(Einkommenssteuer)]]*$D$3</f>
        <v>29708.065306707496</v>
      </c>
      <c r="R29" s="25">
        <f t="shared" si="1"/>
        <v>26390.873352351002</v>
      </c>
      <c r="S29" s="29">
        <v>1218</v>
      </c>
      <c r="T29" s="27">
        <f>Table14[[#This Row],[Guthaben
Jahresbeginn]]+0.5*Table14[[#This Row],[Einzahlung]]</f>
        <v>26999.873352351002</v>
      </c>
      <c r="U29" s="27">
        <f>Table14[[#This Row],[Durchschnittliches Jahresguthaben]]*$J$7</f>
        <v>1349.9936676175503</v>
      </c>
      <c r="V29" s="28">
        <f>Table14[[#This Row],[Guthaben
Jahresbeginn]]+Table14[[#This Row],[Einzahlung]]+Table14[[#This Row],[Gewinn
(KapErtSt)]]*(1-$J$8)</f>
        <v>28602.806190134423</v>
      </c>
      <c r="W29" s="21">
        <f>Table14[[#This Row],[Auszahlung Netto (förderschädlich) ]]-Table14[[#This Row],[Netto ETF
]]</f>
        <v>1105.2591165730737</v>
      </c>
      <c r="X29" s="9">
        <f>Table14[[#This Row],[Vorteile Riester
'[absolut']]]/Table14[[#This Row],[Auszahlung Netto (förderschädlich) ]]</f>
        <v>3.7204008580239922E-2</v>
      </c>
    </row>
    <row r="30" spans="2:24" x14ac:dyDescent="0.35">
      <c r="B30">
        <v>49</v>
      </c>
      <c r="C30">
        <v>2037</v>
      </c>
      <c r="D30" s="10">
        <v>1218</v>
      </c>
      <c r="E30" s="10">
        <f t="shared" si="2"/>
        <v>21924</v>
      </c>
      <c r="F30" s="10">
        <v>882</v>
      </c>
      <c r="G30" s="10">
        <f t="shared" si="3"/>
        <v>15876</v>
      </c>
      <c r="H30" s="10">
        <v>2100</v>
      </c>
      <c r="I30" s="10">
        <f t="shared" si="0"/>
        <v>51220.802252943955</v>
      </c>
      <c r="J30" s="10">
        <f>Table14[[#This Row],[Guthaben Jahresstart]]+0.5*Table14[[#This Row],[Sparrate]]</f>
        <v>52270.802252943955</v>
      </c>
      <c r="K30" s="10">
        <f>Table14[[#This Row],[Durchschnittliches
Jahresguthaben]]*($J$7-0.001)</f>
        <v>2561.2693103942538</v>
      </c>
      <c r="L30" s="24">
        <v>36</v>
      </c>
      <c r="M30" s="10">
        <f>(Table14[[#This Row],[Durchschnittliches
Jahresguthaben]]+Table14[[#This Row],[Wertsteigerung]]*0.5)*$J$3</f>
        <v>321.30862144884651</v>
      </c>
      <c r="N30" s="10">
        <f>Table14[[#This Row],[Guthaben Jahresstart]]+Table14[[#This Row],[Sparrate]]+Table14[[#This Row],[Wertsteigerung]]-Table14[[#This Row],[Kosten
fix]]-Table14[[#This Row],[Kosten %]]</f>
        <v>55524.762941889363</v>
      </c>
      <c r="O30" s="16">
        <f>Table14[[#This Row],[Guthaben Jahresende (nach Kosten)]]-Table14[[#This Row],[Förderung
kummuliert]]</f>
        <v>39648.762941889363</v>
      </c>
      <c r="P30" s="16">
        <f>Table14[[#This Row],[Summe bei Auszahlung (förderschädlich)]]-Table14[[#This Row],[Einzahlungen
kummuliert]]</f>
        <v>17724.762941889363</v>
      </c>
      <c r="Q30" s="11">
        <f>Table14[[#This Row],[Summe bei Auszahlung (förderschädlich)]]-Table14[[#This Row],[Gewinn
(Einkommenssteuer)]]*$D$3</f>
        <v>32204.362506295831</v>
      </c>
      <c r="R30" s="25">
        <f t="shared" si="1"/>
        <v>28602.806190134423</v>
      </c>
      <c r="S30" s="29">
        <v>1218</v>
      </c>
      <c r="T30" s="27">
        <f>Table14[[#This Row],[Guthaben
Jahresbeginn]]+0.5*Table14[[#This Row],[Einzahlung]]</f>
        <v>29211.806190134423</v>
      </c>
      <c r="U30" s="27">
        <f>Table14[[#This Row],[Durchschnittliches Jahresguthaben]]*$J$7</f>
        <v>1460.5903095067213</v>
      </c>
      <c r="V30" s="28">
        <f>Table14[[#This Row],[Guthaben
Jahresbeginn]]+Table14[[#This Row],[Einzahlung]]+Table14[[#This Row],[Gewinn
(KapErtSt)]]*(1-$J$8)</f>
        <v>30896.165805508746</v>
      </c>
      <c r="W30" s="21">
        <f>Table14[[#This Row],[Auszahlung Netto (förderschädlich) ]]-Table14[[#This Row],[Netto ETF
]]</f>
        <v>1308.1967007870844</v>
      </c>
      <c r="X30" s="9">
        <f>Table14[[#This Row],[Vorteile Riester
'[absolut']]]/Table14[[#This Row],[Auszahlung Netto (förderschädlich) ]]</f>
        <v>4.0621723238003449E-2</v>
      </c>
    </row>
    <row r="31" spans="2:24" x14ac:dyDescent="0.35">
      <c r="B31">
        <v>50</v>
      </c>
      <c r="C31">
        <v>2038</v>
      </c>
      <c r="D31" s="10">
        <v>1218</v>
      </c>
      <c r="E31" s="10">
        <f t="shared" si="2"/>
        <v>23142</v>
      </c>
      <c r="F31" s="10">
        <v>882</v>
      </c>
      <c r="G31" s="10">
        <f t="shared" si="3"/>
        <v>16758</v>
      </c>
      <c r="H31" s="10">
        <v>2100</v>
      </c>
      <c r="I31" s="10">
        <f t="shared" si="0"/>
        <v>55524.762941889363</v>
      </c>
      <c r="J31" s="10">
        <f>Table14[[#This Row],[Guthaben Jahresstart]]+0.5*Table14[[#This Row],[Sparrate]]</f>
        <v>56574.762941889363</v>
      </c>
      <c r="K31" s="10">
        <f>Table14[[#This Row],[Durchschnittliches
Jahresguthaben]]*($J$7-0.001)</f>
        <v>2772.1633841525791</v>
      </c>
      <c r="L31" s="24">
        <v>36</v>
      </c>
      <c r="M31" s="10">
        <f>(Table14[[#This Row],[Durchschnittliches
Jahresguthaben]]+Table14[[#This Row],[Wertsteigerung]]*0.5)*$J$3</f>
        <v>347.7650678037939</v>
      </c>
      <c r="N31" s="10">
        <f>Table14[[#This Row],[Guthaben Jahresstart]]+Table14[[#This Row],[Sparrate]]+Table14[[#This Row],[Wertsteigerung]]-Table14[[#This Row],[Kosten
fix]]-Table14[[#This Row],[Kosten %]]</f>
        <v>60013.161258238142</v>
      </c>
      <c r="O31" s="16">
        <f>Table14[[#This Row],[Guthaben Jahresende (nach Kosten)]]-Table14[[#This Row],[Förderung
kummuliert]]</f>
        <v>43255.161258238142</v>
      </c>
      <c r="P31" s="16">
        <f>Table14[[#This Row],[Summe bei Auszahlung (förderschädlich)]]-Table14[[#This Row],[Einzahlungen
kummuliert]]</f>
        <v>20113.161258238142</v>
      </c>
      <c r="Q31" s="11">
        <f>Table14[[#This Row],[Summe bei Auszahlung (förderschädlich)]]-Table14[[#This Row],[Gewinn
(Einkommenssteuer)]]*$D$3</f>
        <v>34807.633529778119</v>
      </c>
      <c r="R31" s="25">
        <f t="shared" si="1"/>
        <v>30896.165805508746</v>
      </c>
      <c r="S31" s="29">
        <v>1218</v>
      </c>
      <c r="T31" s="27">
        <f>Table14[[#This Row],[Guthaben
Jahresbeginn]]+0.5*Table14[[#This Row],[Einzahlung]]</f>
        <v>31505.165805508746</v>
      </c>
      <c r="U31" s="27">
        <f>Table14[[#This Row],[Durchschnittliches Jahresguthaben]]*$J$7</f>
        <v>1575.2582902754375</v>
      </c>
      <c r="V31" s="28">
        <f>Table14[[#This Row],[Guthaben
Jahresbeginn]]+Table14[[#This Row],[Einzahlung]]+Table14[[#This Row],[Gewinn
(KapErtSt)]]*(1-$J$8)</f>
        <v>33273.949721724035</v>
      </c>
      <c r="W31" s="21">
        <f>Table14[[#This Row],[Auszahlung Netto (förderschädlich) ]]-Table14[[#This Row],[Netto ETF
]]</f>
        <v>1533.6838080540838</v>
      </c>
      <c r="X31" s="9">
        <f>Table14[[#This Row],[Vorteile Riester
'[absolut']]]/Table14[[#This Row],[Auszahlung Netto (förderschädlich) ]]</f>
        <v>4.406170866922076E-2</v>
      </c>
    </row>
    <row r="32" spans="2:24" x14ac:dyDescent="0.35">
      <c r="B32">
        <v>51</v>
      </c>
      <c r="C32">
        <v>2039</v>
      </c>
      <c r="D32" s="10">
        <v>1218</v>
      </c>
      <c r="E32" s="10">
        <f t="shared" si="2"/>
        <v>24360</v>
      </c>
      <c r="F32" s="10">
        <v>882</v>
      </c>
      <c r="G32" s="10">
        <f t="shared" si="3"/>
        <v>17640</v>
      </c>
      <c r="H32" s="10">
        <v>2100</v>
      </c>
      <c r="I32" s="10">
        <f t="shared" si="0"/>
        <v>60013.161258238142</v>
      </c>
      <c r="J32" s="10">
        <f>Table14[[#This Row],[Guthaben Jahresstart]]+0.5*Table14[[#This Row],[Sparrate]]</f>
        <v>61063.161258238142</v>
      </c>
      <c r="K32" s="10">
        <f>Table14[[#This Row],[Durchschnittliches
Jahresguthaben]]*($J$7-0.001)</f>
        <v>2992.0949016536692</v>
      </c>
      <c r="L32" s="24">
        <v>36</v>
      </c>
      <c r="M32" s="10">
        <f>(Table14[[#This Row],[Durchschnittliches
Jahresguthaben]]+Table14[[#This Row],[Wertsteigerung]]*0.5)*$J$3</f>
        <v>375.35525225438988</v>
      </c>
      <c r="N32" s="10">
        <f>Table14[[#This Row],[Guthaben Jahresstart]]+Table14[[#This Row],[Sparrate]]+Table14[[#This Row],[Wertsteigerung]]-Table14[[#This Row],[Kosten
fix]]-Table14[[#This Row],[Kosten %]]</f>
        <v>64693.90090763742</v>
      </c>
      <c r="O32" s="16">
        <f>Table14[[#This Row],[Guthaben Jahresende (nach Kosten)]]-Table14[[#This Row],[Förderung
kummuliert]]</f>
        <v>47053.90090763742</v>
      </c>
      <c r="P32" s="16">
        <f>Table14[[#This Row],[Summe bei Auszahlung (förderschädlich)]]-Table14[[#This Row],[Einzahlungen
kummuliert]]</f>
        <v>22693.90090763742</v>
      </c>
      <c r="Q32" s="11">
        <f>Table14[[#This Row],[Summe bei Auszahlung (förderschädlich)]]-Table14[[#This Row],[Gewinn
(Einkommenssteuer)]]*$D$3</f>
        <v>37522.462526429706</v>
      </c>
      <c r="R32" s="25">
        <f t="shared" si="1"/>
        <v>33273.949721724035</v>
      </c>
      <c r="S32" s="29">
        <v>1218</v>
      </c>
      <c r="T32" s="27">
        <f>Table14[[#This Row],[Guthaben
Jahresbeginn]]+0.5*Table14[[#This Row],[Einzahlung]]</f>
        <v>33882.949721724035</v>
      </c>
      <c r="U32" s="27">
        <f>Table14[[#This Row],[Durchschnittliches Jahresguthaben]]*$J$7</f>
        <v>1694.1474860862018</v>
      </c>
      <c r="V32" s="28">
        <f>Table14[[#This Row],[Guthaben
Jahresbeginn]]+Table14[[#This Row],[Einzahlung]]+Table14[[#This Row],[Gewinn
(KapErtSt)]]*(1-$J$8)</f>
        <v>35739.265808354998</v>
      </c>
      <c r="W32" s="21">
        <f>Table14[[#This Row],[Auszahlung Netto (förderschädlich) ]]-Table14[[#This Row],[Netto ETF
]]</f>
        <v>1783.1967180747088</v>
      </c>
      <c r="X32" s="9">
        <f>Table14[[#This Row],[Vorteile Riester
'[absolut']]]/Table14[[#This Row],[Auszahlung Netto (förderschädlich) ]]</f>
        <v>4.7523445904401343E-2</v>
      </c>
    </row>
    <row r="33" spans="2:24" x14ac:dyDescent="0.35">
      <c r="B33">
        <v>52</v>
      </c>
      <c r="C33">
        <v>2040</v>
      </c>
      <c r="D33" s="10">
        <v>1218</v>
      </c>
      <c r="E33" s="10">
        <f t="shared" si="2"/>
        <v>25578</v>
      </c>
      <c r="F33" s="10">
        <v>882</v>
      </c>
      <c r="G33" s="10">
        <f t="shared" si="3"/>
        <v>18522</v>
      </c>
      <c r="H33" s="10">
        <v>2100</v>
      </c>
      <c r="I33" s="10">
        <f t="shared" si="0"/>
        <v>64693.90090763742</v>
      </c>
      <c r="J33" s="10">
        <f>Table14[[#This Row],[Guthaben Jahresstart]]+0.5*Table14[[#This Row],[Sparrate]]</f>
        <v>65743.90090763742</v>
      </c>
      <c r="K33" s="10">
        <f>Table14[[#This Row],[Durchschnittliches
Jahresguthaben]]*($J$7-0.001)</f>
        <v>3221.4511444742338</v>
      </c>
      <c r="L33" s="24">
        <v>36</v>
      </c>
      <c r="M33" s="10">
        <f>(Table14[[#This Row],[Durchschnittliches
Jahresguthaben]]+Table14[[#This Row],[Wertsteigerung]]*0.5)*$J$3</f>
        <v>404.12775887924727</v>
      </c>
      <c r="N33" s="10">
        <f>Table14[[#This Row],[Guthaben Jahresstart]]+Table14[[#This Row],[Sparrate]]+Table14[[#This Row],[Wertsteigerung]]-Table14[[#This Row],[Kosten
fix]]-Table14[[#This Row],[Kosten %]]</f>
        <v>69575.224293232415</v>
      </c>
      <c r="O33" s="16">
        <f>Table14[[#This Row],[Guthaben Jahresende (nach Kosten)]]-Table14[[#This Row],[Förderung
kummuliert]]</f>
        <v>51053.224293232415</v>
      </c>
      <c r="P33" s="16">
        <f>Table14[[#This Row],[Summe bei Auszahlung (förderschädlich)]]-Table14[[#This Row],[Einzahlungen
kummuliert]]</f>
        <v>25475.224293232415</v>
      </c>
      <c r="Q33" s="11">
        <f>Table14[[#This Row],[Summe bei Auszahlung (förderschädlich)]]-Table14[[#This Row],[Gewinn
(Einkommenssteuer)]]*$D$3</f>
        <v>40353.630090074803</v>
      </c>
      <c r="R33" s="25">
        <f t="shared" si="1"/>
        <v>35739.265808354998</v>
      </c>
      <c r="S33" s="29">
        <v>1218</v>
      </c>
      <c r="T33" s="27">
        <f>Table14[[#This Row],[Guthaben
Jahresbeginn]]+0.5*Table14[[#This Row],[Einzahlung]]</f>
        <v>36348.265808354998</v>
      </c>
      <c r="U33" s="27">
        <f>Table14[[#This Row],[Durchschnittliches Jahresguthaben]]*$J$7</f>
        <v>1817.41329041775</v>
      </c>
      <c r="V33" s="28">
        <f>Table14[[#This Row],[Guthaben
Jahresbeginn]]+Table14[[#This Row],[Einzahlung]]+Table14[[#This Row],[Gewinn
(KapErtSt)]]*(1-$J$8)</f>
        <v>38295.336343425064</v>
      </c>
      <c r="W33" s="21">
        <f>Table14[[#This Row],[Auszahlung Netto (förderschädlich) ]]-Table14[[#This Row],[Netto ETF
]]</f>
        <v>2058.2937466497388</v>
      </c>
      <c r="X33" s="9">
        <f>Table14[[#This Row],[Vorteile Riester
'[absolut']]]/Table14[[#This Row],[Auszahlung Netto (förderschädlich) ]]</f>
        <v>5.1006408644162782E-2</v>
      </c>
    </row>
    <row r="34" spans="2:24" x14ac:dyDescent="0.35">
      <c r="B34">
        <v>53</v>
      </c>
      <c r="C34">
        <v>2041</v>
      </c>
      <c r="D34" s="10">
        <v>1218</v>
      </c>
      <c r="E34" s="10">
        <f t="shared" si="2"/>
        <v>26796</v>
      </c>
      <c r="F34" s="10">
        <v>882</v>
      </c>
      <c r="G34" s="10">
        <f t="shared" si="3"/>
        <v>19404</v>
      </c>
      <c r="H34" s="10">
        <v>2100</v>
      </c>
      <c r="I34" s="10">
        <f t="shared" si="0"/>
        <v>69575.224293232415</v>
      </c>
      <c r="J34" s="10">
        <f>Table14[[#This Row],[Guthaben Jahresstart]]+0.5*Table14[[#This Row],[Sparrate]]</f>
        <v>70625.224293232415</v>
      </c>
      <c r="K34" s="10">
        <f>Table14[[#This Row],[Durchschnittliches
Jahresguthaben]]*($J$7-0.001)</f>
        <v>3460.6359903683883</v>
      </c>
      <c r="L34" s="24">
        <v>36</v>
      </c>
      <c r="M34" s="10">
        <f>(Table14[[#This Row],[Durchschnittliches
Jahresguthaben]]+Table14[[#This Row],[Wertsteigerung]]*0.5)*$J$3</f>
        <v>434.13325373049963</v>
      </c>
      <c r="N34" s="10">
        <f>Table14[[#This Row],[Guthaben Jahresstart]]+Table14[[#This Row],[Sparrate]]+Table14[[#This Row],[Wertsteigerung]]-Table14[[#This Row],[Kosten
fix]]-Table14[[#This Row],[Kosten %]]</f>
        <v>74665.727029870308</v>
      </c>
      <c r="O34" s="16">
        <f>Table14[[#This Row],[Guthaben Jahresende (nach Kosten)]]-Table14[[#This Row],[Förderung
kummuliert]]</f>
        <v>55261.727029870308</v>
      </c>
      <c r="P34" s="16">
        <f>Table14[[#This Row],[Summe bei Auszahlung (förderschädlich)]]-Table14[[#This Row],[Einzahlungen
kummuliert]]</f>
        <v>28465.727029870308</v>
      </c>
      <c r="Q34" s="11">
        <f>Table14[[#This Row],[Summe bei Auszahlung (förderschädlich)]]-Table14[[#This Row],[Gewinn
(Einkommenssteuer)]]*$D$3</f>
        <v>43306.12167732478</v>
      </c>
      <c r="R34" s="25">
        <f t="shared" si="1"/>
        <v>38295.336343425064</v>
      </c>
      <c r="S34" s="29">
        <v>1218</v>
      </c>
      <c r="T34" s="27">
        <f>Table14[[#This Row],[Guthaben
Jahresbeginn]]+0.5*Table14[[#This Row],[Einzahlung]]</f>
        <v>38904.336343425064</v>
      </c>
      <c r="U34" s="27">
        <f>Table14[[#This Row],[Durchschnittliches Jahresguthaben]]*$J$7</f>
        <v>1945.2168171712533</v>
      </c>
      <c r="V34" s="28">
        <f>Table14[[#This Row],[Guthaben
Jahresbeginn]]+Table14[[#This Row],[Einzahlung]]+Table14[[#This Row],[Gewinn
(KapErtSt)]]*(1-$J$8)</f>
        <v>40945.502225067401</v>
      </c>
      <c r="W34" s="21">
        <f>Table14[[#This Row],[Auszahlung Netto (förderschädlich) ]]-Table14[[#This Row],[Netto ETF
]]</f>
        <v>2360.6194522573787</v>
      </c>
      <c r="X34" s="9">
        <f>Table14[[#This Row],[Vorteile Riester
'[absolut']]]/Table14[[#This Row],[Auszahlung Netto (förderschädlich) ]]</f>
        <v>5.451006372370229E-2</v>
      </c>
    </row>
    <row r="35" spans="2:24" x14ac:dyDescent="0.35">
      <c r="B35">
        <v>54</v>
      </c>
      <c r="C35">
        <v>2042</v>
      </c>
      <c r="D35" s="10">
        <v>1218</v>
      </c>
      <c r="E35" s="10">
        <f t="shared" si="2"/>
        <v>28014</v>
      </c>
      <c r="F35" s="10">
        <v>882</v>
      </c>
      <c r="G35" s="10">
        <f t="shared" si="3"/>
        <v>20286</v>
      </c>
      <c r="H35" s="10">
        <v>2100</v>
      </c>
      <c r="I35" s="10">
        <f t="shared" si="0"/>
        <v>74665.727029870308</v>
      </c>
      <c r="J35" s="10">
        <f>Table14[[#This Row],[Guthaben Jahresstart]]+0.5*Table14[[#This Row],[Sparrate]]</f>
        <v>75715.727029870308</v>
      </c>
      <c r="K35" s="10">
        <f>Table14[[#This Row],[Durchschnittliches
Jahresguthaben]]*($J$7-0.001)</f>
        <v>3710.0706244636453</v>
      </c>
      <c r="L35" s="24">
        <v>36</v>
      </c>
      <c r="M35" s="10">
        <f>(Table14[[#This Row],[Durchschnittliches
Jahresguthaben]]+Table14[[#This Row],[Wertsteigerung]]*0.5)*$J$3</f>
        <v>465.4245740526128</v>
      </c>
      <c r="N35" s="10">
        <f>Table14[[#This Row],[Guthaben Jahresstart]]+Table14[[#This Row],[Sparrate]]+Table14[[#This Row],[Wertsteigerung]]-Table14[[#This Row],[Kosten
fix]]-Table14[[#This Row],[Kosten %]]</f>
        <v>79974.373080281337</v>
      </c>
      <c r="O35" s="16">
        <f>Table14[[#This Row],[Guthaben Jahresende (nach Kosten)]]-Table14[[#This Row],[Förderung
kummuliert]]</f>
        <v>59688.373080281337</v>
      </c>
      <c r="P35" s="16">
        <f>Table14[[#This Row],[Summe bei Auszahlung (förderschädlich)]]-Table14[[#This Row],[Einzahlungen
kummuliert]]</f>
        <v>31674.373080281337</v>
      </c>
      <c r="Q35" s="11">
        <f>Table14[[#This Row],[Summe bei Auszahlung (förderschädlich)]]-Table14[[#This Row],[Gewinn
(Einkommenssteuer)]]*$D$3</f>
        <v>46385.136386563172</v>
      </c>
      <c r="R35" s="25">
        <f t="shared" si="1"/>
        <v>40945.502225067401</v>
      </c>
      <c r="S35" s="29">
        <v>1218</v>
      </c>
      <c r="T35" s="27">
        <f>Table14[[#This Row],[Guthaben
Jahresbeginn]]+0.5*Table14[[#This Row],[Einzahlung]]</f>
        <v>41554.502225067401</v>
      </c>
      <c r="U35" s="27">
        <f>Table14[[#This Row],[Durchschnittliches Jahresguthaben]]*$J$7</f>
        <v>2077.72511125337</v>
      </c>
      <c r="V35" s="28">
        <f>Table14[[#This Row],[Guthaben
Jahresbeginn]]+Table14[[#This Row],[Einzahlung]]+Table14[[#This Row],[Gewinn
(KapErtSt)]]*(1-$J$8)</f>
        <v>43693.227338227698</v>
      </c>
      <c r="W35" s="21">
        <f>Table14[[#This Row],[Auszahlung Netto (förderschädlich) ]]-Table14[[#This Row],[Netto ETF
]]</f>
        <v>2691.9090483354739</v>
      </c>
      <c r="X35" s="9">
        <f>Table14[[#This Row],[Vorteile Riester
'[absolut']]]/Table14[[#This Row],[Auszahlung Netto (förderschädlich) ]]</f>
        <v>5.803387158122629E-2</v>
      </c>
    </row>
    <row r="36" spans="2:24" x14ac:dyDescent="0.35">
      <c r="B36">
        <v>55</v>
      </c>
      <c r="C36">
        <v>2043</v>
      </c>
      <c r="D36" s="10">
        <v>1218</v>
      </c>
      <c r="E36" s="10">
        <f t="shared" si="2"/>
        <v>29232</v>
      </c>
      <c r="F36" s="10">
        <v>882</v>
      </c>
      <c r="G36" s="10">
        <f t="shared" si="3"/>
        <v>21168</v>
      </c>
      <c r="H36" s="10">
        <v>2100</v>
      </c>
      <c r="I36" s="10">
        <f t="shared" si="0"/>
        <v>79974.373080281337</v>
      </c>
      <c r="J36" s="10">
        <f>Table14[[#This Row],[Guthaben Jahresstart]]+0.5*Table14[[#This Row],[Sparrate]]</f>
        <v>81024.373080281337</v>
      </c>
      <c r="K36" s="10">
        <f>Table14[[#This Row],[Durchschnittliches
Jahresguthaben]]*($J$7-0.001)</f>
        <v>3970.1942809337856</v>
      </c>
      <c r="L36" s="24">
        <v>36</v>
      </c>
      <c r="M36" s="10">
        <f>(Table14[[#This Row],[Durchschnittliches
Jahresguthaben]]+Table14[[#This Row],[Wertsteigerung]]*0.5)*$J$3</f>
        <v>498.05682132448942</v>
      </c>
      <c r="N36" s="10">
        <f>Table14[[#This Row],[Guthaben Jahresstart]]+Table14[[#This Row],[Sparrate]]+Table14[[#This Row],[Wertsteigerung]]-Table14[[#This Row],[Kosten
fix]]-Table14[[#This Row],[Kosten %]]</f>
        <v>85510.510539890645</v>
      </c>
      <c r="O36" s="16">
        <f>Table14[[#This Row],[Guthaben Jahresende (nach Kosten)]]-Table14[[#This Row],[Förderung
kummuliert]]</f>
        <v>64342.510539890645</v>
      </c>
      <c r="P36" s="16">
        <f>Table14[[#This Row],[Summe bei Auszahlung (förderschädlich)]]-Table14[[#This Row],[Einzahlungen
kummuliert]]</f>
        <v>35110.510539890645</v>
      </c>
      <c r="Q36" s="11">
        <f>Table14[[#This Row],[Summe bei Auszahlung (förderschädlich)]]-Table14[[#This Row],[Gewinn
(Einkommenssteuer)]]*$D$3</f>
        <v>49596.096113136577</v>
      </c>
      <c r="R36" s="25">
        <f t="shared" si="1"/>
        <v>43693.227338227698</v>
      </c>
      <c r="S36" s="29">
        <v>1218</v>
      </c>
      <c r="T36" s="27">
        <f>Table14[[#This Row],[Guthaben
Jahresbeginn]]+0.5*Table14[[#This Row],[Einzahlung]]</f>
        <v>44302.227338227698</v>
      </c>
      <c r="U36" s="27">
        <f>Table14[[#This Row],[Durchschnittliches Jahresguthaben]]*$J$7</f>
        <v>2215.1113669113852</v>
      </c>
      <c r="V36" s="28">
        <f>Table14[[#This Row],[Guthaben
Jahresbeginn]]+Table14[[#This Row],[Einzahlung]]+Table14[[#This Row],[Gewinn
(KapErtSt)]]*(1-$J$8)</f>
        <v>46542.103082116206</v>
      </c>
      <c r="W36" s="21">
        <f>Table14[[#This Row],[Auszahlung Netto (förderschädlich) ]]-Table14[[#This Row],[Netto ETF
]]</f>
        <v>3053.9930310203708</v>
      </c>
      <c r="X36" s="9">
        <f>Table14[[#This Row],[Vorteile Riester
'[absolut']]]/Table14[[#This Row],[Auszahlung Netto (förderschädlich) ]]</f>
        <v>6.1577286729458051E-2</v>
      </c>
    </row>
    <row r="37" spans="2:24" x14ac:dyDescent="0.35">
      <c r="B37">
        <v>56</v>
      </c>
      <c r="C37">
        <v>2044</v>
      </c>
      <c r="D37" s="10">
        <v>1218</v>
      </c>
      <c r="E37" s="10">
        <f t="shared" si="2"/>
        <v>30450</v>
      </c>
      <c r="F37" s="10">
        <v>882</v>
      </c>
      <c r="G37" s="10">
        <f t="shared" si="3"/>
        <v>22050</v>
      </c>
      <c r="H37" s="10">
        <v>2100</v>
      </c>
      <c r="I37" s="10">
        <f t="shared" si="0"/>
        <v>85510.510539890645</v>
      </c>
      <c r="J37" s="10">
        <f>Table14[[#This Row],[Guthaben Jahresstart]]+0.5*Table14[[#This Row],[Sparrate]]</f>
        <v>86560.510539890645</v>
      </c>
      <c r="K37" s="10">
        <f>Table14[[#This Row],[Durchschnittliches
Jahresguthaben]]*($J$7-0.001)</f>
        <v>4241.465016454642</v>
      </c>
      <c r="L37" s="24">
        <v>36</v>
      </c>
      <c r="M37" s="10">
        <f>(Table14[[#This Row],[Durchschnittliches
Jahresguthaben]]+Table14[[#This Row],[Wertsteigerung]]*0.5)*$J$3</f>
        <v>532.08745828870781</v>
      </c>
      <c r="N37" s="10">
        <f>Table14[[#This Row],[Guthaben Jahresstart]]+Table14[[#This Row],[Sparrate]]+Table14[[#This Row],[Wertsteigerung]]-Table14[[#This Row],[Kosten
fix]]-Table14[[#This Row],[Kosten %]]</f>
        <v>91283.888098056588</v>
      </c>
      <c r="O37" s="16">
        <f>Table14[[#This Row],[Guthaben Jahresende (nach Kosten)]]-Table14[[#This Row],[Förderung
kummuliert]]</f>
        <v>69233.888098056588</v>
      </c>
      <c r="P37" s="16">
        <f>Table14[[#This Row],[Summe bei Auszahlung (förderschädlich)]]-Table14[[#This Row],[Einzahlungen
kummuliert]]</f>
        <v>38783.888098056588</v>
      </c>
      <c r="Q37" s="11">
        <f>Table14[[#This Row],[Summe bei Auszahlung (förderschädlich)]]-Table14[[#This Row],[Gewinn
(Einkommenssteuer)]]*$D$3</f>
        <v>52944.655096872826</v>
      </c>
      <c r="R37" s="25">
        <f t="shared" si="1"/>
        <v>46542.103082116206</v>
      </c>
      <c r="S37" s="29">
        <v>1218</v>
      </c>
      <c r="T37" s="27">
        <f>Table14[[#This Row],[Guthaben
Jahresbeginn]]+0.5*Table14[[#This Row],[Einzahlung]]</f>
        <v>47151.103082116206</v>
      </c>
      <c r="U37" s="27">
        <f>Table14[[#This Row],[Durchschnittliches Jahresguthaben]]*$J$7</f>
        <v>2357.5551541058103</v>
      </c>
      <c r="V37" s="28">
        <f>Table14[[#This Row],[Guthaben
Jahresbeginn]]+Table14[[#This Row],[Einzahlung]]+Table14[[#This Row],[Gewinn
(KapErtSt)]]*(1-$J$8)</f>
        <v>49495.853064326606</v>
      </c>
      <c r="W37" s="21">
        <f>Table14[[#This Row],[Auszahlung Netto (förderschädlich) ]]-Table14[[#This Row],[Netto ETF
]]</f>
        <v>3448.8020325462203</v>
      </c>
      <c r="X37" s="9">
        <f>Table14[[#This Row],[Vorteile Riester
'[absolut']]]/Table14[[#This Row],[Auszahlung Netto (förderschädlich) ]]</f>
        <v>6.5139758229342468E-2</v>
      </c>
    </row>
    <row r="38" spans="2:24" x14ac:dyDescent="0.35">
      <c r="B38">
        <v>57</v>
      </c>
      <c r="C38">
        <v>2045</v>
      </c>
      <c r="D38" s="10">
        <v>1218</v>
      </c>
      <c r="E38" s="10">
        <f t="shared" si="2"/>
        <v>31668</v>
      </c>
      <c r="F38" s="10">
        <v>882</v>
      </c>
      <c r="G38" s="10">
        <f t="shared" si="3"/>
        <v>22932</v>
      </c>
      <c r="H38" s="10">
        <v>2100</v>
      </c>
      <c r="I38" s="10">
        <f t="shared" si="0"/>
        <v>91283.888098056588</v>
      </c>
      <c r="J38" s="10">
        <f>Table14[[#This Row],[Guthaben Jahresstart]]+0.5*Table14[[#This Row],[Sparrate]]</f>
        <v>92333.888098056588</v>
      </c>
      <c r="K38" s="10">
        <f>Table14[[#This Row],[Durchschnittliches
Jahresguthaben]]*($J$7-0.001)</f>
        <v>4524.3605168047734</v>
      </c>
      <c r="L38" s="24">
        <v>36</v>
      </c>
      <c r="M38" s="10">
        <f>(Table14[[#This Row],[Durchschnittliches
Jahresguthaben]]+Table14[[#This Row],[Wertsteigerung]]*0.5)*$J$3</f>
        <v>567.57641013875389</v>
      </c>
      <c r="N38" s="10">
        <f>Table14[[#This Row],[Guthaben Jahresstart]]+Table14[[#This Row],[Sparrate]]+Table14[[#This Row],[Wertsteigerung]]-Table14[[#This Row],[Kosten
fix]]-Table14[[#This Row],[Kosten %]]</f>
        <v>97304.672204722621</v>
      </c>
      <c r="O38" s="16">
        <f>Table14[[#This Row],[Guthaben Jahresende (nach Kosten)]]-Table14[[#This Row],[Förderung
kummuliert]]</f>
        <v>74372.672204722621</v>
      </c>
      <c r="P38" s="16">
        <f>Table14[[#This Row],[Summe bei Auszahlung (förderschädlich)]]-Table14[[#This Row],[Einzahlungen
kummuliert]]</f>
        <v>42704.672204722621</v>
      </c>
      <c r="Q38" s="11">
        <f>Table14[[#This Row],[Summe bei Auszahlung (förderschädlich)]]-Table14[[#This Row],[Gewinn
(Einkommenssteuer)]]*$D$3</f>
        <v>56436.709878739122</v>
      </c>
      <c r="R38" s="25">
        <f t="shared" si="1"/>
        <v>49495.853064326606</v>
      </c>
      <c r="S38" s="29">
        <v>1218</v>
      </c>
      <c r="T38" s="27">
        <f>Table14[[#This Row],[Guthaben
Jahresbeginn]]+0.5*Table14[[#This Row],[Einzahlung]]</f>
        <v>50104.853064326606</v>
      </c>
      <c r="U38" s="27">
        <f>Table14[[#This Row],[Durchschnittliches Jahresguthaben]]*$J$7</f>
        <v>2505.2426532163304</v>
      </c>
      <c r="V38" s="28">
        <f>Table14[[#This Row],[Guthaben
Jahresbeginn]]+Table14[[#This Row],[Einzahlung]]+Table14[[#This Row],[Gewinn
(KapErtSt)]]*(1-$J$8)</f>
        <v>52558.337967757128</v>
      </c>
      <c r="W38" s="21">
        <f>Table14[[#This Row],[Auszahlung Netto (förderschädlich) ]]-Table14[[#This Row],[Netto ETF
]]</f>
        <v>3878.371910981994</v>
      </c>
      <c r="X38" s="9">
        <f>Table14[[#This Row],[Vorteile Riester
'[absolut']]]/Table14[[#This Row],[Auszahlung Netto (förderschädlich) ]]</f>
        <v>6.8720730165084565E-2</v>
      </c>
    </row>
    <row r="39" spans="2:24" x14ac:dyDescent="0.35">
      <c r="B39">
        <v>58</v>
      </c>
      <c r="C39">
        <v>2046</v>
      </c>
      <c r="D39" s="10">
        <v>1218</v>
      </c>
      <c r="E39" s="10">
        <f t="shared" si="2"/>
        <v>32886</v>
      </c>
      <c r="F39" s="10">
        <v>882</v>
      </c>
      <c r="G39" s="10">
        <f t="shared" si="3"/>
        <v>23814</v>
      </c>
      <c r="H39" s="10">
        <v>2100</v>
      </c>
      <c r="I39" s="10">
        <f t="shared" si="0"/>
        <v>97304.672204722621</v>
      </c>
      <c r="J39" s="10">
        <f>Table14[[#This Row],[Guthaben Jahresstart]]+0.5*Table14[[#This Row],[Sparrate]]</f>
        <v>98354.672204722621</v>
      </c>
      <c r="K39" s="10">
        <f>Table14[[#This Row],[Durchschnittliches
Jahresguthaben]]*($J$7-0.001)</f>
        <v>4819.3789380314083</v>
      </c>
      <c r="L39" s="24">
        <v>36</v>
      </c>
      <c r="M39" s="10">
        <f>(Table14[[#This Row],[Durchschnittliches
Jahresguthaben]]+Table14[[#This Row],[Wertsteigerung]]*0.5)*$J$3</f>
        <v>604.58617004243001</v>
      </c>
      <c r="N39" s="10">
        <f>Table14[[#This Row],[Guthaben Jahresstart]]+Table14[[#This Row],[Sparrate]]+Table14[[#This Row],[Wertsteigerung]]-Table14[[#This Row],[Kosten
fix]]-Table14[[#This Row],[Kosten %]]</f>
        <v>103583.4649727116</v>
      </c>
      <c r="O39" s="16">
        <f>Table14[[#This Row],[Guthaben Jahresende (nach Kosten)]]-Table14[[#This Row],[Förderung
kummuliert]]</f>
        <v>79769.464972711605</v>
      </c>
      <c r="P39" s="16">
        <f>Table14[[#This Row],[Summe bei Auszahlung (förderschädlich)]]-Table14[[#This Row],[Einzahlungen
kummuliert]]</f>
        <v>46883.464972711605</v>
      </c>
      <c r="Q39" s="11">
        <f>Table14[[#This Row],[Summe bei Auszahlung (förderschädlich)]]-Table14[[#This Row],[Gewinn
(Einkommenssteuer)]]*$D$3</f>
        <v>60078.40968417273</v>
      </c>
      <c r="R39" s="25">
        <f t="shared" si="1"/>
        <v>52558.337967757128</v>
      </c>
      <c r="S39" s="29">
        <v>1218</v>
      </c>
      <c r="T39" s="27">
        <f>Table14[[#This Row],[Guthaben
Jahresbeginn]]+0.5*Table14[[#This Row],[Einzahlung]]</f>
        <v>53167.337967757128</v>
      </c>
      <c r="U39" s="27">
        <f>Table14[[#This Row],[Durchschnittliches Jahresguthaben]]*$J$7</f>
        <v>2658.3668983878565</v>
      </c>
      <c r="V39" s="28">
        <f>Table14[[#This Row],[Guthaben
Jahresbeginn]]+Table14[[#This Row],[Einzahlung]]+Table14[[#This Row],[Gewinn
(KapErtSt)]]*(1-$J$8)</f>
        <v>55733.560596695184</v>
      </c>
      <c r="W39" s="21">
        <f>Table14[[#This Row],[Auszahlung Netto (förderschädlich) ]]-Table14[[#This Row],[Netto ETF
]]</f>
        <v>4344.8490874775453</v>
      </c>
      <c r="X39" s="9">
        <f>Table14[[#This Row],[Vorteile Riester
'[absolut']]]/Table14[[#This Row],[Auszahlung Netto (förderschädlich) ]]</f>
        <v>7.2319642119657634E-2</v>
      </c>
    </row>
    <row r="40" spans="2:24" x14ac:dyDescent="0.35">
      <c r="B40">
        <v>59</v>
      </c>
      <c r="C40">
        <v>2047</v>
      </c>
      <c r="D40" s="10">
        <v>1218</v>
      </c>
      <c r="E40" s="10">
        <f t="shared" si="2"/>
        <v>34104</v>
      </c>
      <c r="F40" s="10">
        <v>882</v>
      </c>
      <c r="G40" s="10">
        <f t="shared" si="3"/>
        <v>24696</v>
      </c>
      <c r="H40" s="10">
        <v>2100</v>
      </c>
      <c r="I40" s="10">
        <f t="shared" si="0"/>
        <v>103583.4649727116</v>
      </c>
      <c r="J40" s="10">
        <f>Table14[[#This Row],[Guthaben Jahresstart]]+0.5*Table14[[#This Row],[Sparrate]]</f>
        <v>104633.4649727116</v>
      </c>
      <c r="K40" s="10">
        <f>Table14[[#This Row],[Durchschnittliches
Jahresguthaben]]*($J$7-0.001)</f>
        <v>5127.039783662869</v>
      </c>
      <c r="L40" s="24">
        <v>36</v>
      </c>
      <c r="M40" s="10">
        <f>(Table14[[#This Row],[Durchschnittliches
Jahresguthaben]]+Table14[[#This Row],[Wertsteigerung]]*0.5)*$J$3</f>
        <v>643.18190918725827</v>
      </c>
      <c r="N40" s="10">
        <f>Table14[[#This Row],[Guthaben Jahresstart]]+Table14[[#This Row],[Sparrate]]+Table14[[#This Row],[Wertsteigerung]]-Table14[[#This Row],[Kosten
fix]]-Table14[[#This Row],[Kosten %]]</f>
        <v>110131.32284718721</v>
      </c>
      <c r="O40" s="16">
        <f>Table14[[#This Row],[Guthaben Jahresende (nach Kosten)]]-Table14[[#This Row],[Förderung
kummuliert]]</f>
        <v>85435.322847187213</v>
      </c>
      <c r="P40" s="16">
        <f>Table14[[#This Row],[Summe bei Auszahlung (förderschädlich)]]-Table14[[#This Row],[Einzahlungen
kummuliert]]</f>
        <v>51331.322847187213</v>
      </c>
      <c r="Q40" s="11">
        <f>Table14[[#This Row],[Summe bei Auszahlung (förderschädlich)]]-Table14[[#This Row],[Gewinn
(Einkommenssteuer)]]*$D$3</f>
        <v>63876.167251368584</v>
      </c>
      <c r="R40" s="25">
        <f t="shared" si="1"/>
        <v>55733.560596695184</v>
      </c>
      <c r="S40" s="29">
        <v>1218</v>
      </c>
      <c r="T40" s="27">
        <f>Table14[[#This Row],[Guthaben
Jahresbeginn]]+0.5*Table14[[#This Row],[Einzahlung]]</f>
        <v>56342.560596695184</v>
      </c>
      <c r="U40" s="27">
        <f>Table14[[#This Row],[Durchschnittliches Jahresguthaben]]*$J$7</f>
        <v>2817.1280298347592</v>
      </c>
      <c r="V40" s="28">
        <f>Table14[[#This Row],[Guthaben
Jahresbeginn]]+Table14[[#This Row],[Einzahlung]]+Table14[[#This Row],[Gewinn
(KapErtSt)]]*(1-$J$8)</f>
        <v>59025.671108661023</v>
      </c>
      <c r="W40" s="21">
        <f>Table14[[#This Row],[Auszahlung Netto (förderschädlich) ]]-Table14[[#This Row],[Netto ETF
]]</f>
        <v>4850.4961427075614</v>
      </c>
      <c r="X40" s="9">
        <f>Table14[[#This Row],[Vorteile Riester
'[absolut']]]/Table14[[#This Row],[Auszahlung Netto (förderschädlich) ]]</f>
        <v>7.5935929649937423E-2</v>
      </c>
    </row>
    <row r="41" spans="2:24" x14ac:dyDescent="0.35">
      <c r="B41">
        <v>60</v>
      </c>
      <c r="C41">
        <v>2048</v>
      </c>
      <c r="D41" s="10">
        <v>1218</v>
      </c>
      <c r="E41" s="10">
        <f t="shared" si="2"/>
        <v>35322</v>
      </c>
      <c r="F41" s="10">
        <v>882</v>
      </c>
      <c r="G41" s="10">
        <f t="shared" si="3"/>
        <v>25578</v>
      </c>
      <c r="H41" s="10">
        <v>2100</v>
      </c>
      <c r="I41" s="10">
        <f t="shared" si="0"/>
        <v>110131.32284718721</v>
      </c>
      <c r="J41" s="10">
        <f>Table14[[#This Row],[Guthaben Jahresstart]]+0.5*Table14[[#This Row],[Sparrate]]</f>
        <v>111181.32284718721</v>
      </c>
      <c r="K41" s="10">
        <f>Table14[[#This Row],[Durchschnittliches
Jahresguthaben]]*($J$7-0.001)</f>
        <v>5447.8848195121736</v>
      </c>
      <c r="L41" s="24">
        <v>36</v>
      </c>
      <c r="M41" s="10">
        <f>(Table14[[#This Row],[Durchschnittliches
Jahresguthaben]]+Table14[[#This Row],[Wertsteigerung]]*0.5)*$J$3</f>
        <v>683.43159154165983</v>
      </c>
      <c r="N41" s="10">
        <f>Table14[[#This Row],[Guthaben Jahresstart]]+Table14[[#This Row],[Sparrate]]+Table14[[#This Row],[Wertsteigerung]]-Table14[[#This Row],[Kosten
fix]]-Table14[[#This Row],[Kosten %]]</f>
        <v>116959.77607515772</v>
      </c>
      <c r="O41" s="16">
        <f>Table14[[#This Row],[Guthaben Jahresende (nach Kosten)]]-Table14[[#This Row],[Förderung
kummuliert]]</f>
        <v>91381.776075157715</v>
      </c>
      <c r="P41" s="16">
        <f>Table14[[#This Row],[Summe bei Auszahlung (förderschädlich)]]-Table14[[#This Row],[Einzahlungen
kummuliert]]</f>
        <v>56059.776075157715</v>
      </c>
      <c r="Q41" s="11">
        <f>Table14[[#This Row],[Summe bei Auszahlung (förderschädlich)]]-Table14[[#This Row],[Gewinn
(Einkommenssteuer)]]*$D$3</f>
        <v>67836.670123591481</v>
      </c>
      <c r="R41" s="25">
        <f t="shared" si="1"/>
        <v>59025.671108661023</v>
      </c>
      <c r="S41" s="29">
        <v>1218</v>
      </c>
      <c r="T41" s="27">
        <f>Table14[[#This Row],[Guthaben
Jahresbeginn]]+0.5*Table14[[#This Row],[Einzahlung]]</f>
        <v>59634.671108661023</v>
      </c>
      <c r="U41" s="27">
        <f>Table14[[#This Row],[Durchschnittliches Jahresguthaben]]*$J$7</f>
        <v>2981.7335554330512</v>
      </c>
      <c r="V41" s="28">
        <f>Table14[[#This Row],[Guthaben
Jahresbeginn]]+Table14[[#This Row],[Einzahlung]]+Table14[[#This Row],[Gewinn
(KapErtSt)]]*(1-$J$8)</f>
        <v>62438.972438848607</v>
      </c>
      <c r="W41" s="21">
        <f>Table14[[#This Row],[Auszahlung Netto (förderschädlich) ]]-Table14[[#This Row],[Netto ETF
]]</f>
        <v>5397.6976847428741</v>
      </c>
      <c r="X41" s="9">
        <f>Table14[[#This Row],[Vorteile Riester
'[absolut']]]/Table14[[#This Row],[Auszahlung Netto (förderschädlich) ]]</f>
        <v>7.9569024760631976E-2</v>
      </c>
    </row>
    <row r="42" spans="2:24" x14ac:dyDescent="0.35">
      <c r="B42">
        <v>61</v>
      </c>
      <c r="C42">
        <v>2049</v>
      </c>
      <c r="D42" s="10">
        <v>1218</v>
      </c>
      <c r="E42" s="10">
        <f t="shared" si="2"/>
        <v>36540</v>
      </c>
      <c r="F42" s="10">
        <v>882</v>
      </c>
      <c r="G42" s="10">
        <f t="shared" si="3"/>
        <v>26460</v>
      </c>
      <c r="H42" s="10">
        <v>2100</v>
      </c>
      <c r="I42" s="10">
        <f t="shared" si="0"/>
        <v>116959.77607515772</v>
      </c>
      <c r="J42" s="10">
        <f>Table14[[#This Row],[Guthaben Jahresstart]]+0.5*Table14[[#This Row],[Sparrate]]</f>
        <v>118009.77607515772</v>
      </c>
      <c r="K42" s="10">
        <f>Table14[[#This Row],[Durchschnittliches
Jahresguthaben]]*($J$7-0.001)</f>
        <v>5782.479027682728</v>
      </c>
      <c r="L42" s="24">
        <v>36</v>
      </c>
      <c r="M42" s="10">
        <f>(Table14[[#This Row],[Durchschnittliches
Jahresguthaben]]+Table14[[#This Row],[Wertsteigerung]]*0.5)*$J$3</f>
        <v>725.40609353399452</v>
      </c>
      <c r="N42" s="10">
        <f>Table14[[#This Row],[Guthaben Jahresstart]]+Table14[[#This Row],[Sparrate]]+Table14[[#This Row],[Wertsteigerung]]-Table14[[#This Row],[Kosten
fix]]-Table14[[#This Row],[Kosten %]]</f>
        <v>124080.84900930645</v>
      </c>
      <c r="O42" s="16">
        <f>Table14[[#This Row],[Guthaben Jahresende (nach Kosten)]]-Table14[[#This Row],[Förderung
kummuliert]]</f>
        <v>97620.849009306447</v>
      </c>
      <c r="P42" s="16">
        <f>Table14[[#This Row],[Summe bei Auszahlung (förderschädlich)]]-Table14[[#This Row],[Einzahlungen
kummuliert]]</f>
        <v>61080.849009306447</v>
      </c>
      <c r="Q42" s="11">
        <f>Table14[[#This Row],[Summe bei Auszahlung (förderschädlich)]]-Table14[[#This Row],[Gewinn
(Einkommenssteuer)]]*$D$3</f>
        <v>71966.892425397731</v>
      </c>
      <c r="R42" s="25">
        <f t="shared" si="1"/>
        <v>62438.972438848607</v>
      </c>
      <c r="S42" s="29">
        <v>1218</v>
      </c>
      <c r="T42" s="27">
        <f>Table14[[#This Row],[Guthaben
Jahresbeginn]]+0.5*Table14[[#This Row],[Einzahlung]]</f>
        <v>63047.972438848607</v>
      </c>
      <c r="U42" s="27">
        <f>Table14[[#This Row],[Durchschnittliches Jahresguthaben]]*$J$7</f>
        <v>3152.3986219424305</v>
      </c>
      <c r="V42" s="28">
        <f>Table14[[#This Row],[Guthaben
Jahresbeginn]]+Table14[[#This Row],[Einzahlung]]+Table14[[#This Row],[Gewinn
(KapErtSt)]]*(1-$J$8)</f>
        <v>65977.925924253723</v>
      </c>
      <c r="W42" s="21">
        <f>Table14[[#This Row],[Auszahlung Netto (förderschädlich) ]]-Table14[[#This Row],[Netto ETF
]]</f>
        <v>5988.9665011440084</v>
      </c>
      <c r="X42" s="9">
        <f>Table14[[#This Row],[Vorteile Riester
'[absolut']]]/Table14[[#This Row],[Auszahlung Netto (förderschädlich) ]]</f>
        <v>8.3218356376194597E-2</v>
      </c>
    </row>
    <row r="43" spans="2:24" x14ac:dyDescent="0.35">
      <c r="B43">
        <v>62</v>
      </c>
      <c r="C43">
        <v>2050</v>
      </c>
      <c r="D43" s="10">
        <v>1218</v>
      </c>
      <c r="E43" s="10">
        <f t="shared" si="2"/>
        <v>37758</v>
      </c>
      <c r="F43" s="10">
        <v>882</v>
      </c>
      <c r="G43" s="10">
        <f t="shared" si="3"/>
        <v>27342</v>
      </c>
      <c r="H43" s="10">
        <v>2100</v>
      </c>
      <c r="I43" s="10">
        <f t="shared" si="0"/>
        <v>124080.84900930645</v>
      </c>
      <c r="J43" s="10">
        <f>Table14[[#This Row],[Guthaben Jahresstart]]+0.5*Table14[[#This Row],[Sparrate]]</f>
        <v>125130.84900930645</v>
      </c>
      <c r="K43" s="10">
        <f>Table14[[#This Row],[Durchschnittliches
Jahresguthaben]]*($J$7-0.001)</f>
        <v>6131.4116014560159</v>
      </c>
      <c r="L43" s="24">
        <v>36</v>
      </c>
      <c r="M43" s="10">
        <f>(Table14[[#This Row],[Durchschnittliches
Jahresguthaben]]+Table14[[#This Row],[Wertsteigerung]]*0.5)*$J$3</f>
        <v>769.17932886020674</v>
      </c>
      <c r="N43" s="10">
        <f>Table14[[#This Row],[Guthaben Jahresstart]]+Table14[[#This Row],[Sparrate]]+Table14[[#This Row],[Wertsteigerung]]-Table14[[#This Row],[Kosten
fix]]-Table14[[#This Row],[Kosten %]]</f>
        <v>131507.08128190224</v>
      </c>
      <c r="O43" s="16">
        <f>Table14[[#This Row],[Guthaben Jahresende (nach Kosten)]]-Table14[[#This Row],[Förderung
kummuliert]]</f>
        <v>104165.08128190224</v>
      </c>
      <c r="P43" s="18">
        <f>(Table14[[#This Row],[Summe bei Auszahlung (förderschädlich)]]-Table14[[#This Row],[Einzahlungen
kummuliert]])*0.5</f>
        <v>33203.54064095112</v>
      </c>
      <c r="Q43" s="19">
        <f>Table14[[#This Row],[Summe bei Auszahlung (förderschädlich)]]-Table14[[#This Row],[Gewinn
(Einkommenssteuer)]]*$D$3</f>
        <v>90219.594212702767</v>
      </c>
      <c r="R43" s="25">
        <f t="shared" si="1"/>
        <v>65977.925924253723</v>
      </c>
      <c r="S43" s="29">
        <v>1218</v>
      </c>
      <c r="T43" s="27">
        <f>Table14[[#This Row],[Guthaben
Jahresbeginn]]+0.5*Table14[[#This Row],[Einzahlung]]</f>
        <v>66586.925924253723</v>
      </c>
      <c r="U43" s="27">
        <f>Table14[[#This Row],[Durchschnittliches Jahresguthaben]]*$J$7</f>
        <v>3329.3462962126864</v>
      </c>
      <c r="V43" s="28">
        <f>Table14[[#This Row],[Guthaben
Jahresbeginn]]+Table14[[#This Row],[Einzahlung]]+Table14[[#This Row],[Gewinn
(KapErtSt)]]*(1-$J$8)</f>
        <v>69647.157134840309</v>
      </c>
      <c r="W43" s="21">
        <f>Table14[[#This Row],[Auszahlung Netto (förderschädlich) ]]-Table14[[#This Row],[Netto ETF
]]</f>
        <v>20572.437077862458</v>
      </c>
      <c r="X43" s="9">
        <f>Table14[[#This Row],[Vorteile Riester
'[absolut']]]/Table14[[#This Row],[Auszahlung Netto (förderschädlich) ]]</f>
        <v>0.22802626477526203</v>
      </c>
    </row>
    <row r="44" spans="2:24" x14ac:dyDescent="0.35">
      <c r="B44">
        <v>63</v>
      </c>
      <c r="C44">
        <v>2051</v>
      </c>
      <c r="D44" s="10">
        <v>1218</v>
      </c>
      <c r="E44" s="10">
        <f t="shared" si="2"/>
        <v>38976</v>
      </c>
      <c r="F44" s="10">
        <v>882</v>
      </c>
      <c r="G44" s="10">
        <f t="shared" si="3"/>
        <v>28224</v>
      </c>
      <c r="H44" s="10">
        <v>2100</v>
      </c>
      <c r="I44" s="10">
        <f t="shared" si="0"/>
        <v>131507.08128190224</v>
      </c>
      <c r="J44" s="10">
        <f>Table14[[#This Row],[Guthaben Jahresstart]]+0.5*Table14[[#This Row],[Sparrate]]</f>
        <v>132557.08128190224</v>
      </c>
      <c r="K44" s="10">
        <f>Table14[[#This Row],[Durchschnittliches
Jahresguthaben]]*($J$7-0.001)</f>
        <v>6495.29698281321</v>
      </c>
      <c r="L44" s="24">
        <v>36</v>
      </c>
      <c r="M44" s="10">
        <f>(Table14[[#This Row],[Durchschnittliches
Jahresguthaben]]+Table14[[#This Row],[Wertsteigerung]]*0.5)*$J$3</f>
        <v>814.8283786398531</v>
      </c>
      <c r="N44" s="10">
        <f>Table14[[#This Row],[Guthaben Jahresstart]]+Table14[[#This Row],[Sparrate]]+Table14[[#This Row],[Wertsteigerung]]-Table14[[#This Row],[Kosten
fix]]-Table14[[#This Row],[Kosten %]]</f>
        <v>139251.54988607561</v>
      </c>
      <c r="O44" s="16">
        <f>Table14[[#This Row],[Guthaben Jahresende (nach Kosten)]]-Table14[[#This Row],[Förderung
kummuliert]]</f>
        <v>111027.54988607561</v>
      </c>
      <c r="P44" s="18">
        <f>(Table14[[#This Row],[Summe bei Auszahlung (förderschädlich)]]-Table14[[#This Row],[Einzahlungen
kummuliert]])*0.5</f>
        <v>36025.774943037803</v>
      </c>
      <c r="Q44" s="19">
        <f>Table14[[#This Row],[Summe bei Auszahlung (förderschädlich)]]-Table14[[#This Row],[Gewinn
(Einkommenssteuer)]]*$D$3</f>
        <v>95896.724409999733</v>
      </c>
      <c r="R44" s="25">
        <f t="shared" si="1"/>
        <v>69647.157134840309</v>
      </c>
      <c r="S44" s="29">
        <v>1218</v>
      </c>
      <c r="T44" s="27">
        <f>Table14[[#This Row],[Guthaben
Jahresbeginn]]+0.5*Table14[[#This Row],[Einzahlung]]</f>
        <v>70256.157134840309</v>
      </c>
      <c r="U44" s="27">
        <f>Table14[[#This Row],[Durchschnittliches Jahresguthaben]]*$J$7</f>
        <v>3512.8078567420157</v>
      </c>
      <c r="V44" s="28">
        <f>Table14[[#This Row],[Guthaben
Jahresbeginn]]+Table14[[#This Row],[Einzahlung]]+Table14[[#This Row],[Gewinn
(KapErtSt)]]*(1-$J$8)</f>
        <v>73451.461919366615</v>
      </c>
      <c r="W44" s="21">
        <f>Table14[[#This Row],[Auszahlung Netto (förderschädlich) ]]-Table14[[#This Row],[Netto ETF
]]</f>
        <v>22445.262490633118</v>
      </c>
      <c r="X44" s="9">
        <f>Table14[[#This Row],[Vorteile Riester
'[absolut']]]/Table14[[#This Row],[Auszahlung Netto (förderschädlich) ]]</f>
        <v>0.23405661276468601</v>
      </c>
    </row>
    <row r="45" spans="2:24" x14ac:dyDescent="0.35">
      <c r="B45">
        <v>64</v>
      </c>
      <c r="C45">
        <v>2052</v>
      </c>
      <c r="D45" s="10">
        <v>1218</v>
      </c>
      <c r="E45" s="10">
        <f t="shared" si="2"/>
        <v>40194</v>
      </c>
      <c r="F45" s="10">
        <v>882</v>
      </c>
      <c r="G45" s="10">
        <f t="shared" si="3"/>
        <v>29106</v>
      </c>
      <c r="H45" s="10">
        <v>2100</v>
      </c>
      <c r="I45" s="10">
        <f t="shared" si="0"/>
        <v>139251.54988607561</v>
      </c>
      <c r="J45" s="10">
        <f>Table14[[#This Row],[Guthaben Jahresstart]]+0.5*Table14[[#This Row],[Sparrate]]</f>
        <v>140301.54988607561</v>
      </c>
      <c r="K45" s="10">
        <f>Table14[[#This Row],[Durchschnittliches
Jahresguthaben]]*($J$7-0.001)</f>
        <v>6874.7759444177045</v>
      </c>
      <c r="L45" s="24">
        <v>36</v>
      </c>
      <c r="M45" s="10">
        <f>(Table14[[#This Row],[Durchschnittliches
Jahresguthaben]]+Table14[[#This Row],[Wertsteigerung]]*0.5)*$J$3</f>
        <v>862.43362714970669</v>
      </c>
      <c r="N45" s="10">
        <f>Table14[[#This Row],[Guthaben Jahresstart]]+Table14[[#This Row],[Sparrate]]+Table14[[#This Row],[Wertsteigerung]]-Table14[[#This Row],[Kosten
fix]]-Table14[[#This Row],[Kosten %]]</f>
        <v>147327.8922033436</v>
      </c>
      <c r="O45" s="16">
        <f>Table14[[#This Row],[Guthaben Jahresende (nach Kosten)]]-Table14[[#This Row],[Förderung
kummuliert]]</f>
        <v>118221.8922033436</v>
      </c>
      <c r="P45" s="18">
        <f>(Table14[[#This Row],[Summe bei Auszahlung (förderschädlich)]]-Table14[[#This Row],[Einzahlungen
kummuliert]])*0.5</f>
        <v>39013.946101671798</v>
      </c>
      <c r="Q45" s="19">
        <f>Table14[[#This Row],[Summe bei Auszahlung (förderschädlich)]]-Table14[[#This Row],[Gewinn
(Einkommenssteuer)]]*$D$3</f>
        <v>101836.03484064144</v>
      </c>
      <c r="R45" s="25">
        <f t="shared" si="1"/>
        <v>73451.461919366615</v>
      </c>
      <c r="S45" s="29">
        <v>1218</v>
      </c>
      <c r="T45" s="27">
        <f>Table14[[#This Row],[Guthaben
Jahresbeginn]]+0.5*Table14[[#This Row],[Einzahlung]]</f>
        <v>74060.461919366615</v>
      </c>
      <c r="U45" s="27">
        <f>Table14[[#This Row],[Durchschnittliches Jahresguthaben]]*$J$7</f>
        <v>3703.0230959683308</v>
      </c>
      <c r="V45" s="28">
        <f>Table14[[#This Row],[Guthaben
Jahresbeginn]]+Table14[[#This Row],[Einzahlung]]+Table14[[#This Row],[Gewinn
(KapErtSt)]]*(1-$J$8)</f>
        <v>77395.812673773296</v>
      </c>
      <c r="W45" s="21">
        <f>Table14[[#This Row],[Auszahlung Netto (förderschädlich) ]]-Table14[[#This Row],[Netto ETF
]]</f>
        <v>24440.222166868145</v>
      </c>
      <c r="X45" s="9">
        <f>Table14[[#This Row],[Vorteile Riester
'[absolut']]]/Table14[[#This Row],[Auszahlung Netto (förderschädlich) ]]</f>
        <v>0.23999581489119773</v>
      </c>
    </row>
    <row r="46" spans="2:24" x14ac:dyDescent="0.35">
      <c r="B46">
        <v>65</v>
      </c>
      <c r="C46">
        <v>2053</v>
      </c>
      <c r="D46" s="10">
        <v>1218</v>
      </c>
      <c r="E46" s="10">
        <f t="shared" si="2"/>
        <v>41412</v>
      </c>
      <c r="F46" s="10">
        <v>882</v>
      </c>
      <c r="G46" s="10">
        <f t="shared" si="3"/>
        <v>29988</v>
      </c>
      <c r="H46" s="10">
        <v>2100</v>
      </c>
      <c r="I46" s="10">
        <f t="shared" si="0"/>
        <v>147327.8922033436</v>
      </c>
      <c r="J46" s="10">
        <f>Table14[[#This Row],[Guthaben Jahresstart]]+0.5*Table14[[#This Row],[Sparrate]]</f>
        <v>148377.8922033436</v>
      </c>
      <c r="K46" s="10">
        <f>Table14[[#This Row],[Durchschnittliches
Jahresguthaben]]*($J$7-0.001)</f>
        <v>7270.5167179638365</v>
      </c>
      <c r="L46" s="24">
        <v>36</v>
      </c>
      <c r="M46" s="10">
        <f>(Table14[[#This Row],[Durchschnittliches
Jahresguthaben]]+Table14[[#This Row],[Wertsteigerung]]*0.5)*$J$3</f>
        <v>912.07890337395315</v>
      </c>
      <c r="N46" s="10">
        <f>Table14[[#This Row],[Guthaben Jahresstart]]+Table14[[#This Row],[Sparrate]]+Table14[[#This Row],[Wertsteigerung]]-Table14[[#This Row],[Kosten
fix]]-Table14[[#This Row],[Kosten %]]</f>
        <v>155750.33001793348</v>
      </c>
      <c r="O46" s="16">
        <f>Table14[[#This Row],[Guthaben Jahresende (nach Kosten)]]-Table14[[#This Row],[Förderung
kummuliert]]</f>
        <v>125762.33001793348</v>
      </c>
      <c r="P46" s="18">
        <f>(Table14[[#This Row],[Summe bei Auszahlung (förderschädlich)]]-Table14[[#This Row],[Einzahlungen
kummuliert]])*0.5</f>
        <v>42175.165008966738</v>
      </c>
      <c r="Q46" s="19">
        <f>Table14[[#This Row],[Summe bei Auszahlung (förderschädlich)]]-Table14[[#This Row],[Gewinn
(Einkommenssteuer)]]*$D$3</f>
        <v>108048.76071416744</v>
      </c>
      <c r="R46" s="25">
        <f t="shared" si="1"/>
        <v>77395.812673773296</v>
      </c>
      <c r="S46" s="29">
        <v>1218</v>
      </c>
      <c r="T46" s="27">
        <f>Table14[[#This Row],[Guthaben
Jahresbeginn]]+0.5*Table14[[#This Row],[Einzahlung]]</f>
        <v>78004.812673773296</v>
      </c>
      <c r="U46" s="27">
        <f>Table14[[#This Row],[Durchschnittliches Jahresguthaben]]*$J$7</f>
        <v>3900.2406336886652</v>
      </c>
      <c r="V46" s="28">
        <f>Table14[[#This Row],[Guthaben
Jahresbeginn]]+Table14[[#This Row],[Einzahlung]]+Table14[[#This Row],[Gewinn
(KapErtSt)]]*(1-$J$8)</f>
        <v>81485.364840326583</v>
      </c>
      <c r="W46" s="21">
        <f>Table14[[#This Row],[Auszahlung Netto (förderschädlich) ]]-Table14[[#This Row],[Netto ETF
]]</f>
        <v>26563.395873840855</v>
      </c>
      <c r="X46" s="9">
        <f>Table14[[#This Row],[Vorteile Riester
'[absolut']]]/Table14[[#This Row],[Auszahlung Netto (förderschädlich) ]]</f>
        <v>0.24584637249206173</v>
      </c>
    </row>
    <row r="47" spans="2:24" x14ac:dyDescent="0.35">
      <c r="B47">
        <v>66</v>
      </c>
      <c r="C47">
        <v>2054</v>
      </c>
      <c r="D47" s="10">
        <v>1218</v>
      </c>
      <c r="E47" s="10">
        <f t="shared" si="2"/>
        <v>42630</v>
      </c>
      <c r="F47" s="10">
        <v>882</v>
      </c>
      <c r="G47" s="10">
        <f t="shared" si="3"/>
        <v>30870</v>
      </c>
      <c r="H47" s="10">
        <v>2100</v>
      </c>
      <c r="I47" s="10">
        <f t="shared" si="0"/>
        <v>155750.33001793348</v>
      </c>
      <c r="J47" s="10">
        <f>Table14[[#This Row],[Guthaben Jahresstart]]+0.5*Table14[[#This Row],[Sparrate]]</f>
        <v>156800.33001793348</v>
      </c>
      <c r="K47" s="10">
        <f>Table14[[#This Row],[Durchschnittliches
Jahresguthaben]]*($J$7-0.001)</f>
        <v>7683.2161708787407</v>
      </c>
      <c r="L47" s="24">
        <v>36</v>
      </c>
      <c r="M47" s="10">
        <f>(Table14[[#This Row],[Durchschnittliches
Jahresguthaben]]+Table14[[#This Row],[Wertsteigerung]]*0.5)*$J$3</f>
        <v>963.85162862023708</v>
      </c>
      <c r="N47" s="10">
        <f>Table14[[#This Row],[Guthaben Jahresstart]]+Table14[[#This Row],[Sparrate]]+Table14[[#This Row],[Wertsteigerung]]-Table14[[#This Row],[Kosten
fix]]-Table14[[#This Row],[Kosten %]]</f>
        <v>164533.69456019197</v>
      </c>
      <c r="O47" s="16">
        <f>Table14[[#This Row],[Guthaben Jahresende (nach Kosten)]]-Table14[[#This Row],[Förderung
kummuliert]]</f>
        <v>133663.69456019197</v>
      </c>
      <c r="P47" s="18">
        <f>(Table14[[#This Row],[Summe bei Auszahlung (förderschädlich)]]-Table14[[#This Row],[Einzahlungen
kummuliert]])*0.5</f>
        <v>45516.847280095986</v>
      </c>
      <c r="Q47" s="19">
        <f>Table14[[#This Row],[Summe bei Auszahlung (förderschädlich)]]-Table14[[#This Row],[Gewinn
(Einkommenssteuer)]]*$D$3</f>
        <v>114546.61870255166</v>
      </c>
      <c r="R47" s="25">
        <f t="shared" si="1"/>
        <v>81485.364840326583</v>
      </c>
      <c r="S47" s="29">
        <v>1218</v>
      </c>
      <c r="T47" s="27">
        <f>Table14[[#This Row],[Guthaben
Jahresbeginn]]+0.5*Table14[[#This Row],[Einzahlung]]</f>
        <v>82094.364840326583</v>
      </c>
      <c r="U47" s="27">
        <f>Table14[[#This Row],[Durchschnittliches Jahresguthaben]]*$J$7</f>
        <v>4104.718242016329</v>
      </c>
      <c r="V47" s="28">
        <f>Table14[[#This Row],[Guthaben
Jahresbeginn]]+Table14[[#This Row],[Einzahlung]]+Table14[[#This Row],[Gewinn
(KapErtSt)]]*(1-$J$8)</f>
        <v>85725.463646011107</v>
      </c>
      <c r="W47" s="21">
        <f>Table14[[#This Row],[Auszahlung Netto (förderschädlich) ]]-Table14[[#This Row],[Netto ETF
]]</f>
        <v>28821.155056540549</v>
      </c>
      <c r="X47" s="9">
        <f>Table14[[#This Row],[Vorteile Riester
'[absolut']]]/Table14[[#This Row],[Auszahlung Netto (förderschädlich) ]]</f>
        <v>0.25161070124105311</v>
      </c>
    </row>
    <row r="48" spans="2:24" x14ac:dyDescent="0.35">
      <c r="B48">
        <v>67</v>
      </c>
      <c r="C48">
        <v>2055</v>
      </c>
      <c r="D48" s="10">
        <v>1218</v>
      </c>
      <c r="E48" s="10">
        <f t="shared" si="2"/>
        <v>43848</v>
      </c>
      <c r="F48" s="10">
        <v>882</v>
      </c>
      <c r="G48" s="10">
        <f t="shared" si="3"/>
        <v>31752</v>
      </c>
      <c r="H48" s="10">
        <v>2100</v>
      </c>
      <c r="I48" s="10">
        <f t="shared" si="0"/>
        <v>164533.69456019197</v>
      </c>
      <c r="J48" s="10">
        <f>Table14[[#This Row],[Guthaben Jahresstart]]+0.5*Table14[[#This Row],[Sparrate]]</f>
        <v>165583.69456019197</v>
      </c>
      <c r="K48" s="10">
        <f>Table14[[#This Row],[Durchschnittliches
Jahresguthaben]]*($J$7-0.001)</f>
        <v>8113.6010334494067</v>
      </c>
      <c r="L48" s="24">
        <v>36</v>
      </c>
      <c r="M48" s="10">
        <f>(Table14[[#This Row],[Durchschnittliches
Jahresguthaben]]+Table14[[#This Row],[Wertsteigerung]]*0.5)*$J$3</f>
        <v>1017.8429704615</v>
      </c>
      <c r="N48" s="10">
        <f>Table14[[#This Row],[Guthaben Jahresstart]]+Table14[[#This Row],[Sparrate]]+Table14[[#This Row],[Wertsteigerung]]-Table14[[#This Row],[Kosten
fix]]-Table14[[#This Row],[Kosten %]]</f>
        <v>173693.45262317988</v>
      </c>
      <c r="O48" s="16">
        <f>Table14[[#This Row],[Guthaben Jahresende (nach Kosten)]]-Table14[[#This Row],[Förderung
kummuliert]]</f>
        <v>141941.45262317988</v>
      </c>
      <c r="P48" s="18">
        <f>(Table14[[#This Row],[Summe bei Auszahlung (förderschädlich)]]-Table14[[#This Row],[Einzahlungen
kummuliert]])*0.5</f>
        <v>49046.72631158994</v>
      </c>
      <c r="Q48" s="19">
        <f>Table14[[#This Row],[Summe bei Auszahlung (förderschädlich)]]-Table14[[#This Row],[Gewinn
(Einkommenssteuer)]]*$D$3</f>
        <v>121341.8275723121</v>
      </c>
      <c r="R48" s="25">
        <f t="shared" si="1"/>
        <v>85725.463646011107</v>
      </c>
      <c r="S48" s="29">
        <v>1218</v>
      </c>
      <c r="T48" s="27">
        <f>Table14[[#This Row],[Guthaben
Jahresbeginn]]+0.5*Table14[[#This Row],[Einzahlung]]</f>
        <v>86334.463646011107</v>
      </c>
      <c r="U48" s="27">
        <f>Table14[[#This Row],[Durchschnittliches Jahresguthaben]]*$J$7</f>
        <v>4316.7231823005559</v>
      </c>
      <c r="V48" s="28">
        <f>Table14[[#This Row],[Guthaben
Jahresbeginn]]+Table14[[#This Row],[Einzahlung]]+Table14[[#This Row],[Gewinn
(KapErtSt)]]*(1-$J$8)</f>
        <v>90121.651088979896</v>
      </c>
      <c r="W48" s="21">
        <f>Table14[[#This Row],[Auszahlung Netto (förderschädlich) ]]-Table14[[#This Row],[Netto ETF
]]</f>
        <v>31220.176483332209</v>
      </c>
      <c r="X48" s="9">
        <f>Table14[[#This Row],[Vorteile Riester
'[absolut']]]/Table14[[#This Row],[Auszahlung Netto (förderschädlich) ]]</f>
        <v>0.25729113454078267</v>
      </c>
    </row>
    <row r="51" spans="4:25" x14ac:dyDescent="0.35">
      <c r="Y51" s="20"/>
    </row>
    <row r="52" spans="4:25" x14ac:dyDescent="0.35">
      <c r="D52" s="10"/>
    </row>
    <row r="53" spans="4:25" x14ac:dyDescent="0.35">
      <c r="D53" s="10"/>
    </row>
    <row r="54" spans="4:25" x14ac:dyDescent="0.35">
      <c r="D54" s="13"/>
    </row>
    <row r="55" spans="4:25" x14ac:dyDescent="0.35">
      <c r="D55" s="12"/>
    </row>
  </sheetData>
  <mergeCells count="17">
    <mergeCell ref="G8:I8"/>
    <mergeCell ref="J8:L8"/>
    <mergeCell ref="D11:P11"/>
    <mergeCell ref="R11:V11"/>
    <mergeCell ref="W11:X11"/>
    <mergeCell ref="G5:I5"/>
    <mergeCell ref="J5:L5"/>
    <mergeCell ref="G6:I6"/>
    <mergeCell ref="J6:L6"/>
    <mergeCell ref="G7:I7"/>
    <mergeCell ref="J7:L7"/>
    <mergeCell ref="G2:I2"/>
    <mergeCell ref="J2:L2"/>
    <mergeCell ref="G3:I3"/>
    <mergeCell ref="J3:L3"/>
    <mergeCell ref="G4:I4"/>
    <mergeCell ref="J4:L4"/>
  </mergeCells>
  <conditionalFormatting sqref="W13:W48">
    <cfRule type="cellIs" dxfId="13" priority="1" operator="greaterThan">
      <formula>0</formula>
    </cfRule>
    <cfRule type="cellIs" dxfId="12" priority="2" operator="lessThan">
      <formula>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Korbi</dc:creator>
  <cp:lastModifiedBy>Korbi</cp:lastModifiedBy>
  <dcterms:created xsi:type="dcterms:W3CDTF">2019-05-22T13:29:43Z</dcterms:created>
  <dcterms:modified xsi:type="dcterms:W3CDTF">2019-11-12T16:00:36Z</dcterms:modified>
</cp:coreProperties>
</file>