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ergiekontor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<sst xmlns="http://schemas.openxmlformats.org/spreadsheetml/2006/main" count="61" uniqueCount="45">
  <si>
    <t xml:space="preserve">Energiekontor Finanzanlagen Stufz.-Anl.X v.17(22/22-35)</t>
  </si>
  <si>
    <t xml:space="preserve">„StufenzinsAnleihe X“</t>
  </si>
  <si>
    <t xml:space="preserve">letzter</t>
  </si>
  <si>
    <t xml:space="preserve">DE000A2DADL9</t>
  </si>
  <si>
    <t xml:space="preserve">Zinstermin</t>
  </si>
  <si>
    <t xml:space="preserve">Mio. € 22,73 ausstehend</t>
  </si>
  <si>
    <t xml:space="preserve">Zins</t>
  </si>
  <si>
    <t xml:space="preserve">4% bis 31.10.2022 </t>
  </si>
  <si>
    <t xml:space="preserve">4,3% bis 31.10.2027</t>
  </si>
  <si>
    <t xml:space="preserve">4,7% bis 31.10.2032</t>
  </si>
  <si>
    <t xml:space="preserve">5% bis 31.10.2035</t>
  </si>
  <si>
    <t xml:space="preserve">Tilgung</t>
  </si>
  <si>
    <t xml:space="preserve">31.10.2022 20%</t>
  </si>
  <si>
    <t xml:space="preserve">31.10.2027 10%</t>
  </si>
  <si>
    <t xml:space="preserve">31.10.2032 20%</t>
  </si>
  <si>
    <t xml:space="preserve">31.10.2035 50%</t>
  </si>
  <si>
    <t xml:space="preserve">kündbar zum Nennbetrag</t>
  </si>
  <si>
    <t xml:space="preserve">8 Wochen z. Quartalsende</t>
  </si>
  <si>
    <t xml:space="preserve">erstmalig zum 31.10.2022</t>
  </si>
  <si>
    <t xml:space="preserve">YTM</t>
  </si>
  <si>
    <t xml:space="preserve">D</t>
  </si>
  <si>
    <t xml:space="preserve">Energiekontor Finanzanlagen Anleihe v.2018(2023/24-36) </t>
  </si>
  <si>
    <t xml:space="preserve">„StufenzinsAnleihe XI“</t>
  </si>
  <si>
    <t xml:space="preserve">DE000A2LQQD7</t>
  </si>
  <si>
    <t xml:space="preserve">Mio. € 9 ausstehend</t>
  </si>
  <si>
    <t xml:space="preserve">4% bis 31.10.2024</t>
  </si>
  <si>
    <t xml:space="preserve">4,5% bis 31.10.2030</t>
  </si>
  <si>
    <t xml:space="preserve">5% bis 31.10.2036</t>
  </si>
  <si>
    <t xml:space="preserve">31.10.2024 15%</t>
  </si>
  <si>
    <t xml:space="preserve">31.10.2030 20%</t>
  </si>
  <si>
    <t xml:space="preserve">31.10.2036 65%</t>
  </si>
  <si>
    <t xml:space="preserve">erstmalig zum 31.10.2023</t>
  </si>
  <si>
    <t xml:space="preserve">Energiekontor Finanzanlagen Anleihe v.2019(2023/23-36) </t>
  </si>
  <si>
    <t xml:space="preserve">„StufenzinsAnleihe XII“</t>
  </si>
  <si>
    <t xml:space="preserve">DE000A2TR8Y4</t>
  </si>
  <si>
    <t xml:space="preserve">Mio. € 13,4 ausstehend</t>
  </si>
  <si>
    <t xml:space="preserve">4% bis 30.11.2023</t>
  </si>
  <si>
    <t xml:space="preserve">4,25% bis 30.11.2027</t>
  </si>
  <si>
    <t xml:space="preserve">4,5% bis 30.11.2032</t>
  </si>
  <si>
    <t xml:space="preserve">5% bis 30.11.2036</t>
  </si>
  <si>
    <t xml:space="preserve">30.11.2023 35%</t>
  </si>
  <si>
    <t xml:space="preserve">30.11.2027 25%</t>
  </si>
  <si>
    <t xml:space="preserve">30.11.2032 20%</t>
  </si>
  <si>
    <t xml:space="preserve">30.11.2036 20%</t>
  </si>
  <si>
    <t xml:space="preserve">erstmalig zum 30.11.2023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</si>
</sst>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DD/MM/YYYY"/>
    <numFmt numFmtId="166" formatCode="MM/DD/YYYY"/>
    <numFmt numFmtId="167" formatCode="#,##0.00_ ;[RED]\-#,##0.00\ "/>
    <numFmt numFmtId="168" formatCode="0.00"/>
    <numFmt numFmtId="169" formatCode="0%"/>
    <numFmt numFmtId="170" formatCode="0.00%"/>
    <numFmt numFmtId="171" formatCode="#,##0.000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0" fontId="4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57" activeCellId="0" sqref="H57"/>
    </sheetView>
  </sheetViews>
  <sheetFormatPr defaultRowHeight="12.8" zeroHeight="false" outlineLevelRow="0" outlineLevelCol="0"/>
  <cols>
    <col collapsed="false" customWidth="true" hidden="false" outlineLevel="0" max="1" min="1" style="1" width="35.8"/>
    <col collapsed="false" customWidth="true" hidden="false" outlineLevel="0" max="4" min="2" style="2" width="13.99"/>
    <col collapsed="false" customWidth="true" hidden="false" outlineLevel="0" max="5" min="5" style="2" width="13.48"/>
    <col collapsed="false" customWidth="true" hidden="false" outlineLevel="0" max="6" min="6" style="3" width="13.48"/>
    <col collapsed="false" customWidth="true" hidden="false" outlineLevel="0" max="7" min="7" style="2" width="13.48"/>
    <col collapsed="false" customWidth="true" hidden="false" outlineLevel="0" max="8" min="8" style="4" width="21.97"/>
    <col collapsed="false" customWidth="true" hidden="false" outlineLevel="0" max="9" min="9" style="2" width="14.48"/>
    <col collapsed="false" customWidth="true" hidden="false" outlineLevel="0" max="1025" min="10" style="2" width="10.46"/>
  </cols>
  <sheetData>
    <row r="1" customFormat="false" ht="12.8" hidden="false" customHeight="false" outlineLevel="0" collapsed="false">
      <c r="A1" s="5" t="s">
        <v>0</v>
      </c>
      <c r="C1" s="5" t="s">
        <v>1</v>
      </c>
      <c r="D1" s="5"/>
      <c r="H1" s="6" t="s">
        <v>2</v>
      </c>
    </row>
    <row r="2" customFormat="false" ht="12.8" hidden="false" customHeight="false" outlineLevel="0" collapsed="false">
      <c r="A2" s="5" t="s">
        <v>3</v>
      </c>
      <c r="H2" s="6" t="s">
        <v>4</v>
      </c>
    </row>
    <row r="3" customFormat="false" ht="12.8" hidden="false" customHeight="false" outlineLevel="0" collapsed="false">
      <c r="A3" s="1" t="n">
        <f aca="true">TODAY()+2</f>
        <v>43810</v>
      </c>
      <c r="B3" s="7" t="n">
        <v>101.5</v>
      </c>
      <c r="C3" s="7" t="n">
        <f aca="false">$B$3*0.2</f>
        <v>20.3</v>
      </c>
      <c r="D3" s="7" t="n">
        <f aca="false">$B$3*0.1</f>
        <v>10.15</v>
      </c>
      <c r="E3" s="7" t="n">
        <f aca="false">$B$3*0.2</f>
        <v>20.3</v>
      </c>
      <c r="F3" s="7" t="n">
        <f aca="false">$B$3*0.5</f>
        <v>50.75</v>
      </c>
      <c r="H3" s="8" t="n">
        <f aca="false">VLOOKUP(A3,A5:B22,1)</f>
        <v>43770</v>
      </c>
    </row>
    <row r="4" customFormat="false" ht="12.8" hidden="false" customHeight="false" outlineLevel="0" collapsed="false">
      <c r="A4" s="1" t="n">
        <f aca="false">A3</f>
        <v>43810</v>
      </c>
      <c r="B4" s="7" t="n">
        <f aca="false">4/365*(A4-H3)</f>
        <v>0.438356164383562</v>
      </c>
      <c r="C4" s="7" t="n">
        <f aca="false">B4*0.2</f>
        <v>0.0876712328767123</v>
      </c>
      <c r="D4" s="7" t="n">
        <f aca="false">C4/2</f>
        <v>0.0438356164383562</v>
      </c>
      <c r="E4" s="7" t="n">
        <f aca="false">C4</f>
        <v>0.0876712328767123</v>
      </c>
      <c r="F4" s="7" t="n">
        <f aca="false">B4/2</f>
        <v>0.219178082191781</v>
      </c>
    </row>
    <row r="5" customFormat="false" ht="13" hidden="false" customHeight="false" outlineLevel="0" collapsed="false">
      <c r="A5" s="1" t="n">
        <v>43405</v>
      </c>
      <c r="B5" s="7" t="n">
        <f aca="false">SUM(C5:F5)</f>
        <v>0</v>
      </c>
      <c r="C5" s="7" t="n">
        <f aca="false">IF($A5&gt;$A$3,-0.8,0)</f>
        <v>0</v>
      </c>
      <c r="D5" s="7" t="n">
        <f aca="false">IF($A5&gt;$A$3,-0.4,0)</f>
        <v>0</v>
      </c>
      <c r="E5" s="7" t="n">
        <f aca="false">IF($A5&gt;$A$3,-0.8,0)</f>
        <v>0</v>
      </c>
      <c r="F5" s="7" t="n">
        <f aca="false">IF($A5&gt;$A$3,-2,0)</f>
        <v>0</v>
      </c>
      <c r="H5" s="9" t="s">
        <v>5</v>
      </c>
    </row>
    <row r="6" s="2" customFormat="true" ht="12.8" hidden="false" customHeight="false" outlineLevel="0" collapsed="false">
      <c r="A6" s="1" t="n">
        <v>43770</v>
      </c>
      <c r="B6" s="7" t="n">
        <f aca="false">SUM(C6:F6)</f>
        <v>0</v>
      </c>
      <c r="C6" s="7" t="n">
        <f aca="false">IF($A6&gt;$A$3,-0.8,0)</f>
        <v>0</v>
      </c>
      <c r="D6" s="7" t="n">
        <f aca="false">IF($A6&gt;$A$3,-0.4,0)</f>
        <v>0</v>
      </c>
      <c r="E6" s="7" t="n">
        <f aca="false">IF($A6&gt;$A$3,-0.8,0)</f>
        <v>0</v>
      </c>
      <c r="F6" s="7" t="n">
        <f aca="false">IF($A6&gt;$A$3,-2,0)</f>
        <v>0</v>
      </c>
    </row>
    <row r="7" customFormat="false" ht="12.8" hidden="false" customHeight="false" outlineLevel="0" collapsed="false">
      <c r="A7" s="1" t="n">
        <v>44136</v>
      </c>
      <c r="B7" s="7" t="n">
        <f aca="false">SUM(C7:F7)</f>
        <v>-4</v>
      </c>
      <c r="C7" s="7" t="n">
        <f aca="false">IF($A7&gt;$A$3,-0.8,0)</f>
        <v>-0.8</v>
      </c>
      <c r="D7" s="7" t="n">
        <f aca="false">IF($A7&gt;$A$3,-0.4,0)</f>
        <v>-0.4</v>
      </c>
      <c r="E7" s="7" t="n">
        <f aca="false">IF($A7&gt;$A$3,-0.8,0)</f>
        <v>-0.8</v>
      </c>
      <c r="F7" s="7" t="n">
        <f aca="false">IF($A7&gt;$A$3,-2,0)</f>
        <v>-2</v>
      </c>
      <c r="H7" s="2" t="s">
        <v>6</v>
      </c>
    </row>
    <row r="8" customFormat="false" ht="13" hidden="false" customHeight="false" outlineLevel="0" collapsed="false">
      <c r="A8" s="1" t="n">
        <v>44501</v>
      </c>
      <c r="B8" s="7" t="n">
        <f aca="false">SUM(C8:F8)</f>
        <v>-4</v>
      </c>
      <c r="C8" s="7" t="n">
        <f aca="false">IF($A8&gt;$A$3,-0.8,0)</f>
        <v>-0.8</v>
      </c>
      <c r="D8" s="7" t="n">
        <f aca="false">IF($A8&gt;$A$3,-0.4,0)</f>
        <v>-0.4</v>
      </c>
      <c r="E8" s="7" t="n">
        <f aca="false">IF($A8&gt;$A$3,-0.8,0)</f>
        <v>-0.8</v>
      </c>
      <c r="F8" s="7" t="n">
        <f aca="false">IF($A8&gt;$A$3,-2,0)</f>
        <v>-2</v>
      </c>
      <c r="H8" s="9" t="s">
        <v>7</v>
      </c>
    </row>
    <row r="9" customFormat="false" ht="12.8" hidden="false" customHeight="false" outlineLevel="0" collapsed="false">
      <c r="A9" s="1" t="n">
        <v>44866</v>
      </c>
      <c r="B9" s="7" t="n">
        <f aca="false">SUM(C9:F9)</f>
        <v>-24</v>
      </c>
      <c r="C9" s="7" t="n">
        <f aca="false">IF($A9&gt;$A$3,-20.8,0)</f>
        <v>-20.8</v>
      </c>
      <c r="D9" s="7" t="n">
        <f aca="false">IF($A9&gt;$A$3,-0.4,0)</f>
        <v>-0.4</v>
      </c>
      <c r="E9" s="7" t="n">
        <f aca="false">IF($A9&gt;$A$3,-0.8,0)</f>
        <v>-0.8</v>
      </c>
      <c r="F9" s="7" t="n">
        <f aca="false">IF($A9&gt;$A$3,-2,0)</f>
        <v>-2</v>
      </c>
      <c r="H9" s="4" t="s">
        <v>8</v>
      </c>
    </row>
    <row r="10" customFormat="false" ht="12.8" hidden="false" customHeight="false" outlineLevel="0" collapsed="false">
      <c r="A10" s="1" t="n">
        <v>45231</v>
      </c>
      <c r="B10" s="7" t="n">
        <f aca="false">SUM(C10:F10)</f>
        <v>-3.44</v>
      </c>
      <c r="C10" s="7"/>
      <c r="D10" s="7" t="n">
        <f aca="false">IF($A10&gt;$A$3,-0.43,0)</f>
        <v>-0.43</v>
      </c>
      <c r="E10" s="7" t="n">
        <f aca="false">IF($A10&gt;$A$3,-0.86,0)</f>
        <v>-0.86</v>
      </c>
      <c r="F10" s="7" t="n">
        <f aca="false">IF($A10&gt;$A$3,-2.15,0)</f>
        <v>-2.15</v>
      </c>
      <c r="H10" s="4" t="s">
        <v>9</v>
      </c>
    </row>
    <row r="11" customFormat="false" ht="12.8" hidden="false" customHeight="false" outlineLevel="0" collapsed="false">
      <c r="A11" s="1" t="n">
        <v>45597</v>
      </c>
      <c r="B11" s="7" t="n">
        <f aca="false">SUM(C11:F11)</f>
        <v>-3.44</v>
      </c>
      <c r="C11" s="7"/>
      <c r="D11" s="7" t="n">
        <f aca="false">IF($A11&gt;$A$3,-0.43,0)</f>
        <v>-0.43</v>
      </c>
      <c r="E11" s="7" t="n">
        <f aca="false">IF($A11&gt;$A$3,-0.86,0)</f>
        <v>-0.86</v>
      </c>
      <c r="F11" s="7" t="n">
        <f aca="false">IF($A11&gt;$A$3,-2.15,0)</f>
        <v>-2.15</v>
      </c>
      <c r="H11" s="4" t="s">
        <v>10</v>
      </c>
    </row>
    <row r="12" customFormat="false" ht="12.8" hidden="false" customHeight="false" outlineLevel="0" collapsed="false">
      <c r="A12" s="1" t="n">
        <v>45962</v>
      </c>
      <c r="B12" s="7" t="n">
        <f aca="false">SUM(C12:F12)</f>
        <v>-3.44</v>
      </c>
      <c r="C12" s="7"/>
      <c r="D12" s="7" t="n">
        <f aca="false">IF($A12&gt;$A$3,-0.43,0)</f>
        <v>-0.43</v>
      </c>
      <c r="E12" s="7" t="n">
        <f aca="false">IF($A12&gt;$A$3,-0.86,0)</f>
        <v>-0.86</v>
      </c>
      <c r="F12" s="7" t="n">
        <f aca="false">IF($A12&gt;$A$3,-2.15,0)</f>
        <v>-2.15</v>
      </c>
    </row>
    <row r="13" customFormat="false" ht="12.8" hidden="false" customHeight="false" outlineLevel="0" collapsed="false">
      <c r="A13" s="1" t="n">
        <v>46327</v>
      </c>
      <c r="B13" s="7" t="n">
        <f aca="false">SUM(C13:F13)</f>
        <v>-3.44</v>
      </c>
      <c r="C13" s="7"/>
      <c r="D13" s="7" t="n">
        <f aca="false">IF($A13&gt;$A$3,-0.43,0)</f>
        <v>-0.43</v>
      </c>
      <c r="E13" s="7" t="n">
        <f aca="false">IF($A13&gt;$A$3,-0.86,0)</f>
        <v>-0.86</v>
      </c>
      <c r="F13" s="7" t="n">
        <f aca="false">IF($A13&gt;$A$3,-2.15,0)</f>
        <v>-2.15</v>
      </c>
      <c r="H13" s="2" t="s">
        <v>11</v>
      </c>
    </row>
    <row r="14" customFormat="false" ht="12.8" hidden="false" customHeight="false" outlineLevel="0" collapsed="false">
      <c r="A14" s="1" t="n">
        <v>46692</v>
      </c>
      <c r="B14" s="7" t="n">
        <f aca="false">SUM(C14:F14)</f>
        <v>-13.44</v>
      </c>
      <c r="C14" s="7"/>
      <c r="D14" s="7" t="n">
        <f aca="false">IF($A14&gt;$A$3,-10.43,0)</f>
        <v>-10.43</v>
      </c>
      <c r="E14" s="7" t="n">
        <f aca="false">IF($A14&gt;$A$3,-0.86,0)</f>
        <v>-0.86</v>
      </c>
      <c r="F14" s="7" t="n">
        <f aca="false">IF($A14&gt;$A$3,-2.15,0)</f>
        <v>-2.15</v>
      </c>
      <c r="H14" s="4" t="s">
        <v>12</v>
      </c>
    </row>
    <row r="15" customFormat="false" ht="12.8" hidden="false" customHeight="false" outlineLevel="0" collapsed="false">
      <c r="A15" s="1" t="n">
        <v>47058</v>
      </c>
      <c r="B15" s="7" t="n">
        <f aca="false">SUM(C15:F15)</f>
        <v>-3.29</v>
      </c>
      <c r="C15" s="7"/>
      <c r="D15" s="7"/>
      <c r="E15" s="7" t="n">
        <f aca="false">IF($A15&gt;$A$3,-0.94,0)</f>
        <v>-0.94</v>
      </c>
      <c r="F15" s="7" t="n">
        <f aca="false">IF($A15&gt;$A$3,-2.35,0)</f>
        <v>-2.35</v>
      </c>
      <c r="H15" s="4" t="s">
        <v>13</v>
      </c>
    </row>
    <row r="16" customFormat="false" ht="12.8" hidden="false" customHeight="false" outlineLevel="0" collapsed="false">
      <c r="A16" s="1" t="n">
        <v>47423</v>
      </c>
      <c r="B16" s="7" t="n">
        <f aca="false">SUM(C16:F16)</f>
        <v>-3.29</v>
      </c>
      <c r="C16" s="7"/>
      <c r="D16" s="7"/>
      <c r="E16" s="7" t="n">
        <f aca="false">IF($A16&gt;$A$3,-0.94,0)</f>
        <v>-0.94</v>
      </c>
      <c r="F16" s="7" t="n">
        <f aca="false">IF($A16&gt;$A$3,-2.35,0)</f>
        <v>-2.35</v>
      </c>
      <c r="H16" s="4" t="s">
        <v>14</v>
      </c>
    </row>
    <row r="17" customFormat="false" ht="12.8" hidden="false" customHeight="false" outlineLevel="0" collapsed="false">
      <c r="A17" s="1" t="n">
        <v>47788</v>
      </c>
      <c r="B17" s="7" t="n">
        <f aca="false">SUM(C17:F17)</f>
        <v>-3.29</v>
      </c>
      <c r="C17" s="7"/>
      <c r="D17" s="7"/>
      <c r="E17" s="7" t="n">
        <f aca="false">IF($A17&gt;$A$3,-0.94,0)</f>
        <v>-0.94</v>
      </c>
      <c r="F17" s="7" t="n">
        <f aca="false">IF($A17&gt;$A$3,-2.35,0)</f>
        <v>-2.35</v>
      </c>
      <c r="H17" s="4" t="s">
        <v>15</v>
      </c>
    </row>
    <row r="18" customFormat="false" ht="12.8" hidden="false" customHeight="false" outlineLevel="0" collapsed="false">
      <c r="A18" s="1" t="n">
        <v>48153</v>
      </c>
      <c r="B18" s="7" t="n">
        <f aca="false">SUM(C18:F18)</f>
        <v>-3.29</v>
      </c>
      <c r="C18" s="7"/>
      <c r="D18" s="7"/>
      <c r="E18" s="7" t="n">
        <f aca="false">IF($A18&gt;$A$3,-0.94,0)</f>
        <v>-0.94</v>
      </c>
      <c r="F18" s="7" t="n">
        <f aca="false">IF($A18&gt;$A$3,-2.35,0)</f>
        <v>-2.35</v>
      </c>
    </row>
    <row r="19" customFormat="false" ht="12.8" hidden="false" customHeight="false" outlineLevel="0" collapsed="false">
      <c r="A19" s="1" t="n">
        <v>48519</v>
      </c>
      <c r="B19" s="7" t="n">
        <f aca="false">SUM(C19:F19)</f>
        <v>-23.29</v>
      </c>
      <c r="C19" s="7"/>
      <c r="D19" s="7"/>
      <c r="E19" s="7" t="n">
        <f aca="false">IF($A19&gt;$A$3,-20.94,0)</f>
        <v>-20.94</v>
      </c>
      <c r="F19" s="7" t="n">
        <f aca="false">IF($A19&gt;$A$3,-2.35,0)</f>
        <v>-2.35</v>
      </c>
      <c r="H19" s="4" t="s">
        <v>16</v>
      </c>
    </row>
    <row r="20" customFormat="false" ht="12.8" hidden="false" customHeight="false" outlineLevel="0" collapsed="false">
      <c r="A20" s="1" t="n">
        <v>48884</v>
      </c>
      <c r="B20" s="7" t="n">
        <f aca="false">SUM(C20:F20)</f>
        <v>-2.5</v>
      </c>
      <c r="C20" s="7"/>
      <c r="D20" s="7"/>
      <c r="E20" s="7"/>
      <c r="F20" s="7" t="n">
        <f aca="false">IF($A20&gt;$A$3,-2.5,0)</f>
        <v>-2.5</v>
      </c>
      <c r="H20" s="4" t="s">
        <v>17</v>
      </c>
    </row>
    <row r="21" customFormat="false" ht="12.8" hidden="false" customHeight="false" outlineLevel="0" collapsed="false">
      <c r="A21" s="1" t="n">
        <v>49249</v>
      </c>
      <c r="B21" s="7" t="n">
        <f aca="false">SUM(C21:F21)</f>
        <v>-2.5</v>
      </c>
      <c r="C21" s="7"/>
      <c r="D21" s="7"/>
      <c r="E21" s="7"/>
      <c r="F21" s="7" t="n">
        <f aca="false">IF($A21&gt;$A$3,-2.5,0)</f>
        <v>-2.5</v>
      </c>
      <c r="H21" s="4" t="s">
        <v>18</v>
      </c>
    </row>
    <row r="22" s="2" customFormat="true" ht="12.8" hidden="false" customHeight="false" outlineLevel="0" collapsed="false">
      <c r="A22" s="1" t="n">
        <v>49614</v>
      </c>
      <c r="B22" s="7" t="n">
        <f aca="false">SUM(C22:F22)</f>
        <v>-52.5</v>
      </c>
      <c r="C22" s="7"/>
      <c r="D22" s="7"/>
      <c r="E22" s="7"/>
      <c r="F22" s="7" t="n">
        <f aca="false">IF($A22&gt;$A$3,-52.5,0)</f>
        <v>-52.5</v>
      </c>
    </row>
    <row r="23" s="2" customFormat="true" ht="12.8" hidden="false" customHeight="false" outlineLevel="0" collapsed="false">
      <c r="A23" s="5" t="s">
        <v>19</v>
      </c>
      <c r="B23" s="10" t="n">
        <f aca="false">XIRR(B3:B22,$A3:$A22)</f>
        <v>0.0420142203620414</v>
      </c>
      <c r="C23" s="10" t="n">
        <f aca="false">XIRR(C3:C22,$A3:$A22)</f>
        <v>0.034400298151702</v>
      </c>
      <c r="D23" s="10" t="n">
        <f aca="false">XIRR(D3:D22,$A3:$A22)</f>
        <v>0.0395022867789988</v>
      </c>
      <c r="E23" s="10" t="n">
        <f aca="false">XIRR(E3:E22,$A3:$A22)</f>
        <v>0.0419143967476584</v>
      </c>
      <c r="F23" s="10" t="n">
        <f aca="false">XIRR(F3:F22,$A3:$A22)</f>
        <v>0.043038037822578</v>
      </c>
    </row>
    <row r="24" customFormat="false" ht="12.8" hidden="false" customHeight="false" outlineLevel="0" collapsed="false">
      <c r="A24" s="5" t="s">
        <v>20</v>
      </c>
      <c r="B24" s="11" t="n">
        <f aca="false">C24*0.2+D24*0.1+E24*0.2+F24*0.5</f>
        <v>9.25746166758822</v>
      </c>
      <c r="C24" s="11" t="n">
        <f aca="false">DURATION($A3,$A9,0.04,C23,1)</f>
        <v>2.77593966997959</v>
      </c>
      <c r="D24" s="11" t="n">
        <f aca="false">DURATION($A3,$A14,0.04,D23,1)</f>
        <v>6.89290862734739</v>
      </c>
      <c r="E24" s="11" t="n">
        <f aca="false">DURATION($A3,$A19,0.04,E23,1)</f>
        <v>10.2447768007719</v>
      </c>
      <c r="F24" s="11" t="n">
        <f aca="false">DURATION($A3,$A22,0.04,F23,1)</f>
        <v>11.9280550214063</v>
      </c>
    </row>
    <row r="27" customFormat="false" ht="12.8" hidden="false" customHeight="false" outlineLevel="0" collapsed="false">
      <c r="A27" s="5" t="s">
        <v>21</v>
      </c>
      <c r="C27" s="5" t="s">
        <v>22</v>
      </c>
      <c r="H27" s="6" t="s">
        <v>2</v>
      </c>
    </row>
    <row r="28" customFormat="false" ht="12.8" hidden="false" customHeight="false" outlineLevel="0" collapsed="false">
      <c r="A28" s="5" t="s">
        <v>23</v>
      </c>
      <c r="H28" s="6" t="s">
        <v>4</v>
      </c>
    </row>
    <row r="29" customFormat="false" ht="12.8" hidden="false" customHeight="false" outlineLevel="0" collapsed="false">
      <c r="A29" s="1" t="n">
        <f aca="true">TODAY()+2</f>
        <v>43810</v>
      </c>
      <c r="B29" s="7" t="n">
        <v>101.6</v>
      </c>
      <c r="C29" s="7" t="n">
        <f aca="false">B29*0.15</f>
        <v>15.24</v>
      </c>
      <c r="D29" s="7" t="n">
        <f aca="false">B29*0.2</f>
        <v>20.32</v>
      </c>
      <c r="E29" s="7" t="n">
        <f aca="false">B29*0.65</f>
        <v>66.04</v>
      </c>
      <c r="H29" s="8" t="n">
        <f aca="true">IF(TODAY()+2&gt;A31,VLOOKUP(A29,A31:B49,1),43405)</f>
        <v>43770</v>
      </c>
    </row>
    <row r="30" customFormat="false" ht="12.8" hidden="false" customHeight="false" outlineLevel="0" collapsed="false">
      <c r="A30" s="1" t="n">
        <f aca="false">A29</f>
        <v>43810</v>
      </c>
      <c r="B30" s="7" t="n">
        <f aca="false">4/365*(A30-H29)</f>
        <v>0.438356164383562</v>
      </c>
      <c r="C30" s="7" t="n">
        <f aca="false">B30*0.15</f>
        <v>0.0657534246575342</v>
      </c>
      <c r="D30" s="7" t="n">
        <f aca="false">B30*0.2</f>
        <v>0.0876712328767123</v>
      </c>
      <c r="E30" s="7" t="n">
        <f aca="false">B30*0.65</f>
        <v>0.284931506849315</v>
      </c>
      <c r="H30" s="2"/>
    </row>
    <row r="31" customFormat="false" ht="13" hidden="false" customHeight="false" outlineLevel="0" collapsed="false">
      <c r="A31" s="1" t="n">
        <v>43770</v>
      </c>
      <c r="B31" s="7" t="n">
        <f aca="false">SUM(C31:E31)</f>
        <v>0</v>
      </c>
      <c r="C31" s="7" t="n">
        <f aca="false">IF($A31&gt;$A$29,-0.6,0)</f>
        <v>0</v>
      </c>
      <c r="D31" s="7" t="n">
        <f aca="false">IF($A31&gt;$A$29,-0.8,0)</f>
        <v>0</v>
      </c>
      <c r="E31" s="7" t="n">
        <f aca="false">IF($A31&gt;$A$29,-2.6,0)</f>
        <v>0</v>
      </c>
      <c r="H31" s="9" t="s">
        <v>24</v>
      </c>
    </row>
    <row r="32" customFormat="false" ht="12.8" hidden="false" customHeight="false" outlineLevel="0" collapsed="false">
      <c r="A32" s="1" t="n">
        <v>44136</v>
      </c>
      <c r="B32" s="7" t="n">
        <f aca="false">SUM(C32:E32)</f>
        <v>-4</v>
      </c>
      <c r="C32" s="7" t="n">
        <f aca="false">IF($A32&gt;$A$29,-0.6,0)</f>
        <v>-0.6</v>
      </c>
      <c r="D32" s="7" t="n">
        <f aca="false">IF($A32&gt;$A$29,-0.8,0)</f>
        <v>-0.8</v>
      </c>
      <c r="E32" s="7" t="n">
        <f aca="false">IF($A32&gt;$A$29,-2.6,0)</f>
        <v>-2.6</v>
      </c>
    </row>
    <row r="33" customFormat="false" ht="12.8" hidden="false" customHeight="false" outlineLevel="0" collapsed="false">
      <c r="A33" s="1" t="n">
        <v>44501</v>
      </c>
      <c r="B33" s="7" t="n">
        <f aca="false">SUM(C33:E33)</f>
        <v>-4</v>
      </c>
      <c r="C33" s="7" t="n">
        <f aca="false">IF($A33&gt;$A$29,-0.6,0)</f>
        <v>-0.6</v>
      </c>
      <c r="D33" s="7" t="n">
        <f aca="false">IF($A33&gt;$A$29,-0.8,0)</f>
        <v>-0.8</v>
      </c>
      <c r="E33" s="7" t="n">
        <f aca="false">IF($A33&gt;$A$29,-2.6,0)</f>
        <v>-2.6</v>
      </c>
      <c r="H33" s="2" t="s">
        <v>6</v>
      </c>
    </row>
    <row r="34" customFormat="false" ht="13" hidden="false" customHeight="false" outlineLevel="0" collapsed="false">
      <c r="A34" s="1" t="n">
        <v>44866</v>
      </c>
      <c r="B34" s="7" t="n">
        <f aca="false">SUM(C34:E34)</f>
        <v>-4</v>
      </c>
      <c r="C34" s="7" t="n">
        <f aca="false">IF($A34&gt;$A$29,-0.6,0)</f>
        <v>-0.6</v>
      </c>
      <c r="D34" s="7" t="n">
        <f aca="false">IF($A34&gt;$A$29,-0.8,0)</f>
        <v>-0.8</v>
      </c>
      <c r="E34" s="7" t="n">
        <f aca="false">IF($A34&gt;$A$29,-2.6,0)</f>
        <v>-2.6</v>
      </c>
      <c r="H34" s="9" t="s">
        <v>25</v>
      </c>
    </row>
    <row r="35" customFormat="false" ht="12.8" hidden="false" customHeight="false" outlineLevel="0" collapsed="false">
      <c r="A35" s="1" t="n">
        <v>45231</v>
      </c>
      <c r="B35" s="7" t="n">
        <f aca="false">SUM(C35:E35)</f>
        <v>-4</v>
      </c>
      <c r="C35" s="7" t="n">
        <f aca="false">IF($A35&gt;$A$29,-0.6,0)</f>
        <v>-0.6</v>
      </c>
      <c r="D35" s="7" t="n">
        <f aca="false">IF($A35&gt;$A$29,-0.8,0)</f>
        <v>-0.8</v>
      </c>
      <c r="E35" s="7" t="n">
        <f aca="false">IF($A35&gt;$A$29,-2.6,0)</f>
        <v>-2.6</v>
      </c>
      <c r="H35" s="4" t="s">
        <v>26</v>
      </c>
    </row>
    <row r="36" customFormat="false" ht="12.8" hidden="false" customHeight="false" outlineLevel="0" collapsed="false">
      <c r="A36" s="1" t="n">
        <v>45597</v>
      </c>
      <c r="B36" s="7" t="n">
        <f aca="false">SUM(C36:E36)</f>
        <v>-19</v>
      </c>
      <c r="C36" s="7" t="n">
        <f aca="false">IF($A36&gt;$A$29,-15.6,0)</f>
        <v>-15.6</v>
      </c>
      <c r="D36" s="7" t="n">
        <f aca="false">IF($A36&gt;$A$29,-0.8,0)</f>
        <v>-0.8</v>
      </c>
      <c r="E36" s="7" t="n">
        <f aca="false">IF($A36&gt;$A$29,-2.6,0)</f>
        <v>-2.6</v>
      </c>
      <c r="H36" s="4" t="s">
        <v>27</v>
      </c>
    </row>
    <row r="37" customFormat="false" ht="12.8" hidden="false" customHeight="false" outlineLevel="0" collapsed="false">
      <c r="A37" s="1" t="n">
        <v>45962</v>
      </c>
      <c r="B37" s="7" t="n">
        <f aca="false">SUM(C37:E37)</f>
        <v>-3.825</v>
      </c>
      <c r="C37" s="7"/>
      <c r="D37" s="7" t="n">
        <f aca="false">IF($A37&gt;$A$29,-0.9,0)</f>
        <v>-0.9</v>
      </c>
      <c r="E37" s="7" t="n">
        <f aca="false">IF($A37&gt;$A$29,-2.925,0)</f>
        <v>-2.925</v>
      </c>
    </row>
    <row r="38" customFormat="false" ht="12.8" hidden="false" customHeight="false" outlineLevel="0" collapsed="false">
      <c r="A38" s="1" t="n">
        <v>46327</v>
      </c>
      <c r="B38" s="7" t="n">
        <f aca="false">SUM(C38:E38)</f>
        <v>-3.825</v>
      </c>
      <c r="C38" s="7"/>
      <c r="D38" s="7" t="n">
        <f aca="false">IF($A38&gt;$A$29,-0.9,0)</f>
        <v>-0.9</v>
      </c>
      <c r="E38" s="7" t="n">
        <f aca="false">IF($A38&gt;$A$29,-2.925,0)</f>
        <v>-2.925</v>
      </c>
      <c r="H38" s="4" t="s">
        <v>11</v>
      </c>
    </row>
    <row r="39" customFormat="false" ht="12.8" hidden="false" customHeight="false" outlineLevel="0" collapsed="false">
      <c r="A39" s="1" t="n">
        <v>46692</v>
      </c>
      <c r="B39" s="7" t="n">
        <f aca="false">SUM(C39:E39)</f>
        <v>-3.825</v>
      </c>
      <c r="C39" s="7"/>
      <c r="D39" s="7" t="n">
        <f aca="false">IF($A39&gt;$A$29,-0.9,0)</f>
        <v>-0.9</v>
      </c>
      <c r="E39" s="7" t="n">
        <f aca="false">IF($A39&gt;$A$29,-2.925,0)</f>
        <v>-2.925</v>
      </c>
      <c r="H39" s="4" t="s">
        <v>28</v>
      </c>
    </row>
    <row r="40" customFormat="false" ht="12.8" hidden="false" customHeight="false" outlineLevel="0" collapsed="false">
      <c r="A40" s="1" t="n">
        <v>47058</v>
      </c>
      <c r="B40" s="7" t="n">
        <f aca="false">SUM(C40:E40)</f>
        <v>-3.825</v>
      </c>
      <c r="C40" s="7"/>
      <c r="D40" s="7" t="n">
        <f aca="false">IF($A40&gt;$A$29,-0.9,0)</f>
        <v>-0.9</v>
      </c>
      <c r="E40" s="7" t="n">
        <f aca="false">IF($A40&gt;$A$29,-2.925,0)</f>
        <v>-2.925</v>
      </c>
      <c r="H40" s="4" t="s">
        <v>29</v>
      </c>
    </row>
    <row r="41" customFormat="false" ht="12.8" hidden="false" customHeight="false" outlineLevel="0" collapsed="false">
      <c r="A41" s="1" t="n">
        <v>47423</v>
      </c>
      <c r="B41" s="7" t="n">
        <f aca="false">SUM(C41:E41)</f>
        <v>-3.825</v>
      </c>
      <c r="C41" s="7"/>
      <c r="D41" s="7" t="n">
        <f aca="false">IF($A41&gt;$A$29,-0.9,0)</f>
        <v>-0.9</v>
      </c>
      <c r="E41" s="7" t="n">
        <f aca="false">IF($A41&gt;$A$29,-2.925,0)</f>
        <v>-2.925</v>
      </c>
      <c r="H41" s="4" t="s">
        <v>30</v>
      </c>
    </row>
    <row r="42" customFormat="false" ht="12.8" hidden="false" customHeight="false" outlineLevel="0" collapsed="false">
      <c r="A42" s="1" t="n">
        <v>47788</v>
      </c>
      <c r="B42" s="7" t="n">
        <f aca="false">SUM(C42:E42)</f>
        <v>-23.825</v>
      </c>
      <c r="C42" s="7"/>
      <c r="D42" s="7" t="n">
        <f aca="false">IF($A42&gt;$A$29,-20.9,0)</f>
        <v>-20.9</v>
      </c>
      <c r="E42" s="7" t="n">
        <f aca="false">IF($A42&gt;$A$29,-2.925,0)</f>
        <v>-2.925</v>
      </c>
    </row>
    <row r="43" customFormat="false" ht="12.8" hidden="false" customHeight="false" outlineLevel="0" collapsed="false">
      <c r="A43" s="1" t="n">
        <v>48153</v>
      </c>
      <c r="B43" s="7" t="n">
        <f aca="false">SUM(C43:E43)</f>
        <v>-3.25</v>
      </c>
      <c r="C43" s="7"/>
      <c r="D43" s="7"/>
      <c r="E43" s="7" t="n">
        <f aca="false">IF($A43&gt;$A$29,-3.25,0)</f>
        <v>-3.25</v>
      </c>
      <c r="H43" s="4" t="s">
        <v>16</v>
      </c>
    </row>
    <row r="44" customFormat="false" ht="12.8" hidden="false" customHeight="false" outlineLevel="0" collapsed="false">
      <c r="A44" s="1" t="n">
        <v>48519</v>
      </c>
      <c r="B44" s="7" t="n">
        <f aca="false">SUM(C44:E44)</f>
        <v>-3.25</v>
      </c>
      <c r="C44" s="7"/>
      <c r="D44" s="7"/>
      <c r="E44" s="7" t="n">
        <f aca="false">IF($A44&gt;$A$29,-3.25,0)</f>
        <v>-3.25</v>
      </c>
      <c r="H44" s="4" t="s">
        <v>17</v>
      </c>
    </row>
    <row r="45" customFormat="false" ht="12.8" hidden="false" customHeight="false" outlineLevel="0" collapsed="false">
      <c r="A45" s="1" t="n">
        <v>48884</v>
      </c>
      <c r="B45" s="7" t="n">
        <f aca="false">SUM(C45:E45)</f>
        <v>-3.25</v>
      </c>
      <c r="C45" s="7"/>
      <c r="D45" s="7"/>
      <c r="E45" s="7" t="n">
        <f aca="false">IF($A45&gt;$A$29,-3.25,0)</f>
        <v>-3.25</v>
      </c>
      <c r="H45" s="4" t="s">
        <v>31</v>
      </c>
    </row>
    <row r="46" customFormat="false" ht="12.8" hidden="false" customHeight="false" outlineLevel="0" collapsed="false">
      <c r="A46" s="1" t="n">
        <v>49249</v>
      </c>
      <c r="B46" s="7" t="n">
        <f aca="false">SUM(C46:E46)</f>
        <v>-3.25</v>
      </c>
      <c r="C46" s="7"/>
      <c r="D46" s="7"/>
      <c r="E46" s="7" t="n">
        <f aca="false">IF($A46&gt;$A$29,-3.25,0)</f>
        <v>-3.25</v>
      </c>
    </row>
    <row r="47" customFormat="false" ht="12.8" hidden="false" customHeight="false" outlineLevel="0" collapsed="false">
      <c r="A47" s="1" t="n">
        <v>49614</v>
      </c>
      <c r="B47" s="7" t="n">
        <f aca="false">SUM(C47:E47)</f>
        <v>-3.25</v>
      </c>
      <c r="C47" s="7"/>
      <c r="D47" s="7"/>
      <c r="E47" s="7" t="n">
        <f aca="false">IF($A47&gt;$A$29,-3.25,0)</f>
        <v>-3.25</v>
      </c>
    </row>
    <row r="48" customFormat="false" ht="12.8" hidden="false" customHeight="false" outlineLevel="0" collapsed="false">
      <c r="A48" s="1" t="n">
        <v>49980</v>
      </c>
      <c r="B48" s="7" t="n">
        <f aca="false">SUM(C48:E48)</f>
        <v>-3.25</v>
      </c>
      <c r="C48" s="7"/>
      <c r="D48" s="7"/>
      <c r="E48" s="7" t="n">
        <f aca="false">IF($A48&gt;$A$29,-3.25,0)</f>
        <v>-3.25</v>
      </c>
    </row>
    <row r="49" customFormat="false" ht="12.8" hidden="false" customHeight="false" outlineLevel="0" collapsed="false">
      <c r="A49" s="1" t="n">
        <v>49980</v>
      </c>
      <c r="B49" s="7" t="n">
        <f aca="false">SUM(C49:E49)</f>
        <v>-68.25</v>
      </c>
      <c r="C49" s="7"/>
      <c r="D49" s="7"/>
      <c r="E49" s="7" t="n">
        <f aca="false">IF($A49&gt;$A$29,-68.25,0)</f>
        <v>-68.25</v>
      </c>
    </row>
    <row r="50" customFormat="false" ht="12.8" hidden="false" customHeight="false" outlineLevel="0" collapsed="false">
      <c r="A50" s="5" t="s">
        <v>19</v>
      </c>
      <c r="B50" s="10" t="n">
        <f aca="false">XIRR(B29:B49,$A29:$A49)</f>
        <v>0.0438232662406014</v>
      </c>
      <c r="C50" s="10" t="n">
        <f aca="false">XIRR(C29:C49,$A29:$A49)</f>
        <v>0.0363125957116108</v>
      </c>
      <c r="D50" s="10" t="n">
        <f aca="false">XIRR(D29:D49,$A29:$A49)</f>
        <v>0.0405966967188232</v>
      </c>
      <c r="E50" s="10" t="n">
        <f aca="false">XIRR(E29:E49,$A29:$A49)</f>
        <v>0.0451377278218251</v>
      </c>
    </row>
    <row r="51" customFormat="false" ht="12.8" hidden="false" customHeight="false" outlineLevel="0" collapsed="false">
      <c r="A51" s="5" t="s">
        <v>20</v>
      </c>
      <c r="B51" s="11" t="n">
        <f aca="false">C51*0.15+D51*0.2+E51*0.65</f>
        <v>10.527277938859</v>
      </c>
      <c r="C51" s="11" t="n">
        <f aca="false">DURATION($A29,$A36,0.04,C50,1)</f>
        <v>4.52227567609182</v>
      </c>
      <c r="D51" s="11" t="n">
        <f aca="false">DURATION($A29,$A42,0.04,D50,1)</f>
        <v>8.99399147639003</v>
      </c>
      <c r="E51" s="11" t="n">
        <f aca="false">DURATION($A29,$A49,0.04,E50,1)</f>
        <v>12.3848281417958</v>
      </c>
    </row>
    <row r="52" customFormat="false" ht="12.8" hidden="false" customHeight="false" outlineLevel="0" collapsed="false">
      <c r="A52" s="5"/>
      <c r="B52" s="11"/>
      <c r="C52" s="11"/>
      <c r="D52" s="11"/>
      <c r="E52" s="11"/>
    </row>
    <row r="53" customFormat="false" ht="12.8" hidden="false" customHeight="false" outlineLevel="0" collapsed="false">
      <c r="A53" s="5"/>
      <c r="B53" s="11"/>
      <c r="C53" s="11"/>
      <c r="D53" s="11"/>
      <c r="E53" s="11"/>
    </row>
    <row r="54" customFormat="false" ht="12.8" hidden="false" customHeight="false" outlineLevel="0" collapsed="false">
      <c r="A54" s="5" t="s">
        <v>32</v>
      </c>
      <c r="B54" s="11"/>
      <c r="C54" s="5" t="s">
        <v>33</v>
      </c>
      <c r="D54" s="11"/>
      <c r="E54" s="11"/>
      <c r="H54" s="6" t="s">
        <v>2</v>
      </c>
    </row>
    <row r="55" customFormat="false" ht="12.8" hidden="false" customHeight="false" outlineLevel="0" collapsed="false">
      <c r="A55" s="5" t="s">
        <v>34</v>
      </c>
      <c r="B55" s="11"/>
      <c r="C55" s="11"/>
      <c r="D55" s="11"/>
      <c r="E55" s="11"/>
      <c r="H55" s="6" t="s">
        <v>4</v>
      </c>
    </row>
    <row r="56" customFormat="false" ht="12.8" hidden="false" customHeight="false" outlineLevel="0" collapsed="false">
      <c r="A56" s="1" t="n">
        <f aca="true">MAX(TODAY()+2,43800)</f>
        <v>43810</v>
      </c>
      <c r="B56" s="7" t="n">
        <v>100</v>
      </c>
      <c r="C56" s="7" t="n">
        <v>35</v>
      </c>
      <c r="D56" s="7" t="n">
        <v>25</v>
      </c>
      <c r="E56" s="7" t="n">
        <v>20</v>
      </c>
      <c r="F56" s="7" t="n">
        <v>20</v>
      </c>
      <c r="H56" s="8" t="n">
        <v>43800</v>
      </c>
    </row>
    <row r="57" customFormat="false" ht="12.8" hidden="false" customHeight="false" outlineLevel="0" collapsed="false">
      <c r="A57" s="1" t="n">
        <f aca="false">A56</f>
        <v>43810</v>
      </c>
      <c r="B57" s="7" t="n">
        <f aca="true">IF(TODAY()+2&gt;43800,4/365*(A57-H56),0)</f>
        <v>0.10958904109589</v>
      </c>
      <c r="C57" s="7" t="n">
        <f aca="false">B57*0.35</f>
        <v>0.0383561643835616</v>
      </c>
      <c r="D57" s="7" t="n">
        <f aca="false">B57*0.25</f>
        <v>0.0273972602739726</v>
      </c>
      <c r="E57" s="7" t="n">
        <f aca="false">B57*0.2</f>
        <v>0.0219178082191781</v>
      </c>
      <c r="F57" s="7" t="n">
        <f aca="false">B57*0.2</f>
        <v>0.0219178082191781</v>
      </c>
    </row>
    <row r="58" customFormat="false" ht="12.8" hidden="false" customHeight="false" outlineLevel="0" collapsed="false">
      <c r="A58" s="1" t="n">
        <v>44166</v>
      </c>
      <c r="B58" s="7" t="n">
        <f aca="false">SUM(C58:F58)</f>
        <v>-4</v>
      </c>
      <c r="C58" s="7" t="n">
        <f aca="false">IF($A58&gt;$A$56,-1.4,0)</f>
        <v>-1.4</v>
      </c>
      <c r="D58" s="7" t="n">
        <f aca="false">IF($A58&gt;$A$56,-1,0)</f>
        <v>-1</v>
      </c>
      <c r="E58" s="7" t="n">
        <f aca="false">IF($A58&gt;$A$56,-0.8,0)</f>
        <v>-0.8</v>
      </c>
      <c r="F58" s="7" t="n">
        <f aca="false">IF($A58&gt;$A$56,-0.8,0)</f>
        <v>-0.8</v>
      </c>
      <c r="H58" s="4" t="s">
        <v>35</v>
      </c>
    </row>
    <row r="59" customFormat="false" ht="12.8" hidden="false" customHeight="false" outlineLevel="0" collapsed="false">
      <c r="A59" s="1" t="n">
        <v>44531</v>
      </c>
      <c r="B59" s="7" t="n">
        <f aca="false">SUM(C59:F59)</f>
        <v>-4</v>
      </c>
      <c r="C59" s="7" t="n">
        <f aca="false">IF($A59&gt;$A$56,-1.4,0)</f>
        <v>-1.4</v>
      </c>
      <c r="D59" s="7" t="n">
        <f aca="false">IF($A59&gt;$A$56,-1,0)</f>
        <v>-1</v>
      </c>
      <c r="E59" s="7" t="n">
        <f aca="false">IF($A59&gt;$A$56,-0.8,0)</f>
        <v>-0.8</v>
      </c>
      <c r="F59" s="7" t="n">
        <f aca="false">IF($A59&gt;$A$56,-0.8,0)</f>
        <v>-0.8</v>
      </c>
    </row>
    <row r="60" customFormat="false" ht="12.8" hidden="false" customHeight="false" outlineLevel="0" collapsed="false">
      <c r="A60" s="1" t="n">
        <v>44896</v>
      </c>
      <c r="B60" s="7" t="n">
        <f aca="false">SUM(C60:F60)</f>
        <v>-4</v>
      </c>
      <c r="C60" s="7" t="n">
        <f aca="false">IF($A60&gt;$A$56,-1.4,0)</f>
        <v>-1.4</v>
      </c>
      <c r="D60" s="7" t="n">
        <f aca="false">IF($A60&gt;$A$56,-1,0)</f>
        <v>-1</v>
      </c>
      <c r="E60" s="7" t="n">
        <f aca="false">IF($A60&gt;$A$56,-0.8,0)</f>
        <v>-0.8</v>
      </c>
      <c r="F60" s="7" t="n">
        <f aca="false">IF($A60&gt;$A$56,-0.8,0)</f>
        <v>-0.8</v>
      </c>
      <c r="H60" s="2" t="s">
        <v>6</v>
      </c>
    </row>
    <row r="61" customFormat="false" ht="13" hidden="false" customHeight="false" outlineLevel="0" collapsed="false">
      <c r="A61" s="1" t="n">
        <v>45261</v>
      </c>
      <c r="B61" s="7" t="n">
        <f aca="false">SUM(C61:F61)</f>
        <v>-39</v>
      </c>
      <c r="C61" s="7" t="n">
        <f aca="false">IF($A61&gt;$A$56,-36.4,0)</f>
        <v>-36.4</v>
      </c>
      <c r="D61" s="7" t="n">
        <f aca="false">IF($A61&gt;$A$56,-1,0)</f>
        <v>-1</v>
      </c>
      <c r="E61" s="7" t="n">
        <f aca="false">IF($A61&gt;$A$56,-0.8,0)</f>
        <v>-0.8</v>
      </c>
      <c r="F61" s="7" t="n">
        <f aca="false">IF($A61&gt;$A$56,-0.8,0)</f>
        <v>-0.8</v>
      </c>
      <c r="H61" s="9" t="s">
        <v>36</v>
      </c>
    </row>
    <row r="62" customFormat="false" ht="12.8" hidden="false" customHeight="false" outlineLevel="0" collapsed="false">
      <c r="A62" s="1" t="n">
        <v>45627</v>
      </c>
      <c r="B62" s="7" t="n">
        <f aca="false">SUM(C62:F62)</f>
        <v>-2.7625</v>
      </c>
      <c r="C62" s="7"/>
      <c r="D62" s="7" t="n">
        <f aca="false">IF($A62&gt;$A$56,-1.0625,0)</f>
        <v>-1.0625</v>
      </c>
      <c r="E62" s="7" t="n">
        <f aca="false">IF($A62&gt;$A$56,-0.85,0)</f>
        <v>-0.85</v>
      </c>
      <c r="F62" s="7" t="n">
        <f aca="false">IF($A62&gt;$A$56,-0.85,0)</f>
        <v>-0.85</v>
      </c>
      <c r="H62" s="4" t="s">
        <v>37</v>
      </c>
    </row>
    <row r="63" customFormat="false" ht="12.8" hidden="false" customHeight="false" outlineLevel="0" collapsed="false">
      <c r="A63" s="1" t="n">
        <v>45992</v>
      </c>
      <c r="B63" s="7" t="n">
        <f aca="false">SUM(C63:F63)</f>
        <v>-2.7625</v>
      </c>
      <c r="C63" s="7"/>
      <c r="D63" s="7" t="n">
        <f aca="false">IF($A63&gt;$A$56,-1.0625,0)</f>
        <v>-1.0625</v>
      </c>
      <c r="E63" s="7" t="n">
        <f aca="false">IF($A63&gt;$A$56,-0.85,0)</f>
        <v>-0.85</v>
      </c>
      <c r="F63" s="7" t="n">
        <f aca="false">IF($A63&gt;$A$56,-0.85,0)</f>
        <v>-0.85</v>
      </c>
      <c r="H63" s="4" t="s">
        <v>38</v>
      </c>
    </row>
    <row r="64" customFormat="false" ht="12.8" hidden="false" customHeight="false" outlineLevel="0" collapsed="false">
      <c r="A64" s="1" t="n">
        <v>46357</v>
      </c>
      <c r="B64" s="7" t="n">
        <f aca="false">SUM(C64:F64)</f>
        <v>-2.7625</v>
      </c>
      <c r="C64" s="7"/>
      <c r="D64" s="7" t="n">
        <f aca="false">IF($A64&gt;$A$56,-1.0625,0)</f>
        <v>-1.0625</v>
      </c>
      <c r="E64" s="7" t="n">
        <f aca="false">IF($A64&gt;$A$56,-0.85,0)</f>
        <v>-0.85</v>
      </c>
      <c r="F64" s="7" t="n">
        <f aca="false">IF($A64&gt;$A$56,-0.85,0)</f>
        <v>-0.85</v>
      </c>
      <c r="H64" s="4" t="s">
        <v>39</v>
      </c>
    </row>
    <row r="65" customFormat="false" ht="12.8" hidden="false" customHeight="false" outlineLevel="0" collapsed="false">
      <c r="A65" s="1" t="n">
        <v>46722</v>
      </c>
      <c r="B65" s="7" t="n">
        <f aca="false">SUM(C65:F65)</f>
        <v>-27.7625</v>
      </c>
      <c r="C65" s="7"/>
      <c r="D65" s="7" t="n">
        <f aca="false">IF($A65&gt;$A$56,-26.0625,0)</f>
        <v>-26.0625</v>
      </c>
      <c r="E65" s="7" t="n">
        <f aca="false">IF($A65&gt;$A$56,-0.85,0)</f>
        <v>-0.85</v>
      </c>
      <c r="F65" s="7" t="n">
        <f aca="false">IF($A65&gt;$A$56,-0.85,0)</f>
        <v>-0.85</v>
      </c>
    </row>
    <row r="66" customFormat="false" ht="12.8" hidden="false" customHeight="false" outlineLevel="0" collapsed="false">
      <c r="A66" s="1" t="n">
        <v>47088</v>
      </c>
      <c r="B66" s="7" t="n">
        <f aca="false">SUM(C66:F66)</f>
        <v>-1.8</v>
      </c>
      <c r="C66" s="7"/>
      <c r="D66" s="7"/>
      <c r="E66" s="7" t="n">
        <f aca="false">IF($A66&gt;$A$56,-0.9,0)</f>
        <v>-0.9</v>
      </c>
      <c r="F66" s="7" t="n">
        <f aca="false">IF($A66&gt;$A$56,-0.9,0)</f>
        <v>-0.9</v>
      </c>
      <c r="H66" s="4" t="s">
        <v>11</v>
      </c>
    </row>
    <row r="67" customFormat="false" ht="12.8" hidden="false" customHeight="false" outlineLevel="0" collapsed="false">
      <c r="A67" s="1" t="n">
        <v>47453</v>
      </c>
      <c r="B67" s="7" t="n">
        <f aca="false">SUM(C67:F67)</f>
        <v>-1.8</v>
      </c>
      <c r="C67" s="7"/>
      <c r="D67" s="7"/>
      <c r="E67" s="7" t="n">
        <f aca="false">IF($A67&gt;$A$56,-0.9,0)</f>
        <v>-0.9</v>
      </c>
      <c r="F67" s="7" t="n">
        <f aca="false">IF($A67&gt;$A$56,-0.9,0)</f>
        <v>-0.9</v>
      </c>
      <c r="H67" s="4" t="s">
        <v>40</v>
      </c>
    </row>
    <row r="68" customFormat="false" ht="12.8" hidden="false" customHeight="false" outlineLevel="0" collapsed="false">
      <c r="A68" s="1" t="n">
        <v>47818</v>
      </c>
      <c r="B68" s="7" t="n">
        <f aca="false">SUM(C68:F68)</f>
        <v>-1.8</v>
      </c>
      <c r="C68" s="7"/>
      <c r="D68" s="7"/>
      <c r="E68" s="7" t="n">
        <f aca="false">IF($A68&gt;$A$56,-0.9,0)</f>
        <v>-0.9</v>
      </c>
      <c r="F68" s="7" t="n">
        <f aca="false">IF($A68&gt;$A$56,-0.9,0)</f>
        <v>-0.9</v>
      </c>
      <c r="H68" s="4" t="s">
        <v>41</v>
      </c>
    </row>
    <row r="69" customFormat="false" ht="12.8" hidden="false" customHeight="false" outlineLevel="0" collapsed="false">
      <c r="A69" s="1" t="n">
        <v>48183</v>
      </c>
      <c r="B69" s="7" t="n">
        <f aca="false">SUM(C69:F69)</f>
        <v>-1.8</v>
      </c>
      <c r="C69" s="7"/>
      <c r="D69" s="7"/>
      <c r="E69" s="7" t="n">
        <f aca="false">IF($A69&gt;$A$56,-0.9,0)</f>
        <v>-0.9</v>
      </c>
      <c r="F69" s="7" t="n">
        <f aca="false">IF($A69&gt;$A$56,-0.9,0)</f>
        <v>-0.9</v>
      </c>
      <c r="H69" s="4" t="s">
        <v>42</v>
      </c>
    </row>
    <row r="70" customFormat="false" ht="12.8" hidden="false" customHeight="false" outlineLevel="0" collapsed="false">
      <c r="A70" s="1" t="n">
        <v>48549</v>
      </c>
      <c r="B70" s="7" t="n">
        <f aca="false">SUM(C70:F70)</f>
        <v>-21.8</v>
      </c>
      <c r="C70" s="7"/>
      <c r="D70" s="7"/>
      <c r="E70" s="7" t="n">
        <f aca="false">IF($A70&gt;$A$56,-20.9,0)</f>
        <v>-20.9</v>
      </c>
      <c r="F70" s="7" t="n">
        <f aca="false">IF($A70&gt;$A$56,-0.9,0)</f>
        <v>-0.9</v>
      </c>
      <c r="H70" s="4" t="s">
        <v>43</v>
      </c>
    </row>
    <row r="71" customFormat="false" ht="12.8" hidden="false" customHeight="false" outlineLevel="0" collapsed="false">
      <c r="A71" s="1" t="n">
        <v>48914</v>
      </c>
      <c r="B71" s="7" t="n">
        <f aca="false">SUM(C71:F71)</f>
        <v>-1</v>
      </c>
      <c r="C71" s="7"/>
      <c r="D71" s="7"/>
      <c r="E71" s="7"/>
      <c r="F71" s="7" t="n">
        <f aca="false">IF($A71&gt;$A$56,-1,0)</f>
        <v>-1</v>
      </c>
    </row>
    <row r="72" customFormat="false" ht="12.8" hidden="false" customHeight="false" outlineLevel="0" collapsed="false">
      <c r="A72" s="1" t="n">
        <v>49279</v>
      </c>
      <c r="B72" s="7" t="n">
        <f aca="false">SUM(C72:F72)</f>
        <v>-1</v>
      </c>
      <c r="C72" s="7"/>
      <c r="D72" s="7"/>
      <c r="E72" s="7"/>
      <c r="F72" s="7" t="n">
        <f aca="false">IF($A72&gt;$A$56,-1,0)</f>
        <v>-1</v>
      </c>
      <c r="H72" s="4" t="s">
        <v>16</v>
      </c>
    </row>
    <row r="73" customFormat="false" ht="12.8" hidden="false" customHeight="false" outlineLevel="0" collapsed="false">
      <c r="A73" s="1" t="n">
        <v>49644</v>
      </c>
      <c r="B73" s="7" t="n">
        <f aca="false">SUM(C73:F73)</f>
        <v>-1</v>
      </c>
      <c r="C73" s="7"/>
      <c r="D73" s="7"/>
      <c r="E73" s="7"/>
      <c r="F73" s="7" t="n">
        <f aca="false">IF($A73&gt;$A$56,-1,0)</f>
        <v>-1</v>
      </c>
      <c r="H73" s="4" t="s">
        <v>17</v>
      </c>
    </row>
    <row r="74" customFormat="false" ht="12.8" hidden="false" customHeight="false" outlineLevel="0" collapsed="false">
      <c r="A74" s="1" t="n">
        <v>50010</v>
      </c>
      <c r="B74" s="7" t="n">
        <f aca="false">SUM(C74:F74)</f>
        <v>-21</v>
      </c>
      <c r="C74" s="7"/>
      <c r="D74" s="7"/>
      <c r="E74" s="7"/>
      <c r="F74" s="7" t="n">
        <f aca="false">IF($A74&gt;$A$56,-21,0)</f>
        <v>-21</v>
      </c>
      <c r="H74" s="4" t="s">
        <v>44</v>
      </c>
    </row>
    <row r="75" customFormat="false" ht="12.8" hidden="false" customHeight="false" outlineLevel="0" collapsed="false">
      <c r="A75" s="5" t="s">
        <v>19</v>
      </c>
      <c r="B75" s="10" t="n">
        <f aca="false">XIRR(B56:B74,$A56:$A74)</f>
        <v>0.0421035842212921</v>
      </c>
      <c r="C75" s="10" t="n">
        <f aca="false">XIRR(C56:C74,$A56:$A74)</f>
        <v>0.0399644494736179</v>
      </c>
      <c r="D75" s="10" t="n">
        <f aca="false">XIRR(D56:D74,$A56:$A74)</f>
        <v>0.0411202137526947</v>
      </c>
      <c r="E75" s="10" t="n">
        <f aca="false">XIRR(E56:E74,$A56:$A74)</f>
        <v>0.0423564977172084</v>
      </c>
      <c r="F75" s="10" t="n">
        <f aca="false">XIRR(F56:F74,$A56:$A74)</f>
        <v>0.04367981615504</v>
      </c>
    </row>
    <row r="76" customFormat="false" ht="12.8" hidden="false" customHeight="false" outlineLevel="0" collapsed="false">
      <c r="A76" s="5" t="s">
        <v>20</v>
      </c>
      <c r="B76" s="11" t="n">
        <f aca="false">C76*0.35+D76*0.25+E76*0.2+F76*0.2</f>
        <v>7.5579518212198</v>
      </c>
      <c r="C76" s="11" t="n">
        <f aca="false">DURATION($A56,$A61,C75,C75,1)</f>
        <v>3.74750050930104</v>
      </c>
      <c r="D76" s="11" t="n">
        <f aca="false">DURATION($A56,$A65,D75,D75,1)</f>
        <v>6.94950837727754</v>
      </c>
      <c r="E76" s="11" t="n">
        <f aca="false">DURATION($A56,$A70,E75,E75,1)</f>
        <v>10.2302696032261</v>
      </c>
      <c r="F76" s="11" t="n">
        <f aca="false">DURATION($A56,$A74,F75,F75,1)</f>
        <v>12.3144781399991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LibreOffice/6.2.8.2$Windows_X86_64 LibreOffice_project/f82ddfca21ebc1e222a662a32b25c0c9d20169ee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2019-10-12T09:33:20Z</dcterms:created>
  <dc:creator/>
  <dc:description/>
  <dc:language>de-DE</dc:language>
  <cp:lastModifiedBy/>
  <dcterms:modified xsi:type="dcterms:W3CDTF">2019-12-09T11:32:52Z</dcterms:modified>
  <cp:revision>4</cp:revision>
  <dc:subject/>
  <dc:title/>
</cp:coreProperties>
</file>