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c7a04783a926be6/Documents/Office/Exeldokumente/"/>
    </mc:Choice>
  </mc:AlternateContent>
  <xr:revisionPtr revIDLastSave="41" documentId="8_{DD110385-200A-4E84-8D39-44E747663FAB}" xr6:coauthVersionLast="45" xr6:coauthVersionMax="45" xr10:uidLastSave="{EE098280-2472-4F6F-B611-EF8699E4AC48}"/>
  <bookViews>
    <workbookView xWindow="3154" yWindow="-103" windowWidth="18892" windowHeight="12549" xr2:uid="{1B4582F3-142C-44C9-8EED-418A61805C20}"/>
  </bookViews>
  <sheets>
    <sheet name="PKV GKV Vergleich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L10" i="1" l="1"/>
  <c r="E9" i="1"/>
  <c r="E44" i="1" l="1"/>
  <c r="N41" i="1"/>
  <c r="M41" i="1"/>
  <c r="L41" i="1" s="1"/>
  <c r="L42" i="1" s="1"/>
  <c r="L44" i="1" s="1"/>
  <c r="B12" i="1"/>
  <c r="H41" i="1"/>
  <c r="G41" i="1"/>
  <c r="F41" i="1"/>
  <c r="E41" i="1" l="1"/>
  <c r="E42" i="1" s="1"/>
  <c r="L9" i="1" l="1"/>
  <c r="K8" i="1"/>
  <c r="K4" i="1" s="1"/>
  <c r="A5" i="1"/>
  <c r="M27" i="1"/>
  <c r="L18" i="1"/>
  <c r="K19" i="1"/>
  <c r="K23" i="1" s="1"/>
  <c r="L23" i="1" s="1"/>
  <c r="N27" i="1"/>
  <c r="E18" i="1"/>
  <c r="D2" i="1"/>
  <c r="E8" i="1"/>
  <c r="O7" i="1"/>
  <c r="O6" i="1"/>
  <c r="L26" i="1"/>
  <c r="K26" i="1"/>
  <c r="K20" i="1"/>
  <c r="L11" i="1"/>
  <c r="H23" i="1"/>
  <c r="G23" i="1"/>
  <c r="F23" i="1"/>
  <c r="E35" i="1"/>
  <c r="D35" i="1"/>
  <c r="E22" i="1"/>
  <c r="D22" i="1"/>
  <c r="E20" i="1"/>
  <c r="E37" i="1" s="1"/>
  <c r="D19" i="1"/>
  <c r="D21" i="1" s="1"/>
  <c r="D36" i="1" l="1"/>
  <c r="K35" i="1"/>
  <c r="K27" i="1"/>
  <c r="K28" i="1" s="1"/>
  <c r="K29" i="1" s="1"/>
  <c r="D39" i="1"/>
  <c r="E39" i="1"/>
  <c r="L27" i="1"/>
  <c r="L28" i="1" s="1"/>
  <c r="E21" i="1"/>
  <c r="L20" i="1"/>
  <c r="L12" i="1"/>
  <c r="K9" i="1"/>
  <c r="K12" i="1" s="1"/>
  <c r="I8" i="1"/>
  <c r="K13" i="1" l="1"/>
  <c r="K14" i="1" s="1"/>
  <c r="K37" i="1"/>
  <c r="K36" i="1"/>
  <c r="L35" i="1"/>
  <c r="D40" i="1"/>
  <c r="E40" i="1" s="1"/>
  <c r="E43" i="1" s="1"/>
  <c r="D41" i="1"/>
  <c r="D42" i="1" s="1"/>
  <c r="D43" i="1" s="1"/>
  <c r="L29" i="1"/>
  <c r="L30" i="1" s="1"/>
  <c r="L37" i="1"/>
  <c r="L13" i="1"/>
  <c r="L14" i="1" s="1"/>
  <c r="E10" i="1"/>
  <c r="K40" i="1" l="1"/>
  <c r="L40" i="1" s="1"/>
  <c r="L15" i="1"/>
  <c r="E12" i="1"/>
  <c r="E14" i="1" s="1"/>
  <c r="E15" i="1" s="1"/>
  <c r="E23" i="1"/>
  <c r="D23" i="1"/>
  <c r="D24" i="1" s="1"/>
  <c r="D25" i="1" s="1"/>
  <c r="K41" i="1" l="1"/>
  <c r="K42" i="1" s="1"/>
  <c r="K44" i="1" s="1"/>
  <c r="L46" i="1" s="1"/>
  <c r="E24" i="1"/>
  <c r="E25" i="1" s="1"/>
  <c r="E26" i="1" s="1"/>
  <c r="D4" i="1" l="1"/>
  <c r="D8" i="1" s="1"/>
  <c r="D11" i="1" s="1"/>
  <c r="D12" i="1" s="1"/>
  <c r="D14" i="1" l="1"/>
</calcChain>
</file>

<file path=xl/sharedStrings.xml><?xml version="1.0" encoding="utf-8"?>
<sst xmlns="http://schemas.openxmlformats.org/spreadsheetml/2006/main" count="82" uniqueCount="52">
  <si>
    <t>GKV</t>
  </si>
  <si>
    <t>GKV Zusatz (Brille 240 p.a. / Zahn 40%) = 8,85 EUR +pro Monat + 15 EUR Selbstbeteiligung, falls mal etwas anfallen sollte/ Selbstbeteiligung PKV</t>
  </si>
  <si>
    <t>Mehrbeitrag PKV</t>
  </si>
  <si>
    <t>Arbeitgeberzuschuss KV</t>
  </si>
  <si>
    <t>Arbeitgeberzuschuss PV (momentan</t>
  </si>
  <si>
    <t>Nettobelastung</t>
  </si>
  <si>
    <t>PV</t>
  </si>
  <si>
    <t>KV</t>
  </si>
  <si>
    <t>steuerliche Entlastung bei 44% Grenzsteuer + 8% Kirchensteuer = 47%</t>
  </si>
  <si>
    <t>davon theroetisch steuerlich abzugsfähig vor Arbeitgeberbeitrag: 
GKV: volle Beiträge abzl. 4% Lohnfortzahlungskürzung auf KV Beitrag.#
PKV: ca. 75% bis 90% je nach Leistungsstärke des Tarifs, da nur der Anteil für die Basisversicherung steuerlich abzugfähig ist.</t>
  </si>
  <si>
    <t>Lohnfortzahlung: 
GKV: pauschale Kürzung für Lohnfortzahlung im Krankheitsfall 4% des KV Beitrags
PKV: Kürzung um den tatsächlichen Beitrag</t>
  </si>
  <si>
    <t>Steuerlich abzugsfähig nach steuerfreiem Arbeitgeberzuschuss</t>
  </si>
  <si>
    <t>PKV Gesellschaft XY</t>
  </si>
  <si>
    <t>Zuschuss der Rentenversicherung ca. 45%</t>
  </si>
  <si>
    <t>Grenzsteuersatz: 35%</t>
  </si>
  <si>
    <t>steuerlich abzugsfähig (nun volle Abzugsfähigkeit, da Rentner keine Lohnfortzahlung bekommen):</t>
  </si>
  <si>
    <t>Nettokosten</t>
  </si>
  <si>
    <t>Beitragsbemessungsgrenze bei Renteneintritt und x% jährlichem Anstieg</t>
  </si>
  <si>
    <t>Beitragsbemssungsgrenze 2020:</t>
  </si>
  <si>
    <t>Beitragssatz GKV  bei Renteneintritt</t>
  </si>
  <si>
    <t>Prozentuale jährliche Steigerung der PKV bis zum Renteneintritt</t>
  </si>
  <si>
    <t>Jahre bis Renteneintritt</t>
  </si>
  <si>
    <r>
      <t xml:space="preserve">gesetzliche Rente bei Renteneintritt: (Kalkulation hier möglich: </t>
    </r>
    <r>
      <rPr>
        <sz val="11"/>
        <color rgb="FF00B0F0"/>
        <rFont val="Calibri"/>
        <family val="2"/>
        <scheme val="minor"/>
      </rPr>
      <t>https://www.n-heydorn.de/rentenerwartung.html</t>
    </r>
    <r>
      <rPr>
        <sz val="11"/>
        <color theme="1"/>
        <rFont val="Calibri"/>
        <family val="2"/>
        <scheme val="minor"/>
      </rPr>
      <t>)</t>
    </r>
  </si>
  <si>
    <t>Annahme des Betrags, der steuerlich absetzbar ist in der PKV</t>
  </si>
  <si>
    <t>Rentensteigerung ab Renteneintritt p.a.</t>
  </si>
  <si>
    <t>Mit 80 Jahren erreicht ab Renteneintritt  z.B. bei Renteneintritt mit 67</t>
  </si>
  <si>
    <t>Rente</t>
  </si>
  <si>
    <t>Prozentuale jährliche Steigerung der PKV ab Renteneintritt</t>
  </si>
  <si>
    <t>Mehr-/Minderbelastung im Vergleich zur GKV</t>
  </si>
  <si>
    <t>PKV Gesellschaft XY mit Beitragsreduktion im Alter</t>
  </si>
  <si>
    <t>Versicherungspflichtgrenze</t>
  </si>
  <si>
    <t>Beitragsbemessungsgrenze</t>
  </si>
  <si>
    <r>
      <t xml:space="preserve">gesetzliche Rente bei Renteneintritt: (Kalkulation hier möglich: </t>
    </r>
    <r>
      <rPr>
        <b/>
        <sz val="11"/>
        <color rgb="FF00B0F0"/>
        <rFont val="Calibri"/>
        <family val="2"/>
        <scheme val="minor"/>
      </rPr>
      <t>https://www.n-heydorn.de/rentenerwartung.html</t>
    </r>
    <r>
      <rPr>
        <b/>
        <sz val="11"/>
        <color theme="1"/>
        <rFont val="Calibri"/>
        <family val="2"/>
        <scheme val="minor"/>
      </rPr>
      <t>)</t>
    </r>
  </si>
  <si>
    <t>Zuschuss der Rentenversicherung zum Beitrag (Annahme ca. 45%)</t>
  </si>
  <si>
    <t>Beitragsentlastungskomponenten</t>
  </si>
  <si>
    <t>Beitrasentlastung</t>
  </si>
  <si>
    <t>Beitragsreduktion im Alter</t>
  </si>
  <si>
    <t>GKV + PV Beitrag</t>
  </si>
  <si>
    <t>PKV + PV Beitrag</t>
  </si>
  <si>
    <t>Mehr-/Minderbelastung im Vergleich zur GKV bei Renteneintritt</t>
  </si>
  <si>
    <t>Zuschuss der Rentenverischerung ca.45%</t>
  </si>
  <si>
    <t>Grenzsteuersatz: 33%</t>
  </si>
  <si>
    <t>Annahme des Grenzsteuersatzes (42% + 2% Soli +8% Kirchensteuer)</t>
  </si>
  <si>
    <t>Beitragssatz GKV incl. PV  bei Renteneintritt</t>
  </si>
  <si>
    <t>Arbeitgeberzuschuss PV (momentan)</t>
  </si>
  <si>
    <t>ist dauerhaft auch nach Rente weiter zu zahlen laut Maklern</t>
  </si>
  <si>
    <t>Grenzsteuersatz: 30%</t>
  </si>
  <si>
    <t>Grenzsteuersatz</t>
  </si>
  <si>
    <t>steuerlich abzugsfähig (nun volle Abzugsfähigkeit, 
da Rentner keine Lohnfortzahlung bekommen):</t>
  </si>
  <si>
    <t>Gesetzliche Rente mit 80 Jahren</t>
  </si>
  <si>
    <t>steuerliche Entlastung</t>
  </si>
  <si>
    <t>Selbstbeteiligung PKV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</si>
</sst>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0.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2" fontId="0" fillId="0" borderId="0" xfId="0" applyNumberFormat="1"/>
    <xf numFmtId="9" fontId="0" fillId="0" borderId="0" xfId="0" applyNumberFormat="1"/>
    <xf numFmtId="0" fontId="1" fillId="0" borderId="0" xfId="0" applyFont="1"/>
    <xf numFmtId="2" fontId="0" fillId="0" borderId="1" xfId="0" applyNumberFormat="1" applyBorder="1"/>
    <xf numFmtId="2" fontId="1" fillId="0" borderId="0" xfId="0" applyNumberFormat="1" applyFont="1"/>
    <xf numFmtId="0" fontId="1" fillId="0" borderId="1" xfId="0" applyFont="1" applyBorder="1"/>
    <xf numFmtId="0" fontId="0" fillId="0" borderId="0" xfId="0" applyAlignment="1">
      <alignment wrapText="1"/>
    </xf>
    <xf numFmtId="43" fontId="0" fillId="0" borderId="0" xfId="1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43" fontId="1" fillId="0" borderId="0" xfId="1" applyFont="1"/>
    <xf numFmtId="0" fontId="0" fillId="0" borderId="0" xfId="0" applyAlignment="1">
      <alignment horizontal="left" vertical="top"/>
    </xf>
    <xf numFmtId="164" fontId="0" fillId="0" borderId="0" xfId="0" applyNumberFormat="1"/>
    <xf numFmtId="164" fontId="1" fillId="0" borderId="0" xfId="0" applyNumberFormat="1" applyFont="1"/>
    <xf numFmtId="10" fontId="0" fillId="0" borderId="0" xfId="0" applyNumberFormat="1"/>
    <xf numFmtId="0" fontId="3" fillId="0" borderId="0" xfId="0" applyFont="1"/>
    <xf numFmtId="43" fontId="5" fillId="0" borderId="0" xfId="1" applyFont="1"/>
    <xf numFmtId="165" fontId="0" fillId="0" borderId="0" xfId="0" applyNumberFormat="1"/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D4735-35D5-4329-B206-05E8279162DC}">
  <dimension ref="A1:O53"/>
  <sheetViews>
    <sheetView tabSelected="1" topLeftCell="C1" zoomScale="50" zoomScaleNormal="50" workbookViewId="0">
      <selection activeCell="E11" sqref="E11"/>
    </sheetView>
  </sheetViews>
  <sheetFormatPr baseColWidth="10" defaultRowHeight="14.6" x14ac:dyDescent="0.4"/>
  <cols>
    <col min="1" max="1" width="69.53515625" customWidth="1"/>
    <col min="2" max="2" width="9.3828125" customWidth="1"/>
    <col min="3" max="3" width="95.69140625" customWidth="1"/>
    <col min="4" max="4" width="27.23046875" customWidth="1"/>
    <col min="5" max="5" width="30.765625" customWidth="1"/>
    <col min="6" max="6" width="18.3828125" customWidth="1"/>
    <col min="7" max="7" width="14.61328125" customWidth="1"/>
    <col min="8" max="8" width="14.765625" customWidth="1"/>
    <col min="10" max="10" width="59.69140625" customWidth="1"/>
    <col min="12" max="12" width="26.4609375" customWidth="1"/>
    <col min="13" max="13" width="13.3046875" bestFit="1" customWidth="1"/>
    <col min="14" max="14" width="14.765625" customWidth="1"/>
    <col min="15" max="15" width="17.84375" customWidth="1"/>
  </cols>
  <sheetData>
    <row r="1" spans="1:15" x14ac:dyDescent="0.4">
      <c r="C1" t="s">
        <v>18</v>
      </c>
      <c r="D1">
        <v>4687.5</v>
      </c>
    </row>
    <row r="2" spans="1:15" x14ac:dyDescent="0.4">
      <c r="C2" t="s">
        <v>30</v>
      </c>
      <c r="D2">
        <f>62550</f>
        <v>62550</v>
      </c>
    </row>
    <row r="3" spans="1:15" x14ac:dyDescent="0.4">
      <c r="D3" s="6" t="s">
        <v>0</v>
      </c>
      <c r="E3" s="6" t="s">
        <v>12</v>
      </c>
      <c r="K3" s="6" t="s">
        <v>0</v>
      </c>
      <c r="L3" s="6" t="s">
        <v>29</v>
      </c>
    </row>
    <row r="4" spans="1:15" ht="19.75" customHeight="1" x14ac:dyDescent="0.4">
      <c r="C4" t="s">
        <v>7</v>
      </c>
      <c r="D4">
        <f>869.42-D5-D7</f>
        <v>689.86</v>
      </c>
      <c r="E4">
        <v>495</v>
      </c>
      <c r="J4" t="s">
        <v>7</v>
      </c>
      <c r="K4">
        <f>869.42-K5-K8</f>
        <v>689.86</v>
      </c>
      <c r="L4">
        <v>495</v>
      </c>
    </row>
    <row r="5" spans="1:15" ht="19.75" customHeight="1" x14ac:dyDescent="0.4">
      <c r="A5">
        <f>689*0.04</f>
        <v>27.560000000000002</v>
      </c>
      <c r="C5" t="s">
        <v>6</v>
      </c>
      <c r="D5">
        <v>152</v>
      </c>
      <c r="E5">
        <v>45</v>
      </c>
      <c r="J5" t="s">
        <v>6</v>
      </c>
      <c r="K5">
        <v>152</v>
      </c>
      <c r="L5">
        <v>45</v>
      </c>
    </row>
    <row r="6" spans="1:15" ht="64.75" customHeight="1" x14ac:dyDescent="0.4">
      <c r="C6" s="9" t="s">
        <v>1</v>
      </c>
      <c r="E6">
        <v>30</v>
      </c>
      <c r="F6" s="7"/>
      <c r="J6" s="9" t="s">
        <v>51</v>
      </c>
      <c r="L6">
        <v>30</v>
      </c>
      <c r="O6">
        <f>700/270</f>
        <v>2.5925925925925926</v>
      </c>
    </row>
    <row r="7" spans="1:15" ht="43.75" customHeight="1" x14ac:dyDescent="0.4">
      <c r="C7" s="9" t="s">
        <v>10</v>
      </c>
      <c r="D7">
        <v>27.56</v>
      </c>
      <c r="E7">
        <v>40</v>
      </c>
      <c r="F7" s="7"/>
      <c r="J7" s="21" t="s">
        <v>36</v>
      </c>
      <c r="L7" s="20">
        <v>180</v>
      </c>
      <c r="O7">
        <f>190*2.59</f>
        <v>492.09999999999997</v>
      </c>
    </row>
    <row r="8" spans="1:15" ht="76.75" customHeight="1" x14ac:dyDescent="0.4">
      <c r="A8" t="s">
        <v>23</v>
      </c>
      <c r="B8" s="2">
        <v>0.83</v>
      </c>
      <c r="C8" s="9" t="s">
        <v>9</v>
      </c>
      <c r="D8">
        <f>D4+D5+D6</f>
        <v>841.86</v>
      </c>
      <c r="E8">
        <f>E4*$B$8+E5</f>
        <v>455.84999999999997</v>
      </c>
      <c r="F8" s="7"/>
      <c r="I8">
        <f>700/270</f>
        <v>2.5925925925925926</v>
      </c>
      <c r="J8" s="9" t="s">
        <v>10</v>
      </c>
      <c r="K8">
        <f>D7</f>
        <v>27.56</v>
      </c>
      <c r="L8">
        <v>40</v>
      </c>
    </row>
    <row r="9" spans="1:15" ht="36" customHeight="1" x14ac:dyDescent="0.4">
      <c r="C9" s="9" t="s">
        <v>3</v>
      </c>
      <c r="D9">
        <v>357.42</v>
      </c>
      <c r="E9">
        <f>(E4+E7)*0.5</f>
        <v>267.5</v>
      </c>
      <c r="F9" s="7"/>
      <c r="J9" s="9" t="s">
        <v>9</v>
      </c>
      <c r="K9">
        <f>K4+K5+K7</f>
        <v>841.86</v>
      </c>
      <c r="L9">
        <f>(L4*$B$8+L7)</f>
        <v>590.84999999999991</v>
      </c>
    </row>
    <row r="10" spans="1:15" ht="24" customHeight="1" x14ac:dyDescent="0.4">
      <c r="C10" s="9" t="s">
        <v>4</v>
      </c>
      <c r="D10">
        <v>71.48</v>
      </c>
      <c r="E10">
        <f>E5*0.5</f>
        <v>22.5</v>
      </c>
      <c r="F10" s="7"/>
      <c r="J10" s="9" t="s">
        <v>3</v>
      </c>
      <c r="K10">
        <v>357.42</v>
      </c>
      <c r="L10">
        <f>(L4+L8+L7)*0.5</f>
        <v>357.5</v>
      </c>
    </row>
    <row r="11" spans="1:15" ht="30.45" customHeight="1" x14ac:dyDescent="0.4">
      <c r="C11" s="9" t="s">
        <v>11</v>
      </c>
      <c r="D11">
        <f>D8-D9-D10</f>
        <v>412.96</v>
      </c>
      <c r="E11">
        <f>E8-E9-E10</f>
        <v>165.84999999999997</v>
      </c>
      <c r="F11" s="7"/>
      <c r="J11" s="9" t="s">
        <v>44</v>
      </c>
      <c r="K11">
        <v>71.48</v>
      </c>
      <c r="L11">
        <f>L5*0.5</f>
        <v>22.5</v>
      </c>
    </row>
    <row r="12" spans="1:15" x14ac:dyDescent="0.4">
      <c r="A12" t="s">
        <v>42</v>
      </c>
      <c r="B12" s="2">
        <f>42%*1.055*1.07</f>
        <v>0.47411699999999996</v>
      </c>
      <c r="C12" s="10" t="s">
        <v>8</v>
      </c>
      <c r="D12">
        <f>D11*$B$12</f>
        <v>195.79135631999998</v>
      </c>
      <c r="E12">
        <f>E11*$B$12</f>
        <v>78.632304449999978</v>
      </c>
      <c r="J12" s="9" t="s">
        <v>11</v>
      </c>
      <c r="K12">
        <f>K9-K10-K11</f>
        <v>412.96</v>
      </c>
      <c r="L12">
        <f>L9-L10-L11</f>
        <v>210.84999999999991</v>
      </c>
    </row>
    <row r="13" spans="1:15" x14ac:dyDescent="0.4">
      <c r="C13" s="9"/>
      <c r="J13" s="10" t="s">
        <v>50</v>
      </c>
      <c r="K13">
        <f>K12*$B$12</f>
        <v>195.79135631999998</v>
      </c>
      <c r="L13">
        <f>L12*$B$12</f>
        <v>99.967569449999942</v>
      </c>
    </row>
    <row r="14" spans="1:15" x14ac:dyDescent="0.4">
      <c r="C14" t="s">
        <v>5</v>
      </c>
      <c r="D14" s="3">
        <f>D4+D5+D7-D9-D10-D12</f>
        <v>244.72864367999995</v>
      </c>
      <c r="E14" s="3">
        <f>E4+E5+E6+E7-E9-E10-E12</f>
        <v>241.36769555000001</v>
      </c>
      <c r="J14" t="s">
        <v>5</v>
      </c>
      <c r="K14" s="3">
        <f>K4+K5+K8+K7-K10-K11-K13</f>
        <v>244.72864367999995</v>
      </c>
      <c r="L14" s="3">
        <f>L4+L5+L7+L8+L6-L10-L11-L13</f>
        <v>310.03243055000007</v>
      </c>
    </row>
    <row r="15" spans="1:15" x14ac:dyDescent="0.4">
      <c r="C15" s="16" t="s">
        <v>28</v>
      </c>
      <c r="D15" s="16"/>
      <c r="E15" s="19">
        <f>E14-D14</f>
        <v>-3.3609481299999402</v>
      </c>
      <c r="J15" s="16" t="s">
        <v>28</v>
      </c>
      <c r="K15" s="16"/>
      <c r="L15" s="17">
        <f>L14-K14</f>
        <v>65.303786870000124</v>
      </c>
    </row>
    <row r="17" spans="1:15" x14ac:dyDescent="0.4">
      <c r="D17" s="8"/>
      <c r="E17" s="8"/>
    </row>
    <row r="18" spans="1:15" x14ac:dyDescent="0.4">
      <c r="A18" s="3" t="s">
        <v>21</v>
      </c>
      <c r="B18" s="20">
        <v>35</v>
      </c>
      <c r="C18" s="3" t="s">
        <v>32</v>
      </c>
      <c r="D18" s="11">
        <v>4300</v>
      </c>
      <c r="E18" s="11">
        <f>D18</f>
        <v>4300</v>
      </c>
      <c r="J18" t="s">
        <v>22</v>
      </c>
      <c r="K18" s="8">
        <v>4300</v>
      </c>
      <c r="L18" s="8">
        <f>K18</f>
        <v>4300</v>
      </c>
    </row>
    <row r="19" spans="1:15" x14ac:dyDescent="0.4">
      <c r="A19" s="2" t="s">
        <v>43</v>
      </c>
      <c r="B19" s="18">
        <v>0.23499999999999999</v>
      </c>
      <c r="C19" s="7" t="s">
        <v>37</v>
      </c>
      <c r="D19" s="8">
        <f>D18*B19</f>
        <v>1010.4999999999999</v>
      </c>
      <c r="J19" s="7" t="s">
        <v>37</v>
      </c>
      <c r="K19" s="13">
        <f>$B$19*K18</f>
        <v>1010.4999999999999</v>
      </c>
    </row>
    <row r="20" spans="1:15" x14ac:dyDescent="0.4">
      <c r="A20" s="2" t="s">
        <v>20</v>
      </c>
      <c r="B20" s="18">
        <v>3.4000000000000002E-2</v>
      </c>
      <c r="C20" t="s">
        <v>38</v>
      </c>
      <c r="D20" s="8"/>
      <c r="E20" s="8">
        <f>(E4+E5+E6)*(1+B20)^B18</f>
        <v>1836.9346749281078</v>
      </c>
      <c r="F20" s="13"/>
      <c r="J20" t="s">
        <v>38</v>
      </c>
      <c r="K20" s="8">
        <f>K18*I20</f>
        <v>0</v>
      </c>
      <c r="L20" s="8">
        <f>E20</f>
        <v>1836.9346749281078</v>
      </c>
    </row>
    <row r="21" spans="1:15" x14ac:dyDescent="0.4">
      <c r="A21" t="s">
        <v>33</v>
      </c>
      <c r="B21" s="2">
        <v>0.45</v>
      </c>
      <c r="C21" t="s">
        <v>13</v>
      </c>
      <c r="D21" s="8">
        <f>D19*$B$21</f>
        <v>454.72499999999997</v>
      </c>
      <c r="E21" s="8">
        <f>E20*$B$21</f>
        <v>826.62060371764858</v>
      </c>
      <c r="J21" t="s">
        <v>34</v>
      </c>
      <c r="K21" s="8"/>
      <c r="L21" s="8">
        <v>180</v>
      </c>
      <c r="M21" t="s">
        <v>45</v>
      </c>
    </row>
    <row r="22" spans="1:15" x14ac:dyDescent="0.4">
      <c r="A22" t="s">
        <v>17</v>
      </c>
      <c r="B22" s="15">
        <v>2.1000000000000001E-2</v>
      </c>
      <c r="C22" t="s">
        <v>31</v>
      </c>
      <c r="D22" s="8">
        <f>$D$1*(1+$B$22)^$B$18</f>
        <v>9701.5751864878548</v>
      </c>
      <c r="E22" s="8">
        <f>$D$1*(1+$B$22)^$B$18</f>
        <v>9701.5751864878548</v>
      </c>
      <c r="J22" t="s">
        <v>35</v>
      </c>
      <c r="L22">
        <v>-500</v>
      </c>
    </row>
    <row r="23" spans="1:15" ht="26.6" customHeight="1" x14ac:dyDescent="0.4">
      <c r="A23" s="15"/>
      <c r="B23" s="15"/>
      <c r="C23" s="12" t="s">
        <v>15</v>
      </c>
      <c r="D23" s="8">
        <f>D19-D21</f>
        <v>555.77499999999986</v>
      </c>
      <c r="E23" s="8">
        <f>F23+G23-E21</f>
        <v>642.44373236301442</v>
      </c>
      <c r="F23" s="13">
        <f>(E4)*(1+$B$20)^$B$18*$B$8</f>
        <v>1324.0431775337072</v>
      </c>
      <c r="G23" s="13">
        <f>(E5)*(1+$B$20)^$B$18</f>
        <v>145.02115854695589</v>
      </c>
      <c r="H23" s="13">
        <f>(E6)*(1+$B$20)^$B$18</f>
        <v>96.680772364637264</v>
      </c>
      <c r="J23" t="s">
        <v>13</v>
      </c>
      <c r="K23" s="8">
        <f>K19*B21</f>
        <v>454.72499999999997</v>
      </c>
      <c r="L23" s="8">
        <f>K23</f>
        <v>454.72499999999997</v>
      </c>
    </row>
    <row r="24" spans="1:15" x14ac:dyDescent="0.4">
      <c r="B24" s="2">
        <v>0.33</v>
      </c>
      <c r="C24" s="10" t="s">
        <v>41</v>
      </c>
      <c r="D24" s="1">
        <f>D23*0.35</f>
        <v>194.52124999999995</v>
      </c>
      <c r="E24" s="13">
        <f>E23*0.35</f>
        <v>224.85530632705502</v>
      </c>
    </row>
    <row r="25" spans="1:15" x14ac:dyDescent="0.4">
      <c r="C25" t="s">
        <v>16</v>
      </c>
      <c r="D25" s="11">
        <f>D19-D21-D24</f>
        <v>361.25374999999991</v>
      </c>
      <c r="E25" s="14">
        <f>E20-E21-E24</f>
        <v>785.45876488340423</v>
      </c>
    </row>
    <row r="26" spans="1:15" x14ac:dyDescent="0.4">
      <c r="C26" s="16" t="s">
        <v>28</v>
      </c>
      <c r="E26" s="17">
        <f>D25-E25</f>
        <v>-424.20501488340432</v>
      </c>
      <c r="H26" s="8"/>
      <c r="K26" s="8">
        <f>$D$1*(1+$B$22)^$B$18</f>
        <v>9701.5751864878548</v>
      </c>
      <c r="L26" s="8">
        <f>$D$1*(1+$B$22)^$B$18</f>
        <v>9701.5751864878548</v>
      </c>
    </row>
    <row r="27" spans="1:15" x14ac:dyDescent="0.4">
      <c r="J27" s="12" t="s">
        <v>15</v>
      </c>
      <c r="K27" s="8">
        <f>K19-K23</f>
        <v>555.77499999999986</v>
      </c>
      <c r="L27" s="8">
        <f>M27+N27</f>
        <v>1260.7306281618191</v>
      </c>
      <c r="M27" s="13">
        <f>(L4*(1+$B$20)^$B$18*0.9)+L21+L22</f>
        <v>1115.7094696148633</v>
      </c>
      <c r="N27" s="13">
        <f>(L5)*(1+$B$20)^$B$18</f>
        <v>145.02115854695589</v>
      </c>
      <c r="O27" s="13"/>
    </row>
    <row r="28" spans="1:15" x14ac:dyDescent="0.4">
      <c r="J28" s="10" t="s">
        <v>14</v>
      </c>
      <c r="K28" s="1">
        <f>K27*0.35</f>
        <v>194.52124999999995</v>
      </c>
      <c r="L28" s="1">
        <f>L27*0.35</f>
        <v>441.25571985663669</v>
      </c>
    </row>
    <row r="29" spans="1:15" x14ac:dyDescent="0.4">
      <c r="J29" t="s">
        <v>16</v>
      </c>
      <c r="K29" s="11">
        <f>K19-K23-K28</f>
        <v>361.25374999999991</v>
      </c>
      <c r="L29" s="11">
        <f>L20+L21+L22-L23-L28</f>
        <v>620.95395507147123</v>
      </c>
    </row>
    <row r="30" spans="1:15" x14ac:dyDescent="0.4">
      <c r="G30" s="2"/>
      <c r="J30" s="16" t="s">
        <v>39</v>
      </c>
      <c r="L30" s="17">
        <f>L29-K29</f>
        <v>259.70020507147132</v>
      </c>
    </row>
    <row r="31" spans="1:15" x14ac:dyDescent="0.4">
      <c r="K31" s="13"/>
      <c r="L31" s="13"/>
    </row>
    <row r="34" spans="1:15" x14ac:dyDescent="0.4">
      <c r="A34" s="3" t="s">
        <v>25</v>
      </c>
      <c r="B34">
        <v>13</v>
      </c>
    </row>
    <row r="35" spans="1:15" x14ac:dyDescent="0.4">
      <c r="A35" s="2" t="s">
        <v>24</v>
      </c>
      <c r="B35" s="18">
        <v>1.4999999999999999E-2</v>
      </c>
      <c r="C35" t="s">
        <v>26</v>
      </c>
      <c r="D35" s="13">
        <f>$D$18*(1+$B$35)^$B$34</f>
        <v>5218.2755093438618</v>
      </c>
      <c r="E35" s="13">
        <f>$D$18*(1+$B$35)^$B$34</f>
        <v>5218.2755093438618</v>
      </c>
      <c r="J35" t="s">
        <v>49</v>
      </c>
      <c r="K35" s="8">
        <f>D35</f>
        <v>5218.2755093438618</v>
      </c>
      <c r="L35" s="8">
        <f>K35</f>
        <v>5218.2755093438618</v>
      </c>
    </row>
    <row r="36" spans="1:15" x14ac:dyDescent="0.4">
      <c r="A36" s="2" t="s">
        <v>19</v>
      </c>
      <c r="B36" s="2">
        <v>0.27</v>
      </c>
      <c r="C36" s="7" t="s">
        <v>37</v>
      </c>
      <c r="D36" s="13">
        <f>D35*B36</f>
        <v>1408.9343875228428</v>
      </c>
      <c r="E36" s="13"/>
      <c r="J36" s="7" t="s">
        <v>37</v>
      </c>
      <c r="K36" s="13">
        <f>$B$36*K35</f>
        <v>1408.9343875228428</v>
      </c>
    </row>
    <row r="37" spans="1:15" x14ac:dyDescent="0.4">
      <c r="A37" s="2" t="s">
        <v>27</v>
      </c>
      <c r="B37" s="18">
        <v>1.2999999999999999E-2</v>
      </c>
      <c r="C37" t="s">
        <v>38</v>
      </c>
      <c r="E37" s="13">
        <f>$E$20*(1+$B$37)^$B$34</f>
        <v>2172.7837365390737</v>
      </c>
      <c r="J37" t="s">
        <v>38</v>
      </c>
      <c r="K37" s="8">
        <f>K35*I36</f>
        <v>0</v>
      </c>
      <c r="L37" s="8">
        <f>L20*(1+B37)^B34</f>
        <v>2172.7837365390737</v>
      </c>
    </row>
    <row r="38" spans="1:15" x14ac:dyDescent="0.4">
      <c r="J38" t="s">
        <v>34</v>
      </c>
      <c r="K38" s="8"/>
      <c r="L38" s="8">
        <v>180</v>
      </c>
    </row>
    <row r="39" spans="1:15" x14ac:dyDescent="0.4">
      <c r="A39" t="s">
        <v>17</v>
      </c>
      <c r="B39" s="15">
        <v>2.1000000000000001E-2</v>
      </c>
      <c r="C39" t="s">
        <v>31</v>
      </c>
      <c r="D39" s="8">
        <f>$D$22*(1+$B$39)^$B$34</f>
        <v>12710.917528062817</v>
      </c>
      <c r="E39" s="8">
        <f>$D$22*(1+$B$39)^$B$34</f>
        <v>12710.917528062817</v>
      </c>
      <c r="J39" t="s">
        <v>35</v>
      </c>
      <c r="L39">
        <v>-500</v>
      </c>
    </row>
    <row r="40" spans="1:15" x14ac:dyDescent="0.4">
      <c r="A40" t="s">
        <v>33</v>
      </c>
      <c r="B40" s="2">
        <v>0.45</v>
      </c>
      <c r="C40" t="s">
        <v>40</v>
      </c>
      <c r="D40" s="1">
        <f>D36*$B$21</f>
        <v>634.02047438527927</v>
      </c>
      <c r="E40" s="1">
        <f>D40</f>
        <v>634.02047438527927</v>
      </c>
      <c r="J40" t="s">
        <v>13</v>
      </c>
      <c r="K40" s="8">
        <f>K36*B40</f>
        <v>634.02047438527927</v>
      </c>
      <c r="L40" s="8">
        <f>K40</f>
        <v>634.02047438527927</v>
      </c>
    </row>
    <row r="41" spans="1:15" ht="29.15" x14ac:dyDescent="0.4">
      <c r="C41" s="12" t="s">
        <v>15</v>
      </c>
      <c r="D41" s="1">
        <f>D36-D40</f>
        <v>774.91391313756355</v>
      </c>
      <c r="E41" s="1">
        <f>F41+G41</f>
        <v>1469.064336080663</v>
      </c>
      <c r="F41" s="13">
        <f>(E4)*(1+$B$20)^$B$18*$B$8</f>
        <v>1324.0431775337072</v>
      </c>
      <c r="G41" s="13">
        <f>(E5)*(1+$B$20)^$B$18</f>
        <v>145.02115854695589</v>
      </c>
      <c r="H41" s="13">
        <f>(E6)*(1+$B$20)^$B$18</f>
        <v>96.680772364637264</v>
      </c>
      <c r="J41" s="22" t="s">
        <v>48</v>
      </c>
      <c r="K41" s="13">
        <f>K36-K40</f>
        <v>774.91391313756355</v>
      </c>
      <c r="L41" s="13">
        <f>M41+N41</f>
        <v>1417.6552040374329</v>
      </c>
      <c r="M41" s="13">
        <f>L4*(1+B20)^B18*(1+B37)^B34*B8+L38+L39</f>
        <v>1246.1196458896113</v>
      </c>
      <c r="N41" s="13">
        <f>(L5)*(1+$B$20)^$B$18*(1+B37)^B34</f>
        <v>171.53555814782163</v>
      </c>
      <c r="O41" s="13"/>
    </row>
    <row r="42" spans="1:15" x14ac:dyDescent="0.4">
      <c r="B42" s="2">
        <v>0.3</v>
      </c>
      <c r="C42" s="10" t="s">
        <v>47</v>
      </c>
      <c r="D42" s="1">
        <f>D41*$B$42</f>
        <v>232.47417394126904</v>
      </c>
      <c r="E42" s="1">
        <f>E41*$B$42</f>
        <v>440.71930082419891</v>
      </c>
      <c r="J42" t="s">
        <v>46</v>
      </c>
      <c r="K42" s="13">
        <f>K41*B42</f>
        <v>232.47417394126904</v>
      </c>
      <c r="L42" s="13">
        <f>L41*B42</f>
        <v>425.29656121122986</v>
      </c>
    </row>
    <row r="43" spans="1:15" x14ac:dyDescent="0.4">
      <c r="C43" t="s">
        <v>16</v>
      </c>
      <c r="D43" s="4">
        <f>D36-D40-D42</f>
        <v>542.43973919629457</v>
      </c>
      <c r="E43" s="4">
        <f>E37-E40-E42</f>
        <v>1098.0439613295957</v>
      </c>
      <c r="K43" s="8"/>
      <c r="L43" s="8"/>
    </row>
    <row r="44" spans="1:15" x14ac:dyDescent="0.4">
      <c r="C44" t="s">
        <v>2</v>
      </c>
      <c r="E44" s="17">
        <f>E43-D43</f>
        <v>555.60422213330116</v>
      </c>
      <c r="J44" t="s">
        <v>16</v>
      </c>
      <c r="K44" s="11">
        <f>K36-K40-K42</f>
        <v>542.43973919629457</v>
      </c>
      <c r="L44" s="11">
        <f>L37+L38+L39-L40-L42</f>
        <v>793.46670094256478</v>
      </c>
    </row>
    <row r="45" spans="1:15" x14ac:dyDescent="0.4">
      <c r="J45" s="10" t="s">
        <v>46</v>
      </c>
      <c r="K45" s="1"/>
      <c r="L45" s="1"/>
    </row>
    <row r="46" spans="1:15" x14ac:dyDescent="0.4">
      <c r="J46" s="16" t="s">
        <v>39</v>
      </c>
      <c r="L46" s="17">
        <f>L44-K44</f>
        <v>251.02696174627022</v>
      </c>
    </row>
    <row r="53" spans="5:12" x14ac:dyDescent="0.4">
      <c r="E53" s="5"/>
      <c r="L53" s="13"/>
    </row>
  </sheetData>
  <pageMargins left="0.7" right="0.7" top="0.78740157499999996" bottom="0.78740157499999996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PKV GKV Vergleich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Felix Haendel</cp:lastModifiedBy>
  <cp:lastPrinted>2020-10-17T09:27:26Z</cp:lastPrinted>
  <dcterms:created xsi:type="dcterms:W3CDTF">2020-10-17T05:53:51Z</dcterms:created>
  <dcterms:modified xsi:type="dcterms:W3CDTF">2020-10-25T16:18:51Z</dcterms:modified>
</cp:coreProperties>
</file>