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chaelsandrik/Documents/Finance/Stock Valuations/"/>
    </mc:Choice>
  </mc:AlternateContent>
  <xr:revisionPtr revIDLastSave="0" documentId="13_ncr:1_{F705E9BB-E3B1-284B-9090-17C4948B9352}" xr6:coauthVersionLast="47" xr6:coauthVersionMax="47" xr10:uidLastSave="{00000000-0000-0000-0000-000000000000}"/>
  <bookViews>
    <workbookView xWindow="28700" yWindow="2940" windowWidth="27240" windowHeight="16560" tabRatio="448" xr2:uid="{00000000-000D-0000-FFFF-FFFF00000000}"/>
  </bookViews>
  <sheets>
    <sheet name="Valuation DCF" sheetId="1" r:id="rId1"/>
    <sheet name="Revenue Growth" sheetId="9" r:id="rId2"/>
    <sheet name="Margins" sheetId="10" r:id="rId3"/>
    <sheet name="Charts" sheetId="11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7" i="9" l="1"/>
  <c r="O7" i="9"/>
  <c r="K7" i="9"/>
  <c r="G7" i="9"/>
  <c r="S6" i="9"/>
  <c r="O6" i="9"/>
  <c r="K6" i="9"/>
  <c r="G6" i="9"/>
  <c r="S5" i="9"/>
  <c r="O5" i="9"/>
  <c r="K5" i="9"/>
  <c r="G5" i="9"/>
  <c r="C11" i="10" l="1"/>
  <c r="C12" i="10"/>
  <c r="B247" i="1" l="1"/>
  <c r="H234" i="1"/>
  <c r="G234" i="1"/>
  <c r="F234" i="1"/>
  <c r="E234" i="1"/>
  <c r="D234" i="1"/>
  <c r="H232" i="1"/>
  <c r="G232" i="1"/>
  <c r="F232" i="1"/>
  <c r="E232" i="1"/>
  <c r="D232" i="1"/>
  <c r="H231" i="1"/>
  <c r="G231" i="1"/>
  <c r="F231" i="1"/>
  <c r="E231" i="1"/>
  <c r="D231" i="1"/>
  <c r="H227" i="1"/>
  <c r="G227" i="1"/>
  <c r="F227" i="1"/>
  <c r="E227" i="1"/>
  <c r="D227" i="1"/>
  <c r="H226" i="1"/>
  <c r="G226" i="1"/>
  <c r="F226" i="1"/>
  <c r="E226" i="1"/>
  <c r="D226" i="1"/>
  <c r="J225" i="1"/>
  <c r="K225" i="1" s="1"/>
  <c r="L225" i="1" s="1"/>
  <c r="M225" i="1" s="1"/>
  <c r="N225" i="1" s="1"/>
  <c r="O225" i="1" s="1"/>
  <c r="P225" i="1" s="1"/>
  <c r="Q225" i="1" s="1"/>
  <c r="R225" i="1" s="1"/>
  <c r="S225" i="1" s="1"/>
  <c r="T225" i="1" s="1"/>
  <c r="U225" i="1" s="1"/>
  <c r="V225" i="1" s="1"/>
  <c r="W225" i="1" s="1"/>
  <c r="X225" i="1" s="1"/>
  <c r="Y225" i="1" s="1"/>
  <c r="Z225" i="1" s="1"/>
  <c r="AA225" i="1" s="1"/>
  <c r="AB225" i="1" s="1"/>
  <c r="H225" i="1"/>
  <c r="G225" i="1" s="1"/>
  <c r="F225" i="1" s="1"/>
  <c r="E225" i="1" s="1"/>
  <c r="D225" i="1" s="1"/>
  <c r="B20" i="1" l="1"/>
  <c r="R29" i="1" l="1"/>
  <c r="R211" i="1"/>
  <c r="R210" i="1"/>
  <c r="R209" i="1"/>
  <c r="R208" i="1"/>
  <c r="R15" i="1" l="1"/>
  <c r="Q15" i="1"/>
  <c r="P15" i="1"/>
  <c r="O15" i="1"/>
  <c r="N15" i="1"/>
  <c r="M15" i="1"/>
  <c r="R14" i="1"/>
  <c r="Q14" i="1"/>
  <c r="P14" i="1"/>
  <c r="O14" i="1"/>
  <c r="N14" i="1"/>
  <c r="M14" i="1"/>
  <c r="R212" i="1" l="1"/>
  <c r="Q212" i="1"/>
  <c r="P212" i="1"/>
  <c r="O212" i="1"/>
  <c r="N212" i="1"/>
  <c r="M212" i="1"/>
  <c r="R94" i="1" l="1"/>
  <c r="L183" i="1" l="1"/>
  <c r="R89" i="1"/>
  <c r="R185" i="1" s="1"/>
  <c r="R186" i="1" s="1"/>
  <c r="Q89" i="1"/>
  <c r="P89" i="1"/>
  <c r="O89" i="1"/>
  <c r="F228" i="1" s="1"/>
  <c r="O16" i="1" s="1"/>
  <c r="N89" i="1"/>
  <c r="E228" i="1" s="1"/>
  <c r="N16" i="1" s="1"/>
  <c r="M89" i="1"/>
  <c r="R87" i="1"/>
  <c r="L86" i="1"/>
  <c r="R60" i="1"/>
  <c r="Q60" i="1"/>
  <c r="P60" i="1"/>
  <c r="O60" i="1"/>
  <c r="M63" i="1" s="1"/>
  <c r="N60" i="1"/>
  <c r="M60" i="1"/>
  <c r="R58" i="1"/>
  <c r="L57" i="1"/>
  <c r="M62" i="1" l="1"/>
  <c r="P185" i="1"/>
  <c r="G233" i="1" s="1"/>
  <c r="G228" i="1"/>
  <c r="P16" i="1" s="1"/>
  <c r="M185" i="1"/>
  <c r="D233" i="1" s="1"/>
  <c r="D228" i="1"/>
  <c r="M16" i="1" s="1"/>
  <c r="Q185" i="1"/>
  <c r="H233" i="1" s="1"/>
  <c r="H228" i="1"/>
  <c r="Q16" i="1" s="1"/>
  <c r="L3" i="1"/>
  <c r="B83" i="1"/>
  <c r="M92" i="1"/>
  <c r="M91" i="1"/>
  <c r="O185" i="1"/>
  <c r="F233" i="1" s="1"/>
  <c r="M61" i="1"/>
  <c r="N185" i="1"/>
  <c r="E233" i="1" s="1"/>
  <c r="M90" i="1"/>
  <c r="P186" i="1" l="1"/>
  <c r="M186" i="1"/>
  <c r="Q186" i="1"/>
  <c r="O186" i="1"/>
  <c r="N186" i="1"/>
  <c r="L206" i="1"/>
  <c r="R161" i="1"/>
  <c r="Q161" i="1"/>
  <c r="P161" i="1"/>
  <c r="O161" i="1"/>
  <c r="N161" i="1"/>
  <c r="M161" i="1"/>
  <c r="R140" i="1"/>
  <c r="R141" i="1" s="1"/>
  <c r="Q140" i="1"/>
  <c r="P140" i="1"/>
  <c r="O140" i="1"/>
  <c r="F236" i="1" s="1"/>
  <c r="F238" i="1" s="1"/>
  <c r="N140" i="1"/>
  <c r="E236" i="1" s="1"/>
  <c r="E238" i="1" s="1"/>
  <c r="M140" i="1"/>
  <c r="R114" i="1"/>
  <c r="Q114" i="1"/>
  <c r="P114" i="1"/>
  <c r="O114" i="1"/>
  <c r="N114" i="1"/>
  <c r="M114" i="1"/>
  <c r="O141" i="1" l="1"/>
  <c r="M116" i="1"/>
  <c r="M117" i="1"/>
  <c r="M163" i="1"/>
  <c r="M164" i="1"/>
  <c r="Q141" i="1"/>
  <c r="M144" i="1" s="1"/>
  <c r="H236" i="1"/>
  <c r="H238" i="1" s="1"/>
  <c r="N141" i="1"/>
  <c r="M141" i="1"/>
  <c r="D236" i="1"/>
  <c r="D238" i="1" s="1"/>
  <c r="P141" i="1"/>
  <c r="G236" i="1"/>
  <c r="G238" i="1" s="1"/>
  <c r="M189" i="1"/>
  <c r="M162" i="1"/>
  <c r="M115" i="1"/>
  <c r="M187" i="1"/>
  <c r="M188" i="1"/>
  <c r="R191" i="1"/>
  <c r="M142" i="1" l="1"/>
  <c r="M143" i="1"/>
  <c r="I6" i="1"/>
  <c r="B24" i="1"/>
  <c r="C17" i="1"/>
  <c r="H262" i="1" l="1"/>
  <c r="D262" i="1"/>
  <c r="F262" i="1"/>
  <c r="G262" i="1"/>
  <c r="E262" i="1"/>
  <c r="B251" i="1"/>
  <c r="L5" i="1"/>
  <c r="L4" i="1" l="1"/>
  <c r="L158" i="1"/>
  <c r="L135" i="1"/>
  <c r="L111" i="1"/>
  <c r="L27" i="1"/>
  <c r="C206" i="1"/>
  <c r="C81" i="1"/>
  <c r="C27" i="1"/>
  <c r="R159" i="1" l="1"/>
  <c r="R136" i="1"/>
  <c r="R112" i="1"/>
  <c r="R28" i="1"/>
  <c r="Q13" i="1"/>
  <c r="Q136" i="1" s="1"/>
  <c r="P13" i="1" l="1"/>
  <c r="Q28" i="1"/>
  <c r="P207" i="1"/>
  <c r="P94" i="1"/>
  <c r="P184" i="1"/>
  <c r="P58" i="1"/>
  <c r="P87" i="1"/>
  <c r="P191" i="1"/>
  <c r="Q207" i="1"/>
  <c r="Q94" i="1"/>
  <c r="Q184" i="1"/>
  <c r="Q58" i="1"/>
  <c r="Q87" i="1"/>
  <c r="Q191" i="1"/>
  <c r="P112" i="1"/>
  <c r="P159" i="1"/>
  <c r="Q112" i="1"/>
  <c r="Q159" i="1"/>
  <c r="P28" i="1"/>
  <c r="O13" i="1" l="1"/>
  <c r="P136" i="1"/>
  <c r="C15" i="10"/>
  <c r="C17" i="10" s="1"/>
  <c r="D14" i="10"/>
  <c r="E14" i="10" s="1"/>
  <c r="F14" i="10" s="1"/>
  <c r="G14" i="10" s="1"/>
  <c r="H14" i="10" s="1"/>
  <c r="I14" i="10" s="1"/>
  <c r="J14" i="10" s="1"/>
  <c r="K14" i="10" s="1"/>
  <c r="L14" i="10" s="1"/>
  <c r="M14" i="10" s="1"/>
  <c r="D13" i="10"/>
  <c r="E13" i="10" s="1"/>
  <c r="F13" i="10" s="1"/>
  <c r="G13" i="10" s="1"/>
  <c r="H13" i="10" s="1"/>
  <c r="I13" i="10" s="1"/>
  <c r="J13" i="10" s="1"/>
  <c r="K13" i="10" s="1"/>
  <c r="L13" i="10" s="1"/>
  <c r="M13" i="10" s="1"/>
  <c r="D12" i="10"/>
  <c r="E12" i="10" s="1"/>
  <c r="O136" i="1" l="1"/>
  <c r="N13" i="1"/>
  <c r="O191" i="1"/>
  <c r="O159" i="1"/>
  <c r="O28" i="1"/>
  <c r="O207" i="1"/>
  <c r="O184" i="1"/>
  <c r="O87" i="1"/>
  <c r="O94" i="1"/>
  <c r="O112" i="1"/>
  <c r="O58" i="1"/>
  <c r="F12" i="10"/>
  <c r="E15" i="10"/>
  <c r="E17" i="10" s="1"/>
  <c r="D15" i="10"/>
  <c r="D17" i="10" s="1"/>
  <c r="N191" i="1" l="1"/>
  <c r="N87" i="1"/>
  <c r="N159" i="1"/>
  <c r="N28" i="1"/>
  <c r="N58" i="1"/>
  <c r="N112" i="1"/>
  <c r="N94" i="1"/>
  <c r="N184" i="1"/>
  <c r="M13" i="1"/>
  <c r="N136" i="1"/>
  <c r="N207" i="1"/>
  <c r="F15" i="10"/>
  <c r="F17" i="10" s="1"/>
  <c r="G12" i="10"/>
  <c r="M28" i="1" l="1"/>
  <c r="M159" i="1"/>
  <c r="M191" i="1"/>
  <c r="M112" i="1"/>
  <c r="M207" i="1"/>
  <c r="M87" i="1"/>
  <c r="M184" i="1"/>
  <c r="M94" i="1"/>
  <c r="M136" i="1"/>
  <c r="M58" i="1"/>
  <c r="G15" i="10"/>
  <c r="G17" i="10" s="1"/>
  <c r="H12" i="10"/>
  <c r="H15" i="10" l="1"/>
  <c r="H17" i="10" s="1"/>
  <c r="I12" i="10"/>
  <c r="R11" i="9"/>
  <c r="N11" i="9"/>
  <c r="J11" i="9"/>
  <c r="F11" i="9"/>
  <c r="B11" i="9"/>
  <c r="S17" i="9"/>
  <c r="R17" i="9"/>
  <c r="R30" i="9" s="1"/>
  <c r="R31" i="9" s="1"/>
  <c r="R32" i="9" s="1"/>
  <c r="R33" i="9" s="1"/>
  <c r="R34" i="9" s="1"/>
  <c r="R12" i="9"/>
  <c r="S9" i="9"/>
  <c r="S8" i="9"/>
  <c r="J12" i="10" l="1"/>
  <c r="I15" i="10"/>
  <c r="I17" i="10" s="1"/>
  <c r="R42" i="9"/>
  <c r="R35" i="9"/>
  <c r="R36" i="9" s="1"/>
  <c r="R37" i="9" s="1"/>
  <c r="R38" i="9" s="1"/>
  <c r="R39" i="9" s="1"/>
  <c r="R41" i="9" s="1"/>
  <c r="K12" i="10" l="1"/>
  <c r="J15" i="10"/>
  <c r="J17" i="10" s="1"/>
  <c r="O17" i="9"/>
  <c r="N17" i="9"/>
  <c r="N30" i="9" s="1"/>
  <c r="N31" i="9" s="1"/>
  <c r="N32" i="9" s="1"/>
  <c r="N33" i="9" s="1"/>
  <c r="N34" i="9" s="1"/>
  <c r="K17" i="9"/>
  <c r="J17" i="9"/>
  <c r="J30" i="9" s="1"/>
  <c r="J31" i="9" s="1"/>
  <c r="J32" i="9" s="1"/>
  <c r="J33" i="9" s="1"/>
  <c r="J34" i="9" s="1"/>
  <c r="G17" i="9"/>
  <c r="F17" i="9"/>
  <c r="F30" i="9" s="1"/>
  <c r="F31" i="9" s="1"/>
  <c r="F32" i="9" s="1"/>
  <c r="F33" i="9" s="1"/>
  <c r="F34" i="9" s="1"/>
  <c r="B17" i="9"/>
  <c r="N12" i="9"/>
  <c r="J12" i="9"/>
  <c r="F12" i="9"/>
  <c r="B12" i="9"/>
  <c r="O9" i="9"/>
  <c r="K9" i="9"/>
  <c r="G9" i="9"/>
  <c r="O8" i="9"/>
  <c r="K8" i="9"/>
  <c r="G8" i="9"/>
  <c r="L12" i="10" l="1"/>
  <c r="K15" i="10"/>
  <c r="K17" i="10" s="1"/>
  <c r="B30" i="9"/>
  <c r="B47" i="9" s="1"/>
  <c r="B46" i="9"/>
  <c r="J42" i="9"/>
  <c r="J35" i="9"/>
  <c r="J36" i="9" s="1"/>
  <c r="J37" i="9" s="1"/>
  <c r="J38" i="9" s="1"/>
  <c r="J39" i="9" s="1"/>
  <c r="J41" i="9" s="1"/>
  <c r="F35" i="9"/>
  <c r="F36" i="9" s="1"/>
  <c r="F37" i="9" s="1"/>
  <c r="F38" i="9" s="1"/>
  <c r="F39" i="9" s="1"/>
  <c r="F41" i="9" s="1"/>
  <c r="F42" i="9"/>
  <c r="N42" i="9"/>
  <c r="N35" i="9"/>
  <c r="N36" i="9" s="1"/>
  <c r="N37" i="9" s="1"/>
  <c r="N38" i="9" s="1"/>
  <c r="N39" i="9" s="1"/>
  <c r="N41" i="9" s="1"/>
  <c r="B31" i="9" l="1"/>
  <c r="B48" i="9" s="1"/>
  <c r="F48" i="9" s="1"/>
  <c r="B31" i="1" s="1"/>
  <c r="L15" i="10"/>
  <c r="L17" i="10" s="1"/>
  <c r="M12" i="10"/>
  <c r="M15" i="10" s="1"/>
  <c r="M17" i="10" s="1"/>
  <c r="B32" i="9"/>
  <c r="B49" i="9" s="1"/>
  <c r="F47" i="9"/>
  <c r="I226" i="1" s="1"/>
  <c r="I236" i="1" l="1"/>
  <c r="I227" i="1"/>
  <c r="I228" i="1" s="1"/>
  <c r="J226" i="1"/>
  <c r="I233" i="1"/>
  <c r="I231" i="1"/>
  <c r="I232" i="1"/>
  <c r="F49" i="9"/>
  <c r="B32" i="1" s="1"/>
  <c r="B33" i="9"/>
  <c r="B50" i="9" s="1"/>
  <c r="I234" i="1" l="1"/>
  <c r="I238" i="1" s="1"/>
  <c r="I239" i="1" s="1"/>
  <c r="K226" i="1"/>
  <c r="B52" i="1" s="1"/>
  <c r="J232" i="1"/>
  <c r="J233" i="1"/>
  <c r="J227" i="1"/>
  <c r="J228" i="1" s="1"/>
  <c r="J231" i="1"/>
  <c r="J236" i="1"/>
  <c r="R16" i="1"/>
  <c r="B34" i="9"/>
  <c r="B51" i="9" s="1"/>
  <c r="F50" i="9"/>
  <c r="B33" i="1" s="1"/>
  <c r="J234" i="1" l="1"/>
  <c r="J238" i="1" s="1"/>
  <c r="J239" i="1" s="1"/>
  <c r="K232" i="1"/>
  <c r="K236" i="1"/>
  <c r="K233" i="1"/>
  <c r="K227" i="1"/>
  <c r="K228" i="1" s="1"/>
  <c r="L226" i="1"/>
  <c r="K231" i="1"/>
  <c r="I7" i="1"/>
  <c r="B35" i="9"/>
  <c r="B52" i="9" s="1"/>
  <c r="B42" i="9"/>
  <c r="K234" i="1" l="1"/>
  <c r="K238" i="1" s="1"/>
  <c r="K239" i="1" s="1"/>
  <c r="L233" i="1"/>
  <c r="L227" i="1"/>
  <c r="L228" i="1" s="1"/>
  <c r="L236" i="1"/>
  <c r="L231" i="1"/>
  <c r="L232" i="1"/>
  <c r="F59" i="9"/>
  <c r="F51" i="9"/>
  <c r="B34" i="1" s="1"/>
  <c r="M226" i="1" s="1"/>
  <c r="F52" i="9"/>
  <c r="B35" i="1" s="1"/>
  <c r="B36" i="9"/>
  <c r="B53" i="9" s="1"/>
  <c r="L234" i="1" l="1"/>
  <c r="L238" i="1" s="1"/>
  <c r="L239" i="1" s="1"/>
  <c r="M233" i="1"/>
  <c r="M227" i="1"/>
  <c r="M228" i="1" s="1"/>
  <c r="M236" i="1"/>
  <c r="N226" i="1"/>
  <c r="M231" i="1"/>
  <c r="M232" i="1"/>
  <c r="F53" i="9"/>
  <c r="B36" i="1" s="1"/>
  <c r="B37" i="9"/>
  <c r="B54" i="9" s="1"/>
  <c r="M234" i="1" l="1"/>
  <c r="M238" i="1" s="1"/>
  <c r="M239" i="1" s="1"/>
  <c r="O226" i="1"/>
  <c r="N232" i="1"/>
  <c r="N227" i="1"/>
  <c r="N228" i="1" s="1"/>
  <c r="N231" i="1"/>
  <c r="N233" i="1"/>
  <c r="N236" i="1"/>
  <c r="B38" i="9"/>
  <c r="B55" i="9" s="1"/>
  <c r="F54" i="9"/>
  <c r="B37" i="1" s="1"/>
  <c r="N234" i="1" l="1"/>
  <c r="N238" i="1" s="1"/>
  <c r="N239" i="1" s="1"/>
  <c r="O232" i="1"/>
  <c r="O233" i="1"/>
  <c r="P226" i="1"/>
  <c r="O236" i="1"/>
  <c r="O231" i="1"/>
  <c r="O227" i="1"/>
  <c r="O228" i="1" s="1"/>
  <c r="F55" i="9"/>
  <c r="B38" i="1" s="1"/>
  <c r="B39" i="9"/>
  <c r="B56" i="9" s="1"/>
  <c r="O234" i="1" l="1"/>
  <c r="O238" i="1" s="1"/>
  <c r="O239" i="1" s="1"/>
  <c r="P231" i="1"/>
  <c r="P227" i="1"/>
  <c r="P228" i="1" s="1"/>
  <c r="P233" i="1"/>
  <c r="P232" i="1"/>
  <c r="P236" i="1"/>
  <c r="Q226" i="1"/>
  <c r="B41" i="9"/>
  <c r="Q231" i="1" l="1"/>
  <c r="Q233" i="1"/>
  <c r="Q232" i="1"/>
  <c r="Q236" i="1"/>
  <c r="Q227" i="1"/>
  <c r="Q228" i="1" s="1"/>
  <c r="P234" i="1"/>
  <c r="P238" i="1" s="1"/>
  <c r="P239" i="1" s="1"/>
  <c r="F58" i="9"/>
  <c r="F56" i="9"/>
  <c r="B39" i="1" s="1"/>
  <c r="R226" i="1" s="1"/>
  <c r="Q234" i="1" l="1"/>
  <c r="Q238" i="1" s="1"/>
  <c r="Q239" i="1" s="1"/>
  <c r="S226" i="1"/>
  <c r="R236" i="1"/>
  <c r="R231" i="1"/>
  <c r="R227" i="1"/>
  <c r="R228" i="1" s="1"/>
  <c r="R232" i="1"/>
  <c r="R233" i="1"/>
  <c r="M33" i="1"/>
  <c r="M32" i="1"/>
  <c r="M31" i="1"/>
  <c r="O30" i="1"/>
  <c r="P30" i="1"/>
  <c r="Q30" i="1"/>
  <c r="M19" i="1"/>
  <c r="I5" i="1" s="1"/>
  <c r="M18" i="1"/>
  <c r="I4" i="1" s="1"/>
  <c r="M17" i="1"/>
  <c r="I3" i="1" s="1"/>
  <c r="N30" i="1"/>
  <c r="R234" i="1" l="1"/>
  <c r="R238" i="1" s="1"/>
  <c r="R239" i="1" s="1"/>
  <c r="S232" i="1"/>
  <c r="S231" i="1"/>
  <c r="S233" i="1"/>
  <c r="S227" i="1"/>
  <c r="S228" i="1" s="1"/>
  <c r="S236" i="1"/>
  <c r="T226" i="1"/>
  <c r="B53" i="1"/>
  <c r="S234" i="1" l="1"/>
  <c r="S238" i="1" s="1"/>
  <c r="S239" i="1" s="1"/>
  <c r="T227" i="1"/>
  <c r="T228" i="1" s="1"/>
  <c r="T236" i="1"/>
  <c r="U226" i="1"/>
  <c r="T232" i="1"/>
  <c r="T233" i="1"/>
  <c r="T231" i="1"/>
  <c r="B54" i="1"/>
  <c r="U233" i="1" l="1"/>
  <c r="U227" i="1"/>
  <c r="U228" i="1" s="1"/>
  <c r="V226" i="1"/>
  <c r="U236" i="1"/>
  <c r="U232" i="1"/>
  <c r="U231" i="1"/>
  <c r="T234" i="1"/>
  <c r="T238" i="1" s="1"/>
  <c r="T239" i="1" s="1"/>
  <c r="W226" i="1" l="1"/>
  <c r="V232" i="1"/>
  <c r="V227" i="1"/>
  <c r="V228" i="1" s="1"/>
  <c r="V231" i="1"/>
  <c r="V233" i="1"/>
  <c r="V236" i="1"/>
  <c r="U234" i="1"/>
  <c r="U238" i="1" s="1"/>
  <c r="U239" i="1" s="1"/>
  <c r="V234" i="1" l="1"/>
  <c r="V238" i="1" s="1"/>
  <c r="V239" i="1" s="1"/>
  <c r="W232" i="1"/>
  <c r="W233" i="1"/>
  <c r="W231" i="1"/>
  <c r="W227" i="1"/>
  <c r="W228" i="1" s="1"/>
  <c r="X226" i="1"/>
  <c r="W236" i="1"/>
  <c r="W234" i="1" l="1"/>
  <c r="W238" i="1" s="1"/>
  <c r="W239" i="1" s="1"/>
  <c r="X236" i="1"/>
  <c r="X233" i="1"/>
  <c r="Y226" i="1"/>
  <c r="X232" i="1"/>
  <c r="X231" i="1"/>
  <c r="X227" i="1"/>
  <c r="X228" i="1" s="1"/>
  <c r="X234" i="1" l="1"/>
  <c r="X238" i="1" s="1"/>
  <c r="X239" i="1" s="1"/>
  <c r="Y236" i="1"/>
  <c r="Y231" i="1"/>
  <c r="Y233" i="1"/>
  <c r="Y227" i="1"/>
  <c r="Y228" i="1" s="1"/>
  <c r="Y232" i="1"/>
  <c r="Z226" i="1"/>
  <c r="AA226" i="1" l="1"/>
  <c r="Z236" i="1"/>
  <c r="Z232" i="1"/>
  <c r="Z227" i="1"/>
  <c r="Z228" i="1" s="1"/>
  <c r="Z231" i="1"/>
  <c r="Z233" i="1"/>
  <c r="Y234" i="1"/>
  <c r="Y238" i="1" s="1"/>
  <c r="Y239" i="1" s="1"/>
  <c r="Z234" i="1" l="1"/>
  <c r="Z238" i="1" s="1"/>
  <c r="Z239" i="1" s="1"/>
  <c r="AA227" i="1"/>
  <c r="AA228" i="1" s="1"/>
  <c r="AA236" i="1"/>
  <c r="AA232" i="1"/>
  <c r="AA231" i="1"/>
  <c r="AA233" i="1"/>
  <c r="AB226" i="1"/>
  <c r="AB233" i="1" l="1"/>
  <c r="AB231" i="1"/>
  <c r="AB236" i="1"/>
  <c r="AB227" i="1"/>
  <c r="AB228" i="1" s="1"/>
  <c r="AC226" i="1"/>
  <c r="AB232" i="1"/>
  <c r="AA234" i="1"/>
  <c r="AA238" i="1" s="1"/>
  <c r="AA239" i="1" s="1"/>
  <c r="AC233" i="1" l="1"/>
  <c r="AC231" i="1"/>
  <c r="AC232" i="1"/>
  <c r="AC236" i="1"/>
  <c r="AC227" i="1"/>
  <c r="AC228" i="1" s="1"/>
  <c r="AB234" i="1"/>
  <c r="AB238" i="1" s="1"/>
  <c r="AB239" i="1" s="1"/>
  <c r="B244" i="1" s="1"/>
  <c r="AC234" i="1" l="1"/>
  <c r="AC238" i="1" s="1"/>
  <c r="AC239" i="1" s="1"/>
  <c r="B245" i="1" s="1"/>
  <c r="B246" i="1" s="1"/>
  <c r="B248" i="1" s="1"/>
  <c r="B252" i="1" s="1"/>
  <c r="B255" i="1" s="1"/>
  <c r="B256" i="1" l="1"/>
  <c r="F5" i="1" s="1"/>
  <c r="I262" i="1"/>
  <c r="D263" i="1" s="1"/>
  <c r="F6" i="1" s="1"/>
  <c r="B258" i="1"/>
  <c r="F3" i="1" s="1"/>
</calcChain>
</file>

<file path=xl/sharedStrings.xml><?xml version="1.0" encoding="utf-8"?>
<sst xmlns="http://schemas.openxmlformats.org/spreadsheetml/2006/main" count="537" uniqueCount="376">
  <si>
    <t>Discount Rate</t>
  </si>
  <si>
    <t>Terminal</t>
  </si>
  <si>
    <t>Price/Value Ratio</t>
  </si>
  <si>
    <t>Year</t>
  </si>
  <si>
    <t>Value of Operating Assets</t>
  </si>
  <si>
    <t>Value of Non-Operating Assets</t>
  </si>
  <si>
    <t>Value of Firm</t>
  </si>
  <si>
    <t>Value of Debt</t>
  </si>
  <si>
    <t>Value of Equity</t>
  </si>
  <si>
    <t>Tax Rate</t>
  </si>
  <si>
    <t>Discounted FCFF</t>
  </si>
  <si>
    <t>FCFF</t>
  </si>
  <si>
    <t>Discounted FCFF Terminal</t>
  </si>
  <si>
    <t>Revenue</t>
  </si>
  <si>
    <t>Depreciation and Amortization</t>
  </si>
  <si>
    <t>Cash Flows</t>
  </si>
  <si>
    <t>Total Assets</t>
  </si>
  <si>
    <t>Value per Share</t>
  </si>
  <si>
    <t>Operating Margin Year 1</t>
  </si>
  <si>
    <t>Operating Margin Year 2</t>
  </si>
  <si>
    <t>Operating Margin Year 3</t>
  </si>
  <si>
    <t>Operating Margin Year 4</t>
  </si>
  <si>
    <t>Operating Margin Year 5</t>
  </si>
  <si>
    <t>Operating Margin Year 6</t>
  </si>
  <si>
    <t>Operating Margin Year 7</t>
  </si>
  <si>
    <t>Operating Margin Year 8</t>
  </si>
  <si>
    <t>Operating Margin Year 9</t>
  </si>
  <si>
    <t>Operating Margin Year 10</t>
  </si>
  <si>
    <t>Capex</t>
  </si>
  <si>
    <t>Stock Based Comp. Expense</t>
  </si>
  <si>
    <t>Capex as % of Revenue Year 1</t>
  </si>
  <si>
    <t>Capex as % of Revenue Year 2</t>
  </si>
  <si>
    <t>Capex as % of Revenue Year 3</t>
  </si>
  <si>
    <t>Capex as % of Revenue Year 4</t>
  </si>
  <si>
    <t>Capex as % of Revenue Year 5</t>
  </si>
  <si>
    <t>Capex as % of Revenue Year 6</t>
  </si>
  <si>
    <t>Capex as % of Revenue Year 7</t>
  </si>
  <si>
    <t>Capex as % of Revenue Year 8</t>
  </si>
  <si>
    <t>Capex as % of Revenue Year 9</t>
  </si>
  <si>
    <t>Capex as % of Revenue Year 10</t>
  </si>
  <si>
    <t>Growth in Working Capital</t>
  </si>
  <si>
    <t>Stock-Based Compensation</t>
  </si>
  <si>
    <t>Short Term Debt</t>
  </si>
  <si>
    <t>Long Term Debt</t>
  </si>
  <si>
    <t>Interest Coverage Ratio</t>
  </si>
  <si>
    <t>Debt/Assets Ratio</t>
  </si>
  <si>
    <t>Value Per Share</t>
  </si>
  <si>
    <t>year</t>
  </si>
  <si>
    <t>revenue</t>
  </si>
  <si>
    <t>capex</t>
  </si>
  <si>
    <t>acquisitions</t>
  </si>
  <si>
    <t>ttm</t>
  </si>
  <si>
    <t>5 year average:</t>
  </si>
  <si>
    <t>latest Qtr</t>
  </si>
  <si>
    <t>sales/divestitures</t>
  </si>
  <si>
    <t>4 year average:</t>
  </si>
  <si>
    <t>3 year average:</t>
  </si>
  <si>
    <t>net capex</t>
  </si>
  <si>
    <t xml:space="preserve">Company: </t>
  </si>
  <si>
    <t>Date:</t>
  </si>
  <si>
    <t>growth:</t>
  </si>
  <si>
    <t>3 year growth rate:</t>
  </si>
  <si>
    <t>2 year growth rate:</t>
  </si>
  <si>
    <t>Price/Value</t>
  </si>
  <si>
    <t>Interest Paid</t>
  </si>
  <si>
    <t>Valuation</t>
  </si>
  <si>
    <t>Return Metrics</t>
  </si>
  <si>
    <t>Balance Sheet Safety</t>
  </si>
  <si>
    <t>ROA</t>
  </si>
  <si>
    <t>ROE</t>
  </si>
  <si>
    <t>ROIC</t>
  </si>
  <si>
    <t>5 Year Average ROA</t>
  </si>
  <si>
    <t>5 Year Average ROE</t>
  </si>
  <si>
    <t>5 Year Average ROIC</t>
  </si>
  <si>
    <t>GOOG capex is around 15% of revenue</t>
  </si>
  <si>
    <t>Dividend Yield</t>
  </si>
  <si>
    <t>Balance Sheet</t>
  </si>
  <si>
    <r>
      <t xml:space="preserve">Revenue </t>
    </r>
    <r>
      <rPr>
        <i/>
        <sz val="10"/>
        <rFont val="Arial"/>
        <family val="2"/>
      </rPr>
      <t>ttm</t>
    </r>
  </si>
  <si>
    <t>sbc</t>
  </si>
  <si>
    <t>4 year growth rate:</t>
  </si>
  <si>
    <t>Revenue Growth Year 1</t>
  </si>
  <si>
    <t>Revenue Growth Year 2</t>
  </si>
  <si>
    <t>Revenue Growth Year 3</t>
  </si>
  <si>
    <t>Revenue Growth Year 4</t>
  </si>
  <si>
    <t>Revenue Growth Year 5</t>
  </si>
  <si>
    <t>Revenue Growth Year 6</t>
  </si>
  <si>
    <t>Revenue Growth Year 7</t>
  </si>
  <si>
    <t>Revenue Growth Year 8</t>
  </si>
  <si>
    <t>Revenue Growth Year 9</t>
  </si>
  <si>
    <t>Revenue Growth Year 10</t>
  </si>
  <si>
    <t>Free Cash Flow Yield</t>
  </si>
  <si>
    <t>Ticker:</t>
  </si>
  <si>
    <t>Tax Rate Year 1</t>
  </si>
  <si>
    <t>Tax Rate Year 2</t>
  </si>
  <si>
    <t>tax rate</t>
  </si>
  <si>
    <t>Tax Rate Year 3</t>
  </si>
  <si>
    <t>Tax Rate Year 4</t>
  </si>
  <si>
    <t>Tax Rate Year 5</t>
  </si>
  <si>
    <t>Tax Rate Year 6</t>
  </si>
  <si>
    <t>Tax Rate Year 7</t>
  </si>
  <si>
    <t>Tax Rate Year 8</t>
  </si>
  <si>
    <t>Tax Rate Year 9</t>
  </si>
  <si>
    <t>Tax Rate Year 10</t>
  </si>
  <si>
    <t>Other Valuations</t>
  </si>
  <si>
    <t>5 year avg ROA:</t>
  </si>
  <si>
    <t>5 year avg ROE:</t>
  </si>
  <si>
    <t>5 year avg ROIC:</t>
  </si>
  <si>
    <t>Valuentum</t>
  </si>
  <si>
    <t>Operating Margin</t>
  </si>
  <si>
    <t>EBITDA ttm</t>
  </si>
  <si>
    <t>Debt/EBITDA Ratio</t>
  </si>
  <si>
    <t>Cash and Equivalents</t>
  </si>
  <si>
    <t>assumed 10 year CAGR</t>
  </si>
  <si>
    <t>assumed 5 year CAGR</t>
  </si>
  <si>
    <t>Value Line</t>
  </si>
  <si>
    <t>Google's operating margin is 22%</t>
  </si>
  <si>
    <t>5 Year IRR</t>
  </si>
  <si>
    <t>IRR</t>
  </si>
  <si>
    <t xml:space="preserve">For the 5 year IRR , I assume a cash outflow in year 1 where I buy the stock at market price.  </t>
  </si>
  <si>
    <t xml:space="preserve">In years 2-4 I collect a dividend, if any. I don’t assume any dividend raises. In year 5 I collect the dividend, </t>
  </si>
  <si>
    <t>but also assume the stock has appreciated to my fair value estimate, compounded forward five years by the discount rate.  </t>
  </si>
  <si>
    <t>Salesforce.com, Inc.</t>
  </si>
  <si>
    <t>CRM</t>
  </si>
  <si>
    <t>Valuentum using a 21.5% cash tax rate</t>
  </si>
  <si>
    <t>does not include amortization of costs capitalized to obtain revenue contracts</t>
  </si>
  <si>
    <t>non-GAAP removes sbc and amort. of intangbles</t>
  </si>
  <si>
    <t>Microsoft's operating margin is 34%</t>
  </si>
  <si>
    <t>Adobe's operating margin is 30%</t>
  </si>
  <si>
    <t>in millions</t>
  </si>
  <si>
    <t>5 year CAGR</t>
  </si>
  <si>
    <t>3 year CAGR</t>
  </si>
  <si>
    <t>M* estimating 24% 5 year CAGR</t>
  </si>
  <si>
    <t>Year 0 (2019)</t>
  </si>
  <si>
    <t>Revenue at end of Year 1</t>
  </si>
  <si>
    <t>Revenue at end of Year 2</t>
  </si>
  <si>
    <t>Revenue at end of Year 3</t>
  </si>
  <si>
    <t>Revenue at end of Year 4</t>
  </si>
  <si>
    <t>Revenue at end of Year 5</t>
  </si>
  <si>
    <t>Revenue at end of Year 6</t>
  </si>
  <si>
    <t>Revenue at end of Year 7</t>
  </si>
  <si>
    <t>Revenue at end of Year 8</t>
  </si>
  <si>
    <t>Revenue at end of Year 9</t>
  </si>
  <si>
    <t>Revenue at end of Year 10</t>
  </si>
  <si>
    <t>10 Year CAGR</t>
  </si>
  <si>
    <t>5 Year CAGR</t>
  </si>
  <si>
    <t>Total Revenue</t>
  </si>
  <si>
    <t>Total Revenue Year 0</t>
  </si>
  <si>
    <t>Total Revenue Year 1</t>
  </si>
  <si>
    <t>Total Revenue Year 2</t>
  </si>
  <si>
    <t>Total Revenue Year 3</t>
  </si>
  <si>
    <t>Total Revenue Year 4</t>
  </si>
  <si>
    <t>Total Revenue Year 5</t>
  </si>
  <si>
    <t>Total Revenue Year 6</t>
  </si>
  <si>
    <t>Total Revenue Year 7</t>
  </si>
  <si>
    <t>Total Revenue Year 8</t>
  </si>
  <si>
    <t>Total Revenue Year 9</t>
  </si>
  <si>
    <t>Total Revenue Year 10</t>
  </si>
  <si>
    <t>Sales Cloud</t>
  </si>
  <si>
    <t>Service Cloud</t>
  </si>
  <si>
    <t>M* estimating 27% 5 year CAGR</t>
  </si>
  <si>
    <t>Prof. Services and Other</t>
  </si>
  <si>
    <t>M* estimating 10% 5 year CAGR</t>
  </si>
  <si>
    <t>M* estimating 18% 5 year CAGR</t>
  </si>
  <si>
    <t>M* estimating 11% 5 year CAGR</t>
  </si>
  <si>
    <t>Operating Margin Growth</t>
  </si>
  <si>
    <t>5 year historical growth rate:</t>
  </si>
  <si>
    <t>Year 1</t>
  </si>
  <si>
    <t>Year 2</t>
  </si>
  <si>
    <t>Year 3</t>
  </si>
  <si>
    <t>Year 4</t>
  </si>
  <si>
    <t>Year 5</t>
  </si>
  <si>
    <t>COGS</t>
  </si>
  <si>
    <t>Op. Expenses</t>
  </si>
  <si>
    <t>Op. Income</t>
  </si>
  <si>
    <t>Op. Margin</t>
  </si>
  <si>
    <t>Year 6</t>
  </si>
  <si>
    <t>Year 7</t>
  </si>
  <si>
    <t>Year 8</t>
  </si>
  <si>
    <t>Year 9</t>
  </si>
  <si>
    <t>Year 10</t>
  </si>
  <si>
    <t>MSFT capex is around 12.5% of revenue</t>
  </si>
  <si>
    <t>ADBE capex is around 12.0% of revenue</t>
  </si>
  <si>
    <t>MSFT sbc is around 3.5% of revenue</t>
  </si>
  <si>
    <t>GOOG sbc is around 7.0% of revenue</t>
  </si>
  <si>
    <t>ADBE sbc is around 6.7% of revenue</t>
  </si>
  <si>
    <t>Cloud</t>
  </si>
  <si>
    <t>Platform and Other</t>
  </si>
  <si>
    <t>Marketing and Commerce</t>
  </si>
  <si>
    <t>General</t>
  </si>
  <si>
    <t>millions</t>
  </si>
  <si>
    <t>Currency Units</t>
  </si>
  <si>
    <t>Last Fiscal Year</t>
  </si>
  <si>
    <t>Last Quarter</t>
  </si>
  <si>
    <t>Notes</t>
  </si>
  <si>
    <t>Historical</t>
  </si>
  <si>
    <t>D&amp;A as % of Revenue Year 1</t>
  </si>
  <si>
    <t>D&amp;A as % of Revenue Year 2</t>
  </si>
  <si>
    <t>D&amp;A as % of Revenue Year 3</t>
  </si>
  <si>
    <t>D&amp;A as % of Revenue Year 4</t>
  </si>
  <si>
    <t>D&amp;A as % of Revenue Year 5</t>
  </si>
  <si>
    <t>D&amp;A as % of Revenue Year 6</t>
  </si>
  <si>
    <t>D&amp;A as % of Revenue Year 7</t>
  </si>
  <si>
    <t>D&amp;A as % of Revenue Year 8</t>
  </si>
  <si>
    <t>D&amp;A as % of Revenue Year 9</t>
  </si>
  <si>
    <t>D&amp;A as % of Revenue Year 10</t>
  </si>
  <si>
    <t>SBC as % of Revenue Year 1</t>
  </si>
  <si>
    <t>SBC as % of Revenue Year 2</t>
  </si>
  <si>
    <t>SBC as % of Revenue Year 3</t>
  </si>
  <si>
    <t>SBC as % of Revenue Year 4</t>
  </si>
  <si>
    <t>SBC as % of Revenue Year 5</t>
  </si>
  <si>
    <t>SBC as % of Revenue Year 6</t>
  </si>
  <si>
    <t>SBC as % of Revenue Year 7</t>
  </si>
  <si>
    <t>SBC as % of Revenue Year 8</t>
  </si>
  <si>
    <t>SBC as % of Revenue Year 9</t>
  </si>
  <si>
    <t>SBC as % of Revenue Year 10</t>
  </si>
  <si>
    <t>EBITDA</t>
  </si>
  <si>
    <t>Fair Value</t>
  </si>
  <si>
    <t>Unfunded Pension Obligations</t>
  </si>
  <si>
    <t>Morningstar</t>
  </si>
  <si>
    <t>ex. millions, thousands</t>
  </si>
  <si>
    <t>Current Price per Share</t>
  </si>
  <si>
    <t>ADR Conversion Rate</t>
  </si>
  <si>
    <t>ADR/native share ratio. Should be 1 if not ADR</t>
  </si>
  <si>
    <t>Exchange Rate</t>
  </si>
  <si>
    <t>Current Price per Share, Native Currency</t>
  </si>
  <si>
    <t>Valuation done in native currency, converted back to USD at end</t>
  </si>
  <si>
    <t>Value per Share, USD</t>
  </si>
  <si>
    <t>d&amp;a</t>
  </si>
  <si>
    <t>op. cash flow</t>
  </si>
  <si>
    <t>d&amp;a/revenue</t>
  </si>
  <si>
    <t>net capex/revenue</t>
  </si>
  <si>
    <t>sbc/revenue</t>
  </si>
  <si>
    <t>Income</t>
  </si>
  <si>
    <t>Operating Income</t>
  </si>
  <si>
    <t>Net Operating Profit After Taxes</t>
  </si>
  <si>
    <t>Cash Flow</t>
  </si>
  <si>
    <t>Operating Cash Flow</t>
  </si>
  <si>
    <t>Net Capex</t>
  </si>
  <si>
    <t>w.c. growth</t>
  </si>
  <si>
    <t>w.c. growth/revenue</t>
  </si>
  <si>
    <t>Work. Cap. Growth as % of Revenue Year 1</t>
  </si>
  <si>
    <t>Work. Cap. Growth as % of Revenue Year 2</t>
  </si>
  <si>
    <t>Work. Cap. Growth as % of Revenue Year 3</t>
  </si>
  <si>
    <t>Work. Cap. Growth as % of Revenue Year 4</t>
  </si>
  <si>
    <t>Work. Cap. Growth as % of Revenue Year 5</t>
  </si>
  <si>
    <t>Work. Cap. Growth as % of Revenue Year 6</t>
  </si>
  <si>
    <t>Work. Cap. Growth as % of Revenue Year 7</t>
  </si>
  <si>
    <t>Work. Cap. Growth as % of Revenue Year 8</t>
  </si>
  <si>
    <t>Work. Cap. Growth as % of Revenue Year 9</t>
  </si>
  <si>
    <t>Work. Cap. Growth as % of Revenue Year 10</t>
  </si>
  <si>
    <t>Working Capital Growth</t>
  </si>
  <si>
    <t>Shareholder Equity</t>
  </si>
  <si>
    <t>tax rate calculated off operating profit to derive NOPAT</t>
  </si>
  <si>
    <t>operating income</t>
  </si>
  <si>
    <t>op. margin</t>
  </si>
  <si>
    <t>tax</t>
  </si>
  <si>
    <t>net income</t>
  </si>
  <si>
    <t>assets</t>
  </si>
  <si>
    <t>short term debt</t>
  </si>
  <si>
    <t>long term debt</t>
  </si>
  <si>
    <t>equity</t>
  </si>
  <si>
    <t>invested capital</t>
  </si>
  <si>
    <t>Annual Dividend</t>
  </si>
  <si>
    <t>Revenue Growth Year 11</t>
  </si>
  <si>
    <t>Revenue Growth Year 12</t>
  </si>
  <si>
    <t>Revenue Growth Year 13</t>
  </si>
  <si>
    <t>Revenue Growth Year 14</t>
  </si>
  <si>
    <t>Revenue Growth Year 15</t>
  </si>
  <si>
    <t>Revenue Growth Year 16</t>
  </si>
  <si>
    <t>Revenue Growth Year 17</t>
  </si>
  <si>
    <t>Revenue Growth Year 18</t>
  </si>
  <si>
    <t>Revenue Growth Year 19</t>
  </si>
  <si>
    <t>Revenue Growth Year 20</t>
  </si>
  <si>
    <t>Revenue Growth after Year 20</t>
  </si>
  <si>
    <t>Operating Margin Year 11</t>
  </si>
  <si>
    <t>Operating Margin Year 12</t>
  </si>
  <si>
    <t>Operating Margin Year 13</t>
  </si>
  <si>
    <t>Operating Margin Year 14</t>
  </si>
  <si>
    <t>Operating Margin Year 15</t>
  </si>
  <si>
    <t>Operating Margin Year 16</t>
  </si>
  <si>
    <t>Operating Margin Year 17</t>
  </si>
  <si>
    <t>Operating Margin Year 18</t>
  </si>
  <si>
    <t>Operating Margin Year 19</t>
  </si>
  <si>
    <t>Operating Margin Year 20</t>
  </si>
  <si>
    <t>Operating Margin after Year 20</t>
  </si>
  <si>
    <t>Tax Rate Year 11</t>
  </si>
  <si>
    <t>Tax Rate Year 12</t>
  </si>
  <si>
    <t>Tax Rate Year 13</t>
  </si>
  <si>
    <t>Tax Rate Year 14</t>
  </si>
  <si>
    <t>Tax Rate Year 15</t>
  </si>
  <si>
    <t>Tax Rate Year 16</t>
  </si>
  <si>
    <t>Tax Rate Year 17</t>
  </si>
  <si>
    <t>Tax Rate Year 18</t>
  </si>
  <si>
    <t>Tax Rate Year 19</t>
  </si>
  <si>
    <t>Tax Rate Year 20</t>
  </si>
  <si>
    <t>Tax Rate after Year 20</t>
  </si>
  <si>
    <t>D&amp;A as % of Revenue Year 11</t>
  </si>
  <si>
    <t>D&amp;A as % of Revenue Year 12</t>
  </si>
  <si>
    <t>D&amp;A as % of Revenue Year 13</t>
  </si>
  <si>
    <t>D&amp;A as % of Revenue Year 14</t>
  </si>
  <si>
    <t>D&amp;A as % of Revenue Year 15</t>
  </si>
  <si>
    <t>D&amp;A as % of Revenue Year 16</t>
  </si>
  <si>
    <t>D&amp;A as % of Revenue Year 17</t>
  </si>
  <si>
    <t>D&amp;A as % of Revenue Year 18</t>
  </si>
  <si>
    <t>D&amp;A as % of Revenue Year 19</t>
  </si>
  <si>
    <t>D&amp;A as % of Revenue Year 20</t>
  </si>
  <si>
    <t>D&amp;A as % of Revenue after Year 20</t>
  </si>
  <si>
    <t>Capex as % of Revenue Year 11</t>
  </si>
  <si>
    <t>Capex as % of Revenue Year 12</t>
  </si>
  <si>
    <t>Capex as % of Revenue Year 13</t>
  </si>
  <si>
    <t>Capex as % of Revenue Year 14</t>
  </si>
  <si>
    <t>Capex as % of Revenue Year 15</t>
  </si>
  <si>
    <t>Capex as % of Revenue Year 16</t>
  </si>
  <si>
    <t>Capex as % of Revenue Year 17</t>
  </si>
  <si>
    <t>Capex as % of Revenue Year 18</t>
  </si>
  <si>
    <t>Capex as % of Revenue Year 19</t>
  </si>
  <si>
    <t>Capex as % of Revenue Year 20</t>
  </si>
  <si>
    <t>Capex as % of Revenue after Year 20</t>
  </si>
  <si>
    <t>SBC as % of Revenue Year 11</t>
  </si>
  <si>
    <t>SBC as % of Revenue Year 12</t>
  </si>
  <si>
    <t>SBC as % of Revenue Year 13</t>
  </si>
  <si>
    <t>SBC as % of Revenue Year 14</t>
  </si>
  <si>
    <t>SBC as % of Revenue Year 15</t>
  </si>
  <si>
    <t>SBC as % of Revenue Year 16</t>
  </si>
  <si>
    <t>SBC as % of Revenue Year 17</t>
  </si>
  <si>
    <t>SBC as % of Revenue Year 18</t>
  </si>
  <si>
    <t>SBC as % of Revenue Year 19</t>
  </si>
  <si>
    <t>SBC as % of Revenue Year 20</t>
  </si>
  <si>
    <t>SBC as % of Revenue after Year 20</t>
  </si>
  <si>
    <t>Work. Cap. Growth as % of Revenue Year 11</t>
  </si>
  <si>
    <t>Work. Cap. Growth as % of Revenue Year 12</t>
  </si>
  <si>
    <t>Work. Cap. Growth as % of Revenue Year 13</t>
  </si>
  <si>
    <t>Work. Cap. Growth as % of Revenue Year 14</t>
  </si>
  <si>
    <t>Work. Cap. Growth as % of Revenue Year 15</t>
  </si>
  <si>
    <t>Work. Cap. Growth as % of Revenue Year 16</t>
  </si>
  <si>
    <t>Work. Cap. Growth as % of Revenue Year 17</t>
  </si>
  <si>
    <t>Work. Cap. Growth as % of Revenue Year 18</t>
  </si>
  <si>
    <t>Work. Cap. Growth as % of Revenue Year 19</t>
  </si>
  <si>
    <t>Work. Cap. Growth as % of Revenue Year 20</t>
  </si>
  <si>
    <t>Work. Cap. Growth as % of Revenue after Year 20</t>
  </si>
  <si>
    <t>Discounted FCFF 1-20</t>
  </si>
  <si>
    <t>subscription-based revenue model</t>
  </si>
  <si>
    <t>a one time $2 billion tax benefit in Q2 2021 skewed results that year</t>
  </si>
  <si>
    <t>Tableau acquisition was all stock</t>
  </si>
  <si>
    <t>MuleSoft acquisition was mostly cash</t>
  </si>
  <si>
    <t>large acquisitions in 2019 were Tableau and MuleSoft for $15.7 billion and $6.5 billion</t>
  </si>
  <si>
    <t>Valuentum uses a 9.5% cost of capital</t>
  </si>
  <si>
    <t>straight capex is more like 4.7% of revenue</t>
  </si>
  <si>
    <t>Management expects $34-35 billion in revenue in 2024, 21.3% CAGR</t>
  </si>
  <si>
    <t>USD/native currency ratio. Should be 1 if not ADR</t>
  </si>
  <si>
    <t>includes strategic investments</t>
  </si>
  <si>
    <t>3-5 year target</t>
  </si>
  <si>
    <t>$240-365</t>
  </si>
  <si>
    <t>10 year COGS CAGR</t>
  </si>
  <si>
    <t>10 year Operating Expenses CAGR</t>
  </si>
  <si>
    <t>large acquisition in 2022 was Slack</t>
  </si>
  <si>
    <t>mrq. growth was 28.0%</t>
  </si>
  <si>
    <t>estimating roughly 100 percentage points of margin expansion annually</t>
  </si>
  <si>
    <t>assumed 3 year CAGR</t>
  </si>
  <si>
    <t>Valuentum estimating 19.5% 5 year revenue growth</t>
  </si>
  <si>
    <t>Valuentum expecting 21.2% operating margins in five years</t>
  </si>
  <si>
    <t>Q3</t>
  </si>
  <si>
    <t>Management FY 2022 revenue growth of about 24%</t>
  </si>
  <si>
    <t>Management estimates Q1 revenue to be up 21-22%</t>
  </si>
  <si>
    <t>mrq. revenue growth was 26.6%, 26% in constant currency (management estimating 25%)</t>
  </si>
  <si>
    <t>mrq GAAP op. margin was 0.6%, non-GAAP was 19.8%</t>
  </si>
  <si>
    <t>Management estimates Q4 revenue to be up 24%</t>
  </si>
  <si>
    <t>Management estimates FY 2022 GAAP op. margin of 1.4%, non-GAAP 18.6%</t>
  </si>
  <si>
    <t>RPO was up 20%, CRPO was up 23%</t>
  </si>
  <si>
    <t>mrq. growth was 17.3%</t>
  </si>
  <si>
    <t>mrq. growth was 20.5%</t>
  </si>
  <si>
    <t>mrq. growth was 51.3%</t>
  </si>
  <si>
    <t>mrq. growth was 44.9%</t>
  </si>
  <si>
    <t>M* expecting 20% 5 year CAGR, not assuming acquisitions</t>
  </si>
  <si>
    <t>M* estimating non-GAAP op. margins rising 18% in fiscal 2019 to 27% by 2026</t>
  </si>
  <si>
    <t>10 year Revenue CAGR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</si>
</sst>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  <numFmt numFmtId="166" formatCode="0.0%"/>
    <numFmt numFmtId="167" formatCode="m/d/yyyy;@"/>
    <numFmt numFmtId="168" formatCode="[$¥-804]#,##0.00;[Red][$¥-804]\-#,##0.00"/>
  </numFmts>
  <fonts count="16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u/>
      <sz val="10"/>
      <color theme="11"/>
      <name val="Verdana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10"/>
      <color theme="10"/>
      <name val="Verdana"/>
      <family val="2"/>
    </font>
    <font>
      <i/>
      <sz val="10"/>
      <color rgb="FF222222"/>
      <name val="Arial"/>
      <family val="2"/>
    </font>
    <font>
      <i/>
      <sz val="10"/>
      <name val="Verdana"/>
      <family val="2"/>
    </font>
    <font>
      <i/>
      <sz val="10"/>
      <color rgb="FF00000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CD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1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/>
  </cellStyleXfs>
  <cellXfs count="114">
    <xf numFmtId="0" fontId="0" fillId="0" borderId="0" xfId="0"/>
    <xf numFmtId="0" fontId="2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10" fontId="6" fillId="5" borderId="1" xfId="0" applyNumberFormat="1" applyFont="1" applyFill="1" applyBorder="1"/>
    <xf numFmtId="2" fontId="6" fillId="5" borderId="1" xfId="0" applyNumberFormat="1" applyFont="1" applyFill="1" applyBorder="1" applyAlignment="1">
      <alignment horizontal="right"/>
    </xf>
    <xf numFmtId="167" fontId="5" fillId="2" borderId="0" xfId="0" applyNumberFormat="1" applyFont="1" applyFill="1" applyAlignment="1">
      <alignment horizontal="left"/>
    </xf>
    <xf numFmtId="164" fontId="6" fillId="5" borderId="1" xfId="0" applyNumberFormat="1" applyFont="1" applyFill="1" applyBorder="1"/>
    <xf numFmtId="10" fontId="6" fillId="5" borderId="3" xfId="0" applyNumberFormat="1" applyFont="1" applyFill="1" applyBorder="1"/>
    <xf numFmtId="2" fontId="6" fillId="5" borderId="2" xfId="0" applyNumberFormat="1" applyFont="1" applyFill="1" applyBorder="1" applyAlignment="1">
      <alignment horizontal="right"/>
    </xf>
    <xf numFmtId="2" fontId="6" fillId="5" borderId="1" xfId="0" applyNumberFormat="1" applyFont="1" applyFill="1" applyBorder="1"/>
    <xf numFmtId="2" fontId="6" fillId="6" borderId="0" xfId="0" applyNumberFormat="1" applyFont="1" applyFill="1" applyBorder="1"/>
    <xf numFmtId="166" fontId="6" fillId="5" borderId="1" xfId="0" applyNumberFormat="1" applyFont="1" applyFill="1" applyBorder="1"/>
    <xf numFmtId="166" fontId="6" fillId="6" borderId="0" xfId="0" applyNumberFormat="1" applyFont="1" applyFill="1" applyBorder="1"/>
    <xf numFmtId="0" fontId="5" fillId="2" borderId="0" xfId="0" applyFont="1" applyFill="1"/>
    <xf numFmtId="6" fontId="2" fillId="2" borderId="0" xfId="0" applyNumberFormat="1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right"/>
    </xf>
    <xf numFmtId="0" fontId="7" fillId="2" borderId="0" xfId="0" applyFont="1" applyFill="1"/>
    <xf numFmtId="0" fontId="2" fillId="2" borderId="6" xfId="0" applyFont="1" applyFill="1" applyBorder="1"/>
    <xf numFmtId="10" fontId="2" fillId="2" borderId="0" xfId="0" applyNumberFormat="1" applyFont="1" applyFill="1"/>
    <xf numFmtId="10" fontId="2" fillId="2" borderId="0" xfId="0" applyNumberFormat="1" applyFont="1" applyFill="1" applyBorder="1"/>
    <xf numFmtId="10" fontId="5" fillId="2" borderId="0" xfId="0" applyNumberFormat="1" applyFont="1" applyFill="1" applyBorder="1"/>
    <xf numFmtId="165" fontId="2" fillId="2" borderId="0" xfId="0" applyNumberFormat="1" applyFont="1" applyFill="1" applyBorder="1"/>
    <xf numFmtId="165" fontId="5" fillId="2" borderId="0" xfId="0" applyNumberFormat="1" applyFont="1" applyFill="1" applyBorder="1"/>
    <xf numFmtId="6" fontId="5" fillId="2" borderId="0" xfId="0" applyNumberFormat="1" applyFont="1" applyFill="1" applyBorder="1"/>
    <xf numFmtId="0" fontId="2" fillId="2" borderId="0" xfId="0" applyFont="1" applyFill="1" applyBorder="1"/>
    <xf numFmtId="10" fontId="2" fillId="7" borderId="1" xfId="0" applyNumberFormat="1" applyFont="1" applyFill="1" applyBorder="1"/>
    <xf numFmtId="6" fontId="2" fillId="3" borderId="4" xfId="0" applyNumberFormat="1" applyFont="1" applyFill="1" applyBorder="1"/>
    <xf numFmtId="6" fontId="2" fillId="4" borderId="1" xfId="0" applyNumberFormat="1" applyFont="1" applyFill="1" applyBorder="1"/>
    <xf numFmtId="6" fontId="2" fillId="3" borderId="1" xfId="0" applyNumberFormat="1" applyFont="1" applyFill="1" applyBorder="1"/>
    <xf numFmtId="6" fontId="2" fillId="4" borderId="4" xfId="0" applyNumberFormat="1" applyFont="1" applyFill="1" applyBorder="1"/>
    <xf numFmtId="165" fontId="2" fillId="4" borderId="1" xfId="0" applyNumberFormat="1" applyFont="1" applyFill="1" applyBorder="1"/>
    <xf numFmtId="165" fontId="2" fillId="3" borderId="1" xfId="0" applyNumberFormat="1" applyFont="1" applyFill="1" applyBorder="1"/>
    <xf numFmtId="5" fontId="2" fillId="4" borderId="1" xfId="0" applyNumberFormat="1" applyFont="1" applyFill="1" applyBorder="1"/>
    <xf numFmtId="0" fontId="2" fillId="2" borderId="0" xfId="0" applyFont="1" applyFill="1" applyAlignment="1">
      <alignment horizontal="right"/>
    </xf>
    <xf numFmtId="2" fontId="2" fillId="2" borderId="0" xfId="0" applyNumberFormat="1" applyFont="1" applyFill="1"/>
    <xf numFmtId="165" fontId="2" fillId="3" borderId="2" xfId="0" applyNumberFormat="1" applyFont="1" applyFill="1" applyBorder="1"/>
    <xf numFmtId="0" fontId="2" fillId="0" borderId="0" xfId="0" applyFont="1"/>
    <xf numFmtId="165" fontId="2" fillId="2" borderId="0" xfId="0" applyNumberFormat="1" applyFont="1" applyFill="1"/>
    <xf numFmtId="165" fontId="2" fillId="3" borderId="3" xfId="0" applyNumberFormat="1" applyFont="1" applyFill="1" applyBorder="1"/>
    <xf numFmtId="164" fontId="2" fillId="3" borderId="1" xfId="0" applyNumberFormat="1" applyFont="1" applyFill="1" applyBorder="1"/>
    <xf numFmtId="164" fontId="2" fillId="2" borderId="0" xfId="0" applyNumberFormat="1" applyFont="1" applyFill="1" applyBorder="1"/>
    <xf numFmtId="2" fontId="2" fillId="3" borderId="2" xfId="0" applyNumberFormat="1" applyFont="1" applyFill="1" applyBorder="1"/>
    <xf numFmtId="8" fontId="2" fillId="7" borderId="1" xfId="0" applyNumberFormat="1" applyFont="1" applyFill="1" applyBorder="1"/>
    <xf numFmtId="166" fontId="2" fillId="7" borderId="1" xfId="0" applyNumberFormat="1" applyFont="1" applyFill="1" applyBorder="1"/>
    <xf numFmtId="164" fontId="2" fillId="5" borderId="1" xfId="0" applyNumberFormat="1" applyFont="1" applyFill="1" applyBorder="1"/>
    <xf numFmtId="0" fontId="2" fillId="8" borderId="0" xfId="0" applyFont="1" applyFill="1"/>
    <xf numFmtId="0" fontId="2" fillId="2" borderId="0" xfId="0" applyFont="1" applyFill="1" applyBorder="1" applyAlignment="1">
      <alignment horizontal="right"/>
    </xf>
    <xf numFmtId="0" fontId="5" fillId="8" borderId="0" xfId="0" applyFont="1" applyFill="1"/>
    <xf numFmtId="6" fontId="2" fillId="7" borderId="1" xfId="0" applyNumberFormat="1" applyFont="1" applyFill="1" applyBorder="1"/>
    <xf numFmtId="165" fontId="2" fillId="7" borderId="1" xfId="0" applyNumberFormat="1" applyFont="1" applyFill="1" applyBorder="1"/>
    <xf numFmtId="10" fontId="2" fillId="6" borderId="0" xfId="0" applyNumberFormat="1" applyFont="1" applyFill="1" applyBorder="1"/>
    <xf numFmtId="0" fontId="9" fillId="0" borderId="0" xfId="0" applyFont="1"/>
    <xf numFmtId="165" fontId="2" fillId="9" borderId="1" xfId="0" applyNumberFormat="1" applyFont="1" applyFill="1" applyBorder="1"/>
    <xf numFmtId="166" fontId="2" fillId="9" borderId="1" xfId="0" applyNumberFormat="1" applyFont="1" applyFill="1" applyBorder="1"/>
    <xf numFmtId="0" fontId="10" fillId="0" borderId="0" xfId="0" applyFont="1"/>
    <xf numFmtId="0" fontId="6" fillId="8" borderId="0" xfId="0" applyFont="1" applyFill="1"/>
    <xf numFmtId="2" fontId="5" fillId="6" borderId="0" xfId="0" applyNumberFormat="1" applyFont="1" applyFill="1"/>
    <xf numFmtId="8" fontId="2" fillId="5" borderId="1" xfId="0" applyNumberFormat="1" applyFont="1" applyFill="1" applyBorder="1"/>
    <xf numFmtId="164" fontId="2" fillId="10" borderId="1" xfId="0" applyNumberFormat="1" applyFont="1" applyFill="1" applyBorder="1"/>
    <xf numFmtId="10" fontId="4" fillId="2" borderId="0" xfId="0" applyNumberFormat="1" applyFont="1" applyFill="1"/>
    <xf numFmtId="0" fontId="11" fillId="0" borderId="0" xfId="0" applyFont="1"/>
    <xf numFmtId="164" fontId="7" fillId="2" borderId="0" xfId="0" applyNumberFormat="1" applyFont="1" applyFill="1"/>
    <xf numFmtId="166" fontId="6" fillId="11" borderId="1" xfId="0" applyNumberFormat="1" applyFont="1" applyFill="1" applyBorder="1"/>
    <xf numFmtId="0" fontId="10" fillId="6" borderId="0" xfId="112" applyFont="1" applyFill="1"/>
    <xf numFmtId="0" fontId="12" fillId="6" borderId="0" xfId="112" applyFill="1"/>
    <xf numFmtId="0" fontId="13" fillId="6" borderId="0" xfId="112" applyFont="1" applyFill="1"/>
    <xf numFmtId="164" fontId="12" fillId="7" borderId="1" xfId="112" applyNumberFormat="1" applyFill="1" applyBorder="1"/>
    <xf numFmtId="0" fontId="12" fillId="6" borderId="0" xfId="112" applyFill="1" applyAlignment="1">
      <alignment horizontal="left"/>
    </xf>
    <xf numFmtId="10" fontId="12" fillId="5" borderId="1" xfId="112" applyNumberFormat="1" applyFill="1" applyBorder="1"/>
    <xf numFmtId="164" fontId="12" fillId="5" borderId="1" xfId="112" applyNumberFormat="1" applyFill="1" applyBorder="1"/>
    <xf numFmtId="10" fontId="12" fillId="7" borderId="1" xfId="112" applyNumberFormat="1" applyFill="1" applyBorder="1"/>
    <xf numFmtId="164" fontId="12" fillId="9" borderId="1" xfId="112" applyNumberFormat="1" applyFill="1" applyBorder="1"/>
    <xf numFmtId="166" fontId="12" fillId="9" borderId="1" xfId="112" applyNumberFormat="1" applyFill="1" applyBorder="1"/>
    <xf numFmtId="164" fontId="12" fillId="9" borderId="3" xfId="112" applyNumberFormat="1" applyFill="1" applyBorder="1"/>
    <xf numFmtId="168" fontId="12" fillId="6" borderId="0" xfId="112" applyNumberFormat="1" applyFill="1"/>
    <xf numFmtId="166" fontId="12" fillId="9" borderId="2" xfId="112" applyNumberFormat="1" applyFill="1" applyBorder="1"/>
    <xf numFmtId="0" fontId="14" fillId="6" borderId="0" xfId="112" applyFont="1" applyFill="1"/>
    <xf numFmtId="10" fontId="12" fillId="7" borderId="3" xfId="112" applyNumberFormat="1" applyFill="1" applyBorder="1"/>
    <xf numFmtId="10" fontId="12" fillId="6" borderId="0" xfId="112" applyNumberFormat="1" applyFill="1"/>
    <xf numFmtId="165" fontId="12" fillId="5" borderId="1" xfId="112" applyNumberFormat="1" applyFill="1" applyBorder="1"/>
    <xf numFmtId="165" fontId="12" fillId="7" borderId="1" xfId="112" applyNumberFormat="1" applyFill="1" applyBorder="1"/>
    <xf numFmtId="0" fontId="12" fillId="0" borderId="0" xfId="0" applyFont="1"/>
    <xf numFmtId="0" fontId="2" fillId="12" borderId="1" xfId="0" applyFont="1" applyFill="1" applyBorder="1" applyAlignment="1">
      <alignment horizontal="right"/>
    </xf>
    <xf numFmtId="0" fontId="2" fillId="12" borderId="2" xfId="0" applyFont="1" applyFill="1" applyBorder="1" applyAlignment="1">
      <alignment horizontal="right"/>
    </xf>
    <xf numFmtId="3" fontId="2" fillId="7" borderId="1" xfId="0" applyNumberFormat="1" applyFont="1" applyFill="1" applyBorder="1"/>
    <xf numFmtId="0" fontId="2" fillId="7" borderId="1" xfId="0" applyFont="1" applyFill="1" applyBorder="1"/>
    <xf numFmtId="164" fontId="2" fillId="9" borderId="1" xfId="0" applyNumberFormat="1" applyFont="1" applyFill="1" applyBorder="1"/>
    <xf numFmtId="2" fontId="2" fillId="6" borderId="0" xfId="0" applyNumberFormat="1" applyFont="1" applyFill="1"/>
    <xf numFmtId="10" fontId="6" fillId="6" borderId="0" xfId="0" applyNumberFormat="1" applyFont="1" applyFill="1"/>
    <xf numFmtId="10" fontId="5" fillId="8" borderId="0" xfId="0" applyNumberFormat="1" applyFont="1" applyFill="1"/>
    <xf numFmtId="6" fontId="2" fillId="13" borderId="1" xfId="0" applyNumberFormat="1" applyFont="1" applyFill="1" applyBorder="1"/>
    <xf numFmtId="6" fontId="2" fillId="11" borderId="1" xfId="0" applyNumberFormat="1" applyFont="1" applyFill="1" applyBorder="1"/>
    <xf numFmtId="6" fontId="2" fillId="2" borderId="0" xfId="0" applyNumberFormat="1" applyFont="1" applyFill="1"/>
    <xf numFmtId="6" fontId="2" fillId="6" borderId="0" xfId="0" applyNumberFormat="1" applyFont="1" applyFill="1"/>
    <xf numFmtId="6" fontId="2" fillId="5" borderId="1" xfId="0" applyNumberFormat="1" applyFont="1" applyFill="1" applyBorder="1"/>
    <xf numFmtId="0" fontId="2" fillId="2" borderId="7" xfId="0" applyFont="1" applyFill="1" applyBorder="1"/>
    <xf numFmtId="10" fontId="2" fillId="2" borderId="7" xfId="0" applyNumberFormat="1" applyFont="1" applyFill="1" applyBorder="1"/>
    <xf numFmtId="0" fontId="2" fillId="8" borderId="5" xfId="0" applyFont="1" applyFill="1" applyBorder="1"/>
    <xf numFmtId="0" fontId="2" fillId="8" borderId="5" xfId="0" applyFont="1" applyFill="1" applyBorder="1" applyAlignment="1">
      <alignment horizontal="right"/>
    </xf>
    <xf numFmtId="0" fontId="2" fillId="8" borderId="7" xfId="0" applyFont="1" applyFill="1" applyBorder="1"/>
    <xf numFmtId="1" fontId="2" fillId="14" borderId="0" xfId="0" applyNumberFormat="1" applyFont="1" applyFill="1"/>
    <xf numFmtId="1" fontId="2" fillId="5" borderId="6" xfId="0" applyNumberFormat="1" applyFont="1" applyFill="1" applyBorder="1"/>
    <xf numFmtId="0" fontId="2" fillId="5" borderId="5" xfId="0" applyFont="1" applyFill="1" applyBorder="1"/>
    <xf numFmtId="10" fontId="2" fillId="5" borderId="0" xfId="0" applyNumberFormat="1" applyFont="1" applyFill="1"/>
    <xf numFmtId="10" fontId="2" fillId="5" borderId="5" xfId="0" applyNumberFormat="1" applyFont="1" applyFill="1" applyBorder="1"/>
    <xf numFmtId="0" fontId="2" fillId="14" borderId="0" xfId="0" applyFont="1" applyFill="1"/>
    <xf numFmtId="10" fontId="2" fillId="5" borderId="1" xfId="0" applyNumberFormat="1" applyFont="1" applyFill="1" applyBorder="1"/>
    <xf numFmtId="6" fontId="5" fillId="2" borderId="0" xfId="0" applyNumberFormat="1" applyFont="1" applyFill="1"/>
    <xf numFmtId="165" fontId="6" fillId="2" borderId="0" xfId="0" applyNumberFormat="1" applyFont="1" applyFill="1" applyAlignment="1">
      <alignment horizontal="right"/>
    </xf>
    <xf numFmtId="0" fontId="15" fillId="2" borderId="0" xfId="0" applyFont="1" applyFill="1"/>
    <xf numFmtId="165" fontId="12" fillId="5" borderId="1" xfId="112" applyNumberFormat="1" applyFill="1" applyBorder="1" applyAlignment="1">
      <alignment horizontal="right"/>
    </xf>
    <xf numFmtId="8" fontId="7" fillId="2" borderId="0" xfId="0" applyNumberFormat="1" applyFont="1" applyFill="1"/>
  </cellXfs>
  <cellStyles count="113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Normal" xfId="0" builtinId="0"/>
    <cellStyle name="Normal 2" xfId="112" xr:uid="{218F446A-9DA9-E14C-909A-B670BBEA0A8D}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Charts!$C$5</c:f>
              <c:strCache>
                <c:ptCount val="1"/>
                <c:pt idx="0">
                  <c:v>Revenue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445-4542-A2D8-3AE12782927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445-4542-A2D8-3AE12782927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B445-4542-A2D8-3AE12782927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B445-4542-A2D8-3AE1278292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Charts!$B$6:$B$9</c:f>
              <c:strCache>
                <c:ptCount val="4"/>
                <c:pt idx="0">
                  <c:v>Sales Cloud</c:v>
                </c:pt>
                <c:pt idx="1">
                  <c:v>Service Cloud</c:v>
                </c:pt>
                <c:pt idx="2">
                  <c:v>Platform and Other</c:v>
                </c:pt>
                <c:pt idx="3">
                  <c:v>Marketing and Commerce</c:v>
                </c:pt>
              </c:strCache>
            </c:strRef>
          </c:cat>
          <c:val>
            <c:numRef>
              <c:f>Charts!$C$6:$C$9</c:f>
              <c:numCache>
                <c:formatCode>General</c:formatCode>
                <c:ptCount val="4"/>
                <c:pt idx="0">
                  <c:v>4040</c:v>
                </c:pt>
                <c:pt idx="1">
                  <c:v>3621</c:v>
                </c:pt>
                <c:pt idx="2">
                  <c:v>2854</c:v>
                </c:pt>
                <c:pt idx="3">
                  <c:v>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5E-4A4A-BDFE-8CED1695C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4</xdr:row>
      <xdr:rowOff>38100</xdr:rowOff>
    </xdr:from>
    <xdr:to>
      <xdr:col>13</xdr:col>
      <xdr:colOff>254000</xdr:colOff>
      <xdr:row>33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04330A-7B24-0049-83A0-F10D44BC78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267"/>
  <sheetViews>
    <sheetView tabSelected="1" workbookViewId="0">
      <selection activeCell="G65" sqref="G65"/>
    </sheetView>
  </sheetViews>
  <sheetFormatPr baseColWidth="10" defaultColWidth="10.6640625" defaultRowHeight="13" x14ac:dyDescent="0.15"/>
  <cols>
    <col min="1" max="1" width="6.5" style="1" customWidth="1"/>
    <col min="2" max="2" width="14.6640625" style="1" customWidth="1"/>
    <col min="3" max="4" width="12.1640625" style="1" customWidth="1"/>
    <col min="5" max="6" width="10.6640625" style="1" customWidth="1"/>
    <col min="7" max="7" width="12.1640625" style="1" customWidth="1"/>
    <col min="8" max="8" width="12.83203125" style="1" customWidth="1"/>
    <col min="9" max="9" width="14.5" style="1" customWidth="1"/>
    <col min="10" max="10" width="14.6640625" style="1" customWidth="1"/>
    <col min="11" max="11" width="12.83203125" style="1" customWidth="1"/>
    <col min="12" max="12" width="14" style="1" customWidth="1"/>
    <col min="13" max="13" width="11.5" style="1" customWidth="1"/>
    <col min="14" max="14" width="11.6640625" style="1" customWidth="1"/>
    <col min="15" max="15" width="11.83203125" style="1" customWidth="1"/>
    <col min="16" max="16384" width="10.6640625" style="1"/>
  </cols>
  <sheetData>
    <row r="2" spans="2:18" ht="16" x14ac:dyDescent="0.2">
      <c r="F2" s="14" t="s">
        <v>65</v>
      </c>
      <c r="G2" s="14"/>
      <c r="H2" s="14"/>
      <c r="I2" s="14" t="s">
        <v>66</v>
      </c>
      <c r="J2" s="14"/>
      <c r="K2" s="14"/>
      <c r="L2" s="14" t="s">
        <v>67</v>
      </c>
      <c r="M2" s="14"/>
      <c r="N2" s="14"/>
      <c r="O2" s="14" t="s">
        <v>103</v>
      </c>
    </row>
    <row r="3" spans="2:18" s="3" customFormat="1" ht="16" x14ac:dyDescent="0.2">
      <c r="B3" s="2" t="s">
        <v>58</v>
      </c>
      <c r="C3" s="2" t="s">
        <v>121</v>
      </c>
      <c r="F3" s="7">
        <f>B258</f>
        <v>295.11417503765762</v>
      </c>
      <c r="G3" s="3" t="s">
        <v>216</v>
      </c>
      <c r="I3" s="4">
        <f>M17</f>
        <v>2.5655713401066101E-2</v>
      </c>
      <c r="J3" s="3" t="s">
        <v>71</v>
      </c>
      <c r="L3" s="5">
        <f>IF(B82&gt;0,(R29*R60)/B82,"NMF")</f>
        <v>5.9545454545454541</v>
      </c>
      <c r="M3" s="3" t="s">
        <v>44</v>
      </c>
      <c r="O3" s="3" t="s">
        <v>218</v>
      </c>
      <c r="Q3" s="110">
        <v>320</v>
      </c>
    </row>
    <row r="4" spans="2:18" s="3" customFormat="1" ht="16" x14ac:dyDescent="0.2">
      <c r="B4" s="14" t="s">
        <v>91</v>
      </c>
      <c r="C4" s="14" t="s">
        <v>122</v>
      </c>
      <c r="I4" s="8">
        <f>M18</f>
        <v>4.6252091707354691E-2</v>
      </c>
      <c r="J4" s="3" t="s">
        <v>72</v>
      </c>
      <c r="L4" s="9">
        <f>(B209+B210+B211)/B83</f>
        <v>2.721922384991005</v>
      </c>
      <c r="M4" s="3" t="s">
        <v>110</v>
      </c>
      <c r="O4" s="3" t="s">
        <v>107</v>
      </c>
      <c r="Q4" s="110">
        <v>285</v>
      </c>
    </row>
    <row r="5" spans="2:18" ht="16" x14ac:dyDescent="0.2">
      <c r="B5" s="2" t="s">
        <v>59</v>
      </c>
      <c r="C5" s="6">
        <v>44530</v>
      </c>
      <c r="F5" s="10">
        <f>B256</f>
        <v>0.96559238458687413</v>
      </c>
      <c r="G5" s="3" t="s">
        <v>63</v>
      </c>
      <c r="I5" s="4">
        <f>M19</f>
        <v>3.2097891628463868E-2</v>
      </c>
      <c r="J5" s="3" t="s">
        <v>73</v>
      </c>
      <c r="K5" s="3"/>
      <c r="L5" s="4">
        <f>(B209+B210+B211)/B208</f>
        <v>0.12112859691660186</v>
      </c>
      <c r="M5" s="3" t="s">
        <v>45</v>
      </c>
      <c r="N5" s="3"/>
      <c r="O5" s="3" t="s">
        <v>114</v>
      </c>
      <c r="Q5" s="110" t="s">
        <v>352</v>
      </c>
      <c r="R5" s="111" t="s">
        <v>351</v>
      </c>
    </row>
    <row r="6" spans="2:18" ht="16" x14ac:dyDescent="0.2">
      <c r="E6" s="11"/>
      <c r="F6" s="64">
        <f>D263</f>
        <v>0.10269486658527427</v>
      </c>
      <c r="G6" s="57" t="s">
        <v>116</v>
      </c>
      <c r="I6" s="12">
        <f>B20</f>
        <v>0</v>
      </c>
      <c r="J6" s="3" t="s">
        <v>75</v>
      </c>
      <c r="K6" s="3"/>
      <c r="L6" s="3"/>
      <c r="M6" s="3"/>
    </row>
    <row r="7" spans="2:18" ht="16" x14ac:dyDescent="0.2">
      <c r="E7" s="11"/>
      <c r="I7" s="12">
        <f>I238/(B24*B17)</f>
        <v>1.170796322290848E-2</v>
      </c>
      <c r="J7" s="3" t="s">
        <v>90</v>
      </c>
      <c r="K7" s="3"/>
      <c r="L7" s="3"/>
      <c r="M7" s="3"/>
    </row>
    <row r="8" spans="2:18" ht="16" x14ac:dyDescent="0.2">
      <c r="I8" s="90"/>
      <c r="J8" s="3"/>
    </row>
    <row r="9" spans="2:18" ht="16" x14ac:dyDescent="0.2">
      <c r="F9" s="13"/>
      <c r="G9" s="3"/>
    </row>
    <row r="10" spans="2:18" ht="16" x14ac:dyDescent="0.2">
      <c r="F10" s="13"/>
      <c r="G10" s="3"/>
    </row>
    <row r="11" spans="2:18" ht="16" x14ac:dyDescent="0.2">
      <c r="B11" s="49" t="s">
        <v>188</v>
      </c>
      <c r="C11" s="47"/>
      <c r="F11" s="14" t="s">
        <v>193</v>
      </c>
      <c r="L11" s="14" t="s">
        <v>194</v>
      </c>
    </row>
    <row r="12" spans="2:18" x14ac:dyDescent="0.15">
      <c r="B12" s="84" t="s">
        <v>189</v>
      </c>
      <c r="C12" s="1" t="s">
        <v>190</v>
      </c>
      <c r="F12" s="18" t="s">
        <v>219</v>
      </c>
    </row>
    <row r="13" spans="2:18" x14ac:dyDescent="0.15">
      <c r="B13" s="85">
        <v>2021</v>
      </c>
      <c r="C13" s="1" t="s">
        <v>191</v>
      </c>
      <c r="L13" s="16" t="s">
        <v>47</v>
      </c>
      <c r="M13" s="16">
        <f>N13-1</f>
        <v>2017</v>
      </c>
      <c r="N13" s="16">
        <f t="shared" ref="N13:O13" si="0">O13-1</f>
        <v>2018</v>
      </c>
      <c r="O13" s="16">
        <f t="shared" si="0"/>
        <v>2019</v>
      </c>
      <c r="P13" s="16">
        <f>Q13-1</f>
        <v>2020</v>
      </c>
      <c r="Q13" s="16">
        <f>B13</f>
        <v>2021</v>
      </c>
      <c r="R13" s="17" t="s">
        <v>51</v>
      </c>
    </row>
    <row r="14" spans="2:18" x14ac:dyDescent="0.15">
      <c r="B14" s="85" t="s">
        <v>361</v>
      </c>
      <c r="C14" s="1" t="s">
        <v>192</v>
      </c>
      <c r="L14" s="26" t="s">
        <v>68</v>
      </c>
      <c r="M14" s="105">
        <f>M95/M208</f>
        <v>1.0235996588001138E-2</v>
      </c>
      <c r="N14" s="105">
        <f t="shared" ref="N14:R14" si="1">N95/N208</f>
        <v>5.776928675400291E-3</v>
      </c>
      <c r="O14" s="105">
        <f t="shared" si="1"/>
        <v>3.6112828187526431E-2</v>
      </c>
      <c r="P14" s="105">
        <f t="shared" si="1"/>
        <v>2.2856728222617278E-3</v>
      </c>
      <c r="Q14" s="105">
        <f t="shared" si="1"/>
        <v>7.3867140732140915E-2</v>
      </c>
      <c r="R14" s="105">
        <f t="shared" si="1"/>
        <v>1.9888832974975984E-2</v>
      </c>
    </row>
    <row r="15" spans="2:18" x14ac:dyDescent="0.15">
      <c r="L15" s="26" t="s">
        <v>69</v>
      </c>
      <c r="M15" s="105">
        <f>M95/M211</f>
        <v>2.4E-2</v>
      </c>
      <c r="N15" s="105">
        <f t="shared" ref="N15:R15" si="2">N95/N211</f>
        <v>1.2239784117193524E-2</v>
      </c>
      <c r="O15" s="105">
        <f t="shared" si="2"/>
        <v>7.1131047741108622E-2</v>
      </c>
      <c r="P15" s="105">
        <f t="shared" si="2"/>
        <v>3.7184594953519256E-3</v>
      </c>
      <c r="Q15" s="105">
        <f t="shared" si="2"/>
        <v>0.12017116718311938</v>
      </c>
      <c r="R15" s="105">
        <f t="shared" si="2"/>
        <v>3.0479896238651102E-2</v>
      </c>
    </row>
    <row r="16" spans="2:18" x14ac:dyDescent="0.15">
      <c r="B16" s="44">
        <v>284.95999999999998</v>
      </c>
      <c r="C16" s="1" t="s">
        <v>220</v>
      </c>
      <c r="L16" s="16" t="s">
        <v>70</v>
      </c>
      <c r="M16" s="106">
        <f>D228/M212</f>
        <v>3.9719113451832343E-2</v>
      </c>
      <c r="N16" s="106">
        <f t="shared" ref="N16:R16" si="3">E228/N212</f>
        <v>3.2572751322751323E-2</v>
      </c>
      <c r="O16" s="106">
        <f t="shared" si="3"/>
        <v>3.6526276556093924E-2</v>
      </c>
      <c r="P16" s="106">
        <f t="shared" si="3"/>
        <v>-2.106242135784234E-3</v>
      </c>
      <c r="Q16" s="106">
        <f t="shared" si="3"/>
        <v>5.3777558947426016E-2</v>
      </c>
      <c r="R16" s="106">
        <f t="shared" si="3"/>
        <v>7.4500269938650322E-3</v>
      </c>
    </row>
    <row r="17" spans="2:18" x14ac:dyDescent="0.15">
      <c r="B17" s="86">
        <v>980</v>
      </c>
      <c r="C17" s="1" t="str">
        <f>"Diluted Shares Outstanding in "&amp;B12&amp;""</f>
        <v>Diluted Shares Outstanding in millions</v>
      </c>
      <c r="L17" s="1" t="s">
        <v>104</v>
      </c>
      <c r="M17" s="20">
        <f>AVERAGE(M14:Q14)</f>
        <v>2.5655713401066101E-2</v>
      </c>
    </row>
    <row r="18" spans="2:18" x14ac:dyDescent="0.15">
      <c r="L18" s="1" t="s">
        <v>105</v>
      </c>
      <c r="M18" s="20">
        <f>AVERAGE(M15:Q15)</f>
        <v>4.6252091707354691E-2</v>
      </c>
    </row>
    <row r="19" spans="2:18" x14ac:dyDescent="0.15">
      <c r="B19" s="44">
        <v>0</v>
      </c>
      <c r="C19" s="1" t="s">
        <v>262</v>
      </c>
      <c r="L19" s="1" t="s">
        <v>106</v>
      </c>
      <c r="M19" s="20">
        <f>AVERAGE(M16:Q16)</f>
        <v>3.2097891628463868E-2</v>
      </c>
    </row>
    <row r="20" spans="2:18" x14ac:dyDescent="0.15">
      <c r="B20" s="108">
        <f>B19/B16</f>
        <v>0</v>
      </c>
      <c r="C20" s="1" t="s">
        <v>75</v>
      </c>
    </row>
    <row r="22" spans="2:18" ht="16" x14ac:dyDescent="0.2">
      <c r="B22" s="87">
        <v>1</v>
      </c>
      <c r="C22" s="1" t="s">
        <v>221</v>
      </c>
      <c r="F22" s="18" t="s">
        <v>222</v>
      </c>
      <c r="G22" s="3"/>
    </row>
    <row r="23" spans="2:18" ht="16" x14ac:dyDescent="0.2">
      <c r="B23" s="87">
        <v>1</v>
      </c>
      <c r="C23" s="39" t="s">
        <v>223</v>
      </c>
      <c r="F23" s="18" t="s">
        <v>349</v>
      </c>
      <c r="G23" s="3"/>
    </row>
    <row r="24" spans="2:18" ht="16" x14ac:dyDescent="0.2">
      <c r="B24" s="88">
        <f>(B16*B22)*B23</f>
        <v>284.95999999999998</v>
      </c>
      <c r="C24" s="1" t="s">
        <v>224</v>
      </c>
      <c r="F24" s="18" t="s">
        <v>225</v>
      </c>
      <c r="G24" s="3"/>
    </row>
    <row r="25" spans="2:18" x14ac:dyDescent="0.15">
      <c r="B25" s="52"/>
    </row>
    <row r="27" spans="2:18" ht="16" x14ac:dyDescent="0.2">
      <c r="B27" s="14" t="s">
        <v>13</v>
      </c>
      <c r="C27" s="18" t="str">
        <f>B12</f>
        <v>millions</v>
      </c>
      <c r="L27" s="18" t="str">
        <f>B12</f>
        <v>millions</v>
      </c>
    </row>
    <row r="28" spans="2:18" x14ac:dyDescent="0.15">
      <c r="B28" s="50">
        <v>24983</v>
      </c>
      <c r="C28" s="1" t="s">
        <v>77</v>
      </c>
      <c r="L28" s="16" t="s">
        <v>47</v>
      </c>
      <c r="M28" s="17">
        <f>$M$13</f>
        <v>2017</v>
      </c>
      <c r="N28" s="17">
        <f>$N$13</f>
        <v>2018</v>
      </c>
      <c r="O28" s="17">
        <f>$O$13</f>
        <v>2019</v>
      </c>
      <c r="P28" s="17">
        <f>$P$13</f>
        <v>2020</v>
      </c>
      <c r="Q28" s="17">
        <f>$Q$13</f>
        <v>2021</v>
      </c>
      <c r="R28" s="17" t="str">
        <f>$R$13</f>
        <v>ttm</v>
      </c>
    </row>
    <row r="29" spans="2:18" x14ac:dyDescent="0.15">
      <c r="B29" s="15"/>
      <c r="L29" s="16" t="s">
        <v>48</v>
      </c>
      <c r="M29" s="16">
        <v>8392</v>
      </c>
      <c r="N29" s="16">
        <v>10480</v>
      </c>
      <c r="O29" s="16">
        <v>13282</v>
      </c>
      <c r="P29" s="16">
        <v>17098</v>
      </c>
      <c r="Q29" s="16">
        <v>21252</v>
      </c>
      <c r="R29" s="104">
        <f>B28</f>
        <v>24983</v>
      </c>
    </row>
    <row r="30" spans="2:18" x14ac:dyDescent="0.15">
      <c r="B30" s="27">
        <v>0.23</v>
      </c>
      <c r="C30" s="47" t="s">
        <v>80</v>
      </c>
      <c r="F30" s="18" t="s">
        <v>364</v>
      </c>
      <c r="L30" s="97" t="s">
        <v>60</v>
      </c>
      <c r="M30" s="97"/>
      <c r="N30" s="98">
        <f>(N29-M29)/M29</f>
        <v>0.24880838894184937</v>
      </c>
      <c r="O30" s="98">
        <f>(O29-N29)/N29</f>
        <v>0.26736641221374047</v>
      </c>
      <c r="P30" s="98">
        <f>(P29-O29)/O29</f>
        <v>0.28730612859509108</v>
      </c>
      <c r="Q30" s="98">
        <f>(Q29-P29)/P29</f>
        <v>0.24295239209264241</v>
      </c>
      <c r="R30" s="97"/>
    </row>
    <row r="31" spans="2:18" x14ac:dyDescent="0.15">
      <c r="B31" s="108">
        <f>'Revenue Growth'!F48</f>
        <v>0.21949968443528189</v>
      </c>
      <c r="C31" s="47" t="s">
        <v>81</v>
      </c>
      <c r="F31" s="18" t="s">
        <v>368</v>
      </c>
      <c r="L31" s="26" t="s">
        <v>79</v>
      </c>
      <c r="M31" s="21">
        <f>((Q29/M29)^0.25)-1</f>
        <v>0.26148933440912114</v>
      </c>
      <c r="N31" s="26"/>
      <c r="O31" s="26"/>
      <c r="P31" s="26"/>
      <c r="Q31" s="26"/>
      <c r="R31" s="26"/>
    </row>
    <row r="32" spans="2:18" x14ac:dyDescent="0.15">
      <c r="B32" s="108">
        <f>'Revenue Growth'!F49</f>
        <v>0.19075454533307612</v>
      </c>
      <c r="C32" s="47" t="s">
        <v>82</v>
      </c>
      <c r="F32" s="18"/>
      <c r="L32" s="1" t="s">
        <v>61</v>
      </c>
      <c r="M32" s="20">
        <f>((Q29/N29)^0.33)-1</f>
        <v>0.26276551478932553</v>
      </c>
    </row>
    <row r="33" spans="2:18" x14ac:dyDescent="0.15">
      <c r="B33" s="108">
        <f>'Revenue Growth'!F50</f>
        <v>0.16992422016359954</v>
      </c>
      <c r="C33" s="47" t="s">
        <v>83</v>
      </c>
      <c r="F33" s="18"/>
      <c r="L33" s="1" t="s">
        <v>62</v>
      </c>
      <c r="M33" s="20">
        <f>(Q29/O29)^0.5-1</f>
        <v>0.26493487258941006</v>
      </c>
    </row>
    <row r="34" spans="2:18" x14ac:dyDescent="0.15">
      <c r="B34" s="108">
        <f>'Revenue Growth'!F51</f>
        <v>0.15135835429722877</v>
      </c>
      <c r="C34" s="47" t="s">
        <v>84</v>
      </c>
      <c r="F34" s="18" t="s">
        <v>362</v>
      </c>
      <c r="L34" s="26"/>
      <c r="M34" s="26"/>
      <c r="N34" s="26"/>
      <c r="O34" s="26"/>
      <c r="P34" s="26"/>
      <c r="Q34" s="26"/>
      <c r="R34" s="48"/>
    </row>
    <row r="35" spans="2:18" x14ac:dyDescent="0.15">
      <c r="B35" s="108">
        <f>'Revenue Growth'!F52</f>
        <v>0.13810006325059421</v>
      </c>
      <c r="C35" s="47" t="s">
        <v>85</v>
      </c>
      <c r="F35" s="18" t="s">
        <v>366</v>
      </c>
      <c r="L35" s="26"/>
      <c r="M35" s="26"/>
      <c r="N35" s="26"/>
      <c r="O35" s="26"/>
      <c r="P35" s="26"/>
      <c r="Q35" s="26"/>
      <c r="R35" s="48"/>
    </row>
    <row r="36" spans="2:18" x14ac:dyDescent="0.15">
      <c r="B36" s="108">
        <f>'Revenue Growth'!F53</f>
        <v>0.12239872425129517</v>
      </c>
      <c r="C36" s="47" t="s">
        <v>86</v>
      </c>
      <c r="F36" s="18" t="s">
        <v>363</v>
      </c>
      <c r="L36" s="26"/>
      <c r="M36" s="26"/>
      <c r="N36" s="26"/>
      <c r="O36" s="26"/>
      <c r="P36" s="26"/>
      <c r="Q36" s="26"/>
      <c r="R36" s="48"/>
    </row>
    <row r="37" spans="2:18" x14ac:dyDescent="0.15">
      <c r="B37" s="108">
        <f>'Revenue Growth'!F54</f>
        <v>0.10776203868063328</v>
      </c>
      <c r="C37" s="47" t="s">
        <v>87</v>
      </c>
    </row>
    <row r="38" spans="2:18" x14ac:dyDescent="0.15">
      <c r="B38" s="108">
        <f>'Revenue Growth'!F55</f>
        <v>9.1744795216005759E-2</v>
      </c>
      <c r="C38" s="47" t="s">
        <v>88</v>
      </c>
      <c r="F38" s="18" t="s">
        <v>348</v>
      </c>
    </row>
    <row r="39" spans="2:18" x14ac:dyDescent="0.15">
      <c r="B39" s="108">
        <f>'Revenue Growth'!F56</f>
        <v>8.3941488415056886E-2</v>
      </c>
      <c r="C39" s="47" t="s">
        <v>89</v>
      </c>
      <c r="L39" s="26"/>
      <c r="M39" s="26"/>
      <c r="N39" s="26"/>
      <c r="O39" s="26"/>
      <c r="P39" s="26"/>
      <c r="Q39" s="26"/>
      <c r="R39" s="48"/>
    </row>
    <row r="40" spans="2:18" x14ac:dyDescent="0.15">
      <c r="B40" s="27">
        <v>0.06</v>
      </c>
      <c r="C40" s="47" t="s">
        <v>263</v>
      </c>
      <c r="F40" s="18" t="s">
        <v>373</v>
      </c>
      <c r="L40" s="26"/>
      <c r="M40" s="26"/>
      <c r="N40" s="26"/>
      <c r="O40" s="26"/>
      <c r="P40" s="26"/>
      <c r="Q40" s="26"/>
      <c r="R40" s="48"/>
    </row>
    <row r="41" spans="2:18" x14ac:dyDescent="0.15">
      <c r="B41" s="27">
        <v>0.06</v>
      </c>
      <c r="C41" s="47" t="s">
        <v>264</v>
      </c>
      <c r="F41" s="18" t="s">
        <v>359</v>
      </c>
      <c r="L41" s="26"/>
      <c r="M41" s="26"/>
      <c r="N41" s="26"/>
      <c r="O41" s="26"/>
      <c r="P41" s="26"/>
      <c r="Q41" s="26"/>
      <c r="R41" s="48"/>
    </row>
    <row r="42" spans="2:18" x14ac:dyDescent="0.15">
      <c r="B42" s="27">
        <v>0.06</v>
      </c>
      <c r="C42" s="47" t="s">
        <v>265</v>
      </c>
      <c r="L42" s="26"/>
      <c r="M42" s="26"/>
      <c r="N42" s="26"/>
      <c r="O42" s="26"/>
      <c r="P42" s="26"/>
      <c r="Q42" s="26"/>
      <c r="R42" s="48"/>
    </row>
    <row r="43" spans="2:18" x14ac:dyDescent="0.15">
      <c r="B43" s="27">
        <v>0.06</v>
      </c>
      <c r="C43" s="47" t="s">
        <v>266</v>
      </c>
      <c r="L43" s="26"/>
      <c r="M43" s="26"/>
      <c r="N43" s="26"/>
      <c r="O43" s="26"/>
      <c r="P43" s="26"/>
      <c r="Q43" s="26"/>
      <c r="R43" s="48"/>
    </row>
    <row r="44" spans="2:18" x14ac:dyDescent="0.15">
      <c r="B44" s="27">
        <v>0.06</v>
      </c>
      <c r="C44" s="47" t="s">
        <v>267</v>
      </c>
      <c r="L44" s="26"/>
      <c r="M44" s="26"/>
      <c r="N44" s="26"/>
      <c r="O44" s="26"/>
      <c r="P44" s="26"/>
      <c r="Q44" s="26"/>
      <c r="R44" s="48"/>
    </row>
    <row r="45" spans="2:18" x14ac:dyDescent="0.15">
      <c r="B45" s="27">
        <v>0.05</v>
      </c>
      <c r="C45" s="47" t="s">
        <v>268</v>
      </c>
      <c r="L45" s="26"/>
      <c r="M45" s="26"/>
      <c r="N45" s="26"/>
      <c r="O45" s="26"/>
      <c r="P45" s="26"/>
      <c r="Q45" s="26"/>
      <c r="R45" s="48"/>
    </row>
    <row r="46" spans="2:18" x14ac:dyDescent="0.15">
      <c r="B46" s="27">
        <v>0.05</v>
      </c>
      <c r="C46" s="47" t="s">
        <v>269</v>
      </c>
      <c r="L46" s="26"/>
      <c r="M46" s="26"/>
      <c r="N46" s="26"/>
      <c r="O46" s="26"/>
      <c r="P46" s="26"/>
      <c r="Q46" s="26"/>
      <c r="R46" s="48"/>
    </row>
    <row r="47" spans="2:18" x14ac:dyDescent="0.15">
      <c r="B47" s="27">
        <v>0.05</v>
      </c>
      <c r="C47" s="47" t="s">
        <v>270</v>
      </c>
      <c r="L47" s="26"/>
      <c r="M47" s="26"/>
      <c r="N47" s="26"/>
      <c r="O47" s="26"/>
      <c r="P47" s="26"/>
      <c r="Q47" s="26"/>
      <c r="R47" s="48"/>
    </row>
    <row r="48" spans="2:18" ht="12" customHeight="1" x14ac:dyDescent="0.15">
      <c r="B48" s="27">
        <v>0.05</v>
      </c>
      <c r="C48" s="47" t="s">
        <v>271</v>
      </c>
      <c r="L48" s="26"/>
      <c r="M48" s="26"/>
      <c r="N48" s="26"/>
      <c r="O48" s="26"/>
      <c r="P48" s="26"/>
      <c r="Q48" s="26"/>
      <c r="R48" s="48"/>
    </row>
    <row r="49" spans="2:18" x14ac:dyDescent="0.15">
      <c r="B49" s="27">
        <v>0.05</v>
      </c>
      <c r="C49" s="47" t="s">
        <v>272</v>
      </c>
      <c r="L49" s="26"/>
      <c r="M49" s="26"/>
      <c r="N49" s="26"/>
      <c r="O49" s="26"/>
      <c r="P49" s="26"/>
      <c r="Q49" s="26"/>
      <c r="R49" s="48"/>
    </row>
    <row r="50" spans="2:18" x14ac:dyDescent="0.15">
      <c r="B50" s="27">
        <v>0.03</v>
      </c>
      <c r="C50" s="47" t="s">
        <v>273</v>
      </c>
      <c r="L50" s="26"/>
      <c r="M50" s="26"/>
      <c r="N50" s="26"/>
      <c r="O50" s="26"/>
      <c r="P50" s="26"/>
      <c r="Q50" s="26"/>
      <c r="R50" s="48"/>
    </row>
    <row r="51" spans="2:18" x14ac:dyDescent="0.15">
      <c r="B51" s="15"/>
      <c r="L51" s="26"/>
      <c r="M51" s="26"/>
      <c r="N51" s="26"/>
      <c r="O51" s="26"/>
      <c r="P51" s="26"/>
      <c r="Q51" s="26"/>
      <c r="R51" s="48"/>
    </row>
    <row r="52" spans="2:18" x14ac:dyDescent="0.15">
      <c r="B52" s="55">
        <f>((K226/B28)^0.3333333333)-1</f>
        <v>0.21330415228400823</v>
      </c>
      <c r="C52" s="1" t="s">
        <v>358</v>
      </c>
      <c r="L52" s="26"/>
      <c r="M52" s="26"/>
      <c r="N52" s="26"/>
      <c r="O52" s="26"/>
      <c r="P52" s="26"/>
      <c r="Q52" s="26"/>
      <c r="R52" s="48"/>
    </row>
    <row r="53" spans="2:18" x14ac:dyDescent="0.15">
      <c r="B53" s="55">
        <f>((M226/B28)^0.2)-1</f>
        <v>0.19194292472906804</v>
      </c>
      <c r="C53" s="1" t="s">
        <v>113</v>
      </c>
      <c r="L53" s="26"/>
      <c r="M53" s="26"/>
      <c r="N53" s="26"/>
      <c r="O53" s="26"/>
      <c r="P53" s="26"/>
      <c r="Q53" s="26"/>
      <c r="R53" s="48"/>
    </row>
    <row r="54" spans="2:18" x14ac:dyDescent="0.15">
      <c r="B54" s="55">
        <f>((R226/B28)^0.1)-1</f>
        <v>0.14952345215948126</v>
      </c>
      <c r="C54" s="1" t="s">
        <v>112</v>
      </c>
      <c r="L54" s="26"/>
      <c r="M54" s="26"/>
      <c r="N54" s="26"/>
      <c r="O54" s="26"/>
      <c r="P54" s="26"/>
      <c r="Q54" s="26"/>
      <c r="R54" s="48"/>
    </row>
    <row r="55" spans="2:18" x14ac:dyDescent="0.15">
      <c r="B55" s="15"/>
      <c r="L55" s="26"/>
      <c r="M55" s="26"/>
      <c r="N55" s="26"/>
      <c r="O55" s="26"/>
      <c r="P55" s="26"/>
      <c r="Q55" s="26"/>
      <c r="R55" s="48"/>
    </row>
    <row r="56" spans="2:18" x14ac:dyDescent="0.15">
      <c r="B56" s="15"/>
      <c r="L56" s="26"/>
      <c r="M56" s="26"/>
      <c r="N56" s="26"/>
      <c r="O56" s="26"/>
      <c r="P56" s="26"/>
      <c r="Q56" s="26"/>
      <c r="R56" s="48"/>
    </row>
    <row r="57" spans="2:18" ht="16" x14ac:dyDescent="0.2">
      <c r="B57" s="49" t="s">
        <v>108</v>
      </c>
      <c r="L57" s="18" t="str">
        <f>B12</f>
        <v>millions</v>
      </c>
      <c r="M57" s="47"/>
      <c r="N57" s="47"/>
      <c r="O57" s="47"/>
      <c r="R57" s="35"/>
    </row>
    <row r="58" spans="2:18" x14ac:dyDescent="0.15">
      <c r="B58" s="27">
        <v>0.02</v>
      </c>
      <c r="C58" s="1" t="s">
        <v>18</v>
      </c>
      <c r="F58" s="18" t="s">
        <v>365</v>
      </c>
      <c r="L58" s="16" t="s">
        <v>47</v>
      </c>
      <c r="M58" s="17">
        <f>$M$13</f>
        <v>2017</v>
      </c>
      <c r="N58" s="17">
        <f>$N$13</f>
        <v>2018</v>
      </c>
      <c r="O58" s="17">
        <f>$O$13</f>
        <v>2019</v>
      </c>
      <c r="P58" s="17">
        <f>$P$13</f>
        <v>2020</v>
      </c>
      <c r="Q58" s="17">
        <f>$Q$13</f>
        <v>2021</v>
      </c>
      <c r="R58" s="17" t="str">
        <f>$R$13</f>
        <v>ttm</v>
      </c>
    </row>
    <row r="59" spans="2:18" x14ac:dyDescent="0.15">
      <c r="B59" s="27">
        <v>0.06</v>
      </c>
      <c r="C59" s="1" t="s">
        <v>19</v>
      </c>
      <c r="F59" s="18" t="s">
        <v>125</v>
      </c>
      <c r="L59" s="19" t="s">
        <v>253</v>
      </c>
      <c r="M59" s="19">
        <v>218</v>
      </c>
      <c r="N59" s="19">
        <v>454</v>
      </c>
      <c r="O59" s="19">
        <v>559</v>
      </c>
      <c r="P59" s="19">
        <v>503</v>
      </c>
      <c r="Q59" s="19">
        <v>455</v>
      </c>
      <c r="R59" s="19">
        <v>917</v>
      </c>
    </row>
    <row r="60" spans="2:18" x14ac:dyDescent="0.15">
      <c r="B60" s="27">
        <v>0.08</v>
      </c>
      <c r="C60" s="1" t="s">
        <v>20</v>
      </c>
      <c r="F60" s="18" t="s">
        <v>367</v>
      </c>
      <c r="L60" s="1" t="s">
        <v>254</v>
      </c>
      <c r="M60" s="20">
        <f t="shared" ref="M60:R60" si="4">M59/M29</f>
        <v>2.5977121067683507E-2</v>
      </c>
      <c r="N60" s="20">
        <f t="shared" si="4"/>
        <v>4.3320610687022899E-2</v>
      </c>
      <c r="O60" s="20">
        <f t="shared" si="4"/>
        <v>4.2087035085077551E-2</v>
      </c>
      <c r="P60" s="20">
        <f t="shared" si="4"/>
        <v>2.9418645455608843E-2</v>
      </c>
      <c r="Q60" s="20">
        <f t="shared" si="4"/>
        <v>2.1409749670619236E-2</v>
      </c>
      <c r="R60" s="20">
        <f t="shared" si="4"/>
        <v>3.6704959372373211E-2</v>
      </c>
    </row>
    <row r="61" spans="2:18" x14ac:dyDescent="0.15">
      <c r="B61" s="27">
        <v>0.1</v>
      </c>
      <c r="C61" s="1" t="s">
        <v>21</v>
      </c>
      <c r="L61" s="1" t="s">
        <v>52</v>
      </c>
      <c r="M61" s="20">
        <f>AVERAGE(M60:Q60)</f>
        <v>3.2442632393202407E-2</v>
      </c>
    </row>
    <row r="62" spans="2:18" x14ac:dyDescent="0.15">
      <c r="B62" s="27">
        <v>0.12</v>
      </c>
      <c r="C62" s="1" t="s">
        <v>22</v>
      </c>
      <c r="F62" s="18" t="s">
        <v>374</v>
      </c>
      <c r="L62" s="1" t="s">
        <v>55</v>
      </c>
      <c r="M62" s="20">
        <f>AVERAGE(N60:Q60)</f>
        <v>3.4059010224582131E-2</v>
      </c>
    </row>
    <row r="63" spans="2:18" x14ac:dyDescent="0.15">
      <c r="B63" s="27">
        <v>0.14000000000000001</v>
      </c>
      <c r="C63" s="1" t="s">
        <v>23</v>
      </c>
      <c r="F63" s="56" t="s">
        <v>357</v>
      </c>
      <c r="L63" s="1" t="s">
        <v>56</v>
      </c>
      <c r="M63" s="20">
        <f>AVERAGE(O60:Q60)</f>
        <v>3.0971810070435212E-2</v>
      </c>
    </row>
    <row r="64" spans="2:18" x14ac:dyDescent="0.15">
      <c r="B64" s="27">
        <v>0.18</v>
      </c>
      <c r="C64" s="1" t="s">
        <v>24</v>
      </c>
    </row>
    <row r="65" spans="2:6" x14ac:dyDescent="0.15">
      <c r="B65" s="27">
        <v>0.2</v>
      </c>
      <c r="C65" s="1" t="s">
        <v>25</v>
      </c>
      <c r="F65" s="18" t="s">
        <v>360</v>
      </c>
    </row>
    <row r="66" spans="2:6" x14ac:dyDescent="0.15">
      <c r="B66" s="27">
        <v>0.22</v>
      </c>
      <c r="C66" s="1" t="s">
        <v>26</v>
      </c>
    </row>
    <row r="67" spans="2:6" x14ac:dyDescent="0.15">
      <c r="B67" s="27">
        <v>0.24</v>
      </c>
      <c r="C67" s="1" t="s">
        <v>27</v>
      </c>
      <c r="F67" s="18" t="s">
        <v>115</v>
      </c>
    </row>
    <row r="68" spans="2:6" x14ac:dyDescent="0.15">
      <c r="B68" s="27">
        <v>0.26</v>
      </c>
      <c r="C68" s="1" t="s">
        <v>274</v>
      </c>
      <c r="F68" s="18" t="s">
        <v>126</v>
      </c>
    </row>
    <row r="69" spans="2:6" x14ac:dyDescent="0.15">
      <c r="B69" s="27">
        <v>0.26</v>
      </c>
      <c r="C69" s="1" t="s">
        <v>275</v>
      </c>
      <c r="F69" s="18" t="s">
        <v>127</v>
      </c>
    </row>
    <row r="70" spans="2:6" x14ac:dyDescent="0.15">
      <c r="B70" s="27">
        <v>0.28000000000000003</v>
      </c>
      <c r="C70" s="1" t="s">
        <v>276</v>
      </c>
      <c r="F70" s="18"/>
    </row>
    <row r="71" spans="2:6" x14ac:dyDescent="0.15">
      <c r="B71" s="27">
        <v>0.28000000000000003</v>
      </c>
      <c r="C71" s="1" t="s">
        <v>277</v>
      </c>
      <c r="F71" s="18"/>
    </row>
    <row r="72" spans="2:6" x14ac:dyDescent="0.15">
      <c r="B72" s="27">
        <v>0.3</v>
      </c>
      <c r="C72" s="1" t="s">
        <v>278</v>
      </c>
      <c r="F72" s="18"/>
    </row>
    <row r="73" spans="2:6" x14ac:dyDescent="0.15">
      <c r="B73" s="27">
        <v>0.3</v>
      </c>
      <c r="C73" s="1" t="s">
        <v>279</v>
      </c>
      <c r="F73" s="18"/>
    </row>
    <row r="74" spans="2:6" x14ac:dyDescent="0.15">
      <c r="B74" s="27">
        <v>0.3</v>
      </c>
      <c r="C74" s="1" t="s">
        <v>280</v>
      </c>
      <c r="F74" s="18"/>
    </row>
    <row r="75" spans="2:6" x14ac:dyDescent="0.15">
      <c r="B75" s="27">
        <v>0.3</v>
      </c>
      <c r="C75" s="1" t="s">
        <v>281</v>
      </c>
      <c r="F75" s="18"/>
    </row>
    <row r="76" spans="2:6" x14ac:dyDescent="0.15">
      <c r="B76" s="27">
        <v>0.3</v>
      </c>
      <c r="C76" s="1" t="s">
        <v>282</v>
      </c>
      <c r="F76" s="18"/>
    </row>
    <row r="77" spans="2:6" x14ac:dyDescent="0.15">
      <c r="B77" s="27">
        <v>0.3</v>
      </c>
      <c r="C77" s="1" t="s">
        <v>283</v>
      </c>
      <c r="F77" s="18"/>
    </row>
    <row r="78" spans="2:6" x14ac:dyDescent="0.15">
      <c r="B78" s="27">
        <v>0.3</v>
      </c>
      <c r="C78" s="1" t="s">
        <v>284</v>
      </c>
    </row>
    <row r="79" spans="2:6" x14ac:dyDescent="0.15">
      <c r="B79" s="21"/>
    </row>
    <row r="80" spans="2:6" x14ac:dyDescent="0.15">
      <c r="B80" s="21"/>
    </row>
    <row r="81" spans="2:18" ht="16" x14ac:dyDescent="0.2">
      <c r="B81" s="22" t="s">
        <v>215</v>
      </c>
      <c r="C81" s="18" t="str">
        <f>B12</f>
        <v>millions</v>
      </c>
    </row>
    <row r="82" spans="2:18" x14ac:dyDescent="0.15">
      <c r="B82" s="51">
        <v>154</v>
      </c>
      <c r="C82" s="1" t="s">
        <v>64</v>
      </c>
    </row>
    <row r="83" spans="2:18" x14ac:dyDescent="0.15">
      <c r="B83" s="54">
        <f>((R29*R60) + R113)</f>
        <v>3891</v>
      </c>
      <c r="C83" s="1" t="s">
        <v>109</v>
      </c>
    </row>
    <row r="84" spans="2:18" x14ac:dyDescent="0.15">
      <c r="B84" s="21"/>
    </row>
    <row r="85" spans="2:18" x14ac:dyDescent="0.15">
      <c r="B85" s="21"/>
    </row>
    <row r="86" spans="2:18" ht="16" x14ac:dyDescent="0.2">
      <c r="B86" s="22" t="s">
        <v>9</v>
      </c>
      <c r="F86" s="18" t="s">
        <v>252</v>
      </c>
      <c r="L86" s="18" t="str">
        <f>B12</f>
        <v>millions</v>
      </c>
    </row>
    <row r="87" spans="2:18" x14ac:dyDescent="0.15">
      <c r="B87" s="27">
        <v>0.18</v>
      </c>
      <c r="C87" s="1" t="s">
        <v>92</v>
      </c>
      <c r="D87" s="18"/>
      <c r="E87" s="18"/>
      <c r="L87" s="16" t="s">
        <v>47</v>
      </c>
      <c r="M87" s="17">
        <f>$M$13</f>
        <v>2017</v>
      </c>
      <c r="N87" s="17">
        <f>$N$13</f>
        <v>2018</v>
      </c>
      <c r="O87" s="17">
        <f>$O$13</f>
        <v>2019</v>
      </c>
      <c r="P87" s="17">
        <f>$P$13</f>
        <v>2020</v>
      </c>
      <c r="Q87" s="17">
        <f>$Q$13</f>
        <v>2021</v>
      </c>
      <c r="R87" s="17" t="str">
        <f>$R$13</f>
        <v>ttm</v>
      </c>
    </row>
    <row r="88" spans="2:18" x14ac:dyDescent="0.15">
      <c r="B88" s="27">
        <v>0.18</v>
      </c>
      <c r="C88" s="1" t="s">
        <v>93</v>
      </c>
      <c r="D88" s="18"/>
      <c r="E88" s="18"/>
      <c r="F88" s="18" t="s">
        <v>123</v>
      </c>
      <c r="L88" s="19" t="s">
        <v>255</v>
      </c>
      <c r="M88" s="19">
        <v>-144</v>
      </c>
      <c r="N88" s="19">
        <v>60</v>
      </c>
      <c r="O88" s="19">
        <v>-127</v>
      </c>
      <c r="P88" s="19">
        <v>580</v>
      </c>
      <c r="Q88" s="19">
        <v>-1511</v>
      </c>
      <c r="R88" s="19">
        <v>1887</v>
      </c>
    </row>
    <row r="89" spans="2:18" x14ac:dyDescent="0.15">
      <c r="B89" s="27">
        <v>0.18</v>
      </c>
      <c r="C89" s="1" t="s">
        <v>95</v>
      </c>
      <c r="D89" s="18"/>
      <c r="L89" s="97" t="s">
        <v>94</v>
      </c>
      <c r="M89" s="98">
        <f>M88/M59</f>
        <v>-0.66055045871559637</v>
      </c>
      <c r="N89" s="98">
        <f t="shared" ref="N89:R89" si="5">N88/N59</f>
        <v>0.13215859030837004</v>
      </c>
      <c r="O89" s="98">
        <f t="shared" si="5"/>
        <v>-0.22719141323792486</v>
      </c>
      <c r="P89" s="98">
        <f t="shared" si="5"/>
        <v>1.1530815109343937</v>
      </c>
      <c r="Q89" s="98">
        <f t="shared" si="5"/>
        <v>-3.3208791208791211</v>
      </c>
      <c r="R89" s="98">
        <f t="shared" si="5"/>
        <v>2.0577971646673938</v>
      </c>
    </row>
    <row r="90" spans="2:18" x14ac:dyDescent="0.15">
      <c r="B90" s="27">
        <v>0.18</v>
      </c>
      <c r="C90" s="1" t="s">
        <v>96</v>
      </c>
      <c r="D90" s="18"/>
      <c r="F90" s="18" t="s">
        <v>342</v>
      </c>
      <c r="L90" s="1" t="s">
        <v>52</v>
      </c>
      <c r="M90" s="20">
        <f>AVERAGE(M89:Q89)</f>
        <v>-0.58467617831797569</v>
      </c>
    </row>
    <row r="91" spans="2:18" x14ac:dyDescent="0.15">
      <c r="B91" s="27">
        <v>0.18</v>
      </c>
      <c r="C91" s="1" t="s">
        <v>97</v>
      </c>
      <c r="D91" s="18"/>
      <c r="L91" s="1" t="s">
        <v>55</v>
      </c>
      <c r="M91" s="20">
        <f>AVERAGE(N89:Q89)</f>
        <v>-0.56570760821857058</v>
      </c>
    </row>
    <row r="92" spans="2:18" x14ac:dyDescent="0.15">
      <c r="B92" s="27">
        <v>0.18</v>
      </c>
      <c r="C92" s="1" t="s">
        <v>98</v>
      </c>
      <c r="D92" s="18"/>
      <c r="L92" s="1" t="s">
        <v>56</v>
      </c>
      <c r="M92" s="20">
        <f>AVERAGE(O89:Q89)</f>
        <v>-0.79832967439421731</v>
      </c>
    </row>
    <row r="93" spans="2:18" x14ac:dyDescent="0.15">
      <c r="B93" s="27">
        <v>0.18</v>
      </c>
      <c r="C93" s="1" t="s">
        <v>99</v>
      </c>
      <c r="D93" s="18"/>
      <c r="L93" s="53"/>
    </row>
    <row r="94" spans="2:18" x14ac:dyDescent="0.15">
      <c r="B94" s="27">
        <v>0.18</v>
      </c>
      <c r="C94" s="1" t="s">
        <v>100</v>
      </c>
      <c r="D94" s="18"/>
      <c r="L94" s="16" t="s">
        <v>47</v>
      </c>
      <c r="M94" s="16">
        <f>M13</f>
        <v>2017</v>
      </c>
      <c r="N94" s="16">
        <f t="shared" ref="N94:R94" si="6">N13</f>
        <v>2018</v>
      </c>
      <c r="O94" s="16">
        <f t="shared" si="6"/>
        <v>2019</v>
      </c>
      <c r="P94" s="16">
        <f t="shared" si="6"/>
        <v>2020</v>
      </c>
      <c r="Q94" s="16">
        <f t="shared" si="6"/>
        <v>2021</v>
      </c>
      <c r="R94" s="17" t="str">
        <f t="shared" si="6"/>
        <v>ttm</v>
      </c>
    </row>
    <row r="95" spans="2:18" x14ac:dyDescent="0.15">
      <c r="B95" s="27">
        <v>0.18</v>
      </c>
      <c r="C95" s="1" t="s">
        <v>101</v>
      </c>
      <c r="D95" s="18"/>
      <c r="L95" s="1" t="s">
        <v>256</v>
      </c>
      <c r="M95" s="1">
        <v>180</v>
      </c>
      <c r="N95" s="1">
        <v>127</v>
      </c>
      <c r="O95" s="1">
        <v>1110</v>
      </c>
      <c r="P95" s="1">
        <v>126</v>
      </c>
      <c r="Q95" s="1">
        <v>4072</v>
      </c>
      <c r="R95" s="1">
        <v>1739</v>
      </c>
    </row>
    <row r="96" spans="2:18" x14ac:dyDescent="0.15">
      <c r="B96" s="27">
        <v>0.18</v>
      </c>
      <c r="C96" s="1" t="s">
        <v>102</v>
      </c>
      <c r="D96" s="18"/>
    </row>
    <row r="97" spans="2:18" x14ac:dyDescent="0.15">
      <c r="B97" s="27">
        <v>0.18</v>
      </c>
      <c r="C97" s="1" t="s">
        <v>285</v>
      </c>
      <c r="D97" s="18"/>
    </row>
    <row r="98" spans="2:18" x14ac:dyDescent="0.15">
      <c r="B98" s="27">
        <v>0.18</v>
      </c>
      <c r="C98" s="1" t="s">
        <v>286</v>
      </c>
      <c r="D98" s="18"/>
    </row>
    <row r="99" spans="2:18" x14ac:dyDescent="0.15">
      <c r="B99" s="27">
        <v>0.18</v>
      </c>
      <c r="C99" s="1" t="s">
        <v>287</v>
      </c>
      <c r="D99" s="18"/>
    </row>
    <row r="100" spans="2:18" x14ac:dyDescent="0.15">
      <c r="B100" s="27">
        <v>0.18</v>
      </c>
      <c r="C100" s="1" t="s">
        <v>288</v>
      </c>
      <c r="D100" s="18"/>
    </row>
    <row r="101" spans="2:18" x14ac:dyDescent="0.15">
      <c r="B101" s="27">
        <v>0.18</v>
      </c>
      <c r="C101" s="1" t="s">
        <v>289</v>
      </c>
      <c r="D101" s="18"/>
    </row>
    <row r="102" spans="2:18" x14ac:dyDescent="0.15">
      <c r="B102" s="27">
        <v>0.18</v>
      </c>
      <c r="C102" s="1" t="s">
        <v>290</v>
      </c>
      <c r="D102" s="18"/>
    </row>
    <row r="103" spans="2:18" x14ac:dyDescent="0.15">
      <c r="B103" s="27">
        <v>0.18</v>
      </c>
      <c r="C103" s="1" t="s">
        <v>291</v>
      </c>
      <c r="D103" s="18"/>
    </row>
    <row r="104" spans="2:18" x14ac:dyDescent="0.15">
      <c r="B104" s="27">
        <v>0.18</v>
      </c>
      <c r="C104" s="1" t="s">
        <v>292</v>
      </c>
      <c r="D104" s="18"/>
    </row>
    <row r="105" spans="2:18" x14ac:dyDescent="0.15">
      <c r="B105" s="27">
        <v>0.18</v>
      </c>
      <c r="C105" s="1" t="s">
        <v>293</v>
      </c>
      <c r="D105" s="18"/>
    </row>
    <row r="106" spans="2:18" x14ac:dyDescent="0.15">
      <c r="B106" s="27">
        <v>0.18</v>
      </c>
      <c r="C106" s="1" t="s">
        <v>294</v>
      </c>
      <c r="D106" s="18"/>
    </row>
    <row r="107" spans="2:18" x14ac:dyDescent="0.15">
      <c r="B107" s="27">
        <v>0.18</v>
      </c>
      <c r="C107" s="1" t="s">
        <v>295</v>
      </c>
      <c r="D107" s="18"/>
    </row>
    <row r="108" spans="2:18" x14ac:dyDescent="0.15">
      <c r="B108" s="21"/>
      <c r="D108" s="18"/>
    </row>
    <row r="109" spans="2:18" x14ac:dyDescent="0.15">
      <c r="B109" s="21"/>
    </row>
    <row r="110" spans="2:18" ht="16" x14ac:dyDescent="0.2">
      <c r="B110" s="91" t="s">
        <v>14</v>
      </c>
    </row>
    <row r="111" spans="2:18" x14ac:dyDescent="0.15">
      <c r="B111" s="45">
        <v>0.1</v>
      </c>
      <c r="C111" s="1" t="s">
        <v>195</v>
      </c>
      <c r="L111" s="18" t="str">
        <f>B12</f>
        <v>millions</v>
      </c>
      <c r="M111" s="18" t="s">
        <v>124</v>
      </c>
    </row>
    <row r="112" spans="2:18" x14ac:dyDescent="0.15">
      <c r="B112" s="45">
        <v>0.1</v>
      </c>
      <c r="C112" s="1" t="s">
        <v>196</v>
      </c>
      <c r="L112" s="16" t="s">
        <v>47</v>
      </c>
      <c r="M112" s="17">
        <f>$M$13</f>
        <v>2017</v>
      </c>
      <c r="N112" s="17">
        <f>$N$13</f>
        <v>2018</v>
      </c>
      <c r="O112" s="17">
        <f>$O$13</f>
        <v>2019</v>
      </c>
      <c r="P112" s="17">
        <f>$P$13</f>
        <v>2020</v>
      </c>
      <c r="Q112" s="17">
        <f>$Q$13</f>
        <v>2021</v>
      </c>
      <c r="R112" s="17" t="str">
        <f>$R$13</f>
        <v>ttm</v>
      </c>
    </row>
    <row r="113" spans="2:18" x14ac:dyDescent="0.15">
      <c r="B113" s="45">
        <v>0.1</v>
      </c>
      <c r="C113" s="1" t="s">
        <v>197</v>
      </c>
      <c r="L113" s="19" t="s">
        <v>227</v>
      </c>
      <c r="M113" s="19">
        <v>663</v>
      </c>
      <c r="N113" s="19">
        <v>784</v>
      </c>
      <c r="O113" s="19">
        <v>982</v>
      </c>
      <c r="P113" s="19">
        <v>2135</v>
      </c>
      <c r="Q113" s="19">
        <v>2846</v>
      </c>
      <c r="R113" s="19">
        <v>2974</v>
      </c>
    </row>
    <row r="114" spans="2:18" x14ac:dyDescent="0.15">
      <c r="B114" s="45">
        <v>0.1</v>
      </c>
      <c r="C114" s="1" t="s">
        <v>198</v>
      </c>
      <c r="L114" s="1" t="s">
        <v>229</v>
      </c>
      <c r="M114" s="20">
        <f t="shared" ref="M114:R114" si="7">M113/M29</f>
        <v>7.9003813155386085E-2</v>
      </c>
      <c r="N114" s="20">
        <f t="shared" si="7"/>
        <v>7.4809160305343514E-2</v>
      </c>
      <c r="O114" s="20">
        <f t="shared" si="7"/>
        <v>7.3934648396325853E-2</v>
      </c>
      <c r="P114" s="20">
        <f t="shared" si="7"/>
        <v>0.12486840566148087</v>
      </c>
      <c r="Q114" s="20">
        <f t="shared" si="7"/>
        <v>0.1339168078298513</v>
      </c>
      <c r="R114" s="20">
        <f t="shared" si="7"/>
        <v>0.11904094784453428</v>
      </c>
    </row>
    <row r="115" spans="2:18" x14ac:dyDescent="0.15">
      <c r="B115" s="45">
        <v>0.1</v>
      </c>
      <c r="C115" s="1" t="s">
        <v>199</v>
      </c>
      <c r="L115" s="1" t="s">
        <v>52</v>
      </c>
      <c r="M115" s="20">
        <f>AVERAGE(M114:Q114)</f>
        <v>9.7306567069677524E-2</v>
      </c>
    </row>
    <row r="116" spans="2:18" x14ac:dyDescent="0.15">
      <c r="B116" s="45">
        <v>0.06</v>
      </c>
      <c r="C116" s="1" t="s">
        <v>200</v>
      </c>
      <c r="L116" s="1" t="s">
        <v>55</v>
      </c>
      <c r="M116" s="20">
        <f>AVERAGE(N114:Q114)</f>
        <v>0.10188225554825039</v>
      </c>
    </row>
    <row r="117" spans="2:18" x14ac:dyDescent="0.15">
      <c r="B117" s="45">
        <v>0.06</v>
      </c>
      <c r="C117" s="1" t="s">
        <v>201</v>
      </c>
      <c r="L117" s="1" t="s">
        <v>56</v>
      </c>
      <c r="M117" s="20">
        <f>AVERAGE(O114:Q114)</f>
        <v>0.11090662062921934</v>
      </c>
    </row>
    <row r="118" spans="2:18" x14ac:dyDescent="0.15">
      <c r="B118" s="45">
        <v>0.06</v>
      </c>
      <c r="C118" s="1" t="s">
        <v>202</v>
      </c>
    </row>
    <row r="119" spans="2:18" x14ac:dyDescent="0.15">
      <c r="B119" s="45">
        <v>0.06</v>
      </c>
      <c r="C119" s="1" t="s">
        <v>203</v>
      </c>
    </row>
    <row r="120" spans="2:18" x14ac:dyDescent="0.15">
      <c r="B120" s="45">
        <v>0.06</v>
      </c>
      <c r="C120" s="1" t="s">
        <v>204</v>
      </c>
    </row>
    <row r="121" spans="2:18" x14ac:dyDescent="0.15">
      <c r="B121" s="45">
        <v>0.06</v>
      </c>
      <c r="C121" s="1" t="s">
        <v>296</v>
      </c>
    </row>
    <row r="122" spans="2:18" x14ac:dyDescent="0.15">
      <c r="B122" s="45">
        <v>0.06</v>
      </c>
      <c r="C122" s="1" t="s">
        <v>297</v>
      </c>
    </row>
    <row r="123" spans="2:18" x14ac:dyDescent="0.15">
      <c r="B123" s="45">
        <v>0.06</v>
      </c>
      <c r="C123" s="1" t="s">
        <v>298</v>
      </c>
    </row>
    <row r="124" spans="2:18" x14ac:dyDescent="0.15">
      <c r="B124" s="45">
        <v>0.06</v>
      </c>
      <c r="C124" s="1" t="s">
        <v>299</v>
      </c>
    </row>
    <row r="125" spans="2:18" x14ac:dyDescent="0.15">
      <c r="B125" s="45">
        <v>0.06</v>
      </c>
      <c r="C125" s="1" t="s">
        <v>300</v>
      </c>
    </row>
    <row r="126" spans="2:18" x14ac:dyDescent="0.15">
      <c r="B126" s="45">
        <v>0.06</v>
      </c>
      <c r="C126" s="1" t="s">
        <v>301</v>
      </c>
    </row>
    <row r="127" spans="2:18" x14ac:dyDescent="0.15">
      <c r="B127" s="45">
        <v>0.06</v>
      </c>
      <c r="C127" s="1" t="s">
        <v>302</v>
      </c>
    </row>
    <row r="128" spans="2:18" x14ac:dyDescent="0.15">
      <c r="B128" s="45">
        <v>0.06</v>
      </c>
      <c r="C128" s="1" t="s">
        <v>303</v>
      </c>
    </row>
    <row r="129" spans="2:18" x14ac:dyDescent="0.15">
      <c r="B129" s="45">
        <v>0.06</v>
      </c>
      <c r="C129" s="1" t="s">
        <v>304</v>
      </c>
    </row>
    <row r="130" spans="2:18" x14ac:dyDescent="0.15">
      <c r="B130" s="45">
        <v>0.06</v>
      </c>
      <c r="C130" s="1" t="s">
        <v>305</v>
      </c>
    </row>
    <row r="131" spans="2:18" x14ac:dyDescent="0.15">
      <c r="B131" s="45">
        <v>0.06</v>
      </c>
      <c r="C131" s="1" t="s">
        <v>306</v>
      </c>
    </row>
    <row r="132" spans="2:18" x14ac:dyDescent="0.15">
      <c r="B132" s="23"/>
    </row>
    <row r="133" spans="2:18" x14ac:dyDescent="0.15">
      <c r="B133" s="23"/>
    </row>
    <row r="134" spans="2:18" ht="16" x14ac:dyDescent="0.2">
      <c r="B134" s="24" t="s">
        <v>28</v>
      </c>
    </row>
    <row r="135" spans="2:18" x14ac:dyDescent="0.15">
      <c r="B135" s="45">
        <v>0.15</v>
      </c>
      <c r="C135" s="1" t="s">
        <v>30</v>
      </c>
      <c r="F135" s="18"/>
      <c r="L135" s="18" t="str">
        <f>B12</f>
        <v>millions</v>
      </c>
      <c r="M135" s="18"/>
    </row>
    <row r="136" spans="2:18" x14ac:dyDescent="0.15">
      <c r="B136" s="45">
        <v>0.15</v>
      </c>
      <c r="C136" s="1" t="s">
        <v>31</v>
      </c>
      <c r="F136" s="18" t="s">
        <v>74</v>
      </c>
      <c r="L136" s="16" t="s">
        <v>47</v>
      </c>
      <c r="M136" s="17">
        <f>$M$13</f>
        <v>2017</v>
      </c>
      <c r="N136" s="17">
        <f>$N$13</f>
        <v>2018</v>
      </c>
      <c r="O136" s="17">
        <f>$O$13</f>
        <v>2019</v>
      </c>
      <c r="P136" s="17">
        <f>$P$13</f>
        <v>2020</v>
      </c>
      <c r="Q136" s="17">
        <f>$Q$13</f>
        <v>2021</v>
      </c>
      <c r="R136" s="17" t="str">
        <f>$R$13</f>
        <v>ttm</v>
      </c>
    </row>
    <row r="137" spans="2:18" x14ac:dyDescent="0.15">
      <c r="B137" s="45">
        <v>0.15</v>
      </c>
      <c r="C137" s="1" t="s">
        <v>32</v>
      </c>
      <c r="F137" s="18" t="s">
        <v>180</v>
      </c>
      <c r="L137" s="1" t="s">
        <v>49</v>
      </c>
      <c r="M137" s="1">
        <v>464</v>
      </c>
      <c r="N137" s="1">
        <v>534</v>
      </c>
      <c r="O137" s="1">
        <v>595</v>
      </c>
      <c r="P137" s="1">
        <v>643</v>
      </c>
      <c r="Q137" s="1">
        <v>710</v>
      </c>
      <c r="R137" s="1">
        <v>699</v>
      </c>
    </row>
    <row r="138" spans="2:18" x14ac:dyDescent="0.15">
      <c r="B138" s="45">
        <v>0.15</v>
      </c>
      <c r="C138" s="1" t="s">
        <v>33</v>
      </c>
      <c r="F138" s="18" t="s">
        <v>181</v>
      </c>
      <c r="L138" s="1" t="s">
        <v>50</v>
      </c>
      <c r="M138" s="1">
        <v>3193</v>
      </c>
      <c r="N138" s="1">
        <v>25</v>
      </c>
      <c r="O138" s="1">
        <v>5115</v>
      </c>
      <c r="P138" s="1">
        <v>369</v>
      </c>
      <c r="Q138" s="1">
        <v>1281</v>
      </c>
      <c r="R138" s="1">
        <v>14816</v>
      </c>
    </row>
    <row r="139" spans="2:18" x14ac:dyDescent="0.15">
      <c r="B139" s="45">
        <v>0.15</v>
      </c>
      <c r="C139" s="1" t="s">
        <v>34</v>
      </c>
      <c r="L139" s="26" t="s">
        <v>54</v>
      </c>
      <c r="M139" s="26">
        <v>0</v>
      </c>
      <c r="N139" s="26">
        <v>131</v>
      </c>
      <c r="O139" s="26">
        <v>260</v>
      </c>
      <c r="P139" s="26">
        <v>434</v>
      </c>
      <c r="Q139" s="26">
        <v>1051</v>
      </c>
      <c r="R139" s="26">
        <v>1051</v>
      </c>
    </row>
    <row r="140" spans="2:18" x14ac:dyDescent="0.15">
      <c r="B140" s="45">
        <v>0.08</v>
      </c>
      <c r="C140" s="1" t="s">
        <v>35</v>
      </c>
      <c r="L140" s="16" t="s">
        <v>57</v>
      </c>
      <c r="M140" s="104">
        <f t="shared" ref="M140:R140" si="8">M137+M138-M139</f>
        <v>3657</v>
      </c>
      <c r="N140" s="104">
        <f t="shared" si="8"/>
        <v>428</v>
      </c>
      <c r="O140" s="104">
        <f t="shared" si="8"/>
        <v>5450</v>
      </c>
      <c r="P140" s="104">
        <f t="shared" si="8"/>
        <v>578</v>
      </c>
      <c r="Q140" s="104">
        <f t="shared" si="8"/>
        <v>940</v>
      </c>
      <c r="R140" s="104">
        <f t="shared" si="8"/>
        <v>14464</v>
      </c>
    </row>
    <row r="141" spans="2:18" x14ac:dyDescent="0.15">
      <c r="B141" s="45">
        <v>0.08</v>
      </c>
      <c r="C141" s="1" t="s">
        <v>36</v>
      </c>
      <c r="F141" s="18" t="s">
        <v>345</v>
      </c>
      <c r="L141" s="1" t="s">
        <v>230</v>
      </c>
      <c r="M141" s="20">
        <f t="shared" ref="M141:R141" si="9">M140/M29</f>
        <v>0.43577216396568158</v>
      </c>
      <c r="N141" s="20">
        <f t="shared" si="9"/>
        <v>4.0839694656488547E-2</v>
      </c>
      <c r="O141" s="20">
        <f t="shared" si="9"/>
        <v>0.4103297696130101</v>
      </c>
      <c r="P141" s="20">
        <f t="shared" si="9"/>
        <v>3.3805123406246342E-2</v>
      </c>
      <c r="Q141" s="20">
        <f t="shared" si="9"/>
        <v>4.4231131187652928E-2</v>
      </c>
      <c r="R141" s="20">
        <f t="shared" si="9"/>
        <v>0.57895368850818552</v>
      </c>
    </row>
    <row r="142" spans="2:18" x14ac:dyDescent="0.15">
      <c r="B142" s="45">
        <v>0.08</v>
      </c>
      <c r="C142" s="1" t="s">
        <v>37</v>
      </c>
      <c r="F142" s="18" t="s">
        <v>343</v>
      </c>
      <c r="L142" s="1" t="s">
        <v>52</v>
      </c>
      <c r="M142" s="20">
        <f>AVERAGE(M141:Q141)</f>
        <v>0.19299557656581592</v>
      </c>
      <c r="N142" s="20"/>
      <c r="O142" s="20"/>
      <c r="P142" s="20"/>
      <c r="Q142" s="20"/>
    </row>
    <row r="143" spans="2:18" x14ac:dyDescent="0.15">
      <c r="B143" s="45">
        <v>0.08</v>
      </c>
      <c r="C143" s="1" t="s">
        <v>38</v>
      </c>
      <c r="F143" s="18" t="s">
        <v>344</v>
      </c>
      <c r="H143" s="20"/>
      <c r="L143" s="1" t="s">
        <v>55</v>
      </c>
      <c r="M143" s="20">
        <f>AVERAGE(N141:Q141)</f>
        <v>0.13230142971584949</v>
      </c>
    </row>
    <row r="144" spans="2:18" x14ac:dyDescent="0.15">
      <c r="B144" s="45">
        <v>6.5000000000000002E-2</v>
      </c>
      <c r="C144" s="1" t="s">
        <v>39</v>
      </c>
      <c r="F144" s="18" t="s">
        <v>355</v>
      </c>
      <c r="L144" s="1" t="s">
        <v>56</v>
      </c>
      <c r="M144" s="20">
        <f>AVERAGE(O141:Q141)</f>
        <v>0.16278867473563646</v>
      </c>
      <c r="P144" s="20"/>
    </row>
    <row r="145" spans="2:18" x14ac:dyDescent="0.15">
      <c r="B145" s="45">
        <v>6.5000000000000002E-2</v>
      </c>
      <c r="C145" s="1" t="s">
        <v>307</v>
      </c>
      <c r="M145" s="20"/>
      <c r="P145" s="20"/>
    </row>
    <row r="146" spans="2:18" x14ac:dyDescent="0.15">
      <c r="B146" s="45">
        <v>6.5000000000000002E-2</v>
      </c>
      <c r="C146" s="1" t="s">
        <v>308</v>
      </c>
      <c r="F146" s="18" t="s">
        <v>347</v>
      </c>
      <c r="M146" s="20"/>
      <c r="P146" s="20"/>
    </row>
    <row r="147" spans="2:18" x14ac:dyDescent="0.15">
      <c r="B147" s="45">
        <v>6.5000000000000002E-2</v>
      </c>
      <c r="C147" s="1" t="s">
        <v>309</v>
      </c>
      <c r="M147" s="20"/>
      <c r="P147" s="20"/>
    </row>
    <row r="148" spans="2:18" x14ac:dyDescent="0.15">
      <c r="B148" s="45">
        <v>6.5000000000000002E-2</v>
      </c>
      <c r="C148" s="1" t="s">
        <v>310</v>
      </c>
      <c r="M148" s="20"/>
      <c r="P148" s="20"/>
    </row>
    <row r="149" spans="2:18" x14ac:dyDescent="0.15">
      <c r="B149" s="45">
        <v>6.5000000000000002E-2</v>
      </c>
      <c r="C149" s="1" t="s">
        <v>311</v>
      </c>
      <c r="M149" s="20"/>
      <c r="P149" s="20"/>
    </row>
    <row r="150" spans="2:18" x14ac:dyDescent="0.15">
      <c r="B150" s="45">
        <v>6.5000000000000002E-2</v>
      </c>
      <c r="C150" s="1" t="s">
        <v>312</v>
      </c>
      <c r="M150" s="20"/>
      <c r="P150" s="20"/>
    </row>
    <row r="151" spans="2:18" x14ac:dyDescent="0.15">
      <c r="B151" s="45">
        <v>6.5000000000000002E-2</v>
      </c>
      <c r="C151" s="1" t="s">
        <v>313</v>
      </c>
      <c r="M151" s="20"/>
      <c r="P151" s="20"/>
    </row>
    <row r="152" spans="2:18" x14ac:dyDescent="0.15">
      <c r="B152" s="45">
        <v>6.5000000000000002E-2</v>
      </c>
      <c r="C152" s="1" t="s">
        <v>314</v>
      </c>
      <c r="M152" s="20"/>
      <c r="P152" s="20"/>
    </row>
    <row r="153" spans="2:18" x14ac:dyDescent="0.15">
      <c r="B153" s="45">
        <v>6.5000000000000002E-2</v>
      </c>
      <c r="C153" s="1" t="s">
        <v>315</v>
      </c>
      <c r="M153" s="20"/>
      <c r="P153" s="20"/>
    </row>
    <row r="154" spans="2:18" x14ac:dyDescent="0.15">
      <c r="B154" s="45">
        <v>6.5000000000000002E-2</v>
      </c>
      <c r="C154" s="1" t="s">
        <v>316</v>
      </c>
      <c r="M154" s="20"/>
      <c r="P154" s="20"/>
    </row>
    <row r="155" spans="2:18" x14ac:dyDescent="0.15">
      <c r="B155" s="45">
        <v>6.5000000000000002E-2</v>
      </c>
      <c r="C155" s="1" t="s">
        <v>317</v>
      </c>
    </row>
    <row r="156" spans="2:18" x14ac:dyDescent="0.15">
      <c r="B156" s="15"/>
    </row>
    <row r="157" spans="2:18" x14ac:dyDescent="0.15">
      <c r="B157" s="15"/>
    </row>
    <row r="158" spans="2:18" ht="16" x14ac:dyDescent="0.2">
      <c r="B158" s="25" t="s">
        <v>41</v>
      </c>
      <c r="L158" s="18" t="str">
        <f>B12</f>
        <v>millions</v>
      </c>
      <c r="M158" s="18"/>
    </row>
    <row r="159" spans="2:18" x14ac:dyDescent="0.15">
      <c r="B159" s="45">
        <v>0.1</v>
      </c>
      <c r="C159" s="1" t="s">
        <v>205</v>
      </c>
      <c r="F159" s="18" t="s">
        <v>183</v>
      </c>
      <c r="L159" s="16" t="s">
        <v>47</v>
      </c>
      <c r="M159" s="17">
        <f>$M$13</f>
        <v>2017</v>
      </c>
      <c r="N159" s="17">
        <f>$N$13</f>
        <v>2018</v>
      </c>
      <c r="O159" s="17">
        <f>$O$13</f>
        <v>2019</v>
      </c>
      <c r="P159" s="17">
        <f>$P$13</f>
        <v>2020</v>
      </c>
      <c r="Q159" s="17">
        <f>$Q$13</f>
        <v>2021</v>
      </c>
      <c r="R159" s="17" t="str">
        <f>$R$13</f>
        <v>ttm</v>
      </c>
    </row>
    <row r="160" spans="2:18" x14ac:dyDescent="0.15">
      <c r="B160" s="45">
        <v>0.1</v>
      </c>
      <c r="C160" s="1" t="s">
        <v>205</v>
      </c>
      <c r="F160" s="18" t="s">
        <v>182</v>
      </c>
      <c r="L160" s="19" t="s">
        <v>78</v>
      </c>
      <c r="M160" s="19">
        <v>820</v>
      </c>
      <c r="N160" s="19">
        <v>997</v>
      </c>
      <c r="O160" s="19">
        <v>1283</v>
      </c>
      <c r="P160" s="19">
        <v>1785</v>
      </c>
      <c r="Q160" s="19">
        <v>2190</v>
      </c>
      <c r="R160" s="19">
        <v>2558</v>
      </c>
    </row>
    <row r="161" spans="2:18" x14ac:dyDescent="0.15">
      <c r="B161" s="45">
        <v>0.1</v>
      </c>
      <c r="C161" s="1" t="s">
        <v>206</v>
      </c>
      <c r="F161" s="18" t="s">
        <v>184</v>
      </c>
      <c r="L161" s="1" t="s">
        <v>231</v>
      </c>
      <c r="M161" s="20">
        <f t="shared" ref="M161:R161" si="10">M160/M29</f>
        <v>9.7712106768350807E-2</v>
      </c>
      <c r="N161" s="20">
        <f t="shared" si="10"/>
        <v>9.5133587786259535E-2</v>
      </c>
      <c r="O161" s="20">
        <f t="shared" si="10"/>
        <v>9.659689805752146E-2</v>
      </c>
      <c r="P161" s="20">
        <f t="shared" si="10"/>
        <v>0.10439817522517253</v>
      </c>
      <c r="Q161" s="20">
        <f t="shared" si="10"/>
        <v>0.10304912478825522</v>
      </c>
      <c r="R161" s="20">
        <f t="shared" si="10"/>
        <v>0.10238962494496258</v>
      </c>
    </row>
    <row r="162" spans="2:18" x14ac:dyDescent="0.15">
      <c r="B162" s="45">
        <v>0.09</v>
      </c>
      <c r="C162" s="1" t="s">
        <v>207</v>
      </c>
      <c r="L162" s="1" t="s">
        <v>52</v>
      </c>
      <c r="M162" s="20">
        <f>AVERAGE(M161:Q161)</f>
        <v>9.9377978525111904E-2</v>
      </c>
      <c r="N162" s="20"/>
      <c r="O162" s="20"/>
      <c r="P162" s="20"/>
      <c r="Q162" s="20"/>
      <c r="R162" s="20"/>
    </row>
    <row r="163" spans="2:18" x14ac:dyDescent="0.15">
      <c r="B163" s="45">
        <v>0.09</v>
      </c>
      <c r="C163" s="1" t="s">
        <v>208</v>
      </c>
      <c r="L163" s="1" t="s">
        <v>55</v>
      </c>
      <c r="M163" s="20">
        <f>AVERAGE(N161:Q161)</f>
        <v>9.9794446464302189E-2</v>
      </c>
      <c r="N163" s="20"/>
      <c r="O163" s="20"/>
      <c r="P163" s="20"/>
      <c r="Q163" s="20"/>
      <c r="R163" s="20"/>
    </row>
    <row r="164" spans="2:18" x14ac:dyDescent="0.15">
      <c r="B164" s="45">
        <v>0.09</v>
      </c>
      <c r="C164" s="1" t="s">
        <v>209</v>
      </c>
      <c r="L164" s="1" t="s">
        <v>56</v>
      </c>
      <c r="M164" s="20">
        <f>AVERAGE(O161:Q161)</f>
        <v>0.10134806602364975</v>
      </c>
    </row>
    <row r="165" spans="2:18" x14ac:dyDescent="0.15">
      <c r="B165" s="45">
        <v>0.06</v>
      </c>
      <c r="C165" s="1" t="s">
        <v>210</v>
      </c>
    </row>
    <row r="166" spans="2:18" x14ac:dyDescent="0.15">
      <c r="B166" s="45">
        <v>0.06</v>
      </c>
      <c r="C166" s="1" t="s">
        <v>211</v>
      </c>
    </row>
    <row r="167" spans="2:18" x14ac:dyDescent="0.15">
      <c r="B167" s="45">
        <v>0.06</v>
      </c>
      <c r="C167" s="1" t="s">
        <v>212</v>
      </c>
    </row>
    <row r="168" spans="2:18" x14ac:dyDescent="0.15">
      <c r="B168" s="45">
        <v>0.06</v>
      </c>
      <c r="C168" s="1" t="s">
        <v>213</v>
      </c>
    </row>
    <row r="169" spans="2:18" x14ac:dyDescent="0.15">
      <c r="B169" s="45">
        <v>0.06</v>
      </c>
      <c r="C169" s="1" t="s">
        <v>214</v>
      </c>
    </row>
    <row r="170" spans="2:18" x14ac:dyDescent="0.15">
      <c r="B170" s="45">
        <v>0.04</v>
      </c>
      <c r="C170" s="1" t="s">
        <v>318</v>
      </c>
    </row>
    <row r="171" spans="2:18" x14ac:dyDescent="0.15">
      <c r="B171" s="45">
        <v>0.04</v>
      </c>
      <c r="C171" s="1" t="s">
        <v>319</v>
      </c>
    </row>
    <row r="172" spans="2:18" x14ac:dyDescent="0.15">
      <c r="B172" s="45">
        <v>0.04</v>
      </c>
      <c r="C172" s="1" t="s">
        <v>320</v>
      </c>
    </row>
    <row r="173" spans="2:18" x14ac:dyDescent="0.15">
      <c r="B173" s="45">
        <v>0.04</v>
      </c>
      <c r="C173" s="1" t="s">
        <v>321</v>
      </c>
    </row>
    <row r="174" spans="2:18" x14ac:dyDescent="0.15">
      <c r="B174" s="45">
        <v>3.5000000000000003E-2</v>
      </c>
      <c r="C174" s="1" t="s">
        <v>322</v>
      </c>
    </row>
    <row r="175" spans="2:18" x14ac:dyDescent="0.15">
      <c r="B175" s="45">
        <v>3.5000000000000003E-2</v>
      </c>
      <c r="C175" s="1" t="s">
        <v>323</v>
      </c>
    </row>
    <row r="176" spans="2:18" x14ac:dyDescent="0.15">
      <c r="B176" s="45">
        <v>3.5000000000000003E-2</v>
      </c>
      <c r="C176" s="1" t="s">
        <v>324</v>
      </c>
    </row>
    <row r="177" spans="2:18" x14ac:dyDescent="0.15">
      <c r="B177" s="45">
        <v>3.5000000000000003E-2</v>
      </c>
      <c r="C177" s="1" t="s">
        <v>325</v>
      </c>
    </row>
    <row r="178" spans="2:18" x14ac:dyDescent="0.15">
      <c r="B178" s="45">
        <v>3.5000000000000003E-2</v>
      </c>
      <c r="C178" s="1" t="s">
        <v>326</v>
      </c>
    </row>
    <row r="179" spans="2:18" x14ac:dyDescent="0.15">
      <c r="B179" s="45">
        <v>3.5000000000000003E-2</v>
      </c>
      <c r="C179" s="1" t="s">
        <v>327</v>
      </c>
    </row>
    <row r="180" spans="2:18" x14ac:dyDescent="0.15">
      <c r="B180" s="15"/>
      <c r="C180" s="1" t="s">
        <v>328</v>
      </c>
    </row>
    <row r="181" spans="2:18" x14ac:dyDescent="0.15">
      <c r="B181" s="15"/>
    </row>
    <row r="182" spans="2:18" ht="16" x14ac:dyDescent="0.2">
      <c r="B182" s="25" t="s">
        <v>250</v>
      </c>
    </row>
    <row r="183" spans="2:18" x14ac:dyDescent="0.15">
      <c r="B183" s="45">
        <v>-0.04</v>
      </c>
      <c r="C183" s="1" t="s">
        <v>240</v>
      </c>
      <c r="F183" s="18"/>
      <c r="G183" s="18" t="s">
        <v>341</v>
      </c>
      <c r="L183" s="18" t="str">
        <f>B12</f>
        <v>millions</v>
      </c>
    </row>
    <row r="184" spans="2:18" x14ac:dyDescent="0.15">
      <c r="B184" s="45">
        <v>-0.04</v>
      </c>
      <c r="C184" s="1" t="s">
        <v>241</v>
      </c>
      <c r="F184" s="18"/>
      <c r="L184" s="16" t="s">
        <v>47</v>
      </c>
      <c r="M184" s="17">
        <f>$M$13</f>
        <v>2017</v>
      </c>
      <c r="N184" s="17">
        <f>$N$13</f>
        <v>2018</v>
      </c>
      <c r="O184" s="17">
        <f>$O$13</f>
        <v>2019</v>
      </c>
      <c r="P184" s="17">
        <f>$P$13</f>
        <v>2020</v>
      </c>
      <c r="Q184" s="17">
        <f>$Q$13</f>
        <v>2021</v>
      </c>
      <c r="R184" s="17" t="s">
        <v>51</v>
      </c>
    </row>
    <row r="185" spans="2:18" x14ac:dyDescent="0.15">
      <c r="B185" s="45">
        <v>-0.04</v>
      </c>
      <c r="C185" s="1" t="s">
        <v>242</v>
      </c>
      <c r="L185" s="16" t="s">
        <v>238</v>
      </c>
      <c r="M185" s="103">
        <f t="shared" ref="M185:R185" si="11">M59*(1-M89)+M113+M160-M192</f>
        <v>-315</v>
      </c>
      <c r="N185" s="103">
        <f t="shared" si="11"/>
        <v>-565</v>
      </c>
      <c r="O185" s="103">
        <f t="shared" si="11"/>
        <v>-449</v>
      </c>
      <c r="P185" s="103">
        <f t="shared" si="11"/>
        <v>-488</v>
      </c>
      <c r="Q185" s="103">
        <f t="shared" si="11"/>
        <v>4077</v>
      </c>
      <c r="R185" s="103">
        <f t="shared" si="11"/>
        <v>-1563</v>
      </c>
    </row>
    <row r="186" spans="2:18" x14ac:dyDescent="0.15">
      <c r="B186" s="45">
        <v>-0.04</v>
      </c>
      <c r="C186" s="1" t="s">
        <v>243</v>
      </c>
      <c r="L186" s="97" t="s">
        <v>239</v>
      </c>
      <c r="M186" s="98">
        <f t="shared" ref="M186:R186" si="12">M185/M29</f>
        <v>-3.7535748331744521E-2</v>
      </c>
      <c r="N186" s="98">
        <f t="shared" si="12"/>
        <v>-5.3912213740458015E-2</v>
      </c>
      <c r="O186" s="98">
        <f t="shared" si="12"/>
        <v>-3.380514982683331E-2</v>
      </c>
      <c r="P186" s="98">
        <f t="shared" si="12"/>
        <v>-2.8541349865481343E-2</v>
      </c>
      <c r="Q186" s="98">
        <f t="shared" si="12"/>
        <v>0.19184076792772445</v>
      </c>
      <c r="R186" s="98">
        <f t="shared" si="12"/>
        <v>-6.2562542528919671E-2</v>
      </c>
    </row>
    <row r="187" spans="2:18" x14ac:dyDescent="0.15">
      <c r="B187" s="45">
        <v>-0.04</v>
      </c>
      <c r="C187" s="1" t="s">
        <v>244</v>
      </c>
      <c r="L187" s="1" t="s">
        <v>52</v>
      </c>
      <c r="M187" s="20">
        <f>AVERAGE(M186:Q186)</f>
        <v>7.6092612326414512E-3</v>
      </c>
      <c r="N187" s="20"/>
      <c r="O187" s="20"/>
      <c r="P187" s="20"/>
      <c r="Q187" s="20"/>
      <c r="R187" s="20"/>
    </row>
    <row r="188" spans="2:18" x14ac:dyDescent="0.15">
      <c r="B188" s="45">
        <v>-2.5000000000000001E-2</v>
      </c>
      <c r="C188" s="1" t="s">
        <v>245</v>
      </c>
      <c r="L188" s="1" t="s">
        <v>55</v>
      </c>
      <c r="M188" s="20">
        <f>AVERAGE(N186:Q186)</f>
        <v>1.8895513623737946E-2</v>
      </c>
    </row>
    <row r="189" spans="2:18" x14ac:dyDescent="0.15">
      <c r="B189" s="45">
        <v>-2.5000000000000001E-2</v>
      </c>
      <c r="C189" s="1" t="s">
        <v>246</v>
      </c>
      <c r="L189" s="1" t="s">
        <v>56</v>
      </c>
      <c r="M189" s="20">
        <f>AVERAGE(O186:Q186)</f>
        <v>4.3164756078469931E-2</v>
      </c>
    </row>
    <row r="190" spans="2:18" x14ac:dyDescent="0.15">
      <c r="B190" s="45">
        <v>-2.5000000000000001E-2</v>
      </c>
      <c r="C190" s="1" t="s">
        <v>247</v>
      </c>
    </row>
    <row r="191" spans="2:18" x14ac:dyDescent="0.15">
      <c r="B191" s="45">
        <v>-2.5000000000000001E-2</v>
      </c>
      <c r="C191" s="1" t="s">
        <v>248</v>
      </c>
      <c r="L191" s="16" t="s">
        <v>47</v>
      </c>
      <c r="M191" s="16">
        <f t="shared" ref="M191:R191" si="13">M13</f>
        <v>2017</v>
      </c>
      <c r="N191" s="16">
        <f t="shared" si="13"/>
        <v>2018</v>
      </c>
      <c r="O191" s="16">
        <f t="shared" si="13"/>
        <v>2019</v>
      </c>
      <c r="P191" s="16">
        <f t="shared" si="13"/>
        <v>2020</v>
      </c>
      <c r="Q191" s="16">
        <f t="shared" si="13"/>
        <v>2021</v>
      </c>
      <c r="R191" s="17" t="str">
        <f t="shared" si="13"/>
        <v>ttm</v>
      </c>
    </row>
    <row r="192" spans="2:18" x14ac:dyDescent="0.15">
      <c r="B192" s="45">
        <v>-2.5000000000000001E-2</v>
      </c>
      <c r="C192" s="1" t="s">
        <v>249</v>
      </c>
      <c r="L192" s="1" t="s">
        <v>228</v>
      </c>
      <c r="M192" s="1">
        <v>2160</v>
      </c>
      <c r="N192" s="1">
        <v>2740</v>
      </c>
      <c r="O192" s="1">
        <v>3400</v>
      </c>
      <c r="P192" s="1">
        <v>4331</v>
      </c>
      <c r="Q192" s="1">
        <v>2925</v>
      </c>
      <c r="R192" s="1">
        <v>6125</v>
      </c>
    </row>
    <row r="193" spans="2:18" x14ac:dyDescent="0.15">
      <c r="B193" s="45">
        <v>0</v>
      </c>
      <c r="C193" s="1" t="s">
        <v>329</v>
      </c>
    </row>
    <row r="194" spans="2:18" x14ac:dyDescent="0.15">
      <c r="B194" s="45">
        <v>0</v>
      </c>
      <c r="C194" s="1" t="s">
        <v>330</v>
      </c>
    </row>
    <row r="195" spans="2:18" x14ac:dyDescent="0.15">
      <c r="B195" s="45">
        <v>0</v>
      </c>
      <c r="C195" s="1" t="s">
        <v>331</v>
      </c>
    </row>
    <row r="196" spans="2:18" x14ac:dyDescent="0.15">
      <c r="B196" s="45">
        <v>0</v>
      </c>
      <c r="C196" s="1" t="s">
        <v>332</v>
      </c>
    </row>
    <row r="197" spans="2:18" x14ac:dyDescent="0.15">
      <c r="B197" s="45">
        <v>0</v>
      </c>
      <c r="C197" s="1" t="s">
        <v>333</v>
      </c>
    </row>
    <row r="198" spans="2:18" x14ac:dyDescent="0.15">
      <c r="B198" s="45">
        <v>0</v>
      </c>
      <c r="C198" s="1" t="s">
        <v>334</v>
      </c>
    </row>
    <row r="199" spans="2:18" x14ac:dyDescent="0.15">
      <c r="B199" s="45">
        <v>0</v>
      </c>
      <c r="C199" s="1" t="s">
        <v>335</v>
      </c>
    </row>
    <row r="200" spans="2:18" x14ac:dyDescent="0.15">
      <c r="B200" s="45">
        <v>0</v>
      </c>
      <c r="C200" s="1" t="s">
        <v>336</v>
      </c>
    </row>
    <row r="201" spans="2:18" x14ac:dyDescent="0.15">
      <c r="B201" s="45">
        <v>0</v>
      </c>
      <c r="C201" s="1" t="s">
        <v>337</v>
      </c>
    </row>
    <row r="202" spans="2:18" x14ac:dyDescent="0.15">
      <c r="B202" s="45">
        <v>0</v>
      </c>
      <c r="C202" s="1" t="s">
        <v>338</v>
      </c>
    </row>
    <row r="203" spans="2:18" x14ac:dyDescent="0.15">
      <c r="B203" s="45">
        <v>0</v>
      </c>
      <c r="C203" s="1" t="s">
        <v>339</v>
      </c>
    </row>
    <row r="204" spans="2:18" x14ac:dyDescent="0.15">
      <c r="B204" s="15"/>
    </row>
    <row r="206" spans="2:18" ht="16" x14ac:dyDescent="0.2">
      <c r="B206" s="14" t="s">
        <v>76</v>
      </c>
      <c r="C206" s="18" t="str">
        <f>B12</f>
        <v>millions</v>
      </c>
      <c r="L206" s="18" t="str">
        <f>B12</f>
        <v>millions</v>
      </c>
    </row>
    <row r="207" spans="2:18" x14ac:dyDescent="0.15">
      <c r="B207" s="50">
        <v>13395</v>
      </c>
      <c r="C207" s="1" t="s">
        <v>111</v>
      </c>
      <c r="E207" s="18"/>
      <c r="F207" s="113" t="s">
        <v>350</v>
      </c>
      <c r="L207" s="47" t="s">
        <v>47</v>
      </c>
      <c r="M207" s="99">
        <f>M13</f>
        <v>2017</v>
      </c>
      <c r="N207" s="99">
        <f t="shared" ref="N207:Q207" si="14">N13</f>
        <v>2018</v>
      </c>
      <c r="O207" s="99">
        <f t="shared" si="14"/>
        <v>2019</v>
      </c>
      <c r="P207" s="99">
        <f t="shared" si="14"/>
        <v>2020</v>
      </c>
      <c r="Q207" s="99">
        <f t="shared" si="14"/>
        <v>2021</v>
      </c>
      <c r="R207" s="100" t="s">
        <v>53</v>
      </c>
    </row>
    <row r="208" spans="2:18" x14ac:dyDescent="0.15">
      <c r="B208" s="50">
        <v>87436</v>
      </c>
      <c r="C208" s="1" t="s">
        <v>16</v>
      </c>
      <c r="L208" s="101" t="s">
        <v>257</v>
      </c>
      <c r="M208" s="47">
        <v>17585</v>
      </c>
      <c r="N208" s="47">
        <v>21984</v>
      </c>
      <c r="O208" s="47">
        <v>30737</v>
      </c>
      <c r="P208" s="47">
        <v>55126</v>
      </c>
      <c r="Q208" s="47">
        <v>55126</v>
      </c>
      <c r="R208" s="107">
        <f>B208</f>
        <v>87436</v>
      </c>
    </row>
    <row r="209" spans="2:18" x14ac:dyDescent="0.15">
      <c r="B209" s="50">
        <v>0</v>
      </c>
      <c r="C209" s="1" t="s">
        <v>42</v>
      </c>
      <c r="L209" s="47" t="s">
        <v>258</v>
      </c>
      <c r="M209" s="47">
        <v>0</v>
      </c>
      <c r="N209" s="47">
        <v>1025</v>
      </c>
      <c r="O209" s="47">
        <v>3</v>
      </c>
      <c r="P209" s="47">
        <v>0</v>
      </c>
      <c r="Q209" s="47">
        <v>0</v>
      </c>
      <c r="R209" s="107">
        <f>B209</f>
        <v>0</v>
      </c>
    </row>
    <row r="210" spans="2:18" x14ac:dyDescent="0.15">
      <c r="B210" s="50">
        <v>10591</v>
      </c>
      <c r="C210" s="1" t="s">
        <v>43</v>
      </c>
      <c r="L210" s="47" t="s">
        <v>259</v>
      </c>
      <c r="M210" s="47">
        <v>1614</v>
      </c>
      <c r="N210" s="47">
        <v>695</v>
      </c>
      <c r="O210" s="47">
        <v>3173</v>
      </c>
      <c r="P210" s="47">
        <v>2673</v>
      </c>
      <c r="Q210" s="47">
        <v>2673</v>
      </c>
      <c r="R210" s="107">
        <f>B210</f>
        <v>10591</v>
      </c>
    </row>
    <row r="211" spans="2:18" x14ac:dyDescent="0.15">
      <c r="B211" s="50">
        <v>0</v>
      </c>
      <c r="C211" s="47" t="s">
        <v>217</v>
      </c>
      <c r="L211" s="47" t="s">
        <v>260</v>
      </c>
      <c r="M211" s="47">
        <v>7500</v>
      </c>
      <c r="N211" s="47">
        <v>10376</v>
      </c>
      <c r="O211" s="47">
        <v>15605</v>
      </c>
      <c r="P211" s="47">
        <v>33885</v>
      </c>
      <c r="Q211" s="47">
        <v>33885</v>
      </c>
      <c r="R211" s="107">
        <f>B212</f>
        <v>57054</v>
      </c>
    </row>
    <row r="212" spans="2:18" x14ac:dyDescent="0.15">
      <c r="B212" s="50">
        <v>57054</v>
      </c>
      <c r="C212" s="1" t="s">
        <v>251</v>
      </c>
      <c r="L212" s="47" t="s">
        <v>261</v>
      </c>
      <c r="M212" s="102">
        <f>M209+M210+M211</f>
        <v>9114</v>
      </c>
      <c r="N212" s="102">
        <f t="shared" ref="N212:R212" si="15">N209+N210+N211</f>
        <v>12096</v>
      </c>
      <c r="O212" s="102">
        <f t="shared" si="15"/>
        <v>18781</v>
      </c>
      <c r="P212" s="102">
        <f t="shared" si="15"/>
        <v>36558</v>
      </c>
      <c r="Q212" s="102">
        <f t="shared" si="15"/>
        <v>36558</v>
      </c>
      <c r="R212" s="102">
        <f t="shared" si="15"/>
        <v>67645</v>
      </c>
    </row>
    <row r="213" spans="2:18" x14ac:dyDescent="0.15">
      <c r="L213" s="47"/>
      <c r="M213" s="47"/>
      <c r="N213" s="47"/>
      <c r="O213" s="47"/>
      <c r="P213" s="47"/>
      <c r="Q213" s="47"/>
      <c r="R213" s="47"/>
    </row>
    <row r="214" spans="2:18" x14ac:dyDescent="0.15">
      <c r="B214" s="15"/>
      <c r="L214" s="47"/>
      <c r="M214" s="47"/>
      <c r="N214" s="47"/>
      <c r="O214" s="47"/>
      <c r="P214" s="47"/>
      <c r="Q214" s="47"/>
      <c r="R214" s="47"/>
    </row>
    <row r="215" spans="2:18" ht="16" x14ac:dyDescent="0.2">
      <c r="B215" s="22" t="s">
        <v>0</v>
      </c>
      <c r="L215" s="47"/>
      <c r="M215" s="47"/>
      <c r="N215" s="47"/>
      <c r="O215" s="47"/>
      <c r="P215" s="47"/>
      <c r="Q215" s="47"/>
      <c r="R215" s="47"/>
    </row>
    <row r="216" spans="2:18" x14ac:dyDescent="0.15">
      <c r="B216" s="27">
        <v>9.5000000000000001E-2</v>
      </c>
      <c r="C216" s="1" t="s">
        <v>0</v>
      </c>
      <c r="F216" s="18" t="s">
        <v>346</v>
      </c>
      <c r="L216" s="47"/>
      <c r="M216" s="47"/>
      <c r="N216" s="47"/>
      <c r="O216" s="47"/>
      <c r="P216" s="47"/>
      <c r="Q216" s="47"/>
      <c r="R216" s="47"/>
    </row>
    <row r="217" spans="2:18" x14ac:dyDescent="0.15">
      <c r="B217" s="21"/>
      <c r="L217" s="47"/>
      <c r="M217" s="47"/>
      <c r="N217" s="47"/>
      <c r="O217" s="47"/>
      <c r="P217" s="47"/>
      <c r="Q217" s="47"/>
      <c r="R217" s="47"/>
    </row>
    <row r="218" spans="2:18" x14ac:dyDescent="0.15">
      <c r="M218" s="47"/>
      <c r="N218" s="47"/>
      <c r="O218" s="47"/>
      <c r="P218" s="47"/>
      <c r="Q218" s="47"/>
      <c r="R218" s="47"/>
    </row>
    <row r="221" spans="2:18" x14ac:dyDescent="0.15">
      <c r="K221" s="20"/>
    </row>
    <row r="222" spans="2:18" x14ac:dyDescent="0.15">
      <c r="K222" s="20"/>
    </row>
    <row r="223" spans="2:18" x14ac:dyDescent="0.15">
      <c r="K223" s="20"/>
    </row>
    <row r="224" spans="2:18" ht="16" x14ac:dyDescent="0.2">
      <c r="B224" s="14" t="s">
        <v>232</v>
      </c>
    </row>
    <row r="225" spans="2:29" x14ac:dyDescent="0.15">
      <c r="B225" s="1" t="s">
        <v>3</v>
      </c>
      <c r="D225" s="1">
        <f>E225-1</f>
        <v>2017</v>
      </c>
      <c r="E225" s="1">
        <f>F225-1</f>
        <v>2018</v>
      </c>
      <c r="F225" s="1">
        <f>G225-1</f>
        <v>2019</v>
      </c>
      <c r="G225" s="1">
        <f>H225-1</f>
        <v>2020</v>
      </c>
      <c r="H225" s="1">
        <f>B13</f>
        <v>2021</v>
      </c>
      <c r="I225" s="1">
        <v>1</v>
      </c>
      <c r="J225" s="1">
        <f>I225+1</f>
        <v>2</v>
      </c>
      <c r="K225" s="1">
        <f t="shared" ref="K225:AB225" si="16">J225+1</f>
        <v>3</v>
      </c>
      <c r="L225" s="1">
        <f t="shared" si="16"/>
        <v>4</v>
      </c>
      <c r="M225" s="1">
        <f t="shared" si="16"/>
        <v>5</v>
      </c>
      <c r="N225" s="1">
        <f t="shared" si="16"/>
        <v>6</v>
      </c>
      <c r="O225" s="1">
        <f t="shared" si="16"/>
        <v>7</v>
      </c>
      <c r="P225" s="1">
        <f t="shared" si="16"/>
        <v>8</v>
      </c>
      <c r="Q225" s="1">
        <f t="shared" si="16"/>
        <v>9</v>
      </c>
      <c r="R225" s="1">
        <f t="shared" si="16"/>
        <v>10</v>
      </c>
      <c r="S225" s="1">
        <f t="shared" si="16"/>
        <v>11</v>
      </c>
      <c r="T225" s="1">
        <f t="shared" si="16"/>
        <v>12</v>
      </c>
      <c r="U225" s="1">
        <f t="shared" si="16"/>
        <v>13</v>
      </c>
      <c r="V225" s="1">
        <f t="shared" si="16"/>
        <v>14</v>
      </c>
      <c r="W225" s="1">
        <f t="shared" si="16"/>
        <v>15</v>
      </c>
      <c r="X225" s="1">
        <f t="shared" si="16"/>
        <v>16</v>
      </c>
      <c r="Y225" s="1">
        <f t="shared" si="16"/>
        <v>17</v>
      </c>
      <c r="Z225" s="1">
        <f t="shared" si="16"/>
        <v>18</v>
      </c>
      <c r="AA225" s="1">
        <f t="shared" si="16"/>
        <v>19</v>
      </c>
      <c r="AB225" s="1">
        <f t="shared" si="16"/>
        <v>20</v>
      </c>
      <c r="AC225" s="35" t="s">
        <v>1</v>
      </c>
    </row>
    <row r="226" spans="2:29" x14ac:dyDescent="0.15">
      <c r="B226" s="1" t="s">
        <v>13</v>
      </c>
      <c r="D226" s="92">
        <f>M29</f>
        <v>8392</v>
      </c>
      <c r="E226" s="93">
        <f>N29</f>
        <v>10480</v>
      </c>
      <c r="F226" s="92">
        <f>O29</f>
        <v>13282</v>
      </c>
      <c r="G226" s="93">
        <f>P29</f>
        <v>17098</v>
      </c>
      <c r="H226" s="92">
        <f>Q29</f>
        <v>21252</v>
      </c>
      <c r="I226" s="29">
        <f>B28*(1+$B30)</f>
        <v>30729.09</v>
      </c>
      <c r="J226" s="30">
        <f>I226*(1+$B31)</f>
        <v>37474.115557983379</v>
      </c>
      <c r="K226" s="29">
        <f>J226*(1+$B32)</f>
        <v>44622.473433005653</v>
      </c>
      <c r="L226" s="30">
        <f>K226*(1+$B33)</f>
        <v>52204.912432880075</v>
      </c>
      <c r="M226" s="29">
        <f>L226*(1+$B34)</f>
        <v>60106.562064951744</v>
      </c>
      <c r="N226" s="30">
        <f>M226*(1+$B35)</f>
        <v>68407.282087897343</v>
      </c>
      <c r="O226" s="29">
        <f>N226*(1+$B36)</f>
        <v>76780.24614495445</v>
      </c>
      <c r="P226" s="30">
        <f>O226*(1+$B37)</f>
        <v>85054.241999935577</v>
      </c>
      <c r="Q226" s="29">
        <f>P226*(1+$B38)</f>
        <v>92857.526014472256</v>
      </c>
      <c r="R226" s="30">
        <f>Q226*(1+$B39)</f>
        <v>100652.12495866693</v>
      </c>
      <c r="S226" s="29">
        <f>R226*(1+$B40)</f>
        <v>106691.25245618695</v>
      </c>
      <c r="T226" s="30">
        <f>S226*(1+$B41)</f>
        <v>113092.72760355817</v>
      </c>
      <c r="U226" s="29">
        <f>T226*(1+$B42)</f>
        <v>119878.29125977166</v>
      </c>
      <c r="V226" s="30">
        <f>U226*(1+$B43)</f>
        <v>127070.98873535797</v>
      </c>
      <c r="W226" s="29">
        <f>V226*(1+$B44)</f>
        <v>134695.24805947946</v>
      </c>
      <c r="X226" s="30">
        <f>W226*(1+$B45)</f>
        <v>141430.01046245344</v>
      </c>
      <c r="Y226" s="29">
        <f>X226*(1+$B46)</f>
        <v>148501.51098557611</v>
      </c>
      <c r="Z226" s="30">
        <f>Y226*(1+$B47)</f>
        <v>155926.58653485493</v>
      </c>
      <c r="AA226" s="29">
        <f>Z226*(1+$B48)</f>
        <v>163722.91586159769</v>
      </c>
      <c r="AB226" s="30">
        <f>AA226*(1+$B49)</f>
        <v>171909.06165467759</v>
      </c>
      <c r="AC226" s="29">
        <f>AB226*(1+B50)</f>
        <v>177066.33350431791</v>
      </c>
    </row>
    <row r="227" spans="2:29" x14ac:dyDescent="0.15">
      <c r="B227" s="1" t="s">
        <v>233</v>
      </c>
      <c r="D227" s="92">
        <f>M59</f>
        <v>218</v>
      </c>
      <c r="E227" s="93">
        <f>N59</f>
        <v>454</v>
      </c>
      <c r="F227" s="92">
        <f>O59</f>
        <v>559</v>
      </c>
      <c r="G227" s="93">
        <f>P59</f>
        <v>503</v>
      </c>
      <c r="H227" s="92">
        <f>Q59</f>
        <v>455</v>
      </c>
      <c r="I227" s="29">
        <f>I226*$B58</f>
        <v>614.58180000000004</v>
      </c>
      <c r="J227" s="28">
        <f>J226*$B59</f>
        <v>2248.4469334790028</v>
      </c>
      <c r="K227" s="31">
        <f>K226*$B60</f>
        <v>3569.7978746404524</v>
      </c>
      <c r="L227" s="28">
        <f>L226*$B61</f>
        <v>5220.4912432880083</v>
      </c>
      <c r="M227" s="31">
        <f>M226*$B62</f>
        <v>7212.7874477942087</v>
      </c>
      <c r="N227" s="28">
        <f>N226*$B63</f>
        <v>9577.0194923056297</v>
      </c>
      <c r="O227" s="31">
        <f>O226*$B64</f>
        <v>13820.4443060918</v>
      </c>
      <c r="P227" s="28">
        <f>P226*$B65</f>
        <v>17010.848399987117</v>
      </c>
      <c r="Q227" s="31">
        <f>Q226*$B66</f>
        <v>20428.655723183896</v>
      </c>
      <c r="R227" s="28">
        <f>R226*$B67</f>
        <v>24156.509990080063</v>
      </c>
      <c r="S227" s="31">
        <f>S226*$B68</f>
        <v>27739.725638608608</v>
      </c>
      <c r="T227" s="28">
        <f>T226*$B69</f>
        <v>29404.109176925125</v>
      </c>
      <c r="U227" s="31">
        <f>U226*$B70</f>
        <v>33565.921552736072</v>
      </c>
      <c r="V227" s="28">
        <f>V226*$B71</f>
        <v>35579.876845900231</v>
      </c>
      <c r="W227" s="31">
        <f>W226*$B72</f>
        <v>40408.57441784384</v>
      </c>
      <c r="X227" s="28">
        <f>X226*$B73</f>
        <v>42429.003138736029</v>
      </c>
      <c r="Y227" s="31">
        <f>Y226*$B74</f>
        <v>44550.453295672829</v>
      </c>
      <c r="Z227" s="28">
        <f>Z226*$B75</f>
        <v>46777.975960456475</v>
      </c>
      <c r="AA227" s="31">
        <f>AA226*$B76</f>
        <v>49116.874758479309</v>
      </c>
      <c r="AB227" s="28">
        <f>AB226*$B77</f>
        <v>51572.718496403271</v>
      </c>
      <c r="AC227" s="29">
        <f>AC226*$B78</f>
        <v>53119.900051295372</v>
      </c>
    </row>
    <row r="228" spans="2:29" x14ac:dyDescent="0.15">
      <c r="B228" s="1" t="s">
        <v>234</v>
      </c>
      <c r="D228" s="92">
        <f>D227*(1-M89)</f>
        <v>362</v>
      </c>
      <c r="E228" s="93">
        <f>E227*(1-N89)</f>
        <v>394</v>
      </c>
      <c r="F228" s="92">
        <f>F227*(1-O89)</f>
        <v>686</v>
      </c>
      <c r="G228" s="93">
        <f>G227*(1-P89)</f>
        <v>-77.000000000000028</v>
      </c>
      <c r="H228" s="92">
        <f>H227*(1-Q89)</f>
        <v>1966.0000000000002</v>
      </c>
      <c r="I228" s="29">
        <f>I227*(1-$B$87)</f>
        <v>503.95707600000009</v>
      </c>
      <c r="J228" s="28">
        <f>J227*(1-$B$88)</f>
        <v>1843.7264854527825</v>
      </c>
      <c r="K228" s="31">
        <f>K227*(1-$B$89)</f>
        <v>2927.2342572051712</v>
      </c>
      <c r="L228" s="28">
        <f>L227*(1-$B$90)</f>
        <v>4280.8028194961671</v>
      </c>
      <c r="M228" s="31">
        <f>M227*(1-$B$91)</f>
        <v>5914.485707191252</v>
      </c>
      <c r="N228" s="28">
        <f>N227*(1-$B$92)</f>
        <v>7853.1559836906172</v>
      </c>
      <c r="O228" s="31">
        <f>O227*(1-$B$93)</f>
        <v>11332.764330995276</v>
      </c>
      <c r="P228" s="28">
        <f>P227*(1-$B$94)</f>
        <v>13948.895687989438</v>
      </c>
      <c r="Q228" s="31">
        <f>Q227*(1-$B$95)</f>
        <v>16751.497693010795</v>
      </c>
      <c r="R228" s="28">
        <f>R227*(1-$B$96)</f>
        <v>19808.338191865652</v>
      </c>
      <c r="S228" s="31">
        <f>S227*(1-$B$97)</f>
        <v>22746.575023659061</v>
      </c>
      <c r="T228" s="28">
        <f>T227*(1-$B$98)</f>
        <v>24111.369525078604</v>
      </c>
      <c r="U228" s="31">
        <f>U227*(1-$B$99)</f>
        <v>27524.05567324358</v>
      </c>
      <c r="V228" s="28">
        <f>V227*(1-$B$100)</f>
        <v>29175.499013638193</v>
      </c>
      <c r="W228" s="31">
        <f>W227*(1-$B$101)</f>
        <v>33135.031022631949</v>
      </c>
      <c r="X228" s="28">
        <f>X227*(1-$B$102)</f>
        <v>34791.782573763543</v>
      </c>
      <c r="Y228" s="31">
        <f>Y227*(1-$B$103)</f>
        <v>36531.371702451725</v>
      </c>
      <c r="Z228" s="28">
        <f>Z227*(1-$B$104)</f>
        <v>38357.940287574311</v>
      </c>
      <c r="AA228" s="31">
        <f>AA227*(1-$B$105)</f>
        <v>40275.837301953034</v>
      </c>
      <c r="AB228" s="28">
        <f>AB227*(1-$B$106)</f>
        <v>42289.629167050683</v>
      </c>
      <c r="AC228" s="29">
        <f>AC227*(1-$B$107)</f>
        <v>43558.318042062208</v>
      </c>
    </row>
    <row r="229" spans="2:29" x14ac:dyDescent="0.15">
      <c r="D229" s="94"/>
      <c r="E229" s="94"/>
      <c r="F229" s="94"/>
      <c r="G229" s="94"/>
      <c r="H229" s="94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</row>
    <row r="230" spans="2:29" ht="16" x14ac:dyDescent="0.2">
      <c r="B230" s="14" t="s">
        <v>235</v>
      </c>
      <c r="D230" s="94"/>
      <c r="E230" s="94"/>
      <c r="F230" s="94"/>
      <c r="G230" s="94"/>
      <c r="H230" s="94"/>
    </row>
    <row r="231" spans="2:29" x14ac:dyDescent="0.15">
      <c r="B231" s="1" t="s">
        <v>14</v>
      </c>
      <c r="D231" s="92">
        <f>M113</f>
        <v>663</v>
      </c>
      <c r="E231" s="93">
        <f>N113</f>
        <v>784</v>
      </c>
      <c r="F231" s="92">
        <f>O113</f>
        <v>982</v>
      </c>
      <c r="G231" s="93">
        <f>P113</f>
        <v>2135</v>
      </c>
      <c r="H231" s="92">
        <f>Q113</f>
        <v>2846</v>
      </c>
      <c r="I231" s="29">
        <f>I226*$B111</f>
        <v>3072.9090000000001</v>
      </c>
      <c r="J231" s="30">
        <f>J226*$B112</f>
        <v>3747.4115557983382</v>
      </c>
      <c r="K231" s="29">
        <f>K226*$B113</f>
        <v>4462.2473433005653</v>
      </c>
      <c r="L231" s="30">
        <f>L226*$B114</f>
        <v>5220.4912432880083</v>
      </c>
      <c r="M231" s="29">
        <f>M226*$B115</f>
        <v>6010.656206495175</v>
      </c>
      <c r="N231" s="30">
        <f>N226*$B116</f>
        <v>4104.4369252738406</v>
      </c>
      <c r="O231" s="29">
        <f>O226*$B117</f>
        <v>4606.814768697267</v>
      </c>
      <c r="P231" s="30">
        <f>P226*$B118</f>
        <v>5103.2545199961341</v>
      </c>
      <c r="Q231" s="29">
        <f>Q226*$B119</f>
        <v>5571.451560868335</v>
      </c>
      <c r="R231" s="30">
        <f>R226*$B120</f>
        <v>6039.1274975200158</v>
      </c>
      <c r="S231" s="29">
        <f>S226*$B121</f>
        <v>6401.4751473712167</v>
      </c>
      <c r="T231" s="30">
        <f>T226*$B122</f>
        <v>6785.5636562134905</v>
      </c>
      <c r="U231" s="29">
        <f>U226*$B123</f>
        <v>7192.6974755862993</v>
      </c>
      <c r="V231" s="30">
        <f>V226*$B124</f>
        <v>7624.2593241214781</v>
      </c>
      <c r="W231" s="29">
        <f>W226*$B125</f>
        <v>8081.7148835687676</v>
      </c>
      <c r="X231" s="30">
        <f>X226*$B126</f>
        <v>8485.8006277472068</v>
      </c>
      <c r="Y231" s="29">
        <f>Y226*$B127</f>
        <v>8910.0906591345665</v>
      </c>
      <c r="Z231" s="30">
        <f>Z226*$B128</f>
        <v>9355.5951920912958</v>
      </c>
      <c r="AA231" s="29">
        <f>AA226*$B129</f>
        <v>9823.3749516958615</v>
      </c>
      <c r="AB231" s="30">
        <f>AB226*$B130</f>
        <v>10314.543699280655</v>
      </c>
      <c r="AC231" s="29">
        <f>AC226*$B131</f>
        <v>10623.980010259074</v>
      </c>
    </row>
    <row r="232" spans="2:29" x14ac:dyDescent="0.15">
      <c r="B232" s="1" t="s">
        <v>29</v>
      </c>
      <c r="D232" s="92">
        <f>M160</f>
        <v>820</v>
      </c>
      <c r="E232" s="93">
        <f>N160</f>
        <v>997</v>
      </c>
      <c r="F232" s="92">
        <f>O160</f>
        <v>1283</v>
      </c>
      <c r="G232" s="93">
        <f>P160</f>
        <v>1785</v>
      </c>
      <c r="H232" s="92">
        <f>Q160</f>
        <v>2190</v>
      </c>
      <c r="I232" s="29">
        <f>I226*$B$159</f>
        <v>3072.9090000000001</v>
      </c>
      <c r="J232" s="30">
        <f>J226*$B160</f>
        <v>3747.4115557983382</v>
      </c>
      <c r="K232" s="29">
        <f>K226*$B161</f>
        <v>4462.2473433005653</v>
      </c>
      <c r="L232" s="30">
        <f>L226*$B162</f>
        <v>4698.4421189592067</v>
      </c>
      <c r="M232" s="29">
        <f>M226*$B163</f>
        <v>5409.5905858456572</v>
      </c>
      <c r="N232" s="30">
        <f>N226*$B164</f>
        <v>6156.6553879107605</v>
      </c>
      <c r="O232" s="29">
        <f>O226*$B165</f>
        <v>4606.814768697267</v>
      </c>
      <c r="P232" s="30">
        <f>P226*$B166</f>
        <v>5103.2545199961341</v>
      </c>
      <c r="Q232" s="29">
        <f>Q226*$B167</f>
        <v>5571.451560868335</v>
      </c>
      <c r="R232" s="30">
        <f>R226*$B168</f>
        <v>6039.1274975200158</v>
      </c>
      <c r="S232" s="29">
        <f>S226*$B169</f>
        <v>6401.4751473712167</v>
      </c>
      <c r="T232" s="30">
        <f>T226*$B170</f>
        <v>4523.7091041423273</v>
      </c>
      <c r="U232" s="29">
        <f>U226*$B171</f>
        <v>4795.1316503908665</v>
      </c>
      <c r="V232" s="30">
        <f>V226*$B172</f>
        <v>5082.8395494143188</v>
      </c>
      <c r="W232" s="29">
        <f>W226*$B173</f>
        <v>5387.8099223791787</v>
      </c>
      <c r="X232" s="30">
        <f>X226*$B174</f>
        <v>4950.0503661858711</v>
      </c>
      <c r="Y232" s="29">
        <f>Y226*$B175</f>
        <v>5197.5528844951641</v>
      </c>
      <c r="Z232" s="30">
        <f>Z226*$B176</f>
        <v>5457.4305287199231</v>
      </c>
      <c r="AA232" s="29">
        <f>AA226*$B177</f>
        <v>5730.3020551559193</v>
      </c>
      <c r="AB232" s="30">
        <f>AB226*$B178</f>
        <v>6016.8171579137161</v>
      </c>
      <c r="AC232" s="29">
        <f>AC226*$B179</f>
        <v>6197.3216726511273</v>
      </c>
    </row>
    <row r="233" spans="2:29" x14ac:dyDescent="0.15">
      <c r="B233" s="1" t="s">
        <v>40</v>
      </c>
      <c r="D233" s="92">
        <f>M185</f>
        <v>-315</v>
      </c>
      <c r="E233" s="93">
        <f>N185</f>
        <v>-565</v>
      </c>
      <c r="F233" s="92">
        <f>O185</f>
        <v>-449</v>
      </c>
      <c r="G233" s="93">
        <f>P185</f>
        <v>-488</v>
      </c>
      <c r="H233" s="92">
        <f>Q185</f>
        <v>4077</v>
      </c>
      <c r="I233" s="29">
        <f>I226*$B183</f>
        <v>-1229.1636000000001</v>
      </c>
      <c r="J233" s="30">
        <f>J226*$B184</f>
        <v>-1498.9646223193351</v>
      </c>
      <c r="K233" s="29">
        <f>K226*$B185</f>
        <v>-1784.8989373202262</v>
      </c>
      <c r="L233" s="30">
        <f>L226*$B186</f>
        <v>-2088.196497315203</v>
      </c>
      <c r="M233" s="29">
        <f>M226*$B187</f>
        <v>-2404.2624825980697</v>
      </c>
      <c r="N233" s="30">
        <f>N226*$B188</f>
        <v>-1710.1820521974337</v>
      </c>
      <c r="O233" s="29">
        <f>O226*$B189</f>
        <v>-1919.5061536238613</v>
      </c>
      <c r="P233" s="30">
        <f>P226*$B190</f>
        <v>-2126.3560499983896</v>
      </c>
      <c r="Q233" s="29">
        <f>Q226*$B191</f>
        <v>-2321.4381503618065</v>
      </c>
      <c r="R233" s="30">
        <f>R226*$B192</f>
        <v>-2516.3031239666734</v>
      </c>
      <c r="S233" s="29">
        <f>S226*$B193</f>
        <v>0</v>
      </c>
      <c r="T233" s="30">
        <f>T226*$B194</f>
        <v>0</v>
      </c>
      <c r="U233" s="29">
        <f>U226*$B195</f>
        <v>0</v>
      </c>
      <c r="V233" s="30">
        <f>V226*$B196</f>
        <v>0</v>
      </c>
      <c r="W233" s="29">
        <f>W226*$B197</f>
        <v>0</v>
      </c>
      <c r="X233" s="30">
        <f>X226*$B198</f>
        <v>0</v>
      </c>
      <c r="Y233" s="29">
        <f>Y226*$B199</f>
        <v>0</v>
      </c>
      <c r="Z233" s="30">
        <f>Z226*$B200</f>
        <v>0</v>
      </c>
      <c r="AA233" s="29">
        <f>AA226*$B201</f>
        <v>0</v>
      </c>
      <c r="AB233" s="30">
        <f>AB226*$B202</f>
        <v>0</v>
      </c>
      <c r="AC233" s="29">
        <f>AC226*$B203</f>
        <v>0</v>
      </c>
    </row>
    <row r="234" spans="2:29" x14ac:dyDescent="0.15">
      <c r="B234" s="1" t="s">
        <v>236</v>
      </c>
      <c r="D234" s="92">
        <f>M192</f>
        <v>2160</v>
      </c>
      <c r="E234" s="93">
        <f>N192</f>
        <v>2740</v>
      </c>
      <c r="F234" s="92">
        <f>O192</f>
        <v>3400</v>
      </c>
      <c r="G234" s="93">
        <f>P192</f>
        <v>4331</v>
      </c>
      <c r="H234" s="92">
        <f>Q192</f>
        <v>2925</v>
      </c>
      <c r="I234" s="29">
        <f t="shared" ref="I234:AB234" si="17">I228+I231+I232-I233</f>
        <v>7878.9386759999998</v>
      </c>
      <c r="J234" s="96">
        <f t="shared" si="17"/>
        <v>10837.514219368795</v>
      </c>
      <c r="K234" s="29">
        <f t="shared" si="17"/>
        <v>13636.627881126527</v>
      </c>
      <c r="L234" s="96">
        <f t="shared" si="17"/>
        <v>16287.932679058584</v>
      </c>
      <c r="M234" s="29">
        <f t="shared" si="17"/>
        <v>19738.994982130156</v>
      </c>
      <c r="N234" s="96">
        <f t="shared" si="17"/>
        <v>19824.430349072652</v>
      </c>
      <c r="O234" s="29">
        <f t="shared" si="17"/>
        <v>22465.90002201367</v>
      </c>
      <c r="P234" s="96">
        <f t="shared" si="17"/>
        <v>26281.760777980096</v>
      </c>
      <c r="Q234" s="29">
        <f t="shared" si="17"/>
        <v>30215.838965109273</v>
      </c>
      <c r="R234" s="96">
        <f t="shared" si="17"/>
        <v>34402.896310872355</v>
      </c>
      <c r="S234" s="29">
        <f t="shared" si="17"/>
        <v>35549.525318401495</v>
      </c>
      <c r="T234" s="96">
        <f t="shared" si="17"/>
        <v>35420.64228543442</v>
      </c>
      <c r="U234" s="29">
        <f t="shared" si="17"/>
        <v>39511.884799220745</v>
      </c>
      <c r="V234" s="96">
        <f t="shared" si="17"/>
        <v>41882.597887173994</v>
      </c>
      <c r="W234" s="29">
        <f t="shared" si="17"/>
        <v>46604.555828579898</v>
      </c>
      <c r="X234" s="96">
        <f t="shared" si="17"/>
        <v>48227.633567696626</v>
      </c>
      <c r="Y234" s="29">
        <f t="shared" si="17"/>
        <v>50639.015246081457</v>
      </c>
      <c r="Z234" s="96">
        <f t="shared" si="17"/>
        <v>53170.966008385527</v>
      </c>
      <c r="AA234" s="29">
        <f t="shared" si="17"/>
        <v>55829.514308804813</v>
      </c>
      <c r="AB234" s="96">
        <f t="shared" si="17"/>
        <v>58620.990024245053</v>
      </c>
      <c r="AC234" s="29">
        <f>AC228+AC231+AC232-AC233</f>
        <v>60379.619724972406</v>
      </c>
    </row>
    <row r="235" spans="2:29" x14ac:dyDescent="0.15">
      <c r="D235" s="94"/>
      <c r="E235" s="94"/>
      <c r="F235" s="94"/>
      <c r="G235" s="94"/>
      <c r="H235" s="94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</row>
    <row r="236" spans="2:29" x14ac:dyDescent="0.15">
      <c r="B236" s="1" t="s">
        <v>237</v>
      </c>
      <c r="D236" s="92">
        <f>M140</f>
        <v>3657</v>
      </c>
      <c r="E236" s="93">
        <f>N140</f>
        <v>428</v>
      </c>
      <c r="F236" s="92">
        <f>O140</f>
        <v>5450</v>
      </c>
      <c r="G236" s="93">
        <f>P140</f>
        <v>578</v>
      </c>
      <c r="H236" s="92">
        <f>Q140</f>
        <v>940</v>
      </c>
      <c r="I236" s="29">
        <f>I226*$B135</f>
        <v>4609.3634999999995</v>
      </c>
      <c r="J236" s="30">
        <f>J226*$B136</f>
        <v>5621.1173336975071</v>
      </c>
      <c r="K236" s="29">
        <f>K226*$B137</f>
        <v>6693.3710149508479</v>
      </c>
      <c r="L236" s="30">
        <f>L226*$B138</f>
        <v>7830.7368649320106</v>
      </c>
      <c r="M236" s="29">
        <f>M226*$B139</f>
        <v>9015.984309742762</v>
      </c>
      <c r="N236" s="30">
        <f>N226*$B140</f>
        <v>5472.5825670317872</v>
      </c>
      <c r="O236" s="29">
        <f>O226*$B141</f>
        <v>6142.4196915963557</v>
      </c>
      <c r="P236" s="30">
        <f>P226*$B142</f>
        <v>6804.3393599948467</v>
      </c>
      <c r="Q236" s="29">
        <f>Q226*$B143</f>
        <v>7428.602081157781</v>
      </c>
      <c r="R236" s="30">
        <f>R226*$B144</f>
        <v>6542.3881223133503</v>
      </c>
      <c r="S236" s="29">
        <f>S226*$B145</f>
        <v>6934.9314096521521</v>
      </c>
      <c r="T236" s="30">
        <f>T226*$B146</f>
        <v>7351.0272942312813</v>
      </c>
      <c r="U236" s="29">
        <f>U226*$B147</f>
        <v>7792.0889318851587</v>
      </c>
      <c r="V236" s="30">
        <f>V226*$B148</f>
        <v>8259.614267798268</v>
      </c>
      <c r="W236" s="29">
        <f>W226*$B149</f>
        <v>8755.1911238661651</v>
      </c>
      <c r="X236" s="30">
        <f>X226*$B150</f>
        <v>9192.9506800594736</v>
      </c>
      <c r="Y236" s="29">
        <f>Y226*$B151</f>
        <v>9652.5982140624474</v>
      </c>
      <c r="Z236" s="30">
        <f>Z226*$B152</f>
        <v>10135.22812476557</v>
      </c>
      <c r="AA236" s="29">
        <f>AA226*$B153</f>
        <v>10641.98953100385</v>
      </c>
      <c r="AB236" s="30">
        <f>AB226*$B154</f>
        <v>11174.089007554043</v>
      </c>
      <c r="AC236" s="29">
        <f>AC226*$B155</f>
        <v>11509.311677780664</v>
      </c>
    </row>
    <row r="237" spans="2:29" x14ac:dyDescent="0.15">
      <c r="D237" s="94"/>
      <c r="E237" s="94"/>
      <c r="F237" s="94"/>
      <c r="G237" s="94"/>
      <c r="H237" s="94"/>
    </row>
    <row r="238" spans="2:29" x14ac:dyDescent="0.15">
      <c r="B238" s="1" t="s">
        <v>11</v>
      </c>
      <c r="D238" s="92">
        <f>D234-D236</f>
        <v>-1497</v>
      </c>
      <c r="E238" s="93">
        <f t="shared" ref="E238:H238" si="18">E234-E236</f>
        <v>2312</v>
      </c>
      <c r="F238" s="92">
        <f t="shared" si="18"/>
        <v>-2050</v>
      </c>
      <c r="G238" s="93">
        <f t="shared" si="18"/>
        <v>3753</v>
      </c>
      <c r="H238" s="92">
        <f t="shared" si="18"/>
        <v>1985</v>
      </c>
      <c r="I238" s="29">
        <f>I234-I236</f>
        <v>3269.5751760000003</v>
      </c>
      <c r="J238" s="96">
        <f t="shared" ref="J238:AB238" si="19">J234-J236</f>
        <v>5216.3968856712881</v>
      </c>
      <c r="K238" s="29">
        <f t="shared" si="19"/>
        <v>6943.2568661756795</v>
      </c>
      <c r="L238" s="96">
        <f t="shared" si="19"/>
        <v>8457.1958141265732</v>
      </c>
      <c r="M238" s="29">
        <f t="shared" si="19"/>
        <v>10723.010672387394</v>
      </c>
      <c r="N238" s="96">
        <f t="shared" si="19"/>
        <v>14351.847782040866</v>
      </c>
      <c r="O238" s="29">
        <f t="shared" si="19"/>
        <v>16323.480330417315</v>
      </c>
      <c r="P238" s="96">
        <f t="shared" si="19"/>
        <v>19477.42141798525</v>
      </c>
      <c r="Q238" s="29">
        <f t="shared" si="19"/>
        <v>22787.236883951493</v>
      </c>
      <c r="R238" s="96">
        <f t="shared" si="19"/>
        <v>27860.508188559004</v>
      </c>
      <c r="S238" s="29">
        <f t="shared" si="19"/>
        <v>28614.593908749343</v>
      </c>
      <c r="T238" s="96">
        <f t="shared" si="19"/>
        <v>28069.61499120314</v>
      </c>
      <c r="U238" s="29">
        <f t="shared" si="19"/>
        <v>31719.795867335586</v>
      </c>
      <c r="V238" s="96">
        <f t="shared" si="19"/>
        <v>33622.983619375722</v>
      </c>
      <c r="W238" s="29">
        <f t="shared" si="19"/>
        <v>37849.364704713735</v>
      </c>
      <c r="X238" s="96">
        <f t="shared" si="19"/>
        <v>39034.682887637151</v>
      </c>
      <c r="Y238" s="29">
        <f t="shared" si="19"/>
        <v>40986.41703201901</v>
      </c>
      <c r="Z238" s="96">
        <f t="shared" si="19"/>
        <v>43035.737883619957</v>
      </c>
      <c r="AA238" s="29">
        <f t="shared" si="19"/>
        <v>45187.524777800965</v>
      </c>
      <c r="AB238" s="96">
        <f t="shared" si="19"/>
        <v>47446.901016691008</v>
      </c>
      <c r="AC238" s="29">
        <f>AC234-AC236</f>
        <v>48870.308047191742</v>
      </c>
    </row>
    <row r="239" spans="2:29" x14ac:dyDescent="0.15">
      <c r="B239" s="1" t="s">
        <v>10</v>
      </c>
      <c r="I239" s="32">
        <f t="shared" ref="I239:AB239" si="20">I238/(1+$B$216)^I225</f>
        <v>2985.9134027397263</v>
      </c>
      <c r="J239" s="33">
        <f t="shared" si="20"/>
        <v>4350.5322121484442</v>
      </c>
      <c r="K239" s="32">
        <f t="shared" si="20"/>
        <v>5288.358333136297</v>
      </c>
      <c r="L239" s="33">
        <f t="shared" si="20"/>
        <v>5882.6080032638729</v>
      </c>
      <c r="M239" s="32">
        <f t="shared" si="20"/>
        <v>6811.5530342131269</v>
      </c>
      <c r="N239" s="33">
        <f t="shared" si="20"/>
        <v>8325.7449854488386</v>
      </c>
      <c r="O239" s="32">
        <f t="shared" si="20"/>
        <v>8647.9650545779932</v>
      </c>
      <c r="P239" s="33">
        <f t="shared" si="20"/>
        <v>9423.6361054450281</v>
      </c>
      <c r="Q239" s="32">
        <f t="shared" si="20"/>
        <v>10068.495828397103</v>
      </c>
      <c r="R239" s="33">
        <f t="shared" si="20"/>
        <v>11242.110303854019</v>
      </c>
      <c r="S239" s="32">
        <f t="shared" si="20"/>
        <v>10544.652593578496</v>
      </c>
      <c r="T239" s="33">
        <f t="shared" si="20"/>
        <v>9446.4150999892845</v>
      </c>
      <c r="U239" s="32">
        <f t="shared" si="20"/>
        <v>9748.7028857439145</v>
      </c>
      <c r="V239" s="33">
        <f t="shared" si="20"/>
        <v>9437.1005104005017</v>
      </c>
      <c r="W239" s="32">
        <f t="shared" si="20"/>
        <v>9701.6768932787108</v>
      </c>
      <c r="X239" s="33">
        <f t="shared" si="20"/>
        <v>9137.444429295796</v>
      </c>
      <c r="Y239" s="32">
        <f t="shared" si="20"/>
        <v>8761.9330143932293</v>
      </c>
      <c r="Z239" s="33">
        <f t="shared" si="20"/>
        <v>8401.8535754455606</v>
      </c>
      <c r="AA239" s="32">
        <f t="shared" si="20"/>
        <v>8056.5719216601292</v>
      </c>
      <c r="AB239" s="33">
        <f t="shared" si="20"/>
        <v>7725.4799248795753</v>
      </c>
      <c r="AC239" s="34">
        <f>AC238/(B216-B50)</f>
        <v>751850.89303371904</v>
      </c>
    </row>
    <row r="240" spans="2:29" x14ac:dyDescent="0.15"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5"/>
    </row>
    <row r="241" spans="2:15" x14ac:dyDescent="0.15"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5"/>
    </row>
    <row r="242" spans="2:15" x14ac:dyDescent="0.15">
      <c r="B242" s="94"/>
    </row>
    <row r="243" spans="2:15" ht="16" x14ac:dyDescent="0.2">
      <c r="B243" s="109" t="s">
        <v>6</v>
      </c>
      <c r="F243" s="36"/>
      <c r="G243" s="36"/>
      <c r="H243" s="36"/>
      <c r="I243" s="36"/>
    </row>
    <row r="244" spans="2:15" x14ac:dyDescent="0.15">
      <c r="B244" s="33">
        <f>SUM(I239:AB239)</f>
        <v>163988.74811188964</v>
      </c>
      <c r="C244" s="1" t="s">
        <v>340</v>
      </c>
      <c r="D244" s="39"/>
    </row>
    <row r="245" spans="2:15" x14ac:dyDescent="0.15">
      <c r="B245" s="37">
        <f>AC239/(1+B216)^AB225</f>
        <v>122419.14342501482</v>
      </c>
      <c r="C245" s="1" t="s">
        <v>12</v>
      </c>
      <c r="D245" s="39"/>
      <c r="G245" s="38"/>
    </row>
    <row r="246" spans="2:15" x14ac:dyDescent="0.15">
      <c r="B246" s="33">
        <f>B244+B245</f>
        <v>286407.89153690444</v>
      </c>
      <c r="C246" s="1" t="s">
        <v>4</v>
      </c>
      <c r="D246" s="39"/>
      <c r="N246" s="39"/>
    </row>
    <row r="247" spans="2:15" x14ac:dyDescent="0.15">
      <c r="B247" s="40">
        <f>B207</f>
        <v>13395</v>
      </c>
      <c r="C247" s="1" t="s">
        <v>5</v>
      </c>
      <c r="D247" s="39"/>
      <c r="N247" s="39"/>
    </row>
    <row r="248" spans="2:15" x14ac:dyDescent="0.15">
      <c r="B248" s="33">
        <f>B246+B247</f>
        <v>299802.89153690444</v>
      </c>
      <c r="C248" s="1" t="s">
        <v>6</v>
      </c>
      <c r="D248" s="39"/>
      <c r="N248" s="39"/>
    </row>
    <row r="249" spans="2:15" x14ac:dyDescent="0.15">
      <c r="B249" s="23"/>
      <c r="D249" s="23"/>
      <c r="N249" s="39"/>
    </row>
    <row r="250" spans="2:15" ht="16" x14ac:dyDescent="0.2">
      <c r="B250" s="24" t="s">
        <v>8</v>
      </c>
      <c r="D250" s="23"/>
      <c r="N250" s="39"/>
    </row>
    <row r="251" spans="2:15" x14ac:dyDescent="0.15">
      <c r="B251" s="33">
        <f>B209+B210+B211</f>
        <v>10591</v>
      </c>
      <c r="C251" s="1" t="s">
        <v>7</v>
      </c>
      <c r="D251" s="23"/>
      <c r="N251" s="39"/>
    </row>
    <row r="252" spans="2:15" x14ac:dyDescent="0.15">
      <c r="B252" s="33">
        <f>B248-B251</f>
        <v>289211.89153690444</v>
      </c>
      <c r="C252" s="1" t="s">
        <v>8</v>
      </c>
      <c r="D252" s="23"/>
      <c r="N252" s="39"/>
    </row>
    <row r="253" spans="2:15" x14ac:dyDescent="0.15">
      <c r="B253" s="23"/>
      <c r="D253" s="23"/>
      <c r="N253" s="39"/>
    </row>
    <row r="254" spans="2:15" ht="16" x14ac:dyDescent="0.2">
      <c r="B254" s="24" t="s">
        <v>46</v>
      </c>
      <c r="D254" s="23"/>
      <c r="N254" s="39"/>
    </row>
    <row r="255" spans="2:15" x14ac:dyDescent="0.15">
      <c r="B255" s="41">
        <f>B252/B17</f>
        <v>295.11417503765762</v>
      </c>
      <c r="C255" s="1" t="s">
        <v>17</v>
      </c>
      <c r="D255" s="42"/>
      <c r="N255" s="39"/>
    </row>
    <row r="256" spans="2:15" x14ac:dyDescent="0.15">
      <c r="B256" s="43">
        <f>B24/B255</f>
        <v>0.96559238458687413</v>
      </c>
      <c r="C256" s="1" t="s">
        <v>2</v>
      </c>
    </row>
    <row r="258" spans="2:10" x14ac:dyDescent="0.15">
      <c r="B258" s="54">
        <f>(B255/B22)/B23</f>
        <v>295.11417503765762</v>
      </c>
      <c r="C258" s="1" t="s">
        <v>226</v>
      </c>
    </row>
    <row r="259" spans="2:10" x14ac:dyDescent="0.15">
      <c r="B259" s="89"/>
    </row>
    <row r="260" spans="2:10" ht="16" x14ac:dyDescent="0.2">
      <c r="B260" s="58" t="s">
        <v>116</v>
      </c>
    </row>
    <row r="261" spans="2:10" x14ac:dyDescent="0.15">
      <c r="B261" s="1" t="s">
        <v>3</v>
      </c>
      <c r="D261" s="1">
        <v>0</v>
      </c>
      <c r="E261" s="1">
        <v>1</v>
      </c>
      <c r="F261" s="1">
        <v>2</v>
      </c>
      <c r="G261" s="1">
        <v>3</v>
      </c>
      <c r="H261" s="1">
        <v>4</v>
      </c>
      <c r="I261" s="1">
        <v>5</v>
      </c>
    </row>
    <row r="262" spans="2:10" x14ac:dyDescent="0.15">
      <c r="B262" s="1" t="s">
        <v>15</v>
      </c>
      <c r="D262" s="59">
        <f>-B24</f>
        <v>-284.95999999999998</v>
      </c>
      <c r="E262" s="60">
        <f>$B$20*$B$24</f>
        <v>0</v>
      </c>
      <c r="F262" s="46">
        <f>$B$20*$B$24</f>
        <v>0</v>
      </c>
      <c r="G262" s="60">
        <f>$B$20*$B$24</f>
        <v>0</v>
      </c>
      <c r="H262" s="46">
        <f>$B$20*$B$24</f>
        <v>0</v>
      </c>
      <c r="I262" s="60">
        <f>B255*(1+B216)^5+($B$20*$B$24)</f>
        <v>464.58016734316891</v>
      </c>
    </row>
    <row r="263" spans="2:10" x14ac:dyDescent="0.15">
      <c r="B263" s="1" t="s">
        <v>117</v>
      </c>
      <c r="D263" s="61">
        <f>IRR(D262:I262)</f>
        <v>0.10269486658527427</v>
      </c>
    </row>
    <row r="265" spans="2:10" x14ac:dyDescent="0.15">
      <c r="D265" s="62" t="s">
        <v>118</v>
      </c>
      <c r="E265" s="18"/>
      <c r="F265" s="18"/>
      <c r="G265" s="18"/>
      <c r="H265" s="18"/>
      <c r="I265" s="18"/>
      <c r="J265" s="18"/>
    </row>
    <row r="266" spans="2:10" x14ac:dyDescent="0.15">
      <c r="D266" s="18" t="s">
        <v>119</v>
      </c>
      <c r="E266" s="18"/>
      <c r="F266" s="18"/>
      <c r="G266" s="18"/>
      <c r="H266" s="18"/>
      <c r="I266" s="63"/>
      <c r="J266" s="18"/>
    </row>
    <row r="267" spans="2:10" x14ac:dyDescent="0.15">
      <c r="D267" s="18" t="s">
        <v>120</v>
      </c>
      <c r="E267" s="18"/>
      <c r="F267" s="18"/>
      <c r="G267" s="18"/>
      <c r="H267" s="18"/>
      <c r="I267" s="18"/>
      <c r="J267" s="18"/>
    </row>
  </sheetData>
  <phoneticPr fontId="0" type="noConversion"/>
  <conditionalFormatting sqref="F5">
    <cfRule type="cellIs" dxfId="2" priority="1" operator="greaterThanOrEqual">
      <formula>1.1</formula>
    </cfRule>
    <cfRule type="cellIs" dxfId="1" priority="2" operator="between">
      <formula>0.85</formula>
      <formula>1.1</formula>
    </cfRule>
    <cfRule type="cellIs" dxfId="0" priority="3" operator="lessThanOrEqual">
      <formula>0.85</formula>
    </cfRule>
  </conditionalFormatting>
  <pageMargins left="0.75" right="0.75" top="1" bottom="1" header="0.5" footer="0.5"/>
  <pageSetup orientation="portrait" horizontalDpi="4294967293" verticalDpi="429496729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23D6-EF84-7146-94BD-9E1CEF6670A9}">
  <dimension ref="B2:T59"/>
  <sheetViews>
    <sheetView workbookViewId="0">
      <selection activeCell="R20" sqref="R20"/>
    </sheetView>
  </sheetViews>
  <sheetFormatPr baseColWidth="10" defaultColWidth="10.83203125" defaultRowHeight="13" x14ac:dyDescent="0.15"/>
  <cols>
    <col min="1" max="1" width="14.5" style="66" customWidth="1"/>
    <col min="2" max="2" width="13.5" style="66" customWidth="1"/>
    <col min="3" max="5" width="10.83203125" style="66"/>
    <col min="6" max="6" width="12.33203125" style="66" customWidth="1"/>
    <col min="7" max="16384" width="10.83203125" style="66"/>
  </cols>
  <sheetData>
    <row r="2" spans="2:20" x14ac:dyDescent="0.15">
      <c r="B2" s="65" t="s">
        <v>128</v>
      </c>
      <c r="F2" s="65"/>
    </row>
    <row r="4" spans="2:20" x14ac:dyDescent="0.15">
      <c r="B4" s="67" t="s">
        <v>157</v>
      </c>
      <c r="F4" s="67" t="s">
        <v>158</v>
      </c>
      <c r="J4" s="67" t="s">
        <v>186</v>
      </c>
      <c r="N4" s="67" t="s">
        <v>187</v>
      </c>
      <c r="R4" s="67" t="s">
        <v>160</v>
      </c>
    </row>
    <row r="5" spans="2:20" x14ac:dyDescent="0.15">
      <c r="B5" s="68">
        <v>3076</v>
      </c>
      <c r="C5" s="69">
        <v>2017</v>
      </c>
      <c r="F5" s="68">
        <v>2343</v>
      </c>
      <c r="G5" s="69">
        <f t="shared" ref="G5:G7" si="0">C5</f>
        <v>2017</v>
      </c>
      <c r="J5" s="68">
        <v>1433</v>
      </c>
      <c r="K5" s="69">
        <f t="shared" ref="K5:K7" si="1">C5</f>
        <v>2017</v>
      </c>
      <c r="L5" s="65"/>
      <c r="N5" s="68">
        <v>947</v>
      </c>
      <c r="O5" s="69">
        <f t="shared" ref="O5:O7" si="2">C5</f>
        <v>2017</v>
      </c>
      <c r="P5" s="65"/>
      <c r="R5" s="68">
        <v>638</v>
      </c>
      <c r="S5" s="69">
        <f t="shared" ref="S5:S7" si="3">C5</f>
        <v>2017</v>
      </c>
    </row>
    <row r="6" spans="2:20" x14ac:dyDescent="0.15">
      <c r="B6" s="68">
        <v>3588</v>
      </c>
      <c r="C6" s="69">
        <v>2018</v>
      </c>
      <c r="F6" s="68">
        <v>2883</v>
      </c>
      <c r="G6" s="69">
        <f t="shared" si="0"/>
        <v>2018</v>
      </c>
      <c r="J6" s="68">
        <v>1913</v>
      </c>
      <c r="K6" s="69">
        <f t="shared" si="1"/>
        <v>2018</v>
      </c>
      <c r="N6" s="68">
        <v>1382</v>
      </c>
      <c r="O6" s="69">
        <f t="shared" si="2"/>
        <v>2018</v>
      </c>
      <c r="R6" s="68">
        <v>774</v>
      </c>
      <c r="S6" s="69">
        <f t="shared" si="3"/>
        <v>2018</v>
      </c>
    </row>
    <row r="7" spans="2:20" x14ac:dyDescent="0.15">
      <c r="B7" s="68">
        <v>4040</v>
      </c>
      <c r="C7" s="69">
        <v>2019</v>
      </c>
      <c r="F7" s="68">
        <v>3621</v>
      </c>
      <c r="G7" s="69">
        <f>C7</f>
        <v>2019</v>
      </c>
      <c r="J7" s="68">
        <v>2854</v>
      </c>
      <c r="K7" s="69">
        <f>C7</f>
        <v>2019</v>
      </c>
      <c r="N7" s="68">
        <v>1898</v>
      </c>
      <c r="O7" s="69">
        <f>C7</f>
        <v>2019</v>
      </c>
      <c r="R7" s="68">
        <v>869</v>
      </c>
      <c r="S7" s="69">
        <f>C7</f>
        <v>2019</v>
      </c>
      <c r="T7" s="65"/>
    </row>
    <row r="8" spans="2:20" x14ac:dyDescent="0.15">
      <c r="B8" s="68">
        <v>4598</v>
      </c>
      <c r="C8" s="69">
        <v>2020</v>
      </c>
      <c r="F8" s="68">
        <v>4466</v>
      </c>
      <c r="G8" s="69">
        <f t="shared" ref="G5:G8" si="4">C8</f>
        <v>2020</v>
      </c>
      <c r="J8" s="68">
        <v>4473</v>
      </c>
      <c r="K8" s="69">
        <f t="shared" ref="K5:K8" si="5">C8</f>
        <v>2020</v>
      </c>
      <c r="N8" s="68">
        <v>2506</v>
      </c>
      <c r="O8" s="69">
        <f t="shared" ref="O5:O8" si="6">C8</f>
        <v>2020</v>
      </c>
      <c r="R8" s="68">
        <v>1055</v>
      </c>
      <c r="S8" s="69">
        <f t="shared" ref="S5:S8" si="7">C8</f>
        <v>2020</v>
      </c>
    </row>
    <row r="9" spans="2:20" x14ac:dyDescent="0.15">
      <c r="B9" s="68">
        <v>5191</v>
      </c>
      <c r="C9" s="69">
        <v>2021</v>
      </c>
      <c r="F9" s="68">
        <v>5377</v>
      </c>
      <c r="G9" s="69">
        <f>C9</f>
        <v>2021</v>
      </c>
      <c r="J9" s="68">
        <v>6275</v>
      </c>
      <c r="K9" s="69">
        <f>C9</f>
        <v>2021</v>
      </c>
      <c r="N9" s="68">
        <v>3133</v>
      </c>
      <c r="O9" s="69">
        <f>C9</f>
        <v>2021</v>
      </c>
      <c r="R9" s="68">
        <v>1276</v>
      </c>
      <c r="S9" s="69">
        <f>C9</f>
        <v>2021</v>
      </c>
    </row>
    <row r="10" spans="2:20" x14ac:dyDescent="0.15">
      <c r="B10" s="67"/>
      <c r="F10" s="67"/>
      <c r="J10" s="67"/>
      <c r="N10" s="67"/>
      <c r="R10" s="67"/>
    </row>
    <row r="11" spans="2:20" x14ac:dyDescent="0.15">
      <c r="B11" s="70">
        <f>((B9/B5)^0.25) -1</f>
        <v>0.13976725160198544</v>
      </c>
      <c r="C11" s="66" t="s">
        <v>129</v>
      </c>
      <c r="F11" s="70">
        <f>((F9/F5)^0.25) -1</f>
        <v>0.23081260974563844</v>
      </c>
      <c r="G11" s="66" t="s">
        <v>129</v>
      </c>
      <c r="J11" s="70">
        <f>((J9/J5)^0.25) -1</f>
        <v>0.44657809663091985</v>
      </c>
      <c r="K11" s="66" t="s">
        <v>129</v>
      </c>
      <c r="N11" s="70">
        <f>((N9/N5)^0.25) -1</f>
        <v>0.34866039452361308</v>
      </c>
      <c r="O11" s="66" t="s">
        <v>129</v>
      </c>
      <c r="R11" s="70">
        <f>((R9/R5)^0.25) -1</f>
        <v>0.18920711500272103</v>
      </c>
      <c r="S11" s="66" t="s">
        <v>129</v>
      </c>
    </row>
    <row r="12" spans="2:20" x14ac:dyDescent="0.15">
      <c r="B12" s="70">
        <f>((B9/B6)^0.333) - 1</f>
        <v>0.13087012712462709</v>
      </c>
      <c r="C12" s="66" t="s">
        <v>130</v>
      </c>
      <c r="F12" s="70">
        <f>((F9/F6)^0.333) - 1</f>
        <v>0.23066986479387608</v>
      </c>
      <c r="G12" s="66" t="s">
        <v>130</v>
      </c>
      <c r="J12" s="70">
        <f>((J9/J6)^0.333) - 1</f>
        <v>0.48523196373059241</v>
      </c>
      <c r="K12" s="66" t="s">
        <v>130</v>
      </c>
      <c r="N12" s="70">
        <f>((N9/N6)^0.333) - 1</f>
        <v>0.31330510721957161</v>
      </c>
      <c r="O12" s="66" t="s">
        <v>130</v>
      </c>
      <c r="R12" s="70">
        <f>((R9/R6)^0.333) - 1</f>
        <v>0.18112954905765499</v>
      </c>
      <c r="S12" s="66" t="s">
        <v>130</v>
      </c>
    </row>
    <row r="13" spans="2:20" x14ac:dyDescent="0.15">
      <c r="B13" s="67"/>
      <c r="F13" s="67"/>
      <c r="J13" s="67"/>
      <c r="N13" s="67"/>
      <c r="R13" s="67"/>
    </row>
    <row r="14" spans="2:20" x14ac:dyDescent="0.15">
      <c r="B14" s="65" t="s">
        <v>369</v>
      </c>
      <c r="F14" s="65" t="s">
        <v>370</v>
      </c>
      <c r="J14" s="65" t="s">
        <v>371</v>
      </c>
      <c r="N14" s="65" t="s">
        <v>356</v>
      </c>
      <c r="R14" s="65" t="s">
        <v>372</v>
      </c>
    </row>
    <row r="15" spans="2:20" x14ac:dyDescent="0.15">
      <c r="B15" s="65" t="s">
        <v>161</v>
      </c>
      <c r="F15" s="65" t="s">
        <v>162</v>
      </c>
      <c r="J15" s="65" t="s">
        <v>159</v>
      </c>
      <c r="N15" s="65" t="s">
        <v>131</v>
      </c>
      <c r="R15" s="65" t="s">
        <v>163</v>
      </c>
    </row>
    <row r="16" spans="2:20" x14ac:dyDescent="0.15">
      <c r="B16" s="65"/>
      <c r="F16" s="67"/>
      <c r="J16" s="67"/>
      <c r="N16" s="67"/>
      <c r="R16" s="67"/>
    </row>
    <row r="17" spans="2:19" x14ac:dyDescent="0.15">
      <c r="B17" s="71">
        <f>B9</f>
        <v>5191</v>
      </c>
      <c r="C17" s="66" t="s">
        <v>132</v>
      </c>
      <c r="F17" s="71">
        <f>F9</f>
        <v>5377</v>
      </c>
      <c r="G17" s="66" t="str">
        <f>C17</f>
        <v>Year 0 (2019)</v>
      </c>
      <c r="J17" s="71">
        <f>J9</f>
        <v>6275</v>
      </c>
      <c r="K17" s="66" t="str">
        <f>C17</f>
        <v>Year 0 (2019)</v>
      </c>
      <c r="N17" s="71">
        <f>N9</f>
        <v>3133</v>
      </c>
      <c r="O17" s="66" t="str">
        <f>C17</f>
        <v>Year 0 (2019)</v>
      </c>
      <c r="R17" s="71">
        <f>R9</f>
        <v>1276</v>
      </c>
      <c r="S17" s="66" t="str">
        <f>C17</f>
        <v>Year 0 (2019)</v>
      </c>
    </row>
    <row r="19" spans="2:19" x14ac:dyDescent="0.15">
      <c r="B19" s="72">
        <v>0.15</v>
      </c>
      <c r="C19" s="66" t="s">
        <v>80</v>
      </c>
      <c r="F19" s="72">
        <v>0.2</v>
      </c>
      <c r="G19" s="66" t="s">
        <v>80</v>
      </c>
      <c r="J19" s="72">
        <v>0.4</v>
      </c>
      <c r="K19" s="66" t="s">
        <v>80</v>
      </c>
      <c r="N19" s="72">
        <v>0.26</v>
      </c>
      <c r="O19" s="66" t="s">
        <v>80</v>
      </c>
      <c r="R19" s="72">
        <v>0.16</v>
      </c>
      <c r="S19" s="66" t="s">
        <v>80</v>
      </c>
    </row>
    <row r="20" spans="2:19" x14ac:dyDescent="0.15">
      <c r="B20" s="72">
        <v>0.12</v>
      </c>
      <c r="C20" s="66" t="s">
        <v>81</v>
      </c>
      <c r="F20" s="72">
        <v>0.2</v>
      </c>
      <c r="G20" s="66" t="s">
        <v>81</v>
      </c>
      <c r="J20" s="72">
        <v>0.3</v>
      </c>
      <c r="K20" s="66" t="s">
        <v>81</v>
      </c>
      <c r="N20" s="72">
        <v>0.26</v>
      </c>
      <c r="O20" s="66" t="s">
        <v>81</v>
      </c>
      <c r="R20" s="72">
        <v>0.12</v>
      </c>
      <c r="S20" s="66" t="s">
        <v>81</v>
      </c>
    </row>
    <row r="21" spans="2:19" x14ac:dyDescent="0.15">
      <c r="B21" s="72">
        <v>0.1</v>
      </c>
      <c r="C21" s="66" t="s">
        <v>82</v>
      </c>
      <c r="F21" s="72">
        <v>0.18</v>
      </c>
      <c r="G21" s="66" t="s">
        <v>82</v>
      </c>
      <c r="J21" s="72">
        <v>0.24</v>
      </c>
      <c r="K21" s="66" t="s">
        <v>82</v>
      </c>
      <c r="N21" s="72">
        <v>0.24</v>
      </c>
      <c r="O21" s="66" t="s">
        <v>82</v>
      </c>
      <c r="R21" s="72">
        <v>0.12</v>
      </c>
      <c r="S21" s="66" t="s">
        <v>82</v>
      </c>
    </row>
    <row r="22" spans="2:19" x14ac:dyDescent="0.15">
      <c r="B22" s="72">
        <v>0.1</v>
      </c>
      <c r="C22" s="66" t="s">
        <v>83</v>
      </c>
      <c r="F22" s="72">
        <v>0.16</v>
      </c>
      <c r="G22" s="66" t="s">
        <v>83</v>
      </c>
      <c r="J22" s="72">
        <v>0.2</v>
      </c>
      <c r="K22" s="66" t="s">
        <v>83</v>
      </c>
      <c r="N22" s="72">
        <v>0.22</v>
      </c>
      <c r="O22" s="66" t="s">
        <v>83</v>
      </c>
      <c r="R22" s="72">
        <v>0.1</v>
      </c>
      <c r="S22" s="66" t="s">
        <v>83</v>
      </c>
    </row>
    <row r="23" spans="2:19" x14ac:dyDescent="0.15">
      <c r="B23" s="72">
        <v>0.1</v>
      </c>
      <c r="C23" s="66" t="s">
        <v>84</v>
      </c>
      <c r="F23" s="72">
        <v>0.12</v>
      </c>
      <c r="G23" s="66" t="s">
        <v>84</v>
      </c>
      <c r="J23" s="72">
        <v>0.18</v>
      </c>
      <c r="K23" s="66" t="s">
        <v>84</v>
      </c>
      <c r="N23" s="72">
        <v>0.2</v>
      </c>
      <c r="O23" s="66" t="s">
        <v>84</v>
      </c>
      <c r="R23" s="72">
        <v>0.1</v>
      </c>
      <c r="S23" s="66" t="s">
        <v>84</v>
      </c>
    </row>
    <row r="24" spans="2:19" x14ac:dyDescent="0.15">
      <c r="B24" s="72">
        <v>0.08</v>
      </c>
      <c r="C24" s="66" t="s">
        <v>85</v>
      </c>
      <c r="F24" s="72">
        <v>0.12</v>
      </c>
      <c r="G24" s="66" t="s">
        <v>85</v>
      </c>
      <c r="J24" s="72">
        <v>0.16</v>
      </c>
      <c r="K24" s="66" t="s">
        <v>85</v>
      </c>
      <c r="N24" s="72">
        <v>0.18</v>
      </c>
      <c r="O24" s="66" t="s">
        <v>85</v>
      </c>
      <c r="R24" s="72">
        <v>0.1</v>
      </c>
      <c r="S24" s="66" t="s">
        <v>85</v>
      </c>
    </row>
    <row r="25" spans="2:19" x14ac:dyDescent="0.15">
      <c r="B25" s="72">
        <v>0.08</v>
      </c>
      <c r="C25" s="66" t="s">
        <v>86</v>
      </c>
      <c r="F25" s="72">
        <v>0.1</v>
      </c>
      <c r="G25" s="66" t="s">
        <v>86</v>
      </c>
      <c r="J25" s="72">
        <v>0.14000000000000001</v>
      </c>
      <c r="K25" s="66" t="s">
        <v>86</v>
      </c>
      <c r="N25" s="72">
        <v>0.16</v>
      </c>
      <c r="O25" s="66" t="s">
        <v>86</v>
      </c>
      <c r="R25" s="72">
        <v>0.08</v>
      </c>
      <c r="S25" s="66" t="s">
        <v>86</v>
      </c>
    </row>
    <row r="26" spans="2:19" x14ac:dyDescent="0.15">
      <c r="B26" s="72">
        <v>0.08</v>
      </c>
      <c r="C26" s="66" t="s">
        <v>87</v>
      </c>
      <c r="F26" s="72">
        <v>0.1</v>
      </c>
      <c r="G26" s="66" t="s">
        <v>87</v>
      </c>
      <c r="J26" s="72">
        <v>0.12</v>
      </c>
      <c r="K26" s="66" t="s">
        <v>87</v>
      </c>
      <c r="N26" s="72">
        <v>0.12</v>
      </c>
      <c r="O26" s="66" t="s">
        <v>87</v>
      </c>
      <c r="R26" s="72">
        <v>0.08</v>
      </c>
      <c r="S26" s="66" t="s">
        <v>87</v>
      </c>
    </row>
    <row r="27" spans="2:19" x14ac:dyDescent="0.15">
      <c r="B27" s="72">
        <v>0.06</v>
      </c>
      <c r="C27" s="66" t="s">
        <v>88</v>
      </c>
      <c r="F27" s="72">
        <v>0.08</v>
      </c>
      <c r="G27" s="66" t="s">
        <v>88</v>
      </c>
      <c r="J27" s="72">
        <v>0.1</v>
      </c>
      <c r="K27" s="66" t="s">
        <v>88</v>
      </c>
      <c r="N27" s="72">
        <v>0.12</v>
      </c>
      <c r="O27" s="66" t="s">
        <v>88</v>
      </c>
      <c r="R27" s="72">
        <v>0.06</v>
      </c>
      <c r="S27" s="66" t="s">
        <v>88</v>
      </c>
    </row>
    <row r="28" spans="2:19" x14ac:dyDescent="0.15">
      <c r="B28" s="72">
        <v>0.06</v>
      </c>
      <c r="C28" s="66" t="s">
        <v>89</v>
      </c>
      <c r="F28" s="72">
        <v>0.06</v>
      </c>
      <c r="G28" s="66" t="s">
        <v>89</v>
      </c>
      <c r="J28" s="72">
        <v>0.1</v>
      </c>
      <c r="K28" s="66" t="s">
        <v>89</v>
      </c>
      <c r="N28" s="72">
        <v>0.1</v>
      </c>
      <c r="O28" s="66" t="s">
        <v>89</v>
      </c>
      <c r="R28" s="72">
        <v>0.06</v>
      </c>
      <c r="S28" s="66" t="s">
        <v>89</v>
      </c>
    </row>
    <row r="29" spans="2:19" ht="15" customHeight="1" x14ac:dyDescent="0.15"/>
    <row r="30" spans="2:19" x14ac:dyDescent="0.15">
      <c r="B30" s="73">
        <f>B17*(1+B19)</f>
        <v>5969.65</v>
      </c>
      <c r="C30" s="66" t="s">
        <v>133</v>
      </c>
      <c r="F30" s="73">
        <f>F17*(1+F19)</f>
        <v>6452.4</v>
      </c>
      <c r="G30" s="66" t="s">
        <v>133</v>
      </c>
      <c r="J30" s="73">
        <f>J17*(1+J19)</f>
        <v>8785</v>
      </c>
      <c r="K30" s="66" t="s">
        <v>133</v>
      </c>
      <c r="N30" s="73">
        <f>N17*(1+N19)</f>
        <v>3947.58</v>
      </c>
      <c r="O30" s="66" t="s">
        <v>133</v>
      </c>
      <c r="R30" s="73">
        <f>R17*(1+R19)</f>
        <v>1480.1599999999999</v>
      </c>
      <c r="S30" s="66" t="s">
        <v>133</v>
      </c>
    </row>
    <row r="31" spans="2:19" x14ac:dyDescent="0.15">
      <c r="B31" s="73">
        <f t="shared" ref="B31:B39" si="8">B30*(1+B20)</f>
        <v>6686.0079999999998</v>
      </c>
      <c r="C31" s="66" t="s">
        <v>134</v>
      </c>
      <c r="F31" s="73">
        <f t="shared" ref="F31:F39" si="9">F30*(1+F20)</f>
        <v>7742.8799999999992</v>
      </c>
      <c r="G31" s="66" t="s">
        <v>134</v>
      </c>
      <c r="J31" s="73">
        <f t="shared" ref="J31:J39" si="10">J30*(1+J20)</f>
        <v>11420.5</v>
      </c>
      <c r="K31" s="66" t="s">
        <v>134</v>
      </c>
      <c r="N31" s="73">
        <f t="shared" ref="N31:N39" si="11">N30*(1+N20)</f>
        <v>4973.9507999999996</v>
      </c>
      <c r="O31" s="66" t="s">
        <v>134</v>
      </c>
      <c r="R31" s="73">
        <f t="shared" ref="R31:R39" si="12">R30*(1+R20)</f>
        <v>1657.7791999999999</v>
      </c>
      <c r="S31" s="66" t="s">
        <v>134</v>
      </c>
    </row>
    <row r="32" spans="2:19" x14ac:dyDescent="0.15">
      <c r="B32" s="73">
        <f t="shared" si="8"/>
        <v>7354.6088</v>
      </c>
      <c r="C32" s="66" t="s">
        <v>135</v>
      </c>
      <c r="F32" s="73">
        <f t="shared" si="9"/>
        <v>9136.5983999999989</v>
      </c>
      <c r="G32" s="66" t="s">
        <v>135</v>
      </c>
      <c r="J32" s="73">
        <f t="shared" si="10"/>
        <v>14161.42</v>
      </c>
      <c r="K32" s="66" t="s">
        <v>135</v>
      </c>
      <c r="N32" s="73">
        <f t="shared" si="11"/>
        <v>6167.6989919999996</v>
      </c>
      <c r="O32" s="66" t="s">
        <v>135</v>
      </c>
      <c r="R32" s="73">
        <f t="shared" si="12"/>
        <v>1856.712704</v>
      </c>
      <c r="S32" s="66" t="s">
        <v>135</v>
      </c>
    </row>
    <row r="33" spans="2:19" x14ac:dyDescent="0.15">
      <c r="B33" s="73">
        <f t="shared" si="8"/>
        <v>8090.0696800000005</v>
      </c>
      <c r="C33" s="66" t="s">
        <v>136</v>
      </c>
      <c r="F33" s="73">
        <f t="shared" si="9"/>
        <v>10598.454143999998</v>
      </c>
      <c r="G33" s="66" t="s">
        <v>136</v>
      </c>
      <c r="J33" s="73">
        <f t="shared" si="10"/>
        <v>16993.703999999998</v>
      </c>
      <c r="K33" s="66" t="s">
        <v>136</v>
      </c>
      <c r="N33" s="73">
        <f t="shared" si="11"/>
        <v>7524.5927702399995</v>
      </c>
      <c r="O33" s="66" t="s">
        <v>136</v>
      </c>
      <c r="R33" s="73">
        <f t="shared" si="12"/>
        <v>2042.3839744000002</v>
      </c>
      <c r="S33" s="66" t="s">
        <v>136</v>
      </c>
    </row>
    <row r="34" spans="2:19" x14ac:dyDescent="0.15">
      <c r="B34" s="73">
        <f t="shared" si="8"/>
        <v>8899.076648000002</v>
      </c>
      <c r="C34" s="66" t="s">
        <v>137</v>
      </c>
      <c r="F34" s="73">
        <f t="shared" si="9"/>
        <v>11870.268641279998</v>
      </c>
      <c r="G34" s="66" t="s">
        <v>137</v>
      </c>
      <c r="J34" s="73">
        <f t="shared" si="10"/>
        <v>20052.570719999996</v>
      </c>
      <c r="K34" s="66" t="s">
        <v>137</v>
      </c>
      <c r="N34" s="73">
        <f t="shared" si="11"/>
        <v>9029.5113242879997</v>
      </c>
      <c r="O34" s="66" t="s">
        <v>137</v>
      </c>
      <c r="R34" s="73">
        <f t="shared" si="12"/>
        <v>2246.6223718400001</v>
      </c>
      <c r="S34" s="66" t="s">
        <v>137</v>
      </c>
    </row>
    <row r="35" spans="2:19" x14ac:dyDescent="0.15">
      <c r="B35" s="73">
        <f t="shared" si="8"/>
        <v>9611.0027798400024</v>
      </c>
      <c r="C35" s="66" t="s">
        <v>138</v>
      </c>
      <c r="F35" s="73">
        <f t="shared" si="9"/>
        <v>13294.700878233598</v>
      </c>
      <c r="G35" s="66" t="s">
        <v>138</v>
      </c>
      <c r="J35" s="73">
        <f t="shared" si="10"/>
        <v>23260.982035199995</v>
      </c>
      <c r="K35" s="66" t="s">
        <v>138</v>
      </c>
      <c r="N35" s="73">
        <f t="shared" si="11"/>
        <v>10654.823362659839</v>
      </c>
      <c r="O35" s="66" t="s">
        <v>138</v>
      </c>
      <c r="R35" s="73">
        <f t="shared" si="12"/>
        <v>2471.2846090240005</v>
      </c>
      <c r="S35" s="66" t="s">
        <v>138</v>
      </c>
    </row>
    <row r="36" spans="2:19" x14ac:dyDescent="0.15">
      <c r="B36" s="73">
        <f t="shared" si="8"/>
        <v>10379.883002227203</v>
      </c>
      <c r="C36" s="66" t="s">
        <v>139</v>
      </c>
      <c r="F36" s="73">
        <f t="shared" si="9"/>
        <v>14624.17096605696</v>
      </c>
      <c r="G36" s="66" t="s">
        <v>139</v>
      </c>
      <c r="J36" s="73">
        <f t="shared" si="10"/>
        <v>26517.519520127997</v>
      </c>
      <c r="K36" s="66" t="s">
        <v>139</v>
      </c>
      <c r="N36" s="73">
        <f t="shared" si="11"/>
        <v>12359.595100685412</v>
      </c>
      <c r="O36" s="66" t="s">
        <v>139</v>
      </c>
      <c r="R36" s="73">
        <f t="shared" si="12"/>
        <v>2668.9873777459206</v>
      </c>
      <c r="S36" s="66" t="s">
        <v>139</v>
      </c>
    </row>
    <row r="37" spans="2:19" x14ac:dyDescent="0.15">
      <c r="B37" s="73">
        <f t="shared" si="8"/>
        <v>11210.27364240538</v>
      </c>
      <c r="C37" s="66" t="s">
        <v>140</v>
      </c>
      <c r="F37" s="73">
        <f t="shared" si="9"/>
        <v>16086.588062662657</v>
      </c>
      <c r="G37" s="66" t="s">
        <v>140</v>
      </c>
      <c r="J37" s="73">
        <f t="shared" si="10"/>
        <v>29699.621862543358</v>
      </c>
      <c r="K37" s="66" t="s">
        <v>140</v>
      </c>
      <c r="N37" s="73">
        <f t="shared" si="11"/>
        <v>13842.746512767662</v>
      </c>
      <c r="O37" s="66" t="s">
        <v>140</v>
      </c>
      <c r="R37" s="73">
        <f t="shared" si="12"/>
        <v>2882.5063679655946</v>
      </c>
      <c r="S37" s="66" t="s">
        <v>140</v>
      </c>
    </row>
    <row r="38" spans="2:19" x14ac:dyDescent="0.15">
      <c r="B38" s="73">
        <f t="shared" si="8"/>
        <v>11882.890060949703</v>
      </c>
      <c r="C38" s="66" t="s">
        <v>141</v>
      </c>
      <c r="F38" s="73">
        <f t="shared" si="9"/>
        <v>17373.51510767567</v>
      </c>
      <c r="G38" s="66" t="s">
        <v>141</v>
      </c>
      <c r="J38" s="73">
        <f t="shared" si="10"/>
        <v>32669.584048797697</v>
      </c>
      <c r="K38" s="66" t="s">
        <v>141</v>
      </c>
      <c r="N38" s="73">
        <f t="shared" si="11"/>
        <v>15503.876094299783</v>
      </c>
      <c r="O38" s="66" t="s">
        <v>141</v>
      </c>
      <c r="R38" s="73">
        <f t="shared" si="12"/>
        <v>3055.4567500435305</v>
      </c>
      <c r="S38" s="66" t="s">
        <v>141</v>
      </c>
    </row>
    <row r="39" spans="2:19" x14ac:dyDescent="0.15">
      <c r="B39" s="73">
        <f t="shared" si="8"/>
        <v>12595.863464606686</v>
      </c>
      <c r="C39" s="66" t="s">
        <v>142</v>
      </c>
      <c r="F39" s="73">
        <f t="shared" si="9"/>
        <v>18415.92601413621</v>
      </c>
      <c r="G39" s="66" t="s">
        <v>142</v>
      </c>
      <c r="J39" s="73">
        <f t="shared" si="10"/>
        <v>35936.542453677466</v>
      </c>
      <c r="K39" s="66" t="s">
        <v>142</v>
      </c>
      <c r="N39" s="73">
        <f t="shared" si="11"/>
        <v>17054.263703729765</v>
      </c>
      <c r="O39" s="66" t="s">
        <v>142</v>
      </c>
      <c r="R39" s="73">
        <f t="shared" si="12"/>
        <v>3238.7841550461426</v>
      </c>
      <c r="S39" s="66" t="s">
        <v>142</v>
      </c>
    </row>
    <row r="41" spans="2:19" x14ac:dyDescent="0.15">
      <c r="B41" s="74">
        <f>((B39/B17)^0.1)-1</f>
        <v>9.2691819073779991E-2</v>
      </c>
      <c r="C41" s="66" t="s">
        <v>143</v>
      </c>
      <c r="F41" s="74">
        <f>((F39/F17)^0.1)-1</f>
        <v>0.13100715533108187</v>
      </c>
      <c r="G41" s="66" t="s">
        <v>143</v>
      </c>
      <c r="J41" s="74">
        <f>((J39/J17)^0.1)-1</f>
        <v>0.19067231579283828</v>
      </c>
      <c r="K41" s="66" t="s">
        <v>143</v>
      </c>
      <c r="N41" s="74">
        <f>((N39/N17)^0.1)-1</f>
        <v>0.1846423599790894</v>
      </c>
      <c r="O41" s="66" t="s">
        <v>143</v>
      </c>
      <c r="R41" s="74">
        <f>((R39/R17)^0.1)-1</f>
        <v>9.7622834024175376E-2</v>
      </c>
      <c r="S41" s="66" t="s">
        <v>143</v>
      </c>
    </row>
    <row r="42" spans="2:19" x14ac:dyDescent="0.15">
      <c r="B42" s="74">
        <f>((B34/B17)^0.2)-1</f>
        <v>0.11382967341461159</v>
      </c>
      <c r="C42" s="66" t="s">
        <v>144</v>
      </c>
      <c r="F42" s="74">
        <f>((F34/F17)^0.2)-1</f>
        <v>0.17161278518605316</v>
      </c>
      <c r="G42" s="66" t="s">
        <v>144</v>
      </c>
      <c r="J42" s="74">
        <f>((J34/J17)^0.2)-1</f>
        <v>0.2615697453386403</v>
      </c>
      <c r="K42" s="66" t="s">
        <v>144</v>
      </c>
      <c r="N42" s="74">
        <f>((N34/N17)^0.2)-1</f>
        <v>0.23577888501961031</v>
      </c>
      <c r="O42" s="66" t="s">
        <v>144</v>
      </c>
      <c r="R42" s="74">
        <f>((R34/R17)^0.2)-1</f>
        <v>0.11978818520429479</v>
      </c>
      <c r="S42" s="66" t="s">
        <v>144</v>
      </c>
    </row>
    <row r="44" spans="2:19" x14ac:dyDescent="0.15">
      <c r="B44" s="65"/>
      <c r="F44" s="65"/>
    </row>
    <row r="45" spans="2:19" x14ac:dyDescent="0.15">
      <c r="B45" s="67" t="s">
        <v>145</v>
      </c>
    </row>
    <row r="46" spans="2:19" x14ac:dyDescent="0.15">
      <c r="B46" s="75">
        <f>SUM(B17,F17, J17,N17,R17)</f>
        <v>21252</v>
      </c>
      <c r="C46" s="66" t="s">
        <v>146</v>
      </c>
    </row>
    <row r="47" spans="2:19" x14ac:dyDescent="0.15">
      <c r="B47" s="73">
        <f>SUM(B30,F30, J30,N30,R30)</f>
        <v>26634.789999999997</v>
      </c>
      <c r="C47" s="66" t="s">
        <v>147</v>
      </c>
      <c r="F47" s="74">
        <f t="shared" ref="F47:F56" si="13">(B47/B46)-1</f>
        <v>0.25328392621870877</v>
      </c>
      <c r="G47" s="66" t="s">
        <v>80</v>
      </c>
    </row>
    <row r="48" spans="2:19" x14ac:dyDescent="0.15">
      <c r="B48" s="73">
        <f t="shared" ref="B48:B56" si="14">SUM(B31,F31, J31,N31,R31)</f>
        <v>32481.117999999999</v>
      </c>
      <c r="C48" s="66" t="s">
        <v>148</v>
      </c>
      <c r="F48" s="74">
        <f t="shared" si="13"/>
        <v>0.21949968443528189</v>
      </c>
      <c r="G48" s="66" t="s">
        <v>81</v>
      </c>
    </row>
    <row r="49" spans="2:7" x14ac:dyDescent="0.15">
      <c r="B49" s="73">
        <f t="shared" si="14"/>
        <v>38677.038895999991</v>
      </c>
      <c r="C49" s="66" t="s">
        <v>149</v>
      </c>
      <c r="F49" s="74">
        <f t="shared" si="13"/>
        <v>0.19075454533307612</v>
      </c>
      <c r="G49" s="66" t="s">
        <v>82</v>
      </c>
    </row>
    <row r="50" spans="2:7" x14ac:dyDescent="0.15">
      <c r="B50" s="73">
        <f t="shared" si="14"/>
        <v>45249.204568639994</v>
      </c>
      <c r="C50" s="66" t="s">
        <v>150</v>
      </c>
      <c r="F50" s="74">
        <f t="shared" si="13"/>
        <v>0.16992422016359954</v>
      </c>
      <c r="G50" s="66" t="s">
        <v>83</v>
      </c>
    </row>
    <row r="51" spans="2:7" x14ac:dyDescent="0.15">
      <c r="B51" s="73">
        <f t="shared" si="14"/>
        <v>52098.04970540799</v>
      </c>
      <c r="C51" s="66" t="s">
        <v>151</v>
      </c>
      <c r="F51" s="74">
        <f t="shared" si="13"/>
        <v>0.15135835429722877</v>
      </c>
      <c r="G51" s="66" t="s">
        <v>84</v>
      </c>
    </row>
    <row r="52" spans="2:7" x14ac:dyDescent="0.15">
      <c r="B52" s="73">
        <f t="shared" si="14"/>
        <v>59292.793664957433</v>
      </c>
      <c r="C52" s="66" t="s">
        <v>152</v>
      </c>
      <c r="F52" s="74">
        <f t="shared" si="13"/>
        <v>0.13810006325059421</v>
      </c>
      <c r="G52" s="66" t="s">
        <v>85</v>
      </c>
    </row>
    <row r="53" spans="2:7" x14ac:dyDescent="0.15">
      <c r="B53" s="73">
        <f t="shared" si="14"/>
        <v>66550.155966843493</v>
      </c>
      <c r="C53" s="66" t="s">
        <v>153</v>
      </c>
      <c r="F53" s="74">
        <f t="shared" si="13"/>
        <v>0.12239872425129517</v>
      </c>
      <c r="G53" s="66" t="s">
        <v>86</v>
      </c>
    </row>
    <row r="54" spans="2:7" x14ac:dyDescent="0.15">
      <c r="B54" s="73">
        <f t="shared" si="14"/>
        <v>73721.736448344658</v>
      </c>
      <c r="C54" s="66" t="s">
        <v>154</v>
      </c>
      <c r="F54" s="74">
        <f t="shared" si="13"/>
        <v>0.10776203868063328</v>
      </c>
      <c r="G54" s="66" t="s">
        <v>87</v>
      </c>
    </row>
    <row r="55" spans="2:7" x14ac:dyDescent="0.15">
      <c r="B55" s="73">
        <f t="shared" si="14"/>
        <v>80485.32206176639</v>
      </c>
      <c r="C55" s="66" t="s">
        <v>155</v>
      </c>
      <c r="F55" s="74">
        <f t="shared" si="13"/>
        <v>9.1744795216005759E-2</v>
      </c>
      <c r="G55" s="66" t="s">
        <v>88</v>
      </c>
    </row>
    <row r="56" spans="2:7" x14ac:dyDescent="0.15">
      <c r="B56" s="73">
        <f t="shared" si="14"/>
        <v>87241.379791196276</v>
      </c>
      <c r="C56" s="66" t="s">
        <v>156</v>
      </c>
      <c r="F56" s="74">
        <f t="shared" si="13"/>
        <v>8.3941488415056886E-2</v>
      </c>
      <c r="G56" s="66" t="s">
        <v>89</v>
      </c>
    </row>
    <row r="57" spans="2:7" x14ac:dyDescent="0.15">
      <c r="B57" s="76"/>
    </row>
    <row r="58" spans="2:7" x14ac:dyDescent="0.15">
      <c r="F58" s="74">
        <f>((B56/B46)^0.1) - 1</f>
        <v>0.15168118503013495</v>
      </c>
      <c r="G58" s="66" t="s">
        <v>143</v>
      </c>
    </row>
    <row r="59" spans="2:7" x14ac:dyDescent="0.15">
      <c r="F59" s="77">
        <f>((B51/B46)^0.2)-1</f>
        <v>0.19642183854895912</v>
      </c>
      <c r="G59" s="66" t="s">
        <v>144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987E-95B1-E84A-8E3F-05C049BEF062}">
  <dimension ref="B3:M17"/>
  <sheetViews>
    <sheetView workbookViewId="0">
      <selection activeCell="F22" sqref="F22"/>
    </sheetView>
  </sheetViews>
  <sheetFormatPr baseColWidth="10" defaultColWidth="10.83203125" defaultRowHeight="13" x14ac:dyDescent="0.15"/>
  <cols>
    <col min="1" max="1" width="10.83203125" style="66"/>
    <col min="2" max="2" width="12.5" style="66" customWidth="1"/>
    <col min="3" max="3" width="15" style="66" bestFit="1" customWidth="1"/>
    <col min="4" max="4" width="12.5" style="66" customWidth="1"/>
    <col min="5" max="6" width="13.33203125" style="66" customWidth="1"/>
    <col min="7" max="7" width="13.5" style="66" customWidth="1"/>
    <col min="8" max="8" width="12.33203125" style="66" customWidth="1"/>
    <col min="9" max="9" width="13" style="66" customWidth="1"/>
    <col min="10" max="10" width="12.6640625" style="66" customWidth="1"/>
    <col min="11" max="11" width="12.5" style="66" customWidth="1"/>
    <col min="12" max="12" width="13" style="66" customWidth="1"/>
    <col min="13" max="13" width="12.33203125" style="66" customWidth="1"/>
    <col min="14" max="16384" width="10.83203125" style="66"/>
  </cols>
  <sheetData>
    <row r="3" spans="2:13" ht="16" x14ac:dyDescent="0.2">
      <c r="B3" s="78" t="s">
        <v>164</v>
      </c>
    </row>
    <row r="4" spans="2:13" x14ac:dyDescent="0.15">
      <c r="B4" s="67"/>
    </row>
    <row r="6" spans="2:13" x14ac:dyDescent="0.15">
      <c r="B6" s="79">
        <v>0.15</v>
      </c>
      <c r="C6" s="66" t="s">
        <v>375</v>
      </c>
      <c r="F6" s="66" t="s">
        <v>165</v>
      </c>
      <c r="H6" s="80">
        <v>0.26100000000000001</v>
      </c>
    </row>
    <row r="7" spans="2:13" x14ac:dyDescent="0.15">
      <c r="B7" s="72">
        <v>0.13</v>
      </c>
      <c r="C7" s="66" t="s">
        <v>353</v>
      </c>
      <c r="F7" s="66" t="s">
        <v>165</v>
      </c>
      <c r="H7" s="80">
        <v>0.26900000000000002</v>
      </c>
    </row>
    <row r="8" spans="2:13" x14ac:dyDescent="0.15">
      <c r="B8" s="72">
        <v>0.11</v>
      </c>
      <c r="C8" s="66" t="s">
        <v>354</v>
      </c>
      <c r="F8" s="66" t="s">
        <v>165</v>
      </c>
      <c r="H8" s="80">
        <v>0.255</v>
      </c>
    </row>
    <row r="11" spans="2:13" x14ac:dyDescent="0.15">
      <c r="C11" s="69">
        <f>'Valuation DCF'!B13</f>
        <v>2021</v>
      </c>
      <c r="D11" s="66" t="s">
        <v>166</v>
      </c>
      <c r="E11" s="66" t="s">
        <v>167</v>
      </c>
      <c r="F11" s="66" t="s">
        <v>168</v>
      </c>
      <c r="G11" s="66" t="s">
        <v>169</v>
      </c>
      <c r="H11" s="66" t="s">
        <v>170</v>
      </c>
      <c r="I11" s="66" t="s">
        <v>175</v>
      </c>
      <c r="J11" s="66" t="s">
        <v>176</v>
      </c>
      <c r="K11" s="66" t="s">
        <v>177</v>
      </c>
      <c r="L11" s="66" t="s">
        <v>178</v>
      </c>
      <c r="M11" s="66" t="s">
        <v>179</v>
      </c>
    </row>
    <row r="12" spans="2:13" x14ac:dyDescent="0.15">
      <c r="B12" s="66" t="s">
        <v>13</v>
      </c>
      <c r="C12" s="112">
        <f>'Valuation DCF'!Q29</f>
        <v>21252</v>
      </c>
      <c r="D12" s="81">
        <f>C12* (1+$B$6)</f>
        <v>24439.8</v>
      </c>
      <c r="E12" s="81">
        <f>D12* (1+$B$6)</f>
        <v>28105.769999999997</v>
      </c>
      <c r="F12" s="81">
        <f>E12* (1+$B$6)</f>
        <v>32321.635499999993</v>
      </c>
      <c r="G12" s="81">
        <f>F12* (1+$B$6)</f>
        <v>37169.880824999986</v>
      </c>
      <c r="H12" s="81">
        <f>G12* (1+$B$6)</f>
        <v>42745.362948749978</v>
      </c>
      <c r="I12" s="81">
        <f t="shared" ref="I12:M12" si="0">H12* (1+$B$6)</f>
        <v>49157.167391062474</v>
      </c>
      <c r="J12" s="81">
        <f t="shared" si="0"/>
        <v>56530.74249972184</v>
      </c>
      <c r="K12" s="81">
        <f t="shared" si="0"/>
        <v>65010.353874680113</v>
      </c>
      <c r="L12" s="81">
        <f t="shared" si="0"/>
        <v>74761.906955882121</v>
      </c>
      <c r="M12" s="81">
        <f t="shared" si="0"/>
        <v>85976.192999264429</v>
      </c>
    </row>
    <row r="13" spans="2:13" x14ac:dyDescent="0.15">
      <c r="B13" s="66" t="s">
        <v>171</v>
      </c>
      <c r="C13" s="82">
        <v>5438</v>
      </c>
      <c r="D13" s="81">
        <f>C13*(1+$B$7)</f>
        <v>6144.94</v>
      </c>
      <c r="E13" s="81">
        <f t="shared" ref="E13:H13" si="1">D13*(1+$B$7)</f>
        <v>6943.7821999999987</v>
      </c>
      <c r="F13" s="81">
        <f t="shared" si="1"/>
        <v>7846.4738859999979</v>
      </c>
      <c r="G13" s="81">
        <f t="shared" si="1"/>
        <v>8866.5154911799964</v>
      </c>
      <c r="H13" s="81">
        <f t="shared" si="1"/>
        <v>10019.162505033395</v>
      </c>
      <c r="I13" s="81">
        <f t="shared" ref="I13" si="2">H13*(1+$B$7)</f>
        <v>11321.653630687735</v>
      </c>
      <c r="J13" s="81">
        <f t="shared" ref="J13" si="3">I13*(1+$B$7)</f>
        <v>12793.46860267714</v>
      </c>
      <c r="K13" s="81">
        <f t="shared" ref="K13" si="4">J13*(1+$B$7)</f>
        <v>14456.619521025166</v>
      </c>
      <c r="L13" s="81">
        <f t="shared" ref="L13" si="5">K13*(1+$B$7)</f>
        <v>16335.980058758436</v>
      </c>
      <c r="M13" s="81">
        <f t="shared" ref="M13" si="6">L13*(1+$B$7)</f>
        <v>18459.657466397031</v>
      </c>
    </row>
    <row r="14" spans="2:13" x14ac:dyDescent="0.15">
      <c r="B14" s="66" t="s">
        <v>172</v>
      </c>
      <c r="C14" s="82">
        <v>15359</v>
      </c>
      <c r="D14" s="81">
        <f>C14*(1+$B$8)</f>
        <v>17048.490000000002</v>
      </c>
      <c r="E14" s="81">
        <f t="shared" ref="E14:H14" si="7">D14*(1+$B$8)</f>
        <v>18923.823900000003</v>
      </c>
      <c r="F14" s="81">
        <f t="shared" si="7"/>
        <v>21005.444529000004</v>
      </c>
      <c r="G14" s="81">
        <f t="shared" si="7"/>
        <v>23316.043427190005</v>
      </c>
      <c r="H14" s="81">
        <f t="shared" si="7"/>
        <v>25880.808204180907</v>
      </c>
      <c r="I14" s="81">
        <f t="shared" ref="I14" si="8">H14*(1+$B$8)</f>
        <v>28727.697106640808</v>
      </c>
      <c r="J14" s="81">
        <f t="shared" ref="J14" si="9">I14*(1+$B$8)</f>
        <v>31887.743788371299</v>
      </c>
      <c r="K14" s="81">
        <f t="shared" ref="K14" si="10">J14*(1+$B$8)</f>
        <v>35395.395605092148</v>
      </c>
      <c r="L14" s="81">
        <f t="shared" ref="L14" si="11">K14*(1+$B$8)</f>
        <v>39288.88912165229</v>
      </c>
      <c r="M14" s="81">
        <f t="shared" ref="M14" si="12">L14*(1+$B$8)</f>
        <v>43610.666925034042</v>
      </c>
    </row>
    <row r="15" spans="2:13" x14ac:dyDescent="0.15">
      <c r="B15" s="66" t="s">
        <v>173</v>
      </c>
      <c r="C15" s="81">
        <f t="shared" ref="C15:H15" si="13">C12-C13-C14</f>
        <v>455</v>
      </c>
      <c r="D15" s="81">
        <f t="shared" si="13"/>
        <v>1246.369999999999</v>
      </c>
      <c r="E15" s="81">
        <f t="shared" si="13"/>
        <v>2238.1638999999959</v>
      </c>
      <c r="F15" s="81">
        <f t="shared" si="13"/>
        <v>3469.7170849999929</v>
      </c>
      <c r="G15" s="81">
        <f t="shared" si="13"/>
        <v>4987.3219066299825</v>
      </c>
      <c r="H15" s="81">
        <f t="shared" si="13"/>
        <v>6845.3922395356749</v>
      </c>
      <c r="I15" s="81">
        <f t="shared" ref="I15:M15" si="14">I12-I13-I14</f>
        <v>9107.8166537339348</v>
      </c>
      <c r="J15" s="81">
        <f t="shared" si="14"/>
        <v>11849.530108673403</v>
      </c>
      <c r="K15" s="81">
        <f t="shared" si="14"/>
        <v>15158.338748562797</v>
      </c>
      <c r="L15" s="81">
        <f t="shared" si="14"/>
        <v>19137.037775471399</v>
      </c>
      <c r="M15" s="81">
        <f t="shared" si="14"/>
        <v>23905.868607833349</v>
      </c>
    </row>
    <row r="17" spans="2:13" x14ac:dyDescent="0.15">
      <c r="B17" s="66" t="s">
        <v>174</v>
      </c>
      <c r="C17" s="70">
        <f t="shared" ref="C17:H17" si="15">C15/C12</f>
        <v>2.1409749670619236E-2</v>
      </c>
      <c r="D17" s="70">
        <f t="shared" si="15"/>
        <v>5.0997553171466176E-2</v>
      </c>
      <c r="E17" s="70">
        <f t="shared" si="15"/>
        <v>7.96336090418443E-2</v>
      </c>
      <c r="F17" s="70">
        <f t="shared" si="15"/>
        <v>0.10734967557566799</v>
      </c>
      <c r="G17" s="70">
        <f t="shared" si="15"/>
        <v>0.1341764298387412</v>
      </c>
      <c r="H17" s="70">
        <f t="shared" si="15"/>
        <v>0.16014350486959331</v>
      </c>
      <c r="I17" s="70">
        <f t="shared" ref="I17:M17" si="16">I15/I12</f>
        <v>0.1852795255934514</v>
      </c>
      <c r="J17" s="70">
        <f t="shared" si="16"/>
        <v>0.20961214349398841</v>
      </c>
      <c r="K17" s="70">
        <f t="shared" si="16"/>
        <v>0.23316807008593421</v>
      </c>
      <c r="L17" s="70">
        <f t="shared" si="16"/>
        <v>0.25597310923013761</v>
      </c>
      <c r="M17" s="70">
        <f t="shared" si="16"/>
        <v>0.27805218833122647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DE51-58E9-DC40-8622-7C1AD65B50DF}">
  <dimension ref="B5:C9"/>
  <sheetViews>
    <sheetView workbookViewId="0">
      <selection activeCell="O15" sqref="O15"/>
    </sheetView>
  </sheetViews>
  <sheetFormatPr baseColWidth="10" defaultRowHeight="13" x14ac:dyDescent="0.15"/>
  <cols>
    <col min="2" max="2" width="23" customWidth="1"/>
  </cols>
  <sheetData>
    <row r="5" spans="2:3" x14ac:dyDescent="0.15">
      <c r="B5" s="83" t="s">
        <v>185</v>
      </c>
      <c r="C5" s="83" t="s">
        <v>13</v>
      </c>
    </row>
    <row r="6" spans="2:3" x14ac:dyDescent="0.15">
      <c r="B6" s="83" t="s">
        <v>157</v>
      </c>
      <c r="C6">
        <v>4040</v>
      </c>
    </row>
    <row r="7" spans="2:3" x14ac:dyDescent="0.15">
      <c r="B7" s="83" t="s">
        <v>158</v>
      </c>
      <c r="C7">
        <v>3621</v>
      </c>
    </row>
    <row r="8" spans="2:3" x14ac:dyDescent="0.15">
      <c r="B8" s="83" t="s">
        <v>186</v>
      </c>
      <c r="C8">
        <v>2854</v>
      </c>
    </row>
    <row r="9" spans="2:3" x14ac:dyDescent="0.15">
      <c r="B9" s="83" t="s">
        <v>187</v>
      </c>
      <c r="C9">
        <v>1898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Valuation DCF</vt:lpstr>
      <vt:lpstr>Revenue Growth</vt:lpstr>
      <vt:lpstr>Margins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Trial User</dc:creator>
  <cp:lastModifiedBy>Michael Sandrik</cp:lastModifiedBy>
  <dcterms:created xsi:type="dcterms:W3CDTF">2005-11-04T23:05:07Z</dcterms:created>
  <dcterms:modified xsi:type="dcterms:W3CDTF">2021-12-01T14:27:03Z</dcterms:modified>
</cp:coreProperties>
</file>