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hristian\Desktop\"/>
    </mc:Choice>
  </mc:AlternateContent>
  <xr:revisionPtr revIDLastSave="0" documentId="8_{D9611099-3042-4792-A438-3C0B334E47EF}" xr6:coauthVersionLast="47" xr6:coauthVersionMax="47" xr10:uidLastSave="{00000000-0000-0000-0000-000000000000}"/>
  <bookViews>
    <workbookView xWindow="-108" yWindow="-108" windowWidth="23256" windowHeight="12576" tabRatio="448" xr2:uid="{00000000-000D-0000-FFFF-FFFF00000000}"/>
  </bookViews>
  <sheets>
    <sheet name="Valuation DCF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47" i="1" l="1"/>
  <c r="H234" i="1"/>
  <c r="G234" i="1"/>
  <c r="F234" i="1"/>
  <c r="E234" i="1"/>
  <c r="D234" i="1"/>
  <c r="H232" i="1"/>
  <c r="G232" i="1"/>
  <c r="F232" i="1"/>
  <c r="E232" i="1"/>
  <c r="D232" i="1"/>
  <c r="H231" i="1"/>
  <c r="G231" i="1"/>
  <c r="F231" i="1"/>
  <c r="E231" i="1"/>
  <c r="D231" i="1"/>
  <c r="H227" i="1"/>
  <c r="G227" i="1"/>
  <c r="F227" i="1"/>
  <c r="E227" i="1"/>
  <c r="D227" i="1"/>
  <c r="I226" i="1"/>
  <c r="I236" i="1" s="1"/>
  <c r="H226" i="1"/>
  <c r="G226" i="1"/>
  <c r="F226" i="1"/>
  <c r="E226" i="1"/>
  <c r="D226" i="1"/>
  <c r="J225" i="1"/>
  <c r="K225" i="1" s="1"/>
  <c r="L225" i="1" s="1"/>
  <c r="M225" i="1" s="1"/>
  <c r="N225" i="1" s="1"/>
  <c r="O225" i="1" s="1"/>
  <c r="P225" i="1" s="1"/>
  <c r="Q225" i="1" s="1"/>
  <c r="R225" i="1" s="1"/>
  <c r="S225" i="1" s="1"/>
  <c r="T225" i="1" s="1"/>
  <c r="U225" i="1" s="1"/>
  <c r="V225" i="1" s="1"/>
  <c r="W225" i="1" s="1"/>
  <c r="X225" i="1" s="1"/>
  <c r="Y225" i="1" s="1"/>
  <c r="Z225" i="1" s="1"/>
  <c r="AA225" i="1" s="1"/>
  <c r="AB225" i="1" s="1"/>
  <c r="H225" i="1"/>
  <c r="G225" i="1" s="1"/>
  <c r="F225" i="1" s="1"/>
  <c r="E225" i="1" s="1"/>
  <c r="D225" i="1" s="1"/>
  <c r="I231" i="1" l="1"/>
  <c r="I232" i="1"/>
  <c r="I227" i="1"/>
  <c r="I228" i="1" s="1"/>
  <c r="I233" i="1"/>
  <c r="J226" i="1"/>
  <c r="B20" i="1"/>
  <c r="J233" i="1" l="1"/>
  <c r="J227" i="1"/>
  <c r="J228" i="1" s="1"/>
  <c r="K226" i="1"/>
  <c r="B52" i="1" s="1"/>
  <c r="J232" i="1"/>
  <c r="J236" i="1"/>
  <c r="J231" i="1"/>
  <c r="I234" i="1"/>
  <c r="I238" i="1" s="1"/>
  <c r="I239" i="1" s="1"/>
  <c r="R211" i="1"/>
  <c r="R210" i="1"/>
  <c r="R209" i="1"/>
  <c r="R208" i="1"/>
  <c r="R29" i="1"/>
  <c r="K233" i="1" l="1"/>
  <c r="K227" i="1"/>
  <c r="K228" i="1" s="1"/>
  <c r="L226" i="1"/>
  <c r="K232" i="1"/>
  <c r="K236" i="1"/>
  <c r="K231" i="1"/>
  <c r="J234" i="1"/>
  <c r="J238" i="1" s="1"/>
  <c r="J239" i="1" s="1"/>
  <c r="R15" i="1"/>
  <c r="Q15" i="1"/>
  <c r="P15" i="1"/>
  <c r="O15" i="1"/>
  <c r="N15" i="1"/>
  <c r="M15" i="1"/>
  <c r="R14" i="1"/>
  <c r="Q14" i="1"/>
  <c r="P14" i="1"/>
  <c r="O14" i="1"/>
  <c r="N14" i="1"/>
  <c r="M14" i="1"/>
  <c r="L233" i="1" l="1"/>
  <c r="L227" i="1"/>
  <c r="L228" i="1" s="1"/>
  <c r="L231" i="1"/>
  <c r="M226" i="1"/>
  <c r="L232" i="1"/>
  <c r="L236" i="1"/>
  <c r="K234" i="1"/>
  <c r="K238" i="1" s="1"/>
  <c r="K239" i="1" s="1"/>
  <c r="R212" i="1"/>
  <c r="Q212" i="1"/>
  <c r="P212" i="1"/>
  <c r="O212" i="1"/>
  <c r="N212" i="1"/>
  <c r="M212" i="1"/>
  <c r="N226" i="1" l="1"/>
  <c r="M232" i="1"/>
  <c r="M236" i="1"/>
  <c r="M231" i="1"/>
  <c r="M233" i="1"/>
  <c r="M227" i="1"/>
  <c r="M228" i="1" s="1"/>
  <c r="L234" i="1"/>
  <c r="L238" i="1" s="1"/>
  <c r="L239" i="1" s="1"/>
  <c r="R94" i="1"/>
  <c r="M234" i="1" l="1"/>
  <c r="M238" i="1" s="1"/>
  <c r="M239" i="1" s="1"/>
  <c r="N232" i="1"/>
  <c r="N236" i="1"/>
  <c r="N231" i="1"/>
  <c r="N227" i="1"/>
  <c r="N228" i="1" s="1"/>
  <c r="O226" i="1"/>
  <c r="N233" i="1"/>
  <c r="R89" i="1"/>
  <c r="R185" i="1" s="1"/>
  <c r="R186" i="1" s="1"/>
  <c r="Q89" i="1"/>
  <c r="P89" i="1"/>
  <c r="O89" i="1"/>
  <c r="N89" i="1"/>
  <c r="E228" i="1" s="1"/>
  <c r="M89" i="1"/>
  <c r="D228" i="1" s="1"/>
  <c r="R87" i="1"/>
  <c r="L86" i="1"/>
  <c r="L183" i="1"/>
  <c r="R60" i="1"/>
  <c r="L3" i="1" s="1"/>
  <c r="Q60" i="1"/>
  <c r="P60" i="1"/>
  <c r="O60" i="1"/>
  <c r="N60" i="1"/>
  <c r="M60" i="1"/>
  <c r="R58" i="1"/>
  <c r="L57" i="1"/>
  <c r="P185" i="1" l="1"/>
  <c r="G233" i="1" s="1"/>
  <c r="G228" i="1"/>
  <c r="O185" i="1"/>
  <c r="F233" i="1" s="1"/>
  <c r="F228" i="1"/>
  <c r="O16" i="1" s="1"/>
  <c r="Q185" i="1"/>
  <c r="H228" i="1"/>
  <c r="N234" i="1"/>
  <c r="N238" i="1" s="1"/>
  <c r="N239" i="1" s="1"/>
  <c r="O236" i="1"/>
  <c r="O231" i="1"/>
  <c r="O232" i="1"/>
  <c r="O227" i="1"/>
  <c r="O228" i="1" s="1"/>
  <c r="O233" i="1"/>
  <c r="P226" i="1"/>
  <c r="B83" i="1"/>
  <c r="Q16" i="1"/>
  <c r="P16" i="1"/>
  <c r="M92" i="1"/>
  <c r="M91" i="1"/>
  <c r="M90" i="1"/>
  <c r="N16" i="1"/>
  <c r="M185" i="1"/>
  <c r="D233" i="1" s="1"/>
  <c r="N185" i="1"/>
  <c r="M16" i="1"/>
  <c r="M63" i="1"/>
  <c r="P186" i="1"/>
  <c r="M62" i="1"/>
  <c r="M61" i="1"/>
  <c r="L206" i="1"/>
  <c r="R161" i="1"/>
  <c r="Q161" i="1"/>
  <c r="P161" i="1"/>
  <c r="O161" i="1"/>
  <c r="N161" i="1"/>
  <c r="M161" i="1"/>
  <c r="N141" i="1"/>
  <c r="M141" i="1"/>
  <c r="R140" i="1"/>
  <c r="R141" i="1" s="1"/>
  <c r="Q140" i="1"/>
  <c r="H236" i="1" s="1"/>
  <c r="H238" i="1" s="1"/>
  <c r="P140" i="1"/>
  <c r="G236" i="1" s="1"/>
  <c r="G238" i="1" s="1"/>
  <c r="O140" i="1"/>
  <c r="F236" i="1" s="1"/>
  <c r="F238" i="1" s="1"/>
  <c r="N140" i="1"/>
  <c r="E236" i="1" s="1"/>
  <c r="E238" i="1" s="1"/>
  <c r="M140" i="1"/>
  <c r="D236" i="1" s="1"/>
  <c r="D238" i="1" s="1"/>
  <c r="R114" i="1"/>
  <c r="Q114" i="1"/>
  <c r="P114" i="1"/>
  <c r="O114" i="1"/>
  <c r="N114" i="1"/>
  <c r="M114" i="1"/>
  <c r="O186" i="1" l="1"/>
  <c r="Q186" i="1"/>
  <c r="H233" i="1"/>
  <c r="N186" i="1"/>
  <c r="E233" i="1"/>
  <c r="O234" i="1"/>
  <c r="O238" i="1" s="1"/>
  <c r="O239" i="1" s="1"/>
  <c r="P236" i="1"/>
  <c r="P231" i="1"/>
  <c r="Q226" i="1"/>
  <c r="P227" i="1"/>
  <c r="P228" i="1" s="1"/>
  <c r="P233" i="1"/>
  <c r="P232" i="1"/>
  <c r="Q141" i="1"/>
  <c r="O141" i="1"/>
  <c r="P141" i="1"/>
  <c r="M115" i="1"/>
  <c r="M116" i="1"/>
  <c r="M117" i="1"/>
  <c r="M163" i="1"/>
  <c r="M164" i="1"/>
  <c r="M189" i="1"/>
  <c r="M188" i="1"/>
  <c r="M186" i="1"/>
  <c r="M187" i="1" s="1"/>
  <c r="R16" i="1"/>
  <c r="M162" i="1"/>
  <c r="R191" i="1"/>
  <c r="M144" i="1" l="1"/>
  <c r="M142" i="1"/>
  <c r="M143" i="1"/>
  <c r="P234" i="1"/>
  <c r="P238" i="1" s="1"/>
  <c r="P239" i="1" s="1"/>
  <c r="Q236" i="1"/>
  <c r="R226" i="1"/>
  <c r="Q231" i="1"/>
  <c r="Q233" i="1"/>
  <c r="Q227" i="1"/>
  <c r="Q228" i="1" s="1"/>
  <c r="Q232" i="1"/>
  <c r="I6" i="1"/>
  <c r="B24" i="1"/>
  <c r="I7" i="1" s="1"/>
  <c r="C17" i="1"/>
  <c r="Q234" i="1" l="1"/>
  <c r="Q238" i="1" s="1"/>
  <c r="Q239" i="1" s="1"/>
  <c r="R233" i="1"/>
  <c r="R227" i="1"/>
  <c r="R228" i="1" s="1"/>
  <c r="S226" i="1"/>
  <c r="R232" i="1"/>
  <c r="R236" i="1"/>
  <c r="R231" i="1"/>
  <c r="H262" i="1"/>
  <c r="D262" i="1"/>
  <c r="E262" i="1"/>
  <c r="F262" i="1"/>
  <c r="G262" i="1"/>
  <c r="B251" i="1"/>
  <c r="L5" i="1"/>
  <c r="R234" i="1" l="1"/>
  <c r="R238" i="1" s="1"/>
  <c r="R239" i="1" s="1"/>
  <c r="S233" i="1"/>
  <c r="S227" i="1"/>
  <c r="S228" i="1" s="1"/>
  <c r="T226" i="1"/>
  <c r="S232" i="1"/>
  <c r="S236" i="1"/>
  <c r="S231" i="1"/>
  <c r="L4" i="1"/>
  <c r="L27" i="1"/>
  <c r="L111" i="1"/>
  <c r="L135" i="1"/>
  <c r="L158" i="1"/>
  <c r="C206" i="1"/>
  <c r="C81" i="1"/>
  <c r="C27" i="1"/>
  <c r="T233" i="1" l="1"/>
  <c r="T227" i="1"/>
  <c r="T228" i="1" s="1"/>
  <c r="U226" i="1"/>
  <c r="T232" i="1"/>
  <c r="T231" i="1"/>
  <c r="T236" i="1"/>
  <c r="S234" i="1"/>
  <c r="S238" i="1" s="1"/>
  <c r="S239" i="1" s="1"/>
  <c r="R159" i="1"/>
  <c r="R136" i="1"/>
  <c r="R112" i="1"/>
  <c r="R28" i="1"/>
  <c r="Q13" i="1"/>
  <c r="T234" i="1" l="1"/>
  <c r="T238" i="1" s="1"/>
  <c r="T239" i="1" s="1"/>
  <c r="V226" i="1"/>
  <c r="U233" i="1"/>
  <c r="U232" i="1"/>
  <c r="U236" i="1"/>
  <c r="U231" i="1"/>
  <c r="U227" i="1"/>
  <c r="U228" i="1" s="1"/>
  <c r="P13" i="1"/>
  <c r="P159" i="1" s="1"/>
  <c r="Q207" i="1"/>
  <c r="Q94" i="1"/>
  <c r="Q58" i="1"/>
  <c r="Q184" i="1"/>
  <c r="Q87" i="1"/>
  <c r="Q191" i="1"/>
  <c r="Q159" i="1"/>
  <c r="P28" i="1"/>
  <c r="Q112" i="1"/>
  <c r="Q28" i="1"/>
  <c r="Q136" i="1"/>
  <c r="P112" i="1" l="1"/>
  <c r="P136" i="1"/>
  <c r="U234" i="1"/>
  <c r="U238" i="1" s="1"/>
  <c r="U239" i="1" s="1"/>
  <c r="V232" i="1"/>
  <c r="W226" i="1"/>
  <c r="V236" i="1"/>
  <c r="V231" i="1"/>
  <c r="V227" i="1"/>
  <c r="V228" i="1" s="1"/>
  <c r="V233" i="1"/>
  <c r="O13" i="1"/>
  <c r="P207" i="1"/>
  <c r="P94" i="1"/>
  <c r="P87" i="1"/>
  <c r="P58" i="1"/>
  <c r="P184" i="1"/>
  <c r="P191" i="1"/>
  <c r="M33" i="1"/>
  <c r="M32" i="1"/>
  <c r="M31" i="1"/>
  <c r="O30" i="1"/>
  <c r="P30" i="1"/>
  <c r="Q30" i="1"/>
  <c r="M19" i="1"/>
  <c r="I5" i="1" s="1"/>
  <c r="M18" i="1"/>
  <c r="I4" i="1" s="1"/>
  <c r="M17" i="1"/>
  <c r="I3" i="1" s="1"/>
  <c r="N30" i="1"/>
  <c r="V234" i="1" l="1"/>
  <c r="V238" i="1" s="1"/>
  <c r="V239" i="1" s="1"/>
  <c r="X226" i="1"/>
  <c r="W236" i="1"/>
  <c r="W231" i="1"/>
  <c r="W232" i="1"/>
  <c r="W233" i="1"/>
  <c r="W227" i="1"/>
  <c r="W228" i="1" s="1"/>
  <c r="N13" i="1"/>
  <c r="O207" i="1"/>
  <c r="O94" i="1"/>
  <c r="O58" i="1"/>
  <c r="O184" i="1"/>
  <c r="O87" i="1"/>
  <c r="O191" i="1"/>
  <c r="O159" i="1"/>
  <c r="O28" i="1"/>
  <c r="O112" i="1"/>
  <c r="O136" i="1"/>
  <c r="B53" i="1"/>
  <c r="W234" i="1" l="1"/>
  <c r="W238" i="1" s="1"/>
  <c r="W239" i="1" s="1"/>
  <c r="X236" i="1"/>
  <c r="X231" i="1"/>
  <c r="X227" i="1"/>
  <c r="X228" i="1" s="1"/>
  <c r="X233" i="1"/>
  <c r="Y226" i="1"/>
  <c r="X232" i="1"/>
  <c r="M13" i="1"/>
  <c r="N207" i="1"/>
  <c r="N94" i="1"/>
  <c r="N87" i="1"/>
  <c r="N58" i="1"/>
  <c r="N184" i="1"/>
  <c r="N191" i="1"/>
  <c r="N112" i="1"/>
  <c r="N28" i="1"/>
  <c r="N136" i="1"/>
  <c r="N159" i="1"/>
  <c r="B54" i="1"/>
  <c r="X234" i="1" l="1"/>
  <c r="X238" i="1" s="1"/>
  <c r="X239" i="1" s="1"/>
  <c r="Y236" i="1"/>
  <c r="Z226" i="1"/>
  <c r="Y233" i="1"/>
  <c r="Y227" i="1"/>
  <c r="Y228" i="1" s="1"/>
  <c r="Y232" i="1"/>
  <c r="Y231" i="1"/>
  <c r="M136" i="1"/>
  <c r="M207" i="1"/>
  <c r="M94" i="1"/>
  <c r="M184" i="1"/>
  <c r="M87" i="1"/>
  <c r="M58" i="1"/>
  <c r="M191" i="1"/>
  <c r="M112" i="1"/>
  <c r="M159" i="1"/>
  <c r="M28" i="1"/>
  <c r="Y234" i="1" l="1"/>
  <c r="Y238" i="1" s="1"/>
  <c r="Y239" i="1" s="1"/>
  <c r="Z233" i="1"/>
  <c r="Z227" i="1"/>
  <c r="Z228" i="1" s="1"/>
  <c r="AA226" i="1"/>
  <c r="Z232" i="1"/>
  <c r="Z236" i="1"/>
  <c r="Z231" i="1"/>
  <c r="AA233" i="1" l="1"/>
  <c r="AA227" i="1"/>
  <c r="AA228" i="1" s="1"/>
  <c r="AB226" i="1"/>
  <c r="AA232" i="1"/>
  <c r="AA236" i="1"/>
  <c r="AA231" i="1"/>
  <c r="Z234" i="1"/>
  <c r="Z238" i="1" s="1"/>
  <c r="Z239" i="1" s="1"/>
  <c r="AA234" i="1" l="1"/>
  <c r="AA238" i="1" s="1"/>
  <c r="AA239" i="1" s="1"/>
  <c r="AB233" i="1"/>
  <c r="AB227" i="1"/>
  <c r="AB228" i="1" s="1"/>
  <c r="AC226" i="1"/>
  <c r="AB232" i="1"/>
  <c r="AB236" i="1"/>
  <c r="AB231" i="1"/>
  <c r="AC232" i="1" l="1"/>
  <c r="AC233" i="1"/>
  <c r="AC236" i="1"/>
  <c r="AC231" i="1"/>
  <c r="AC227" i="1"/>
  <c r="AC228" i="1" s="1"/>
  <c r="AB234" i="1"/>
  <c r="AB238" i="1" s="1"/>
  <c r="AB239" i="1" s="1"/>
  <c r="B244" i="1" s="1"/>
  <c r="AC234" i="1" l="1"/>
  <c r="AC238" i="1" s="1"/>
  <c r="AC239" i="1" s="1"/>
  <c r="B245" i="1" s="1"/>
  <c r="B246" i="1" s="1"/>
  <c r="B248" i="1" s="1"/>
  <c r="B252" i="1" s="1"/>
  <c r="B255" i="1" s="1"/>
  <c r="B256" i="1" s="1"/>
  <c r="F5" i="1" s="1"/>
  <c r="B258" i="1" l="1"/>
  <c r="F3" i="1" s="1"/>
  <c r="I262" i="1"/>
  <c r="D263" i="1" s="1"/>
  <c r="F6" i="1" s="1"/>
</calcChain>
</file>

<file path=xl/sharedStrings.xml><?xml version="1.0" encoding="utf-8"?>
<sst xmlns="http://schemas.openxmlformats.org/spreadsheetml/2006/main" count="334" uniqueCount="300">
  <si>
    <t>Discount Rate</t>
  </si>
  <si>
    <t>Terminal</t>
  </si>
  <si>
    <t>Price/Value Ratio</t>
  </si>
  <si>
    <t>Year</t>
  </si>
  <si>
    <t>Value of Operating Assets</t>
  </si>
  <si>
    <t>Value of Non-Operating Assets</t>
  </si>
  <si>
    <t>Value of Firm</t>
  </si>
  <si>
    <t>Value of Debt</t>
  </si>
  <si>
    <t>Value of Equity</t>
  </si>
  <si>
    <t>Tax Rate</t>
  </si>
  <si>
    <t>Discounted FCFF</t>
  </si>
  <si>
    <t>FCFF</t>
  </si>
  <si>
    <t>Discounted FCFF Terminal</t>
  </si>
  <si>
    <t>Revenue</t>
  </si>
  <si>
    <t>Depreciation and Amortization</t>
  </si>
  <si>
    <t>Cash Flows</t>
  </si>
  <si>
    <t>Total Assets</t>
  </si>
  <si>
    <t>Value per Share</t>
  </si>
  <si>
    <t>Operating Margin Year 2</t>
  </si>
  <si>
    <t>Operating Margin Year 3</t>
  </si>
  <si>
    <t>Operating Margin Year 4</t>
  </si>
  <si>
    <t>Operating Margin Year 5</t>
  </si>
  <si>
    <t>Operating Margin Year 6</t>
  </si>
  <si>
    <t>Operating Margin Year 7</t>
  </si>
  <si>
    <t>Operating Margin Year 8</t>
  </si>
  <si>
    <t>Operating Margin Year 9</t>
  </si>
  <si>
    <t>Operating Margin Year 10</t>
  </si>
  <si>
    <t>Capex</t>
  </si>
  <si>
    <t>Stock Based Comp. Expense</t>
  </si>
  <si>
    <t>Capex as % of Revenue Year 1</t>
  </si>
  <si>
    <t>Capex as % of Revenue Year 2</t>
  </si>
  <si>
    <t>Capex as % of Revenue Year 3</t>
  </si>
  <si>
    <t>Capex as % of Revenue Year 4</t>
  </si>
  <si>
    <t>Capex as % of Revenue Year 5</t>
  </si>
  <si>
    <t>Capex as % of Revenue Year 6</t>
  </si>
  <si>
    <t>Capex as % of Revenue Year 7</t>
  </si>
  <si>
    <t>Capex as % of Revenue Year 8</t>
  </si>
  <si>
    <t>Capex as % of Revenue Year 9</t>
  </si>
  <si>
    <t>Capex as % of Revenue Year 10</t>
  </si>
  <si>
    <t>Growth in Working Capital</t>
  </si>
  <si>
    <t>Stock-Based Compensation</t>
  </si>
  <si>
    <t>Interest Paid</t>
  </si>
  <si>
    <t>Short Term Debt</t>
  </si>
  <si>
    <t>Interest Coverage Ratio</t>
  </si>
  <si>
    <t>Debt/Assets Ratio</t>
  </si>
  <si>
    <t>Value Per Share</t>
  </si>
  <si>
    <t>year</t>
  </si>
  <si>
    <t>revenue</t>
  </si>
  <si>
    <t>capex</t>
  </si>
  <si>
    <t>acquisitions</t>
  </si>
  <si>
    <t>ttm</t>
  </si>
  <si>
    <t>5 year average:</t>
  </si>
  <si>
    <t>latest Qtr</t>
  </si>
  <si>
    <t>4 year average:</t>
  </si>
  <si>
    <t>3 year average:</t>
  </si>
  <si>
    <t>sales/divestitures</t>
  </si>
  <si>
    <t>net capex</t>
  </si>
  <si>
    <t>Company:</t>
  </si>
  <si>
    <t>Date:</t>
  </si>
  <si>
    <t>growth:</t>
  </si>
  <si>
    <t>3 year growth rate:</t>
  </si>
  <si>
    <t>2 year growth rate:</t>
  </si>
  <si>
    <t>Long Term Debt</t>
  </si>
  <si>
    <t>Price/Value</t>
  </si>
  <si>
    <t>Valuation</t>
  </si>
  <si>
    <t>Return Metrics</t>
  </si>
  <si>
    <t>Balance Sheet Safety</t>
  </si>
  <si>
    <t>ROA</t>
  </si>
  <si>
    <t>ROE</t>
  </si>
  <si>
    <t>ROIC</t>
  </si>
  <si>
    <t>5 Year Average ROA</t>
  </si>
  <si>
    <t>5 Year Average ROE</t>
  </si>
  <si>
    <t>5 Year Average ROIC</t>
  </si>
  <si>
    <t>Dividend Yield</t>
  </si>
  <si>
    <t>Balance Sheet</t>
  </si>
  <si>
    <r>
      <t xml:space="preserve">Revenue </t>
    </r>
    <r>
      <rPr>
        <i/>
        <sz val="10"/>
        <rFont val="Arial"/>
        <family val="2"/>
      </rPr>
      <t>ttm</t>
    </r>
  </si>
  <si>
    <t>capex will be increased near term due to cloud buildout</t>
  </si>
  <si>
    <t>Valuentum</t>
  </si>
  <si>
    <t>sbc</t>
  </si>
  <si>
    <t>out of high growth</t>
  </si>
  <si>
    <t>SBC will come down over time as GOOG transitions</t>
  </si>
  <si>
    <t>Microsoft's SBC is 3%</t>
  </si>
  <si>
    <t>4 year growth rate:</t>
  </si>
  <si>
    <t>Revenue Growth Year 1</t>
  </si>
  <si>
    <t>Revenue Growth Year 2</t>
  </si>
  <si>
    <t>Revenue Growth Year 3</t>
  </si>
  <si>
    <t>Revenue Growth Year 4</t>
  </si>
  <si>
    <t>Revenue Growth Year 5</t>
  </si>
  <si>
    <t>Revenue Growth Year 6</t>
  </si>
  <si>
    <t>Revenue Growth Year 7</t>
  </si>
  <si>
    <t>Revenue Growth Year 8</t>
  </si>
  <si>
    <t>Revenue Growth Year 9</t>
  </si>
  <si>
    <t>Revenue Growth Year 10</t>
  </si>
  <si>
    <t>Free Cash Flow Yield</t>
  </si>
  <si>
    <t>Ticker:</t>
  </si>
  <si>
    <t>GOOG</t>
  </si>
  <si>
    <t>Tax Rate Year 1</t>
  </si>
  <si>
    <t>Tax Rate Year 2</t>
  </si>
  <si>
    <t>tax rate</t>
  </si>
  <si>
    <t>Tax Rate Year 3</t>
  </si>
  <si>
    <t>Tax Rate Year 4</t>
  </si>
  <si>
    <t>Tax Rate Year 5</t>
  </si>
  <si>
    <t>Tax Rate Year 6</t>
  </si>
  <si>
    <t>Tax Rate Year 7</t>
  </si>
  <si>
    <t>Tax Rate Year 8</t>
  </si>
  <si>
    <t>Tax Rate Year 9</t>
  </si>
  <si>
    <t>Tax Rate Year 10</t>
  </si>
  <si>
    <t>5 year avg ROA:</t>
  </si>
  <si>
    <t>5 year avg ROE:</t>
  </si>
  <si>
    <t>5 year avg ROIC:</t>
  </si>
  <si>
    <t xml:space="preserve"> includes non-marketable investments</t>
  </si>
  <si>
    <t>Operating Margin</t>
  </si>
  <si>
    <t>EBITDA ttm</t>
  </si>
  <si>
    <t>Debt/EBITDA Ratio</t>
  </si>
  <si>
    <t>Cash and Equivalents</t>
  </si>
  <si>
    <t>assumed 10 year CAGR</t>
  </si>
  <si>
    <t>assumed 5 year CAGR</t>
  </si>
  <si>
    <t>Value Line</t>
  </si>
  <si>
    <t>MSFT's tax rate is 16%</t>
  </si>
  <si>
    <t>AMZN's tax rate is 15%</t>
  </si>
  <si>
    <t>Amazon's SBC is 2.2%</t>
  </si>
  <si>
    <t>Alphabet, Inc.</t>
  </si>
  <si>
    <t>5 Year IRR</t>
  </si>
  <si>
    <t>IRR</t>
  </si>
  <si>
    <t xml:space="preserve">For the 5 year IRR , I assume a cash outflow in year 1 where I buy the stock at market price.  </t>
  </si>
  <si>
    <t xml:space="preserve">In years 2-4 I collect a dividend, if any. I don’t assume any dividend raises. In year 5 I collect the dividend, </t>
  </si>
  <si>
    <t>but also assume the stock has appreciated to my fair value estimate, compounded forward five years by the discount rate.  </t>
  </si>
  <si>
    <t>Valuentum estimating a 12% cash tax rate</t>
  </si>
  <si>
    <t>General</t>
  </si>
  <si>
    <t>millions</t>
  </si>
  <si>
    <t>Currency Units</t>
  </si>
  <si>
    <t>Last Fiscal Year</t>
  </si>
  <si>
    <t>Last Quarter</t>
  </si>
  <si>
    <t>Notes</t>
  </si>
  <si>
    <t>Historical</t>
  </si>
  <si>
    <t>D&amp;A as % of Revenue Year 1</t>
  </si>
  <si>
    <t>D&amp;A as % of Revenue Year 2</t>
  </si>
  <si>
    <t>D&amp;A as % of Revenue Year 3</t>
  </si>
  <si>
    <t>D&amp;A as % of Revenue Year 4</t>
  </si>
  <si>
    <t>D&amp;A as % of Revenue Year 5</t>
  </si>
  <si>
    <t>D&amp;A as % of Revenue Year 6</t>
  </si>
  <si>
    <t>D&amp;A as % of Revenue Year 7</t>
  </si>
  <si>
    <t>D&amp;A as % of Revenue Year 8</t>
  </si>
  <si>
    <t>D&amp;A as % of Revenue Year 9</t>
  </si>
  <si>
    <t>D&amp;A as % of Revenue Year 10</t>
  </si>
  <si>
    <t>SBC as % of Revenue Year 1</t>
  </si>
  <si>
    <t>SBC as % of Revenue Year 2</t>
  </si>
  <si>
    <t>SBC as % of Revenue Year 3</t>
  </si>
  <si>
    <t>SBC as % of Revenue Year 4</t>
  </si>
  <si>
    <t>SBC as % of Revenue Year 5</t>
  </si>
  <si>
    <t>SBC as % of Revenue Year 6</t>
  </si>
  <si>
    <t>SBC as % of Revenue Year 7</t>
  </si>
  <si>
    <t>SBC as % of Revenue Year 8</t>
  </si>
  <si>
    <t>SBC as % of Revenue Year 9</t>
  </si>
  <si>
    <t>SBC as % of Revenue Year 10</t>
  </si>
  <si>
    <t>EBITDA</t>
  </si>
  <si>
    <t>Fair Value</t>
  </si>
  <si>
    <t>Unfunded Pension Obligations</t>
  </si>
  <si>
    <t>Morningstar</t>
  </si>
  <si>
    <t>ex. millions, thousands</t>
  </si>
  <si>
    <t>Current Price per Share</t>
  </si>
  <si>
    <t>ADR Conversion Rate</t>
  </si>
  <si>
    <t>ADR/native share ratio. Should be 1 if not ADR</t>
  </si>
  <si>
    <t>Exchange Rate</t>
  </si>
  <si>
    <t>Current Price per Share, Native Currency</t>
  </si>
  <si>
    <t>Valuation done in native currency, converted back to USD at end</t>
  </si>
  <si>
    <t>Value per Share, USD</t>
  </si>
  <si>
    <t>Other Valuations</t>
  </si>
  <si>
    <t>d&amp;a</t>
  </si>
  <si>
    <t>op. cash flow</t>
  </si>
  <si>
    <t>Work. Cap. Growth as % of Revenue Year 1</t>
  </si>
  <si>
    <t>Work. Cap. Growth as % of Revenue Year 2</t>
  </si>
  <si>
    <t>Work. Cap. Growth as % of Revenue Year 3</t>
  </si>
  <si>
    <t>Work. Cap. Growth as % of Revenue Year 4</t>
  </si>
  <si>
    <t>Work. Cap. Growth as % of Revenue Year 5</t>
  </si>
  <si>
    <t>Work. Cap. Growth as % of Revenue Year 6</t>
  </si>
  <si>
    <t>Work. Cap. Growth as % of Revenue Year 7</t>
  </si>
  <si>
    <t>Work. Cap. Growth as % of Revenue Year 8</t>
  </si>
  <si>
    <t>Work. Cap. Growth as % of Revenue Year 9</t>
  </si>
  <si>
    <t>Work. Cap. Growth as % of Revenue Year 10</t>
  </si>
  <si>
    <t>Working Capital Growth</t>
  </si>
  <si>
    <t>d&amp;a/revenue</t>
  </si>
  <si>
    <t>net capex/revenue</t>
  </si>
  <si>
    <t>sbc/revenue</t>
  </si>
  <si>
    <t>w.c. growth</t>
  </si>
  <si>
    <t>w.c. growth/revenue</t>
  </si>
  <si>
    <t>Income</t>
  </si>
  <si>
    <t>Operating Income</t>
  </si>
  <si>
    <t>Net Operating Profit After Taxes</t>
  </si>
  <si>
    <t>Cash Flow</t>
  </si>
  <si>
    <t>Operating Cash Flow</t>
  </si>
  <si>
    <t>Net Capex</t>
  </si>
  <si>
    <t>Shareholder Equity</t>
  </si>
  <si>
    <t>tax rate calculated off operating profit to derive NOPAT</t>
  </si>
  <si>
    <t>operating income</t>
  </si>
  <si>
    <t>op. margin</t>
  </si>
  <si>
    <t>tax</t>
  </si>
  <si>
    <t>2017 high tax rate due to TCJA</t>
  </si>
  <si>
    <t>net income</t>
  </si>
  <si>
    <t>assets</t>
  </si>
  <si>
    <t>short term debt</t>
  </si>
  <si>
    <t>long term debt</t>
  </si>
  <si>
    <t>equity</t>
  </si>
  <si>
    <t>invested capital</t>
  </si>
  <si>
    <t>Annual Dividend</t>
  </si>
  <si>
    <t>COVID-19: M* estimated -4% revenue growth in 2020 and then 28% growth in 2021</t>
  </si>
  <si>
    <t>IAB survey says digital advertising will be down 33% in March-June period</t>
  </si>
  <si>
    <t>In March ad revenues were down a mid teen percentage</t>
  </si>
  <si>
    <t>Work. Cap. Growth as % of Revenue Year 11</t>
  </si>
  <si>
    <t>Work. Cap. Growth as % of Revenue Year 12</t>
  </si>
  <si>
    <t>Work. Cap. Growth as % of Revenue Year 13</t>
  </si>
  <si>
    <t>Work. Cap. Growth as % of Revenue Year 14</t>
  </si>
  <si>
    <t>Work. Cap. Growth as % of Revenue Year 15</t>
  </si>
  <si>
    <t>Work. Cap. Growth as % of Revenue Year 16</t>
  </si>
  <si>
    <t>Work. Cap. Growth as % of Revenue Year 17</t>
  </si>
  <si>
    <t>Work. Cap. Growth as % of Revenue Year 18</t>
  </si>
  <si>
    <t>Work. Cap. Growth as % of Revenue Year 19</t>
  </si>
  <si>
    <t>Work. Cap. Growth as % of Revenue Year 20</t>
  </si>
  <si>
    <t>Work. Cap. Growth as % of Revenue after Year 20</t>
  </si>
  <si>
    <t>SBC as % of Revenue Year 11</t>
  </si>
  <si>
    <t>SBC as % of Revenue Year 12</t>
  </si>
  <si>
    <t>SBC as % of Revenue Year 13</t>
  </si>
  <si>
    <t>SBC as % of Revenue Year 14</t>
  </si>
  <si>
    <t>SBC as % of Revenue Year 15</t>
  </si>
  <si>
    <t>SBC as % of Revenue Year 16</t>
  </si>
  <si>
    <t>SBC as % of Revenue Year 17</t>
  </si>
  <si>
    <t>SBC as % of Revenue Year 18</t>
  </si>
  <si>
    <t>SBC as % of Revenue Year 19</t>
  </si>
  <si>
    <t>SBC as % of Revenue Year 20</t>
  </si>
  <si>
    <t>SBC as % of Revenue after Year 20</t>
  </si>
  <si>
    <t>Capex as % of Revenue Year 11</t>
  </si>
  <si>
    <t>Capex as % of Revenue Year 12</t>
  </si>
  <si>
    <t>Capex as % of Revenue Year 13</t>
  </si>
  <si>
    <t>Capex as % of Revenue Year 14</t>
  </si>
  <si>
    <t>Capex as % of Revenue Year 15</t>
  </si>
  <si>
    <t>Capex as % of Revenue Year 16</t>
  </si>
  <si>
    <t>Capex as % of Revenue Year 17</t>
  </si>
  <si>
    <t>Capex as % of Revenue Year 18</t>
  </si>
  <si>
    <t>Capex as % of Revenue Year 19</t>
  </si>
  <si>
    <t>Capex as % of Revenue Year 20</t>
  </si>
  <si>
    <t>Capex as % of Revenue after Year 20</t>
  </si>
  <si>
    <t>D&amp;A as % of Revenue Year 11</t>
  </si>
  <si>
    <t>D&amp;A as % of Revenue Year 12</t>
  </si>
  <si>
    <t>D&amp;A as % of Revenue Year 13</t>
  </si>
  <si>
    <t>D&amp;A as % of Revenue Year 14</t>
  </si>
  <si>
    <t>D&amp;A as % of Revenue Year 15</t>
  </si>
  <si>
    <t>D&amp;A as % of Revenue Year 16</t>
  </si>
  <si>
    <t>D&amp;A as % of Revenue Year 17</t>
  </si>
  <si>
    <t>D&amp;A as % of Revenue Year 18</t>
  </si>
  <si>
    <t>D&amp;A as % of Revenue Year 19</t>
  </si>
  <si>
    <t>D&amp;A as % of Revenue Year 20</t>
  </si>
  <si>
    <t>D&amp;A as % of Revenue after Year 20</t>
  </si>
  <si>
    <t>Tax Rate Year 11</t>
  </si>
  <si>
    <t>Tax Rate Year 12</t>
  </si>
  <si>
    <t>Tax Rate Year 13</t>
  </si>
  <si>
    <t>Tax Rate Year 14</t>
  </si>
  <si>
    <t>Tax Rate Year 15</t>
  </si>
  <si>
    <t>Tax Rate Year 16</t>
  </si>
  <si>
    <t>Tax Rate Year 17</t>
  </si>
  <si>
    <t>Tax Rate Year 18</t>
  </si>
  <si>
    <t>Tax Rate Year 19</t>
  </si>
  <si>
    <t>Tax Rate Year 20</t>
  </si>
  <si>
    <t>Tax Rate after Year 20</t>
  </si>
  <si>
    <t>Operating Margin Year 1</t>
  </si>
  <si>
    <t>Operating Margin Year 11</t>
  </si>
  <si>
    <t>Operating Margin Year 12</t>
  </si>
  <si>
    <t>Operating Margin Year 13</t>
  </si>
  <si>
    <t>Operating Margin Year 14</t>
  </si>
  <si>
    <t>Operating Margin Year 15</t>
  </si>
  <si>
    <t>Operating Margin Year 16</t>
  </si>
  <si>
    <t>Operating Margin Year 17</t>
  </si>
  <si>
    <t>Operating Margin Year 18</t>
  </si>
  <si>
    <t>Operating Margin Year 19</t>
  </si>
  <si>
    <t>Operating Margin Year 20</t>
  </si>
  <si>
    <t>Operating Margin after Year 20</t>
  </si>
  <si>
    <t>Revenue Growth Year 11</t>
  </si>
  <si>
    <t>Revenue Growth Year 12</t>
  </si>
  <si>
    <t>Revenue Growth Year 13</t>
  </si>
  <si>
    <t>Revenue Growth Year 14</t>
  </si>
  <si>
    <t>Revenue Growth Year 15</t>
  </si>
  <si>
    <t>Revenue Growth Year 16</t>
  </si>
  <si>
    <t>Revenue Growth Year 17</t>
  </si>
  <si>
    <t>Revenue Growth Year 18</t>
  </si>
  <si>
    <t>Revenue Growth Year 19</t>
  </si>
  <si>
    <t>Revenue Growth Year 20</t>
  </si>
  <si>
    <t>Revenue Growth after Year 20</t>
  </si>
  <si>
    <t>Discounted FCFF 1-20</t>
  </si>
  <si>
    <t>USD/native currency ratio. Should be 1 if not ADR</t>
  </si>
  <si>
    <t>3-5 year target</t>
  </si>
  <si>
    <t>Valuentum using a 9.2% discount rate</t>
  </si>
  <si>
    <t>assumed 3 year CAGR</t>
  </si>
  <si>
    <t>Q3</t>
  </si>
  <si>
    <t>mrq growth was 41%, X% removing forex, due to lapping COVID</t>
  </si>
  <si>
    <t>mrq. op. margin was 32%</t>
  </si>
  <si>
    <t>mrq tax rate was 17.9%</t>
  </si>
  <si>
    <t>M* five year margins will be around 27.5%</t>
  </si>
  <si>
    <t>M* predicts 20% revenue growth over next 5 years</t>
  </si>
  <si>
    <t>$4140-$5,060</t>
  </si>
  <si>
    <t>Valuentum estimating 18.3% revenue growth over next 5 years</t>
  </si>
  <si>
    <t>Valuentum estimating 28.9% margins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</si>
</sst>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\(&quot;$&quot;#,##0\)"/>
    <numFmt numFmtId="165" formatCode="&quot;$&quot;#,##0_);[Red]\(&quot;$&quot;#,##0\)"/>
    <numFmt numFmtId="166" formatCode="&quot;$&quot;#,##0.00_);[Red]\(&quot;$&quot;#,##0.00\)"/>
    <numFmt numFmtId="167" formatCode="&quot;$&quot;#,##0;[Red]\-&quot;$&quot;#,##0"/>
    <numFmt numFmtId="168" formatCode="&quot;$&quot;#,##0.00"/>
    <numFmt numFmtId="169" formatCode="&quot;$&quot;#,##0"/>
    <numFmt numFmtId="170" formatCode="0.0%"/>
    <numFmt numFmtId="171" formatCode="m/d/yyyy;@"/>
  </numFmts>
  <fonts count="11" x14ac:knownFonts="1">
    <font>
      <sz val="10"/>
      <name val="Verdana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10"/>
      <color theme="11"/>
      <name val="Verdana"/>
      <family val="2"/>
    </font>
    <font>
      <u/>
      <sz val="10"/>
      <color theme="10"/>
      <name val="Verdana"/>
      <family val="2"/>
    </font>
    <font>
      <i/>
      <sz val="10"/>
      <color rgb="FF222222"/>
      <name val="Arial"/>
      <family val="2"/>
    </font>
    <font>
      <i/>
      <sz val="10"/>
      <color rgb="FF000000"/>
      <name val="Arial"/>
      <family val="2"/>
    </font>
    <font>
      <i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14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10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171" fontId="3" fillId="2" borderId="0" xfId="0" applyNumberFormat="1" applyFont="1" applyFill="1" applyAlignment="1">
      <alignment horizontal="left"/>
    </xf>
    <xf numFmtId="168" fontId="4" fillId="5" borderId="1" xfId="0" applyNumberFormat="1" applyFont="1" applyFill="1" applyBorder="1"/>
    <xf numFmtId="10" fontId="4" fillId="5" borderId="3" xfId="0" applyNumberFormat="1" applyFont="1" applyFill="1" applyBorder="1"/>
    <xf numFmtId="2" fontId="4" fillId="5" borderId="2" xfId="0" applyNumberFormat="1" applyFont="1" applyFill="1" applyBorder="1" applyAlignment="1">
      <alignment horizontal="right"/>
    </xf>
    <xf numFmtId="2" fontId="4" fillId="5" borderId="1" xfId="0" applyNumberFormat="1" applyFont="1" applyFill="1" applyBorder="1"/>
    <xf numFmtId="170" fontId="4" fillId="5" borderId="1" xfId="0" applyNumberFormat="1" applyFont="1" applyFill="1" applyBorder="1"/>
    <xf numFmtId="170" fontId="4" fillId="7" borderId="0" xfId="0" applyNumberFormat="1" applyFont="1" applyFill="1" applyBorder="1"/>
    <xf numFmtId="165" fontId="1" fillId="2" borderId="0" xfId="0" applyNumberFormat="1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5" fillId="2" borderId="0" xfId="0" applyFont="1" applyFill="1"/>
    <xf numFmtId="0" fontId="1" fillId="2" borderId="6" xfId="0" applyFont="1" applyFill="1" applyBorder="1"/>
    <xf numFmtId="10" fontId="1" fillId="2" borderId="0" xfId="0" applyNumberFormat="1" applyFont="1" applyFill="1"/>
    <xf numFmtId="10" fontId="1" fillId="2" borderId="0" xfId="0" applyNumberFormat="1" applyFont="1" applyFill="1" applyBorder="1"/>
    <xf numFmtId="10" fontId="3" fillId="2" borderId="0" xfId="0" applyNumberFormat="1" applyFont="1" applyFill="1" applyBorder="1"/>
    <xf numFmtId="169" fontId="1" fillId="2" borderId="0" xfId="0" applyNumberFormat="1" applyFont="1" applyFill="1" applyBorder="1"/>
    <xf numFmtId="169" fontId="3" fillId="2" borderId="0" xfId="0" applyNumberFormat="1" applyFont="1" applyFill="1" applyBorder="1"/>
    <xf numFmtId="165" fontId="3" fillId="2" borderId="0" xfId="0" applyNumberFormat="1" applyFont="1" applyFill="1" applyBorder="1"/>
    <xf numFmtId="0" fontId="1" fillId="2" borderId="0" xfId="0" applyFont="1" applyFill="1" applyBorder="1"/>
    <xf numFmtId="10" fontId="1" fillId="6" borderId="1" xfId="0" applyNumberFormat="1" applyFont="1" applyFill="1" applyBorder="1"/>
    <xf numFmtId="165" fontId="1" fillId="3" borderId="4" xfId="0" applyNumberFormat="1" applyFont="1" applyFill="1" applyBorder="1"/>
    <xf numFmtId="165" fontId="1" fillId="4" borderId="1" xfId="0" applyNumberFormat="1" applyFont="1" applyFill="1" applyBorder="1"/>
    <xf numFmtId="165" fontId="1" fillId="3" borderId="1" xfId="0" applyNumberFormat="1" applyFont="1" applyFill="1" applyBorder="1"/>
    <xf numFmtId="165" fontId="1" fillId="4" borderId="4" xfId="0" applyNumberFormat="1" applyFont="1" applyFill="1" applyBorder="1"/>
    <xf numFmtId="169" fontId="1" fillId="4" borderId="1" xfId="0" applyNumberFormat="1" applyFont="1" applyFill="1" applyBorder="1"/>
    <xf numFmtId="169" fontId="1" fillId="3" borderId="1" xfId="0" applyNumberFormat="1" applyFont="1" applyFill="1" applyBorder="1"/>
    <xf numFmtId="164" fontId="1" fillId="4" borderId="1" xfId="0" applyNumberFormat="1" applyFont="1" applyFill="1" applyBorder="1"/>
    <xf numFmtId="0" fontId="1" fillId="2" borderId="0" xfId="0" applyFont="1" applyFill="1" applyAlignment="1">
      <alignment horizontal="right"/>
    </xf>
    <xf numFmtId="2" fontId="1" fillId="2" borderId="0" xfId="0" applyNumberFormat="1" applyFont="1" applyFill="1"/>
    <xf numFmtId="169" fontId="1" fillId="3" borderId="2" xfId="0" applyNumberFormat="1" applyFont="1" applyFill="1" applyBorder="1"/>
    <xf numFmtId="0" fontId="1" fillId="0" borderId="0" xfId="0" applyFont="1"/>
    <xf numFmtId="169" fontId="1" fillId="2" borderId="0" xfId="0" applyNumberFormat="1" applyFont="1" applyFill="1"/>
    <xf numFmtId="169" fontId="1" fillId="3" borderId="3" xfId="0" applyNumberFormat="1" applyFont="1" applyFill="1" applyBorder="1"/>
    <xf numFmtId="168" fontId="1" fillId="3" borderId="1" xfId="0" applyNumberFormat="1" applyFont="1" applyFill="1" applyBorder="1"/>
    <xf numFmtId="168" fontId="1" fillId="2" borderId="0" xfId="0" applyNumberFormat="1" applyFont="1" applyFill="1" applyBorder="1"/>
    <xf numFmtId="2" fontId="1" fillId="3" borderId="2" xfId="0" applyNumberFormat="1" applyFont="1" applyFill="1" applyBorder="1"/>
    <xf numFmtId="167" fontId="1" fillId="2" borderId="0" xfId="0" applyNumberFormat="1" applyFont="1" applyFill="1"/>
    <xf numFmtId="170" fontId="1" fillId="6" borderId="1" xfId="0" applyNumberFormat="1" applyFont="1" applyFill="1" applyBorder="1"/>
    <xf numFmtId="0" fontId="4" fillId="8" borderId="0" xfId="0" applyFont="1" applyFill="1"/>
    <xf numFmtId="168" fontId="1" fillId="5" borderId="1" xfId="0" applyNumberFormat="1" applyFont="1" applyFill="1" applyBorder="1"/>
    <xf numFmtId="0" fontId="1" fillId="8" borderId="0" xfId="0" applyFont="1" applyFill="1"/>
    <xf numFmtId="0" fontId="1" fillId="2" borderId="0" xfId="0" applyFont="1" applyFill="1" applyBorder="1" applyAlignment="1">
      <alignment horizontal="right"/>
    </xf>
    <xf numFmtId="0" fontId="3" fillId="8" borderId="0" xfId="0" applyFont="1" applyFill="1"/>
    <xf numFmtId="10" fontId="3" fillId="8" borderId="0" xfId="0" applyNumberFormat="1" applyFont="1" applyFill="1"/>
    <xf numFmtId="165" fontId="1" fillId="6" borderId="1" xfId="0" applyNumberFormat="1" applyFont="1" applyFill="1" applyBorder="1"/>
    <xf numFmtId="169" fontId="1" fillId="6" borderId="1" xfId="0" applyNumberFormat="1" applyFont="1" applyFill="1" applyBorder="1"/>
    <xf numFmtId="0" fontId="8" fillId="0" borderId="0" xfId="0" applyFont="1"/>
    <xf numFmtId="169" fontId="1" fillId="9" borderId="1" xfId="0" applyNumberFormat="1" applyFont="1" applyFill="1" applyBorder="1"/>
    <xf numFmtId="170" fontId="1" fillId="9" borderId="1" xfId="0" applyNumberFormat="1" applyFont="1" applyFill="1" applyBorder="1"/>
    <xf numFmtId="166" fontId="1" fillId="6" borderId="1" xfId="0" applyNumberFormat="1" applyFont="1" applyFill="1" applyBorder="1"/>
    <xf numFmtId="2" fontId="3" fillId="7" borderId="0" xfId="0" applyNumberFormat="1" applyFont="1" applyFill="1"/>
    <xf numFmtId="166" fontId="1" fillId="5" borderId="1" xfId="0" applyNumberFormat="1" applyFont="1" applyFill="1" applyBorder="1"/>
    <xf numFmtId="168" fontId="1" fillId="10" borderId="1" xfId="0" applyNumberFormat="1" applyFont="1" applyFill="1" applyBorder="1"/>
    <xf numFmtId="10" fontId="2" fillId="2" borderId="0" xfId="0" applyNumberFormat="1" applyFont="1" applyFill="1"/>
    <xf numFmtId="0" fontId="9" fillId="0" borderId="0" xfId="0" applyFont="1"/>
    <xf numFmtId="168" fontId="5" fillId="2" borderId="0" xfId="0" applyNumberFormat="1" applyFont="1" applyFill="1"/>
    <xf numFmtId="170" fontId="4" fillId="11" borderId="1" xfId="0" applyNumberFormat="1" applyFont="1" applyFill="1" applyBorder="1"/>
    <xf numFmtId="0" fontId="1" fillId="12" borderId="1" xfId="0" applyFont="1" applyFill="1" applyBorder="1" applyAlignment="1">
      <alignment horizontal="right"/>
    </xf>
    <xf numFmtId="0" fontId="1" fillId="12" borderId="2" xfId="0" applyFont="1" applyFill="1" applyBorder="1" applyAlignment="1">
      <alignment horizontal="right"/>
    </xf>
    <xf numFmtId="3" fontId="1" fillId="6" borderId="1" xfId="0" applyNumberFormat="1" applyFont="1" applyFill="1" applyBorder="1"/>
    <xf numFmtId="0" fontId="1" fillId="6" borderId="1" xfId="0" applyFont="1" applyFill="1" applyBorder="1"/>
    <xf numFmtId="168" fontId="1" fillId="9" borderId="1" xfId="0" applyNumberFormat="1" applyFont="1" applyFill="1" applyBorder="1"/>
    <xf numFmtId="2" fontId="1" fillId="7" borderId="0" xfId="0" applyNumberFormat="1" applyFont="1" applyFill="1"/>
    <xf numFmtId="10" fontId="4" fillId="7" borderId="0" xfId="0" applyNumberFormat="1" applyFont="1" applyFill="1"/>
    <xf numFmtId="0" fontId="1" fillId="2" borderId="7" xfId="0" applyFont="1" applyFill="1" applyBorder="1"/>
    <xf numFmtId="10" fontId="1" fillId="2" borderId="7" xfId="0" applyNumberFormat="1" applyFont="1" applyFill="1" applyBorder="1"/>
    <xf numFmtId="165" fontId="1" fillId="13" borderId="1" xfId="0" applyNumberFormat="1" applyFont="1" applyFill="1" applyBorder="1"/>
    <xf numFmtId="165" fontId="1" fillId="11" borderId="1" xfId="0" applyNumberFormat="1" applyFont="1" applyFill="1" applyBorder="1"/>
    <xf numFmtId="165" fontId="1" fillId="2" borderId="0" xfId="0" applyNumberFormat="1" applyFont="1" applyFill="1"/>
    <xf numFmtId="165" fontId="1" fillId="7" borderId="0" xfId="0" applyNumberFormat="1" applyFont="1" applyFill="1"/>
    <xf numFmtId="165" fontId="1" fillId="5" borderId="1" xfId="0" applyNumberFormat="1" applyFont="1" applyFill="1" applyBorder="1"/>
    <xf numFmtId="0" fontId="1" fillId="8" borderId="5" xfId="0" applyFont="1" applyFill="1" applyBorder="1"/>
    <xf numFmtId="0" fontId="1" fillId="8" borderId="5" xfId="0" applyFont="1" applyFill="1" applyBorder="1" applyAlignment="1">
      <alignment horizontal="right"/>
    </xf>
    <xf numFmtId="0" fontId="1" fillId="8" borderId="7" xfId="0" applyFont="1" applyFill="1" applyBorder="1"/>
    <xf numFmtId="1" fontId="1" fillId="14" borderId="0" xfId="0" applyNumberFormat="1" applyFont="1" applyFill="1"/>
    <xf numFmtId="1" fontId="1" fillId="5" borderId="6" xfId="0" applyNumberFormat="1" applyFont="1" applyFill="1" applyBorder="1"/>
    <xf numFmtId="0" fontId="1" fillId="5" borderId="5" xfId="0" applyFont="1" applyFill="1" applyBorder="1"/>
    <xf numFmtId="10" fontId="1" fillId="5" borderId="0" xfId="0" applyNumberFormat="1" applyFont="1" applyFill="1"/>
    <xf numFmtId="10" fontId="1" fillId="5" borderId="5" xfId="0" applyNumberFormat="1" applyFont="1" applyFill="1" applyBorder="1"/>
    <xf numFmtId="0" fontId="1" fillId="14" borderId="0" xfId="0" applyFont="1" applyFill="1"/>
    <xf numFmtId="10" fontId="1" fillId="5" borderId="1" xfId="0" applyNumberFormat="1" applyFont="1" applyFill="1" applyBorder="1"/>
    <xf numFmtId="165" fontId="3" fillId="2" borderId="0" xfId="0" applyNumberFormat="1" applyFont="1" applyFill="1"/>
    <xf numFmtId="167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0" fontId="10" fillId="2" borderId="0" xfId="0" applyFont="1" applyFill="1"/>
  </cellXfs>
  <cellStyles count="114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Stand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67"/>
  <sheetViews>
    <sheetView tabSelected="1" workbookViewId="0">
      <selection activeCell="O7" sqref="O7"/>
    </sheetView>
  </sheetViews>
  <sheetFormatPr baseColWidth="10" defaultColWidth="10.6328125" defaultRowHeight="13.2" x14ac:dyDescent="0.25"/>
  <cols>
    <col min="1" max="1" width="6.453125" style="1" customWidth="1"/>
    <col min="2" max="2" width="14.6328125" style="1" customWidth="1"/>
    <col min="3" max="3" width="11.81640625" style="1" customWidth="1"/>
    <col min="4" max="4" width="12.1796875" style="1" customWidth="1"/>
    <col min="5" max="5" width="13" style="1" customWidth="1"/>
    <col min="6" max="6" width="13.453125" style="1" customWidth="1"/>
    <col min="7" max="7" width="12" style="1" customWidth="1"/>
    <col min="8" max="8" width="14.6328125" style="1" customWidth="1"/>
    <col min="9" max="9" width="13.6328125" style="1" customWidth="1"/>
    <col min="10" max="10" width="14.453125" style="1" customWidth="1"/>
    <col min="11" max="11" width="13.1796875" style="1" customWidth="1"/>
    <col min="12" max="12" width="14.453125" style="1" customWidth="1"/>
    <col min="13" max="13" width="12.6328125" style="1" customWidth="1"/>
    <col min="14" max="14" width="12.81640625" style="1" customWidth="1"/>
    <col min="15" max="15" width="12" style="1" customWidth="1"/>
    <col min="16" max="16384" width="10.6328125" style="1"/>
  </cols>
  <sheetData>
    <row r="2" spans="2:18" ht="15.6" x14ac:dyDescent="0.3">
      <c r="F2" s="2" t="s">
        <v>64</v>
      </c>
      <c r="G2" s="2"/>
      <c r="H2" s="2"/>
      <c r="I2" s="2" t="s">
        <v>65</v>
      </c>
      <c r="J2" s="2"/>
      <c r="K2" s="2"/>
      <c r="L2" s="2" t="s">
        <v>66</v>
      </c>
      <c r="M2" s="2"/>
      <c r="N2" s="2"/>
      <c r="O2" s="2" t="s">
        <v>167</v>
      </c>
    </row>
    <row r="3" spans="2:18" s="3" customFormat="1" ht="15.6" x14ac:dyDescent="0.3">
      <c r="B3" s="2" t="s">
        <v>57</v>
      </c>
      <c r="C3" s="2" t="s">
        <v>121</v>
      </c>
      <c r="D3" s="2"/>
      <c r="F3" s="7">
        <f>B258</f>
        <v>3347.2941288325114</v>
      </c>
      <c r="G3" s="3" t="s">
        <v>156</v>
      </c>
      <c r="I3" s="4">
        <f>M17</f>
        <v>0.10974161898177166</v>
      </c>
      <c r="J3" s="3" t="s">
        <v>70</v>
      </c>
      <c r="L3" s="5">
        <f>IF(B82&gt;0,(R29*R60)/B82,"NMF")</f>
        <v>257.02127659574467</v>
      </c>
      <c r="M3" s="3" t="s">
        <v>43</v>
      </c>
      <c r="O3" s="3" t="s">
        <v>158</v>
      </c>
      <c r="Q3" s="88">
        <v>3470</v>
      </c>
    </row>
    <row r="4" spans="2:18" s="3" customFormat="1" ht="15.6" x14ac:dyDescent="0.3">
      <c r="B4" s="2" t="s">
        <v>94</v>
      </c>
      <c r="C4" s="2" t="s">
        <v>95</v>
      </c>
      <c r="D4" s="2"/>
      <c r="I4" s="8">
        <f>M18</f>
        <v>0.14542386863569809</v>
      </c>
      <c r="J4" s="3" t="s">
        <v>71</v>
      </c>
      <c r="L4" s="9">
        <f>(B209+B210+B211)/B83</f>
        <v>0.16813763562333781</v>
      </c>
      <c r="M4" s="3" t="s">
        <v>113</v>
      </c>
      <c r="O4" s="3" t="s">
        <v>77</v>
      </c>
      <c r="Q4" s="88">
        <v>3499</v>
      </c>
    </row>
    <row r="5" spans="2:18" s="3" customFormat="1" ht="15.6" x14ac:dyDescent="0.3">
      <c r="B5" s="2" t="s">
        <v>58</v>
      </c>
      <c r="C5" s="6">
        <v>44495</v>
      </c>
      <c r="D5" s="2"/>
      <c r="F5" s="10">
        <f>B256</f>
        <v>0.83453676088342799</v>
      </c>
      <c r="G5" s="3" t="s">
        <v>63</v>
      </c>
      <c r="H5" s="1"/>
      <c r="I5" s="4">
        <f>M19</f>
        <v>0.12928346730136048</v>
      </c>
      <c r="J5" s="3" t="s">
        <v>72</v>
      </c>
      <c r="L5" s="4">
        <f>(B209+B210+B211)/B208</f>
        <v>4.1128027103968588E-2</v>
      </c>
      <c r="M5" s="3" t="s">
        <v>44</v>
      </c>
      <c r="O5" s="3" t="s">
        <v>117</v>
      </c>
      <c r="Q5" s="89" t="s">
        <v>297</v>
      </c>
      <c r="R5" s="90" t="s">
        <v>288</v>
      </c>
    </row>
    <row r="6" spans="2:18" ht="15" x14ac:dyDescent="0.25">
      <c r="F6" s="62">
        <f>D263</f>
        <v>0.13533760990197607</v>
      </c>
      <c r="G6" s="44" t="s">
        <v>122</v>
      </c>
      <c r="I6" s="11">
        <f>B20</f>
        <v>0</v>
      </c>
      <c r="J6" s="3" t="s">
        <v>73</v>
      </c>
      <c r="K6" s="3"/>
      <c r="L6" s="3"/>
      <c r="M6" s="3"/>
    </row>
    <row r="7" spans="2:18" ht="15" x14ac:dyDescent="0.25">
      <c r="I7" s="11">
        <f>I238/(B24*B17)</f>
        <v>3.5526649454130255E-2</v>
      </c>
      <c r="J7" s="3" t="s">
        <v>93</v>
      </c>
      <c r="K7" s="3"/>
      <c r="L7" s="3"/>
      <c r="M7" s="3"/>
    </row>
    <row r="8" spans="2:18" ht="15" x14ac:dyDescent="0.25">
      <c r="I8" s="69"/>
      <c r="J8" s="3"/>
    </row>
    <row r="9" spans="2:18" ht="15" x14ac:dyDescent="0.25">
      <c r="F9" s="12"/>
      <c r="G9" s="3"/>
    </row>
    <row r="10" spans="2:18" ht="15" x14ac:dyDescent="0.25">
      <c r="F10" s="12"/>
      <c r="G10" s="3"/>
    </row>
    <row r="11" spans="2:18" ht="15.6" x14ac:dyDescent="0.3">
      <c r="B11" s="48" t="s">
        <v>128</v>
      </c>
      <c r="C11" s="46"/>
      <c r="F11" s="2" t="s">
        <v>133</v>
      </c>
      <c r="L11" s="2" t="s">
        <v>134</v>
      </c>
    </row>
    <row r="12" spans="2:18" x14ac:dyDescent="0.25">
      <c r="B12" s="63" t="s">
        <v>129</v>
      </c>
      <c r="C12" s="1" t="s">
        <v>130</v>
      </c>
      <c r="F12" s="16" t="s">
        <v>159</v>
      </c>
    </row>
    <row r="13" spans="2:18" x14ac:dyDescent="0.25">
      <c r="B13" s="64">
        <v>2020</v>
      </c>
      <c r="C13" s="1" t="s">
        <v>131</v>
      </c>
      <c r="L13" s="14" t="s">
        <v>46</v>
      </c>
      <c r="M13" s="14">
        <f>N13-1</f>
        <v>2016</v>
      </c>
      <c r="N13" s="14">
        <f t="shared" ref="N13:O13" si="0">O13-1</f>
        <v>2017</v>
      </c>
      <c r="O13" s="14">
        <f t="shared" si="0"/>
        <v>2018</v>
      </c>
      <c r="P13" s="14">
        <f>Q13-1</f>
        <v>2019</v>
      </c>
      <c r="Q13" s="14">
        <f>B13</f>
        <v>2020</v>
      </c>
      <c r="R13" s="15" t="s">
        <v>50</v>
      </c>
    </row>
    <row r="14" spans="2:18" x14ac:dyDescent="0.25">
      <c r="B14" s="64" t="s">
        <v>291</v>
      </c>
      <c r="C14" s="1" t="s">
        <v>132</v>
      </c>
      <c r="L14" s="24" t="s">
        <v>67</v>
      </c>
      <c r="M14" s="83">
        <f>M95/M208</f>
        <v>0.11628864994596919</v>
      </c>
      <c r="N14" s="83">
        <f t="shared" ref="N14:R14" si="1">N95/N208</f>
        <v>6.417800755214273E-2</v>
      </c>
      <c r="O14" s="83">
        <f t="shared" si="1"/>
        <v>0.13203202859204782</v>
      </c>
      <c r="P14" s="83">
        <f t="shared" si="1"/>
        <v>0.1244721991671167</v>
      </c>
      <c r="Q14" s="83">
        <f t="shared" si="1"/>
        <v>0.1117372096515819</v>
      </c>
      <c r="R14" s="83">
        <f t="shared" si="1"/>
        <v>0.20327400742077645</v>
      </c>
    </row>
    <row r="15" spans="2:18" x14ac:dyDescent="0.25">
      <c r="L15" s="24" t="s">
        <v>68</v>
      </c>
      <c r="M15" s="83">
        <f>M95/M211</f>
        <v>0.14009321326850599</v>
      </c>
      <c r="N15" s="83">
        <f t="shared" ref="N15:R15" si="2">N95/N211</f>
        <v>8.3028419299419023E-2</v>
      </c>
      <c r="O15" s="83">
        <f t="shared" si="2"/>
        <v>0.17303578264687999</v>
      </c>
      <c r="P15" s="83">
        <f t="shared" si="2"/>
        <v>0.17048579740074066</v>
      </c>
      <c r="Q15" s="83">
        <f t="shared" si="2"/>
        <v>0.16047613056294485</v>
      </c>
      <c r="R15" s="83">
        <f t="shared" si="2"/>
        <v>0.2887470509103845</v>
      </c>
    </row>
    <row r="16" spans="2:18" x14ac:dyDescent="0.25">
      <c r="B16" s="55">
        <v>2793.44</v>
      </c>
      <c r="C16" s="1" t="s">
        <v>160</v>
      </c>
      <c r="L16" s="14" t="s">
        <v>69</v>
      </c>
      <c r="M16" s="84">
        <f>D228/M212</f>
        <v>0.13324380468766392</v>
      </c>
      <c r="N16" s="84">
        <f t="shared" ref="N16:R16" si="3">E228/N212</f>
        <v>9.1710284972934264E-2</v>
      </c>
      <c r="O16" s="84">
        <f t="shared" si="3"/>
        <v>0.14980180576965427</v>
      </c>
      <c r="P16" s="84">
        <f t="shared" si="3"/>
        <v>0.14053185498747547</v>
      </c>
      <c r="Q16" s="84">
        <f t="shared" si="3"/>
        <v>0.13112958608907457</v>
      </c>
      <c r="R16" s="84">
        <f t="shared" si="3"/>
        <v>0.24808698232601262</v>
      </c>
    </row>
    <row r="17" spans="2:18" x14ac:dyDescent="0.25">
      <c r="B17" s="65">
        <v>676.5</v>
      </c>
      <c r="C17" s="1" t="str">
        <f>"Diluted Shares Outstanding in "&amp;B12&amp;""</f>
        <v>Diluted Shares Outstanding in millions</v>
      </c>
      <c r="L17" s="1" t="s">
        <v>107</v>
      </c>
      <c r="M17" s="18">
        <f>AVERAGE(M14:Q14)</f>
        <v>0.10974161898177166</v>
      </c>
    </row>
    <row r="18" spans="2:18" x14ac:dyDescent="0.25">
      <c r="L18" s="1" t="s">
        <v>108</v>
      </c>
      <c r="M18" s="18">
        <f>AVERAGE(M15:Q15)</f>
        <v>0.14542386863569809</v>
      </c>
    </row>
    <row r="19" spans="2:18" x14ac:dyDescent="0.25">
      <c r="B19" s="55">
        <v>0</v>
      </c>
      <c r="C19" s="1" t="s">
        <v>204</v>
      </c>
      <c r="L19" s="1" t="s">
        <v>109</v>
      </c>
      <c r="M19" s="18">
        <f>AVERAGE(M16:Q16)</f>
        <v>0.12928346730136048</v>
      </c>
    </row>
    <row r="20" spans="2:18" x14ac:dyDescent="0.25">
      <c r="B20" s="86">
        <f>B19/B16</f>
        <v>0</v>
      </c>
      <c r="C20" s="1" t="s">
        <v>73</v>
      </c>
    </row>
    <row r="22" spans="2:18" ht="15" x14ac:dyDescent="0.25">
      <c r="B22" s="66">
        <v>1</v>
      </c>
      <c r="C22" s="1" t="s">
        <v>161</v>
      </c>
      <c r="F22" s="16" t="s">
        <v>162</v>
      </c>
      <c r="G22" s="3"/>
      <c r="L22" s="42"/>
    </row>
    <row r="23" spans="2:18" ht="15" x14ac:dyDescent="0.25">
      <c r="B23" s="66">
        <v>1</v>
      </c>
      <c r="C23" s="37" t="s">
        <v>163</v>
      </c>
      <c r="F23" s="16" t="s">
        <v>287</v>
      </c>
      <c r="G23" s="3"/>
      <c r="L23" s="42"/>
    </row>
    <row r="24" spans="2:18" ht="15" x14ac:dyDescent="0.25">
      <c r="B24" s="67">
        <f>(B16*B22)*B23</f>
        <v>2793.44</v>
      </c>
      <c r="C24" s="1" t="s">
        <v>164</v>
      </c>
      <c r="F24" s="16" t="s">
        <v>165</v>
      </c>
      <c r="G24" s="3"/>
      <c r="L24" s="42"/>
    </row>
    <row r="25" spans="2:18" x14ac:dyDescent="0.25">
      <c r="L25" s="42"/>
    </row>
    <row r="26" spans="2:18" x14ac:dyDescent="0.25">
      <c r="L26" s="42"/>
    </row>
    <row r="27" spans="2:18" ht="15.6" x14ac:dyDescent="0.3">
      <c r="B27" s="2" t="s">
        <v>13</v>
      </c>
      <c r="C27" s="16" t="str">
        <f>B12</f>
        <v>millions</v>
      </c>
      <c r="L27" s="16" t="str">
        <f>B12</f>
        <v>millions</v>
      </c>
    </row>
    <row r="28" spans="2:18" x14ac:dyDescent="0.25">
      <c r="B28" s="50">
        <v>239210</v>
      </c>
      <c r="C28" s="1" t="s">
        <v>75</v>
      </c>
      <c r="F28" s="1">
        <v>3329</v>
      </c>
      <c r="L28" s="14" t="s">
        <v>46</v>
      </c>
      <c r="M28" s="15">
        <f>$M$13</f>
        <v>2016</v>
      </c>
      <c r="N28" s="15">
        <f>$N$13</f>
        <v>2017</v>
      </c>
      <c r="O28" s="15">
        <f>$O$13</f>
        <v>2018</v>
      </c>
      <c r="P28" s="15">
        <f>$P$13</f>
        <v>2019</v>
      </c>
      <c r="Q28" s="15">
        <f>$Q$13</f>
        <v>2020</v>
      </c>
      <c r="R28" s="15" t="str">
        <f>$R$13</f>
        <v>ttm</v>
      </c>
    </row>
    <row r="29" spans="2:18" x14ac:dyDescent="0.25">
      <c r="B29" s="13"/>
      <c r="L29" s="14" t="s">
        <v>47</v>
      </c>
      <c r="M29" s="14">
        <v>90272</v>
      </c>
      <c r="N29" s="14">
        <v>110855</v>
      </c>
      <c r="O29" s="14">
        <v>136819</v>
      </c>
      <c r="P29" s="14">
        <v>166677</v>
      </c>
      <c r="Q29" s="14">
        <v>182527</v>
      </c>
      <c r="R29" s="82">
        <f>B28</f>
        <v>239210</v>
      </c>
    </row>
    <row r="30" spans="2:18" x14ac:dyDescent="0.25">
      <c r="B30" s="25">
        <v>0.22</v>
      </c>
      <c r="C30" s="46" t="s">
        <v>83</v>
      </c>
      <c r="F30" s="16" t="s">
        <v>292</v>
      </c>
      <c r="L30" s="70" t="s">
        <v>59</v>
      </c>
      <c r="M30" s="70"/>
      <c r="N30" s="71">
        <f>(N29-M29)/M29</f>
        <v>0.22801090038993266</v>
      </c>
      <c r="O30" s="71">
        <f>(O29-N29)/N29</f>
        <v>0.23421586757475982</v>
      </c>
      <c r="P30" s="71">
        <f>(P29-O29)/O29</f>
        <v>0.21822992420643331</v>
      </c>
      <c r="Q30" s="71">
        <f>(Q29-P29)/P29</f>
        <v>9.5094104165541732E-2</v>
      </c>
      <c r="R30" s="70"/>
    </row>
    <row r="31" spans="2:18" x14ac:dyDescent="0.25">
      <c r="B31" s="25">
        <v>0.18</v>
      </c>
      <c r="C31" s="46" t="s">
        <v>84</v>
      </c>
      <c r="L31" s="24" t="s">
        <v>82</v>
      </c>
      <c r="M31" s="19">
        <f>((Q29/M29)^0.25)-1</f>
        <v>0.19245915678269432</v>
      </c>
      <c r="N31" s="24"/>
      <c r="O31" s="24"/>
      <c r="P31" s="24"/>
      <c r="Q31" s="24"/>
      <c r="R31" s="24"/>
    </row>
    <row r="32" spans="2:18" x14ac:dyDescent="0.25">
      <c r="B32" s="25">
        <v>0.18</v>
      </c>
      <c r="C32" s="46" t="s">
        <v>85</v>
      </c>
      <c r="F32" s="16" t="s">
        <v>296</v>
      </c>
      <c r="L32" s="1" t="s">
        <v>60</v>
      </c>
      <c r="M32" s="18">
        <f>((Q29/N29)^0.33)-1</f>
        <v>0.17887756756617601</v>
      </c>
    </row>
    <row r="33" spans="2:18" x14ac:dyDescent="0.25">
      <c r="B33" s="25">
        <v>0.16</v>
      </c>
      <c r="C33" s="46" t="s">
        <v>86</v>
      </c>
      <c r="F33" s="16" t="s">
        <v>298</v>
      </c>
      <c r="L33" s="1" t="s">
        <v>61</v>
      </c>
      <c r="M33" s="18">
        <f>(Q29/O29)^0.5-1</f>
        <v>0.15502225412175497</v>
      </c>
    </row>
    <row r="34" spans="2:18" x14ac:dyDescent="0.25">
      <c r="B34" s="25">
        <v>0.16</v>
      </c>
      <c r="C34" s="46" t="s">
        <v>87</v>
      </c>
      <c r="L34" s="24"/>
      <c r="M34" s="24"/>
      <c r="N34" s="24"/>
      <c r="O34" s="24"/>
      <c r="P34" s="24"/>
      <c r="Q34" s="24"/>
      <c r="R34" s="47"/>
    </row>
    <row r="35" spans="2:18" x14ac:dyDescent="0.25">
      <c r="B35" s="25">
        <v>0.08</v>
      </c>
      <c r="C35" s="46" t="s">
        <v>88</v>
      </c>
      <c r="L35" s="24"/>
      <c r="M35" s="24"/>
      <c r="N35" s="24"/>
      <c r="O35" s="24"/>
      <c r="P35" s="24"/>
      <c r="Q35" s="24"/>
      <c r="R35" s="47"/>
    </row>
    <row r="36" spans="2:18" x14ac:dyDescent="0.25">
      <c r="B36" s="25">
        <v>0.08</v>
      </c>
      <c r="C36" s="46" t="s">
        <v>89</v>
      </c>
      <c r="F36" s="16" t="s">
        <v>205</v>
      </c>
    </row>
    <row r="37" spans="2:18" x14ac:dyDescent="0.25">
      <c r="B37" s="25">
        <v>0.08</v>
      </c>
      <c r="C37" s="46" t="s">
        <v>90</v>
      </c>
      <c r="F37" s="16" t="s">
        <v>206</v>
      </c>
    </row>
    <row r="38" spans="2:18" x14ac:dyDescent="0.25">
      <c r="B38" s="25">
        <v>0.08</v>
      </c>
      <c r="C38" s="46" t="s">
        <v>91</v>
      </c>
      <c r="L38" s="24"/>
      <c r="M38" s="24"/>
      <c r="N38" s="24"/>
      <c r="O38" s="24"/>
      <c r="P38" s="24"/>
      <c r="Q38" s="24"/>
      <c r="R38" s="47"/>
    </row>
    <row r="39" spans="2:18" x14ac:dyDescent="0.25">
      <c r="B39" s="25">
        <v>0.08</v>
      </c>
      <c r="C39" s="46" t="s">
        <v>92</v>
      </c>
      <c r="F39" s="16" t="s">
        <v>207</v>
      </c>
      <c r="L39" s="24"/>
      <c r="M39" s="24"/>
      <c r="N39" s="24"/>
      <c r="O39" s="24"/>
      <c r="P39" s="24"/>
      <c r="Q39" s="24"/>
      <c r="R39" s="47"/>
    </row>
    <row r="40" spans="2:18" x14ac:dyDescent="0.25">
      <c r="B40" s="25">
        <v>0.08</v>
      </c>
      <c r="C40" s="46" t="s">
        <v>275</v>
      </c>
      <c r="F40" s="16"/>
      <c r="L40" s="24"/>
      <c r="M40" s="24"/>
      <c r="N40" s="24"/>
      <c r="O40" s="24"/>
      <c r="P40" s="24"/>
      <c r="Q40" s="24"/>
      <c r="R40" s="47"/>
    </row>
    <row r="41" spans="2:18" x14ac:dyDescent="0.25">
      <c r="B41" s="25">
        <v>0.05</v>
      </c>
      <c r="C41" s="46" t="s">
        <v>276</v>
      </c>
      <c r="F41" s="16"/>
      <c r="L41" s="24"/>
      <c r="M41" s="24"/>
      <c r="N41" s="24"/>
      <c r="O41" s="24"/>
      <c r="P41" s="24"/>
      <c r="Q41" s="24"/>
      <c r="R41" s="47"/>
    </row>
    <row r="42" spans="2:18" x14ac:dyDescent="0.25">
      <c r="B42" s="25">
        <v>0.05</v>
      </c>
      <c r="C42" s="46" t="s">
        <v>277</v>
      </c>
      <c r="F42" s="16"/>
      <c r="L42" s="24"/>
      <c r="M42" s="24"/>
      <c r="N42" s="24"/>
      <c r="O42" s="24"/>
      <c r="P42" s="24"/>
      <c r="Q42" s="24"/>
      <c r="R42" s="47"/>
    </row>
    <row r="43" spans="2:18" x14ac:dyDescent="0.25">
      <c r="B43" s="25">
        <v>0.05</v>
      </c>
      <c r="C43" s="46" t="s">
        <v>278</v>
      </c>
      <c r="F43" s="16"/>
      <c r="L43" s="24"/>
      <c r="M43" s="24"/>
      <c r="N43" s="24"/>
      <c r="O43" s="24"/>
      <c r="P43" s="24"/>
      <c r="Q43" s="24"/>
      <c r="R43" s="47"/>
    </row>
    <row r="44" spans="2:18" x14ac:dyDescent="0.25">
      <c r="B44" s="25">
        <v>0.05</v>
      </c>
      <c r="C44" s="46" t="s">
        <v>279</v>
      </c>
      <c r="F44" s="16"/>
      <c r="L44" s="24"/>
      <c r="M44" s="24"/>
      <c r="N44" s="24"/>
      <c r="O44" s="24"/>
      <c r="P44" s="24"/>
      <c r="Q44" s="24"/>
      <c r="R44" s="47"/>
    </row>
    <row r="45" spans="2:18" x14ac:dyDescent="0.25">
      <c r="B45" s="25">
        <v>0.05</v>
      </c>
      <c r="C45" s="46" t="s">
        <v>280</v>
      </c>
      <c r="F45" s="16"/>
      <c r="L45" s="24"/>
      <c r="M45" s="24"/>
      <c r="N45" s="24"/>
      <c r="O45" s="24"/>
      <c r="P45" s="24"/>
      <c r="Q45" s="24"/>
      <c r="R45" s="47"/>
    </row>
    <row r="46" spans="2:18" x14ac:dyDescent="0.25">
      <c r="B46" s="25">
        <v>3.5000000000000003E-2</v>
      </c>
      <c r="C46" s="46" t="s">
        <v>281</v>
      </c>
      <c r="F46" s="16"/>
      <c r="L46" s="24"/>
      <c r="M46" s="24"/>
      <c r="N46" s="24"/>
      <c r="O46" s="24"/>
      <c r="P46" s="24"/>
      <c r="Q46" s="24"/>
      <c r="R46" s="47"/>
    </row>
    <row r="47" spans="2:18" x14ac:dyDescent="0.25">
      <c r="B47" s="25">
        <v>3.5000000000000003E-2</v>
      </c>
      <c r="C47" s="46" t="s">
        <v>282</v>
      </c>
      <c r="F47" s="16"/>
      <c r="L47" s="24"/>
      <c r="M47" s="24"/>
      <c r="N47" s="24"/>
      <c r="O47" s="24"/>
      <c r="P47" s="24"/>
      <c r="Q47" s="24"/>
      <c r="R47" s="47"/>
    </row>
    <row r="48" spans="2:18" x14ac:dyDescent="0.25">
      <c r="B48" s="25">
        <v>3.5000000000000003E-2</v>
      </c>
      <c r="C48" s="46" t="s">
        <v>283</v>
      </c>
      <c r="F48" s="16"/>
      <c r="L48" s="24"/>
      <c r="M48" s="24"/>
      <c r="N48" s="24"/>
      <c r="O48" s="24"/>
      <c r="P48" s="24"/>
      <c r="Q48" s="24"/>
      <c r="R48" s="47"/>
    </row>
    <row r="49" spans="2:18" x14ac:dyDescent="0.25">
      <c r="B49" s="25">
        <v>3.5000000000000003E-2</v>
      </c>
      <c r="C49" s="46" t="s">
        <v>284</v>
      </c>
      <c r="F49" s="16"/>
      <c r="L49" s="24"/>
      <c r="M49" s="24"/>
      <c r="N49" s="24"/>
      <c r="O49" s="24"/>
      <c r="P49" s="24"/>
      <c r="Q49" s="24"/>
      <c r="R49" s="47"/>
    </row>
    <row r="50" spans="2:18" x14ac:dyDescent="0.25">
      <c r="B50" s="25">
        <v>0.03</v>
      </c>
      <c r="C50" s="46" t="s">
        <v>285</v>
      </c>
      <c r="L50" s="24"/>
      <c r="M50" s="24"/>
      <c r="N50" s="24"/>
      <c r="O50" s="24"/>
      <c r="P50" s="24"/>
      <c r="Q50" s="24"/>
      <c r="R50" s="47"/>
    </row>
    <row r="51" spans="2:18" x14ac:dyDescent="0.25">
      <c r="B51" s="13"/>
      <c r="L51" s="24"/>
      <c r="M51" s="24"/>
      <c r="N51" s="24"/>
      <c r="O51" s="24"/>
      <c r="P51" s="24"/>
      <c r="Q51" s="24"/>
      <c r="R51" s="47"/>
    </row>
    <row r="52" spans="2:18" x14ac:dyDescent="0.25">
      <c r="B52" s="54">
        <f>((K226/B28)^0.3333333333)-1</f>
        <v>0.19318544888425193</v>
      </c>
      <c r="C52" s="1" t="s">
        <v>290</v>
      </c>
      <c r="L52" s="24"/>
      <c r="M52" s="24"/>
      <c r="N52" s="24"/>
      <c r="O52" s="24"/>
      <c r="P52" s="24"/>
      <c r="Q52" s="24"/>
      <c r="R52" s="47"/>
    </row>
    <row r="53" spans="2:18" x14ac:dyDescent="0.25">
      <c r="B53" s="54">
        <f>((M226/B28)^0.2)-1</f>
        <v>0.17979883978588029</v>
      </c>
      <c r="C53" s="1" t="s">
        <v>116</v>
      </c>
      <c r="L53" s="24"/>
      <c r="M53" s="24"/>
      <c r="N53" s="24"/>
      <c r="O53" s="24"/>
      <c r="P53" s="24"/>
      <c r="Q53" s="24"/>
      <c r="R53" s="47"/>
    </row>
    <row r="54" spans="2:18" x14ac:dyDescent="0.25">
      <c r="B54" s="54">
        <f>((R226/B28)^0.1)-1</f>
        <v>0.12879703532953646</v>
      </c>
      <c r="C54" s="1" t="s">
        <v>115</v>
      </c>
      <c r="L54" s="24"/>
      <c r="M54" s="24"/>
      <c r="N54" s="24"/>
      <c r="O54" s="24"/>
      <c r="P54" s="24"/>
      <c r="Q54" s="24"/>
      <c r="R54" s="47"/>
    </row>
    <row r="55" spans="2:18" x14ac:dyDescent="0.25">
      <c r="B55" s="13"/>
      <c r="L55" s="24"/>
      <c r="M55" s="24"/>
      <c r="N55" s="24"/>
      <c r="O55" s="24"/>
      <c r="P55" s="24"/>
      <c r="Q55" s="24"/>
      <c r="R55" s="47"/>
    </row>
    <row r="56" spans="2:18" x14ac:dyDescent="0.25">
      <c r="B56" s="13"/>
      <c r="L56" s="24"/>
      <c r="M56" s="24"/>
      <c r="N56" s="24"/>
      <c r="O56" s="24"/>
      <c r="P56" s="24"/>
      <c r="Q56" s="24"/>
      <c r="R56" s="47"/>
    </row>
    <row r="57" spans="2:18" ht="15.6" x14ac:dyDescent="0.3">
      <c r="B57" s="48" t="s">
        <v>111</v>
      </c>
      <c r="L57" s="16" t="str">
        <f>B12</f>
        <v>millions</v>
      </c>
      <c r="M57" s="46"/>
      <c r="N57" s="46"/>
      <c r="O57" s="46"/>
      <c r="R57" s="33"/>
    </row>
    <row r="58" spans="2:18" x14ac:dyDescent="0.25">
      <c r="B58" s="25">
        <v>0.27</v>
      </c>
      <c r="C58" s="1" t="s">
        <v>263</v>
      </c>
      <c r="F58" s="52" t="s">
        <v>293</v>
      </c>
      <c r="L58" s="14" t="s">
        <v>46</v>
      </c>
      <c r="M58" s="15">
        <f>$M$13</f>
        <v>2016</v>
      </c>
      <c r="N58" s="15">
        <f>$N$13</f>
        <v>2017</v>
      </c>
      <c r="O58" s="15">
        <f>$O$13</f>
        <v>2018</v>
      </c>
      <c r="P58" s="15">
        <f>$P$13</f>
        <v>2019</v>
      </c>
      <c r="Q58" s="15">
        <f>$Q$13</f>
        <v>2020</v>
      </c>
      <c r="R58" s="15" t="str">
        <f>$R$13</f>
        <v>ttm</v>
      </c>
    </row>
    <row r="59" spans="2:18" x14ac:dyDescent="0.25">
      <c r="B59" s="25">
        <v>0.27</v>
      </c>
      <c r="C59" s="1" t="s">
        <v>18</v>
      </c>
      <c r="F59" s="16"/>
      <c r="L59" s="17" t="s">
        <v>194</v>
      </c>
      <c r="M59" s="17">
        <v>23720</v>
      </c>
      <c r="N59" s="17">
        <v>28880</v>
      </c>
      <c r="O59" s="17">
        <v>31390</v>
      </c>
      <c r="P59" s="17">
        <v>34231</v>
      </c>
      <c r="Q59" s="17">
        <v>35393</v>
      </c>
      <c r="R59" s="17">
        <v>72480</v>
      </c>
    </row>
    <row r="60" spans="2:18" x14ac:dyDescent="0.25">
      <c r="B60" s="25">
        <v>0.27</v>
      </c>
      <c r="C60" s="1" t="s">
        <v>19</v>
      </c>
      <c r="F60" s="16" t="s">
        <v>295</v>
      </c>
      <c r="L60" s="1" t="s">
        <v>195</v>
      </c>
      <c r="M60" s="18">
        <f t="shared" ref="M60:R60" si="4">M59/M29</f>
        <v>0.26276143211627084</v>
      </c>
      <c r="N60" s="18">
        <f t="shared" si="4"/>
        <v>0.2605204997519282</v>
      </c>
      <c r="O60" s="18">
        <f t="shared" si="4"/>
        <v>0.22942719943867446</v>
      </c>
      <c r="P60" s="18">
        <f t="shared" si="4"/>
        <v>0.20537326685745483</v>
      </c>
      <c r="Q60" s="18">
        <f t="shared" si="4"/>
        <v>0.19390555917754634</v>
      </c>
      <c r="R60" s="18">
        <f t="shared" si="4"/>
        <v>0.30299736633083901</v>
      </c>
    </row>
    <row r="61" spans="2:18" x14ac:dyDescent="0.25">
      <c r="B61" s="25">
        <v>0.27</v>
      </c>
      <c r="C61" s="1" t="s">
        <v>20</v>
      </c>
      <c r="F61" s="16"/>
      <c r="L61" s="1" t="s">
        <v>51</v>
      </c>
      <c r="M61" s="18">
        <f>AVERAGE(M60:Q60)</f>
        <v>0.23039759146837491</v>
      </c>
    </row>
    <row r="62" spans="2:18" x14ac:dyDescent="0.25">
      <c r="B62" s="25">
        <v>0.27</v>
      </c>
      <c r="C62" s="1" t="s">
        <v>21</v>
      </c>
      <c r="F62" s="16" t="s">
        <v>299</v>
      </c>
      <c r="L62" s="1" t="s">
        <v>53</v>
      </c>
      <c r="M62" s="18">
        <f>AVERAGE(N60:Q60)</f>
        <v>0.22230663130640096</v>
      </c>
    </row>
    <row r="63" spans="2:18" x14ac:dyDescent="0.25">
      <c r="B63" s="25">
        <v>0.27</v>
      </c>
      <c r="C63" s="1" t="s">
        <v>22</v>
      </c>
      <c r="L63" s="1" t="s">
        <v>54</v>
      </c>
      <c r="M63" s="18">
        <f>AVERAGE(O60:Q60)</f>
        <v>0.20956867515789188</v>
      </c>
    </row>
    <row r="64" spans="2:18" x14ac:dyDescent="0.25">
      <c r="B64" s="25">
        <v>0.27</v>
      </c>
      <c r="C64" s="1" t="s">
        <v>23</v>
      </c>
      <c r="F64" s="16"/>
    </row>
    <row r="65" spans="2:3" x14ac:dyDescent="0.25">
      <c r="B65" s="25">
        <v>0.27</v>
      </c>
      <c r="C65" s="1" t="s">
        <v>24</v>
      </c>
    </row>
    <row r="66" spans="2:3" x14ac:dyDescent="0.25">
      <c r="B66" s="25">
        <v>0.27</v>
      </c>
      <c r="C66" s="1" t="s">
        <v>25</v>
      </c>
    </row>
    <row r="67" spans="2:3" x14ac:dyDescent="0.25">
      <c r="B67" s="25">
        <v>0.27</v>
      </c>
      <c r="C67" s="1" t="s">
        <v>26</v>
      </c>
    </row>
    <row r="68" spans="2:3" x14ac:dyDescent="0.25">
      <c r="B68" s="25">
        <v>0.27</v>
      </c>
      <c r="C68" s="1" t="s">
        <v>264</v>
      </c>
    </row>
    <row r="69" spans="2:3" x14ac:dyDescent="0.25">
      <c r="B69" s="25">
        <v>0.27</v>
      </c>
      <c r="C69" s="1" t="s">
        <v>265</v>
      </c>
    </row>
    <row r="70" spans="2:3" x14ac:dyDescent="0.25">
      <c r="B70" s="25">
        <v>0.27</v>
      </c>
      <c r="C70" s="1" t="s">
        <v>266</v>
      </c>
    </row>
    <row r="71" spans="2:3" x14ac:dyDescent="0.25">
      <c r="B71" s="25">
        <v>0.27</v>
      </c>
      <c r="C71" s="1" t="s">
        <v>267</v>
      </c>
    </row>
    <row r="72" spans="2:3" x14ac:dyDescent="0.25">
      <c r="B72" s="25">
        <v>0.27</v>
      </c>
      <c r="C72" s="1" t="s">
        <v>268</v>
      </c>
    </row>
    <row r="73" spans="2:3" x14ac:dyDescent="0.25">
      <c r="B73" s="25">
        <v>0.27</v>
      </c>
      <c r="C73" s="1" t="s">
        <v>269</v>
      </c>
    </row>
    <row r="74" spans="2:3" x14ac:dyDescent="0.25">
      <c r="B74" s="25">
        <v>0.27</v>
      </c>
      <c r="C74" s="1" t="s">
        <v>270</v>
      </c>
    </row>
    <row r="75" spans="2:3" x14ac:dyDescent="0.25">
      <c r="B75" s="25">
        <v>0.27</v>
      </c>
      <c r="C75" s="1" t="s">
        <v>271</v>
      </c>
    </row>
    <row r="76" spans="2:3" x14ac:dyDescent="0.25">
      <c r="B76" s="25">
        <v>0.27</v>
      </c>
      <c r="C76" s="1" t="s">
        <v>272</v>
      </c>
    </row>
    <row r="77" spans="2:3" x14ac:dyDescent="0.25">
      <c r="B77" s="25">
        <v>0.27</v>
      </c>
      <c r="C77" s="1" t="s">
        <v>273</v>
      </c>
    </row>
    <row r="78" spans="2:3" x14ac:dyDescent="0.25">
      <c r="B78" s="25">
        <v>0.27</v>
      </c>
      <c r="C78" s="1" t="s">
        <v>274</v>
      </c>
    </row>
    <row r="79" spans="2:3" x14ac:dyDescent="0.25">
      <c r="B79" s="19"/>
    </row>
    <row r="80" spans="2:3" x14ac:dyDescent="0.25">
      <c r="B80" s="19"/>
    </row>
    <row r="81" spans="2:18" ht="15.6" x14ac:dyDescent="0.3">
      <c r="B81" s="49" t="s">
        <v>155</v>
      </c>
      <c r="C81" s="16" t="str">
        <f>B12</f>
        <v>millions</v>
      </c>
    </row>
    <row r="82" spans="2:18" x14ac:dyDescent="0.25">
      <c r="B82" s="51">
        <v>282</v>
      </c>
      <c r="C82" s="1" t="s">
        <v>41</v>
      </c>
      <c r="E82" s="16"/>
    </row>
    <row r="83" spans="2:18" x14ac:dyDescent="0.25">
      <c r="B83" s="53">
        <f>((R29*R60) + R113)</f>
        <v>84978</v>
      </c>
      <c r="C83" s="1" t="s">
        <v>112</v>
      </c>
    </row>
    <row r="84" spans="2:18" x14ac:dyDescent="0.25">
      <c r="B84" s="19"/>
    </row>
    <row r="85" spans="2:18" x14ac:dyDescent="0.25">
      <c r="B85" s="19"/>
    </row>
    <row r="86" spans="2:18" ht="15.6" x14ac:dyDescent="0.3">
      <c r="B86" s="20" t="s">
        <v>9</v>
      </c>
      <c r="F86" s="16" t="s">
        <v>193</v>
      </c>
      <c r="L86" s="16" t="str">
        <f>B12</f>
        <v>millions</v>
      </c>
    </row>
    <row r="87" spans="2:18" x14ac:dyDescent="0.25">
      <c r="B87" s="25">
        <v>0.185</v>
      </c>
      <c r="C87" s="1" t="s">
        <v>96</v>
      </c>
      <c r="D87" s="16"/>
      <c r="L87" s="14" t="s">
        <v>46</v>
      </c>
      <c r="M87" s="15">
        <f>$M$13</f>
        <v>2016</v>
      </c>
      <c r="N87" s="15">
        <f>$N$13</f>
        <v>2017</v>
      </c>
      <c r="O87" s="15">
        <f>$O$13</f>
        <v>2018</v>
      </c>
      <c r="P87" s="15">
        <f>$P$13</f>
        <v>2019</v>
      </c>
      <c r="Q87" s="15">
        <f>$Q$13</f>
        <v>2020</v>
      </c>
      <c r="R87" s="15" t="str">
        <f>$R$13</f>
        <v>ttm</v>
      </c>
    </row>
    <row r="88" spans="2:18" x14ac:dyDescent="0.25">
      <c r="B88" s="25">
        <v>0.185</v>
      </c>
      <c r="C88" s="1" t="s">
        <v>97</v>
      </c>
      <c r="D88" s="16"/>
      <c r="F88" s="16" t="s">
        <v>294</v>
      </c>
      <c r="L88" s="17" t="s">
        <v>196</v>
      </c>
      <c r="M88" s="17">
        <v>4670</v>
      </c>
      <c r="N88" s="17">
        <v>14530</v>
      </c>
      <c r="O88" s="17">
        <v>4180</v>
      </c>
      <c r="P88" s="17">
        <v>5282</v>
      </c>
      <c r="Q88" s="17">
        <v>4384</v>
      </c>
      <c r="R88" s="17">
        <v>14403</v>
      </c>
    </row>
    <row r="89" spans="2:18" x14ac:dyDescent="0.25">
      <c r="B89" s="25">
        <v>0.185</v>
      </c>
      <c r="C89" s="1" t="s">
        <v>99</v>
      </c>
      <c r="D89" s="16"/>
      <c r="L89" s="70" t="s">
        <v>98</v>
      </c>
      <c r="M89" s="71">
        <f>M88/M59</f>
        <v>0.19688026981450252</v>
      </c>
      <c r="N89" s="71">
        <f t="shared" ref="N89:R89" si="5">N88/N59</f>
        <v>0.50311634349030476</v>
      </c>
      <c r="O89" s="71">
        <f t="shared" si="5"/>
        <v>0.13316342784326218</v>
      </c>
      <c r="P89" s="71">
        <f t="shared" si="5"/>
        <v>0.15430457772194794</v>
      </c>
      <c r="Q89" s="71">
        <f t="shared" si="5"/>
        <v>0.1238663012460091</v>
      </c>
      <c r="R89" s="71">
        <f t="shared" si="5"/>
        <v>0.19871688741721855</v>
      </c>
    </row>
    <row r="90" spans="2:18" x14ac:dyDescent="0.25">
      <c r="B90" s="25">
        <v>0.185</v>
      </c>
      <c r="C90" s="1" t="s">
        <v>100</v>
      </c>
      <c r="D90" s="16"/>
      <c r="F90" s="16" t="s">
        <v>118</v>
      </c>
      <c r="L90" s="1" t="s">
        <v>51</v>
      </c>
      <c r="M90" s="18">
        <f>AVERAGE(M89:Q89)</f>
        <v>0.22226618402320528</v>
      </c>
    </row>
    <row r="91" spans="2:18" x14ac:dyDescent="0.25">
      <c r="B91" s="25">
        <v>0.185</v>
      </c>
      <c r="C91" s="1" t="s">
        <v>101</v>
      </c>
      <c r="D91" s="16"/>
      <c r="F91" s="16" t="s">
        <v>119</v>
      </c>
      <c r="L91" s="1" t="s">
        <v>53</v>
      </c>
      <c r="M91" s="18">
        <f>AVERAGE(N89:Q89)</f>
        <v>0.22861266257538099</v>
      </c>
    </row>
    <row r="92" spans="2:18" x14ac:dyDescent="0.25">
      <c r="B92" s="25">
        <v>0.185</v>
      </c>
      <c r="C92" s="1" t="s">
        <v>102</v>
      </c>
      <c r="D92" s="16"/>
      <c r="L92" s="1" t="s">
        <v>54</v>
      </c>
      <c r="M92" s="18">
        <f>AVERAGE(O89:Q89)</f>
        <v>0.13711143560373976</v>
      </c>
    </row>
    <row r="93" spans="2:18" x14ac:dyDescent="0.25">
      <c r="B93" s="25">
        <v>0.185</v>
      </c>
      <c r="C93" s="1" t="s">
        <v>103</v>
      </c>
      <c r="D93" s="16"/>
      <c r="F93" s="16" t="s">
        <v>127</v>
      </c>
    </row>
    <row r="94" spans="2:18" x14ac:dyDescent="0.25">
      <c r="B94" s="25">
        <v>0.185</v>
      </c>
      <c r="C94" s="1" t="s">
        <v>104</v>
      </c>
      <c r="D94" s="16"/>
      <c r="L94" s="14" t="s">
        <v>46</v>
      </c>
      <c r="M94" s="14">
        <f>M13</f>
        <v>2016</v>
      </c>
      <c r="N94" s="14">
        <f t="shared" ref="N94:R94" si="6">N13</f>
        <v>2017</v>
      </c>
      <c r="O94" s="14">
        <f t="shared" si="6"/>
        <v>2018</v>
      </c>
      <c r="P94" s="14">
        <f t="shared" si="6"/>
        <v>2019</v>
      </c>
      <c r="Q94" s="14">
        <f t="shared" si="6"/>
        <v>2020</v>
      </c>
      <c r="R94" s="15" t="str">
        <f t="shared" si="6"/>
        <v>ttm</v>
      </c>
    </row>
    <row r="95" spans="2:18" x14ac:dyDescent="0.25">
      <c r="B95" s="25">
        <v>0.185</v>
      </c>
      <c r="C95" s="1" t="s">
        <v>105</v>
      </c>
      <c r="D95" s="16"/>
      <c r="F95" s="1" t="s">
        <v>197</v>
      </c>
      <c r="L95" s="1" t="s">
        <v>198</v>
      </c>
      <c r="M95" s="1">
        <v>19478</v>
      </c>
      <c r="N95" s="1">
        <v>12662</v>
      </c>
      <c r="O95" s="1">
        <v>30736</v>
      </c>
      <c r="P95" s="1">
        <v>34343</v>
      </c>
      <c r="Q95" s="1">
        <v>35713</v>
      </c>
      <c r="R95" s="1">
        <v>70618</v>
      </c>
    </row>
    <row r="96" spans="2:18" x14ac:dyDescent="0.25">
      <c r="B96" s="25">
        <v>0.185</v>
      </c>
      <c r="C96" s="1" t="s">
        <v>106</v>
      </c>
      <c r="D96" s="16"/>
    </row>
    <row r="97" spans="2:18" x14ac:dyDescent="0.25">
      <c r="B97" s="25">
        <v>0.185</v>
      </c>
      <c r="C97" s="1" t="s">
        <v>252</v>
      </c>
      <c r="D97" s="16"/>
    </row>
    <row r="98" spans="2:18" x14ac:dyDescent="0.25">
      <c r="B98" s="25">
        <v>0.185</v>
      </c>
      <c r="C98" s="1" t="s">
        <v>253</v>
      </c>
      <c r="D98" s="16"/>
    </row>
    <row r="99" spans="2:18" x14ac:dyDescent="0.25">
      <c r="B99" s="25">
        <v>0.185</v>
      </c>
      <c r="C99" s="1" t="s">
        <v>254</v>
      </c>
      <c r="D99" s="16"/>
    </row>
    <row r="100" spans="2:18" x14ac:dyDescent="0.25">
      <c r="B100" s="25">
        <v>0.185</v>
      </c>
      <c r="C100" s="1" t="s">
        <v>255</v>
      </c>
      <c r="D100" s="16"/>
    </row>
    <row r="101" spans="2:18" x14ac:dyDescent="0.25">
      <c r="B101" s="25">
        <v>0.185</v>
      </c>
      <c r="C101" s="1" t="s">
        <v>256</v>
      </c>
      <c r="D101" s="16"/>
    </row>
    <row r="102" spans="2:18" x14ac:dyDescent="0.25">
      <c r="B102" s="25">
        <v>0.185</v>
      </c>
      <c r="C102" s="1" t="s">
        <v>257</v>
      </c>
      <c r="D102" s="16"/>
    </row>
    <row r="103" spans="2:18" x14ac:dyDescent="0.25">
      <c r="B103" s="25">
        <v>0.185</v>
      </c>
      <c r="C103" s="1" t="s">
        <v>258</v>
      </c>
      <c r="D103" s="16"/>
    </row>
    <row r="104" spans="2:18" x14ac:dyDescent="0.25">
      <c r="B104" s="25">
        <v>0.185</v>
      </c>
      <c r="C104" s="1" t="s">
        <v>259</v>
      </c>
      <c r="D104" s="16"/>
    </row>
    <row r="105" spans="2:18" x14ac:dyDescent="0.25">
      <c r="B105" s="25">
        <v>0.185</v>
      </c>
      <c r="C105" s="1" t="s">
        <v>260</v>
      </c>
      <c r="D105" s="16"/>
    </row>
    <row r="106" spans="2:18" x14ac:dyDescent="0.25">
      <c r="B106" s="25">
        <v>0.185</v>
      </c>
      <c r="C106" s="1" t="s">
        <v>261</v>
      </c>
      <c r="D106" s="16"/>
    </row>
    <row r="107" spans="2:18" x14ac:dyDescent="0.25">
      <c r="B107" s="25">
        <v>0.185</v>
      </c>
      <c r="C107" s="1" t="s">
        <v>262</v>
      </c>
      <c r="D107" s="16"/>
    </row>
    <row r="108" spans="2:18" x14ac:dyDescent="0.25">
      <c r="B108" s="19"/>
      <c r="D108" s="16"/>
    </row>
    <row r="109" spans="2:18" x14ac:dyDescent="0.25">
      <c r="B109" s="19"/>
    </row>
    <row r="110" spans="2:18" ht="15.6" x14ac:dyDescent="0.3">
      <c r="B110" s="49" t="s">
        <v>14</v>
      </c>
    </row>
    <row r="111" spans="2:18" x14ac:dyDescent="0.25">
      <c r="B111" s="43">
        <v>7.0000000000000007E-2</v>
      </c>
      <c r="C111" s="1" t="s">
        <v>135</v>
      </c>
      <c r="L111" s="16" t="str">
        <f>B12</f>
        <v>millions</v>
      </c>
    </row>
    <row r="112" spans="2:18" x14ac:dyDescent="0.25">
      <c r="B112" s="43">
        <v>7.0000000000000007E-2</v>
      </c>
      <c r="C112" s="1" t="s">
        <v>136</v>
      </c>
      <c r="L112" s="14" t="s">
        <v>46</v>
      </c>
      <c r="M112" s="15">
        <f>$M$13</f>
        <v>2016</v>
      </c>
      <c r="N112" s="15">
        <f>$N$13</f>
        <v>2017</v>
      </c>
      <c r="O112" s="15">
        <f>$O$13</f>
        <v>2018</v>
      </c>
      <c r="P112" s="15">
        <f>$P$13</f>
        <v>2019</v>
      </c>
      <c r="Q112" s="15">
        <f>$Q$13</f>
        <v>2020</v>
      </c>
      <c r="R112" s="15" t="str">
        <f>$R$13</f>
        <v>ttm</v>
      </c>
    </row>
    <row r="113" spans="2:18" x14ac:dyDescent="0.25">
      <c r="B113" s="43">
        <v>7.0000000000000007E-2</v>
      </c>
      <c r="C113" s="1" t="s">
        <v>137</v>
      </c>
      <c r="L113" s="1" t="s">
        <v>168</v>
      </c>
      <c r="M113" s="1">
        <v>6144</v>
      </c>
      <c r="N113" s="1">
        <v>6915</v>
      </c>
      <c r="O113" s="1">
        <v>9035</v>
      </c>
      <c r="P113" s="1">
        <v>11781</v>
      </c>
      <c r="Q113" s="1">
        <v>13607</v>
      </c>
      <c r="R113" s="1">
        <v>12498</v>
      </c>
    </row>
    <row r="114" spans="2:18" x14ac:dyDescent="0.25">
      <c r="B114" s="43">
        <v>7.0000000000000007E-2</v>
      </c>
      <c r="C114" s="1" t="s">
        <v>138</v>
      </c>
      <c r="L114" s="70" t="s">
        <v>181</v>
      </c>
      <c r="M114" s="71">
        <f t="shared" ref="M114:R114" si="7">M113/M29</f>
        <v>6.8060971286777738E-2</v>
      </c>
      <c r="N114" s="71">
        <f t="shared" si="7"/>
        <v>6.237878309503405E-2</v>
      </c>
      <c r="O114" s="71">
        <f t="shared" si="7"/>
        <v>6.6036149949933856E-2</v>
      </c>
      <c r="P114" s="71">
        <f t="shared" si="7"/>
        <v>7.0681617739700137E-2</v>
      </c>
      <c r="Q114" s="71">
        <f t="shared" si="7"/>
        <v>7.4547875108887995E-2</v>
      </c>
      <c r="R114" s="71">
        <f t="shared" si="7"/>
        <v>5.2246979641319344E-2</v>
      </c>
    </row>
    <row r="115" spans="2:18" x14ac:dyDescent="0.25">
      <c r="B115" s="43">
        <v>7.0000000000000007E-2</v>
      </c>
      <c r="C115" s="1" t="s">
        <v>139</v>
      </c>
      <c r="L115" s="1" t="s">
        <v>51</v>
      </c>
      <c r="M115" s="18">
        <f>AVERAGE(M114:Q114)</f>
        <v>6.8341079436066765E-2</v>
      </c>
    </row>
    <row r="116" spans="2:18" x14ac:dyDescent="0.25">
      <c r="B116" s="43">
        <v>0.05</v>
      </c>
      <c r="C116" s="1" t="s">
        <v>140</v>
      </c>
      <c r="L116" s="1" t="s">
        <v>53</v>
      </c>
      <c r="M116" s="18">
        <f>AVERAGE(N114:Q114)</f>
        <v>6.8411106473389008E-2</v>
      </c>
    </row>
    <row r="117" spans="2:18" x14ac:dyDescent="0.25">
      <c r="B117" s="43">
        <v>0.05</v>
      </c>
      <c r="C117" s="1" t="s">
        <v>141</v>
      </c>
      <c r="L117" s="1" t="s">
        <v>54</v>
      </c>
      <c r="M117" s="18">
        <f>AVERAGE(O114:Q114)</f>
        <v>7.0421880932840672E-2</v>
      </c>
    </row>
    <row r="118" spans="2:18" x14ac:dyDescent="0.25">
      <c r="B118" s="43">
        <v>0.05</v>
      </c>
      <c r="C118" s="1" t="s">
        <v>142</v>
      </c>
    </row>
    <row r="119" spans="2:18" x14ac:dyDescent="0.25">
      <c r="B119" s="43">
        <v>0.05</v>
      </c>
      <c r="C119" s="1" t="s">
        <v>143</v>
      </c>
    </row>
    <row r="120" spans="2:18" x14ac:dyDescent="0.25">
      <c r="B120" s="43">
        <v>0.05</v>
      </c>
      <c r="C120" s="1" t="s">
        <v>144</v>
      </c>
    </row>
    <row r="121" spans="2:18" x14ac:dyDescent="0.25">
      <c r="B121" s="43">
        <v>0.05</v>
      </c>
      <c r="C121" s="1" t="s">
        <v>241</v>
      </c>
    </row>
    <row r="122" spans="2:18" x14ac:dyDescent="0.25">
      <c r="B122" s="43">
        <v>0.05</v>
      </c>
      <c r="C122" s="1" t="s">
        <v>242</v>
      </c>
    </row>
    <row r="123" spans="2:18" x14ac:dyDescent="0.25">
      <c r="B123" s="43">
        <v>0.05</v>
      </c>
      <c r="C123" s="1" t="s">
        <v>243</v>
      </c>
    </row>
    <row r="124" spans="2:18" x14ac:dyDescent="0.25">
      <c r="B124" s="43">
        <v>0.05</v>
      </c>
      <c r="C124" s="1" t="s">
        <v>244</v>
      </c>
    </row>
    <row r="125" spans="2:18" x14ac:dyDescent="0.25">
      <c r="B125" s="43">
        <v>0.05</v>
      </c>
      <c r="C125" s="1" t="s">
        <v>245</v>
      </c>
    </row>
    <row r="126" spans="2:18" x14ac:dyDescent="0.25">
      <c r="B126" s="43">
        <v>0.05</v>
      </c>
      <c r="C126" s="1" t="s">
        <v>246</v>
      </c>
    </row>
    <row r="127" spans="2:18" x14ac:dyDescent="0.25">
      <c r="B127" s="43">
        <v>0.05</v>
      </c>
      <c r="C127" s="1" t="s">
        <v>247</v>
      </c>
    </row>
    <row r="128" spans="2:18" x14ac:dyDescent="0.25">
      <c r="B128" s="43">
        <v>0.05</v>
      </c>
      <c r="C128" s="1" t="s">
        <v>248</v>
      </c>
    </row>
    <row r="129" spans="2:18" x14ac:dyDescent="0.25">
      <c r="B129" s="43">
        <v>0.05</v>
      </c>
      <c r="C129" s="1" t="s">
        <v>249</v>
      </c>
    </row>
    <row r="130" spans="2:18" x14ac:dyDescent="0.25">
      <c r="B130" s="43">
        <v>0.05</v>
      </c>
      <c r="C130" s="1" t="s">
        <v>250</v>
      </c>
    </row>
    <row r="131" spans="2:18" x14ac:dyDescent="0.25">
      <c r="B131" s="43">
        <v>0.05</v>
      </c>
      <c r="C131" s="1" t="s">
        <v>251</v>
      </c>
    </row>
    <row r="132" spans="2:18" x14ac:dyDescent="0.25">
      <c r="B132" s="21"/>
    </row>
    <row r="133" spans="2:18" x14ac:dyDescent="0.25">
      <c r="B133" s="21"/>
    </row>
    <row r="134" spans="2:18" ht="15.6" x14ac:dyDescent="0.3">
      <c r="B134" s="22" t="s">
        <v>27</v>
      </c>
    </row>
    <row r="135" spans="2:18" x14ac:dyDescent="0.25">
      <c r="B135" s="43">
        <v>0.15</v>
      </c>
      <c r="C135" s="1" t="s">
        <v>29</v>
      </c>
      <c r="F135" s="16" t="s">
        <v>76</v>
      </c>
      <c r="L135" s="16" t="str">
        <f>B12</f>
        <v>millions</v>
      </c>
    </row>
    <row r="136" spans="2:18" x14ac:dyDescent="0.25">
      <c r="B136" s="43">
        <v>0.15</v>
      </c>
      <c r="C136" s="1" t="s">
        <v>30</v>
      </c>
      <c r="L136" s="14" t="s">
        <v>46</v>
      </c>
      <c r="M136" s="15">
        <f>$M$13</f>
        <v>2016</v>
      </c>
      <c r="N136" s="15">
        <f>$N$13</f>
        <v>2017</v>
      </c>
      <c r="O136" s="15">
        <f>$O$13</f>
        <v>2018</v>
      </c>
      <c r="P136" s="15">
        <f>$P$13</f>
        <v>2019</v>
      </c>
      <c r="Q136" s="15">
        <f>$Q$13</f>
        <v>2020</v>
      </c>
      <c r="R136" s="15" t="str">
        <f>$R$13</f>
        <v>ttm</v>
      </c>
    </row>
    <row r="137" spans="2:18" x14ac:dyDescent="0.25">
      <c r="B137" s="43">
        <v>0.15</v>
      </c>
      <c r="C137" s="1" t="s">
        <v>31</v>
      </c>
      <c r="L137" s="1" t="s">
        <v>48</v>
      </c>
      <c r="M137" s="1">
        <v>10212</v>
      </c>
      <c r="N137" s="1">
        <v>13184</v>
      </c>
      <c r="O137" s="1">
        <v>25139</v>
      </c>
      <c r="P137" s="1">
        <v>23548</v>
      </c>
      <c r="Q137" s="1">
        <v>22281</v>
      </c>
      <c r="R137" s="1">
        <v>23736</v>
      </c>
    </row>
    <row r="138" spans="2:18" x14ac:dyDescent="0.25">
      <c r="B138" s="43">
        <v>0.15</v>
      </c>
      <c r="C138" s="1" t="s">
        <v>32</v>
      </c>
      <c r="L138" s="1" t="s">
        <v>49</v>
      </c>
      <c r="M138" s="1">
        <v>986</v>
      </c>
      <c r="N138" s="1">
        <v>287</v>
      </c>
      <c r="O138" s="1">
        <v>1491</v>
      </c>
      <c r="P138" s="1">
        <v>2515</v>
      </c>
      <c r="Q138" s="1">
        <v>738</v>
      </c>
      <c r="R138" s="1">
        <v>2603</v>
      </c>
    </row>
    <row r="139" spans="2:18" x14ac:dyDescent="0.25">
      <c r="B139" s="43">
        <v>0.15</v>
      </c>
      <c r="C139" s="1" t="s">
        <v>33</v>
      </c>
      <c r="L139" s="24" t="s">
        <v>55</v>
      </c>
      <c r="M139" s="24">
        <v>0</v>
      </c>
      <c r="N139" s="24">
        <v>99</v>
      </c>
      <c r="O139" s="24">
        <v>98</v>
      </c>
      <c r="P139" s="24">
        <v>0</v>
      </c>
      <c r="Q139" s="24">
        <v>0</v>
      </c>
      <c r="R139" s="24">
        <v>0</v>
      </c>
    </row>
    <row r="140" spans="2:18" x14ac:dyDescent="0.25">
      <c r="B140" s="43">
        <v>0.1</v>
      </c>
      <c r="C140" s="1" t="s">
        <v>34</v>
      </c>
      <c r="L140" s="14" t="s">
        <v>56</v>
      </c>
      <c r="M140" s="82">
        <f t="shared" ref="M140:R140" si="8">M137+M138-M139</f>
        <v>11198</v>
      </c>
      <c r="N140" s="82">
        <f t="shared" si="8"/>
        <v>13372</v>
      </c>
      <c r="O140" s="82">
        <f t="shared" si="8"/>
        <v>26532</v>
      </c>
      <c r="P140" s="82">
        <f t="shared" si="8"/>
        <v>26063</v>
      </c>
      <c r="Q140" s="82">
        <f t="shared" si="8"/>
        <v>23019</v>
      </c>
      <c r="R140" s="82">
        <f t="shared" si="8"/>
        <v>26339</v>
      </c>
    </row>
    <row r="141" spans="2:18" x14ac:dyDescent="0.25">
      <c r="B141" s="43">
        <v>0.1</v>
      </c>
      <c r="C141" s="1" t="s">
        <v>35</v>
      </c>
      <c r="L141" s="1" t="s">
        <v>182</v>
      </c>
      <c r="M141" s="18">
        <f t="shared" ref="M141:R141" si="9">M140/M29</f>
        <v>0.12404732364409783</v>
      </c>
      <c r="N141" s="18">
        <f t="shared" si="9"/>
        <v>0.12062604302918227</v>
      </c>
      <c r="O141" s="18">
        <f t="shared" si="9"/>
        <v>0.19392043502729883</v>
      </c>
      <c r="P141" s="18">
        <f t="shared" si="9"/>
        <v>0.15636830516507977</v>
      </c>
      <c r="Q141" s="18">
        <f t="shared" si="9"/>
        <v>0.12611284905794759</v>
      </c>
      <c r="R141" s="18">
        <f t="shared" si="9"/>
        <v>0.1101082730655073</v>
      </c>
    </row>
    <row r="142" spans="2:18" x14ac:dyDescent="0.25">
      <c r="B142" s="43">
        <v>0.1</v>
      </c>
      <c r="C142" s="1" t="s">
        <v>36</v>
      </c>
      <c r="L142" s="1" t="s">
        <v>51</v>
      </c>
      <c r="M142" s="18">
        <f>AVERAGE(M141:Q141)</f>
        <v>0.14421499118472128</v>
      </c>
      <c r="N142" s="18"/>
      <c r="O142" s="18"/>
      <c r="P142" s="18"/>
      <c r="Q142" s="18"/>
    </row>
    <row r="143" spans="2:18" x14ac:dyDescent="0.25">
      <c r="B143" s="43">
        <v>0.1</v>
      </c>
      <c r="C143" s="1" t="s">
        <v>37</v>
      </c>
      <c r="L143" s="1" t="s">
        <v>53</v>
      </c>
      <c r="M143" s="18">
        <f>AVERAGE(N141:Q141)</f>
        <v>0.14925690806987713</v>
      </c>
    </row>
    <row r="144" spans="2:18" x14ac:dyDescent="0.25">
      <c r="B144" s="43">
        <v>0.1</v>
      </c>
      <c r="C144" s="1" t="s">
        <v>38</v>
      </c>
      <c r="L144" s="1" t="s">
        <v>54</v>
      </c>
      <c r="M144" s="18">
        <f>AVERAGE(O141:Q141)</f>
        <v>0.15880052975010872</v>
      </c>
      <c r="P144" s="18"/>
    </row>
    <row r="145" spans="2:18" x14ac:dyDescent="0.25">
      <c r="B145" s="43">
        <v>0.08</v>
      </c>
      <c r="C145" s="1" t="s">
        <v>230</v>
      </c>
      <c r="M145" s="18"/>
      <c r="P145" s="18"/>
    </row>
    <row r="146" spans="2:18" x14ac:dyDescent="0.25">
      <c r="B146" s="43">
        <v>0.08</v>
      </c>
      <c r="C146" s="1" t="s">
        <v>231</v>
      </c>
      <c r="M146" s="18"/>
      <c r="P146" s="18"/>
    </row>
    <row r="147" spans="2:18" x14ac:dyDescent="0.25">
      <c r="B147" s="43">
        <v>0.08</v>
      </c>
      <c r="C147" s="1" t="s">
        <v>232</v>
      </c>
      <c r="M147" s="18"/>
      <c r="P147" s="18"/>
    </row>
    <row r="148" spans="2:18" x14ac:dyDescent="0.25">
      <c r="B148" s="43">
        <v>0.08</v>
      </c>
      <c r="C148" s="1" t="s">
        <v>233</v>
      </c>
      <c r="M148" s="18"/>
      <c r="P148" s="18"/>
    </row>
    <row r="149" spans="2:18" x14ac:dyDescent="0.25">
      <c r="B149" s="43">
        <v>0.08</v>
      </c>
      <c r="C149" s="1" t="s">
        <v>234</v>
      </c>
      <c r="M149" s="18"/>
      <c r="P149" s="18"/>
    </row>
    <row r="150" spans="2:18" x14ac:dyDescent="0.25">
      <c r="B150" s="43">
        <v>0.06</v>
      </c>
      <c r="C150" s="1" t="s">
        <v>235</v>
      </c>
      <c r="M150" s="18"/>
      <c r="P150" s="18"/>
    </row>
    <row r="151" spans="2:18" x14ac:dyDescent="0.25">
      <c r="B151" s="43">
        <v>0.06</v>
      </c>
      <c r="C151" s="1" t="s">
        <v>236</v>
      </c>
      <c r="M151" s="18"/>
      <c r="P151" s="18"/>
    </row>
    <row r="152" spans="2:18" x14ac:dyDescent="0.25">
      <c r="B152" s="43">
        <v>0.06</v>
      </c>
      <c r="C152" s="1" t="s">
        <v>237</v>
      </c>
      <c r="M152" s="18"/>
      <c r="P152" s="18"/>
    </row>
    <row r="153" spans="2:18" x14ac:dyDescent="0.25">
      <c r="B153" s="43">
        <v>0.06</v>
      </c>
      <c r="C153" s="1" t="s">
        <v>238</v>
      </c>
      <c r="M153" s="18"/>
      <c r="P153" s="18"/>
    </row>
    <row r="154" spans="2:18" x14ac:dyDescent="0.25">
      <c r="B154" s="43">
        <v>0.06</v>
      </c>
      <c r="C154" s="1" t="s">
        <v>239</v>
      </c>
      <c r="M154" s="18"/>
      <c r="P154" s="18"/>
    </row>
    <row r="155" spans="2:18" x14ac:dyDescent="0.25">
      <c r="B155" s="43">
        <v>0.06</v>
      </c>
      <c r="C155" s="1" t="s">
        <v>240</v>
      </c>
    </row>
    <row r="156" spans="2:18" x14ac:dyDescent="0.25">
      <c r="B156" s="13"/>
    </row>
    <row r="157" spans="2:18" x14ac:dyDescent="0.25">
      <c r="B157" s="13"/>
    </row>
    <row r="158" spans="2:18" ht="15.6" x14ac:dyDescent="0.3">
      <c r="B158" s="23" t="s">
        <v>40</v>
      </c>
      <c r="L158" s="16" t="str">
        <f>B12</f>
        <v>millions</v>
      </c>
      <c r="M158" s="16"/>
    </row>
    <row r="159" spans="2:18" x14ac:dyDescent="0.25">
      <c r="B159" s="43">
        <v>7.0000000000000007E-2</v>
      </c>
      <c r="C159" s="1" t="s">
        <v>145</v>
      </c>
      <c r="F159" s="16" t="s">
        <v>80</v>
      </c>
      <c r="L159" s="14" t="s">
        <v>46</v>
      </c>
      <c r="M159" s="15">
        <f>$M$13</f>
        <v>2016</v>
      </c>
      <c r="N159" s="15">
        <f>$N$13</f>
        <v>2017</v>
      </c>
      <c r="O159" s="15">
        <f>$O$13</f>
        <v>2018</v>
      </c>
      <c r="P159" s="15">
        <f>$P$13</f>
        <v>2019</v>
      </c>
      <c r="Q159" s="15">
        <f>$Q$13</f>
        <v>2020</v>
      </c>
      <c r="R159" s="15" t="str">
        <f>$R$13</f>
        <v>ttm</v>
      </c>
    </row>
    <row r="160" spans="2:18" x14ac:dyDescent="0.25">
      <c r="B160" s="43">
        <v>7.0000000000000007E-2</v>
      </c>
      <c r="C160" s="1" t="s">
        <v>146</v>
      </c>
      <c r="F160" s="16" t="s">
        <v>79</v>
      </c>
      <c r="L160" s="1" t="s">
        <v>78</v>
      </c>
      <c r="M160" s="1">
        <v>6703</v>
      </c>
      <c r="N160" s="1">
        <v>7679</v>
      </c>
      <c r="O160" s="1">
        <v>9353</v>
      </c>
      <c r="P160" s="1">
        <v>10794</v>
      </c>
      <c r="Q160" s="1">
        <v>12991</v>
      </c>
      <c r="R160" s="1">
        <v>14645</v>
      </c>
    </row>
    <row r="161" spans="2:18" x14ac:dyDescent="0.25">
      <c r="B161" s="43">
        <v>7.0000000000000007E-2</v>
      </c>
      <c r="C161" s="1" t="s">
        <v>147</v>
      </c>
      <c r="L161" s="70" t="s">
        <v>183</v>
      </c>
      <c r="M161" s="71">
        <f t="shared" ref="M161:R161" si="10">M160/M29</f>
        <v>7.4253367600141798E-2</v>
      </c>
      <c r="N161" s="71">
        <f t="shared" si="10"/>
        <v>6.9270668891795589E-2</v>
      </c>
      <c r="O161" s="71">
        <f t="shared" si="10"/>
        <v>6.836038854252699E-2</v>
      </c>
      <c r="P161" s="71">
        <f t="shared" si="10"/>
        <v>6.4759984880937385E-2</v>
      </c>
      <c r="Q161" s="71">
        <f t="shared" si="10"/>
        <v>7.1173031935001393E-2</v>
      </c>
      <c r="R161" s="71">
        <f t="shared" si="10"/>
        <v>6.1222356924877722E-2</v>
      </c>
    </row>
    <row r="162" spans="2:18" x14ac:dyDescent="0.25">
      <c r="B162" s="43">
        <v>7.0000000000000007E-2</v>
      </c>
      <c r="C162" s="1" t="s">
        <v>148</v>
      </c>
      <c r="F162" s="16" t="s">
        <v>81</v>
      </c>
      <c r="L162" s="1" t="s">
        <v>51</v>
      </c>
      <c r="M162" s="18">
        <f>AVERAGE(M161:Q161)</f>
        <v>6.9563488370080639E-2</v>
      </c>
      <c r="N162" s="18"/>
      <c r="O162" s="18"/>
      <c r="P162" s="18"/>
      <c r="Q162" s="18"/>
      <c r="R162" s="18"/>
    </row>
    <row r="163" spans="2:18" x14ac:dyDescent="0.25">
      <c r="B163" s="43">
        <v>7.0000000000000007E-2</v>
      </c>
      <c r="C163" s="1" t="s">
        <v>149</v>
      </c>
      <c r="F163" s="16" t="s">
        <v>120</v>
      </c>
      <c r="L163" s="1" t="s">
        <v>53</v>
      </c>
      <c r="M163" s="18">
        <f>AVERAGE(N161:Q161)</f>
        <v>6.8391018562565339E-2</v>
      </c>
      <c r="N163" s="18"/>
      <c r="O163" s="18"/>
      <c r="P163" s="18"/>
      <c r="Q163" s="18"/>
      <c r="R163" s="18"/>
    </row>
    <row r="164" spans="2:18" x14ac:dyDescent="0.25">
      <c r="B164" s="43">
        <v>0.04</v>
      </c>
      <c r="C164" s="1" t="s">
        <v>150</v>
      </c>
      <c r="L164" s="1" t="s">
        <v>54</v>
      </c>
      <c r="M164" s="18">
        <f>AVERAGE(O161:Q161)</f>
        <v>6.8097801786155265E-2</v>
      </c>
    </row>
    <row r="165" spans="2:18" x14ac:dyDescent="0.25">
      <c r="B165" s="43">
        <v>0.04</v>
      </c>
      <c r="C165" s="1" t="s">
        <v>151</v>
      </c>
    </row>
    <row r="166" spans="2:18" x14ac:dyDescent="0.25">
      <c r="B166" s="43">
        <v>0.04</v>
      </c>
      <c r="C166" s="1" t="s">
        <v>152</v>
      </c>
    </row>
    <row r="167" spans="2:18" x14ac:dyDescent="0.25">
      <c r="B167" s="43">
        <v>0.04</v>
      </c>
      <c r="C167" s="1" t="s">
        <v>153</v>
      </c>
    </row>
    <row r="168" spans="2:18" x14ac:dyDescent="0.25">
      <c r="B168" s="43">
        <v>0.04</v>
      </c>
      <c r="C168" s="1" t="s">
        <v>154</v>
      </c>
    </row>
    <row r="169" spans="2:18" x14ac:dyDescent="0.25">
      <c r="B169" s="43">
        <v>0.03</v>
      </c>
      <c r="C169" s="1" t="s">
        <v>219</v>
      </c>
    </row>
    <row r="170" spans="2:18" x14ac:dyDescent="0.25">
      <c r="B170" s="43">
        <v>0.03</v>
      </c>
      <c r="C170" s="1" t="s">
        <v>220</v>
      </c>
    </row>
    <row r="171" spans="2:18" x14ac:dyDescent="0.25">
      <c r="B171" s="43">
        <v>0.03</v>
      </c>
      <c r="C171" s="1" t="s">
        <v>221</v>
      </c>
    </row>
    <row r="172" spans="2:18" x14ac:dyDescent="0.25">
      <c r="B172" s="43">
        <v>0.03</v>
      </c>
      <c r="C172" s="1" t="s">
        <v>222</v>
      </c>
    </row>
    <row r="173" spans="2:18" x14ac:dyDescent="0.25">
      <c r="B173" s="43">
        <v>0.03</v>
      </c>
      <c r="C173" s="1" t="s">
        <v>223</v>
      </c>
    </row>
    <row r="174" spans="2:18" x14ac:dyDescent="0.25">
      <c r="B174" s="43">
        <v>0.03</v>
      </c>
      <c r="C174" s="1" t="s">
        <v>224</v>
      </c>
    </row>
    <row r="175" spans="2:18" x14ac:dyDescent="0.25">
      <c r="B175" s="43">
        <v>0.03</v>
      </c>
      <c r="C175" s="1" t="s">
        <v>225</v>
      </c>
    </row>
    <row r="176" spans="2:18" x14ac:dyDescent="0.25">
      <c r="B176" s="43">
        <v>0.03</v>
      </c>
      <c r="C176" s="1" t="s">
        <v>226</v>
      </c>
    </row>
    <row r="177" spans="2:18" x14ac:dyDescent="0.25">
      <c r="B177" s="43">
        <v>0.03</v>
      </c>
      <c r="C177" s="1" t="s">
        <v>227</v>
      </c>
    </row>
    <row r="178" spans="2:18" x14ac:dyDescent="0.25">
      <c r="B178" s="43">
        <v>0.03</v>
      </c>
      <c r="C178" s="1" t="s">
        <v>228</v>
      </c>
    </row>
    <row r="179" spans="2:18" x14ac:dyDescent="0.25">
      <c r="B179" s="43">
        <v>0.03</v>
      </c>
      <c r="C179" s="1" t="s">
        <v>229</v>
      </c>
    </row>
    <row r="180" spans="2:18" x14ac:dyDescent="0.25">
      <c r="B180" s="13"/>
    </row>
    <row r="181" spans="2:18" x14ac:dyDescent="0.25">
      <c r="B181" s="13"/>
    </row>
    <row r="182" spans="2:18" ht="15.6" x14ac:dyDescent="0.3">
      <c r="B182" s="23" t="s">
        <v>180</v>
      </c>
    </row>
    <row r="183" spans="2:18" x14ac:dyDescent="0.25">
      <c r="B183" s="43">
        <v>-0.02</v>
      </c>
      <c r="C183" s="1" t="s">
        <v>170</v>
      </c>
      <c r="F183" s="16"/>
      <c r="L183" s="16" t="str">
        <f>B12</f>
        <v>millions</v>
      </c>
    </row>
    <row r="184" spans="2:18" x14ac:dyDescent="0.25">
      <c r="B184" s="43">
        <v>-0.02</v>
      </c>
      <c r="C184" s="1" t="s">
        <v>171</v>
      </c>
      <c r="L184" s="14" t="s">
        <v>46</v>
      </c>
      <c r="M184" s="15">
        <f>$M$13</f>
        <v>2016</v>
      </c>
      <c r="N184" s="15">
        <f>$N$13</f>
        <v>2017</v>
      </c>
      <c r="O184" s="15">
        <f>$O$13</f>
        <v>2018</v>
      </c>
      <c r="P184" s="15">
        <f>$P$13</f>
        <v>2019</v>
      </c>
      <c r="Q184" s="15">
        <f>$Q$13</f>
        <v>2020</v>
      </c>
      <c r="R184" s="15" t="s">
        <v>50</v>
      </c>
    </row>
    <row r="185" spans="2:18" x14ac:dyDescent="0.25">
      <c r="B185" s="43">
        <v>-0.02</v>
      </c>
      <c r="C185" s="1" t="s">
        <v>172</v>
      </c>
      <c r="F185" s="16"/>
      <c r="L185" s="14" t="s">
        <v>184</v>
      </c>
      <c r="M185" s="81">
        <f t="shared" ref="M185:R185" si="11">M59*(1-M89)+M113+M160-M192</f>
        <v>-4143</v>
      </c>
      <c r="N185" s="81">
        <f t="shared" si="11"/>
        <v>-8146</v>
      </c>
      <c r="O185" s="81">
        <f t="shared" si="11"/>
        <v>-2372</v>
      </c>
      <c r="P185" s="81">
        <f t="shared" si="11"/>
        <v>-1556</v>
      </c>
      <c r="Q185" s="81">
        <f t="shared" si="11"/>
        <v>-7517</v>
      </c>
      <c r="R185" s="81">
        <f t="shared" si="11"/>
        <v>-4175</v>
      </c>
    </row>
    <row r="186" spans="2:18" x14ac:dyDescent="0.25">
      <c r="B186" s="43">
        <v>-0.02</v>
      </c>
      <c r="C186" s="1" t="s">
        <v>173</v>
      </c>
      <c r="L186" s="70" t="s">
        <v>185</v>
      </c>
      <c r="M186" s="71">
        <f t="shared" ref="M186:R186" si="12">M185/M29</f>
        <v>-4.58946295639844E-2</v>
      </c>
      <c r="N186" s="71">
        <f t="shared" si="12"/>
        <v>-7.3483379189030709E-2</v>
      </c>
      <c r="O186" s="71">
        <f t="shared" si="12"/>
        <v>-1.7336773401355074E-2</v>
      </c>
      <c r="P186" s="71">
        <f t="shared" si="12"/>
        <v>-9.3354212038853582E-3</v>
      </c>
      <c r="Q186" s="71">
        <f t="shared" si="12"/>
        <v>-4.1182948276145444E-2</v>
      </c>
      <c r="R186" s="71">
        <f t="shared" si="12"/>
        <v>-1.7453283725596756E-2</v>
      </c>
    </row>
    <row r="187" spans="2:18" x14ac:dyDescent="0.25">
      <c r="B187" s="43">
        <v>-0.02</v>
      </c>
      <c r="C187" s="1" t="s">
        <v>174</v>
      </c>
      <c r="L187" s="1" t="s">
        <v>51</v>
      </c>
      <c r="M187" s="18">
        <f>AVERAGE(M186:Q186)</f>
        <v>-3.7446630326880191E-2</v>
      </c>
      <c r="N187" s="18"/>
      <c r="O187" s="18"/>
      <c r="P187" s="18"/>
      <c r="Q187" s="18"/>
      <c r="R187" s="18"/>
    </row>
    <row r="188" spans="2:18" x14ac:dyDescent="0.25">
      <c r="B188" s="43">
        <v>-0.01</v>
      </c>
      <c r="C188" s="1" t="s">
        <v>175</v>
      </c>
      <c r="L188" s="1" t="s">
        <v>53</v>
      </c>
      <c r="M188" s="18">
        <f>AVERAGE(N186:Q186)</f>
        <v>-3.5334630517604146E-2</v>
      </c>
    </row>
    <row r="189" spans="2:18" x14ac:dyDescent="0.25">
      <c r="B189" s="43">
        <v>-0.01</v>
      </c>
      <c r="C189" s="1" t="s">
        <v>176</v>
      </c>
      <c r="L189" s="1" t="s">
        <v>54</v>
      </c>
      <c r="M189" s="18">
        <f>AVERAGE(O186:Q186)</f>
        <v>-2.2618380960461957E-2</v>
      </c>
    </row>
    <row r="190" spans="2:18" x14ac:dyDescent="0.25">
      <c r="B190" s="43">
        <v>-0.01</v>
      </c>
      <c r="C190" s="1" t="s">
        <v>177</v>
      </c>
    </row>
    <row r="191" spans="2:18" x14ac:dyDescent="0.25">
      <c r="B191" s="43">
        <v>-0.01</v>
      </c>
      <c r="C191" s="1" t="s">
        <v>178</v>
      </c>
      <c r="L191" s="14" t="s">
        <v>46</v>
      </c>
      <c r="M191" s="14">
        <f t="shared" ref="M191:R191" si="13">M13</f>
        <v>2016</v>
      </c>
      <c r="N191" s="14">
        <f t="shared" si="13"/>
        <v>2017</v>
      </c>
      <c r="O191" s="14">
        <f t="shared" si="13"/>
        <v>2018</v>
      </c>
      <c r="P191" s="14">
        <f t="shared" si="13"/>
        <v>2019</v>
      </c>
      <c r="Q191" s="14">
        <f t="shared" si="13"/>
        <v>2020</v>
      </c>
      <c r="R191" s="15" t="str">
        <f t="shared" si="13"/>
        <v>ttm</v>
      </c>
    </row>
    <row r="192" spans="2:18" x14ac:dyDescent="0.25">
      <c r="B192" s="43">
        <v>-0.01</v>
      </c>
      <c r="C192" s="1" t="s">
        <v>179</v>
      </c>
      <c r="L192" s="1" t="s">
        <v>169</v>
      </c>
      <c r="M192" s="1">
        <v>36040</v>
      </c>
      <c r="N192" s="1">
        <v>37090</v>
      </c>
      <c r="O192" s="1">
        <v>47970</v>
      </c>
      <c r="P192" s="1">
        <v>53080</v>
      </c>
      <c r="Q192" s="1">
        <v>65124</v>
      </c>
      <c r="R192" s="1">
        <v>89395</v>
      </c>
    </row>
    <row r="193" spans="2:18" x14ac:dyDescent="0.25">
      <c r="B193" s="43">
        <v>0</v>
      </c>
      <c r="C193" s="1" t="s">
        <v>208</v>
      </c>
    </row>
    <row r="194" spans="2:18" x14ac:dyDescent="0.25">
      <c r="B194" s="43">
        <v>0</v>
      </c>
      <c r="C194" s="1" t="s">
        <v>209</v>
      </c>
    </row>
    <row r="195" spans="2:18" x14ac:dyDescent="0.25">
      <c r="B195" s="43">
        <v>0</v>
      </c>
      <c r="C195" s="1" t="s">
        <v>210</v>
      </c>
    </row>
    <row r="196" spans="2:18" x14ac:dyDescent="0.25">
      <c r="B196" s="43">
        <v>0</v>
      </c>
      <c r="C196" s="1" t="s">
        <v>211</v>
      </c>
    </row>
    <row r="197" spans="2:18" x14ac:dyDescent="0.25">
      <c r="B197" s="43">
        <v>0</v>
      </c>
      <c r="C197" s="1" t="s">
        <v>212</v>
      </c>
    </row>
    <row r="198" spans="2:18" x14ac:dyDescent="0.25">
      <c r="B198" s="43">
        <v>0</v>
      </c>
      <c r="C198" s="1" t="s">
        <v>213</v>
      </c>
    </row>
    <row r="199" spans="2:18" x14ac:dyDescent="0.25">
      <c r="B199" s="43">
        <v>0</v>
      </c>
      <c r="C199" s="1" t="s">
        <v>214</v>
      </c>
    </row>
    <row r="200" spans="2:18" x14ac:dyDescent="0.25">
      <c r="B200" s="43">
        <v>0</v>
      </c>
      <c r="C200" s="1" t="s">
        <v>215</v>
      </c>
    </row>
    <row r="201" spans="2:18" x14ac:dyDescent="0.25">
      <c r="B201" s="43">
        <v>0</v>
      </c>
      <c r="C201" s="1" t="s">
        <v>216</v>
      </c>
    </row>
    <row r="202" spans="2:18" x14ac:dyDescent="0.25">
      <c r="B202" s="43">
        <v>0</v>
      </c>
      <c r="C202" s="1" t="s">
        <v>217</v>
      </c>
    </row>
    <row r="203" spans="2:18" x14ac:dyDescent="0.25">
      <c r="B203" s="43">
        <v>0</v>
      </c>
      <c r="C203" s="1" t="s">
        <v>218</v>
      </c>
    </row>
    <row r="204" spans="2:18" x14ac:dyDescent="0.25">
      <c r="B204" s="13"/>
    </row>
    <row r="206" spans="2:18" ht="15.6" x14ac:dyDescent="0.3">
      <c r="B206" s="2" t="s">
        <v>74</v>
      </c>
      <c r="C206" s="16" t="str">
        <f>B12</f>
        <v>millions</v>
      </c>
      <c r="L206" s="16" t="str">
        <f>B12</f>
        <v>millions</v>
      </c>
    </row>
    <row r="207" spans="2:18" x14ac:dyDescent="0.25">
      <c r="B207" s="50">
        <v>168104</v>
      </c>
      <c r="C207" s="1" t="s">
        <v>114</v>
      </c>
      <c r="F207" s="16" t="s">
        <v>110</v>
      </c>
      <c r="L207" s="46" t="s">
        <v>46</v>
      </c>
      <c r="M207" s="77">
        <f>M13</f>
        <v>2016</v>
      </c>
      <c r="N207" s="77">
        <f t="shared" ref="N207:Q207" si="14">N13</f>
        <v>2017</v>
      </c>
      <c r="O207" s="77">
        <f t="shared" si="14"/>
        <v>2018</v>
      </c>
      <c r="P207" s="77">
        <f t="shared" si="14"/>
        <v>2019</v>
      </c>
      <c r="Q207" s="77">
        <f t="shared" si="14"/>
        <v>2020</v>
      </c>
      <c r="R207" s="78" t="s">
        <v>52</v>
      </c>
    </row>
    <row r="208" spans="2:18" x14ac:dyDescent="0.25">
      <c r="B208" s="50">
        <v>347403</v>
      </c>
      <c r="C208" s="1" t="s">
        <v>16</v>
      </c>
      <c r="L208" s="79" t="s">
        <v>199</v>
      </c>
      <c r="M208" s="46">
        <v>167497</v>
      </c>
      <c r="N208" s="46">
        <v>197295</v>
      </c>
      <c r="O208" s="46">
        <v>232792</v>
      </c>
      <c r="P208" s="46">
        <v>275909</v>
      </c>
      <c r="Q208" s="46">
        <v>319616</v>
      </c>
      <c r="R208" s="85">
        <f>B208</f>
        <v>347403</v>
      </c>
    </row>
    <row r="209" spans="2:18" x14ac:dyDescent="0.25">
      <c r="B209" s="50">
        <v>0</v>
      </c>
      <c r="C209" s="1" t="s">
        <v>42</v>
      </c>
      <c r="L209" s="46" t="s">
        <v>200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85">
        <f>B209</f>
        <v>0</v>
      </c>
    </row>
    <row r="210" spans="2:18" x14ac:dyDescent="0.25">
      <c r="B210" s="50">
        <v>14288</v>
      </c>
      <c r="C210" s="1" t="s">
        <v>62</v>
      </c>
      <c r="L210" s="46" t="s">
        <v>201</v>
      </c>
      <c r="M210" s="46">
        <v>3935</v>
      </c>
      <c r="N210" s="46">
        <v>3969</v>
      </c>
      <c r="O210" s="46">
        <v>4012</v>
      </c>
      <c r="P210" s="46">
        <v>4554</v>
      </c>
      <c r="Q210" s="46">
        <v>13932</v>
      </c>
      <c r="R210" s="85">
        <f>B210</f>
        <v>14288</v>
      </c>
    </row>
    <row r="211" spans="2:18" x14ac:dyDescent="0.25">
      <c r="B211" s="50">
        <v>0</v>
      </c>
      <c r="C211" s="46" t="s">
        <v>157</v>
      </c>
      <c r="L211" s="46" t="s">
        <v>202</v>
      </c>
      <c r="M211" s="46">
        <v>139036</v>
      </c>
      <c r="N211" s="46">
        <v>152502</v>
      </c>
      <c r="O211" s="46">
        <v>177628</v>
      </c>
      <c r="P211" s="46">
        <v>201442</v>
      </c>
      <c r="Q211" s="46">
        <v>222544</v>
      </c>
      <c r="R211" s="85">
        <f>B212</f>
        <v>244567</v>
      </c>
    </row>
    <row r="212" spans="2:18" x14ac:dyDescent="0.25">
      <c r="B212" s="50">
        <v>244567</v>
      </c>
      <c r="C212" s="1" t="s">
        <v>192</v>
      </c>
      <c r="L212" s="46" t="s">
        <v>203</v>
      </c>
      <c r="M212" s="80">
        <f>M209+M210+M211</f>
        <v>142971</v>
      </c>
      <c r="N212" s="80">
        <f t="shared" ref="N212:R212" si="15">N209+N210+N211</f>
        <v>156471</v>
      </c>
      <c r="O212" s="80">
        <f t="shared" si="15"/>
        <v>181640</v>
      </c>
      <c r="P212" s="80">
        <f t="shared" si="15"/>
        <v>205996</v>
      </c>
      <c r="Q212" s="80">
        <f t="shared" si="15"/>
        <v>236476</v>
      </c>
      <c r="R212" s="80">
        <f t="shared" si="15"/>
        <v>258855</v>
      </c>
    </row>
    <row r="213" spans="2:18" x14ac:dyDescent="0.25">
      <c r="L213" s="46"/>
      <c r="M213" s="46"/>
      <c r="N213" s="46"/>
      <c r="O213" s="46"/>
      <c r="P213" s="46"/>
      <c r="Q213" s="46"/>
      <c r="R213" s="46"/>
    </row>
    <row r="214" spans="2:18" x14ac:dyDescent="0.25">
      <c r="B214" s="13"/>
      <c r="L214" s="46"/>
      <c r="M214" s="46"/>
      <c r="N214" s="46"/>
      <c r="O214" s="46"/>
      <c r="P214" s="46"/>
      <c r="Q214" s="46"/>
      <c r="R214" s="46"/>
    </row>
    <row r="215" spans="2:18" ht="15.6" x14ac:dyDescent="0.3">
      <c r="B215" s="20" t="s">
        <v>0</v>
      </c>
      <c r="L215" s="46"/>
      <c r="M215" s="46"/>
      <c r="N215" s="46"/>
      <c r="O215" s="46"/>
      <c r="P215" s="46"/>
      <c r="Q215" s="46"/>
      <c r="R215" s="46"/>
    </row>
    <row r="216" spans="2:18" x14ac:dyDescent="0.25">
      <c r="B216" s="25">
        <v>9.5000000000000001E-2</v>
      </c>
      <c r="C216" s="1" t="s">
        <v>0</v>
      </c>
      <c r="F216" s="16" t="s">
        <v>289</v>
      </c>
      <c r="L216" s="46"/>
      <c r="M216" s="46"/>
      <c r="N216" s="46"/>
      <c r="O216" s="46"/>
      <c r="P216" s="46"/>
      <c r="Q216" s="46"/>
      <c r="R216" s="46"/>
    </row>
    <row r="217" spans="2:18" x14ac:dyDescent="0.25">
      <c r="B217" s="19"/>
      <c r="L217" s="46"/>
      <c r="M217" s="46"/>
      <c r="N217" s="46"/>
      <c r="O217" s="46"/>
      <c r="P217" s="46"/>
      <c r="Q217" s="46"/>
      <c r="R217" s="46"/>
    </row>
    <row r="223" spans="2:18" x14ac:dyDescent="0.25">
      <c r="K223" s="18"/>
    </row>
    <row r="224" spans="2:18" ht="15.6" x14ac:dyDescent="0.3">
      <c r="B224" s="2" t="s">
        <v>186</v>
      </c>
    </row>
    <row r="225" spans="2:29" x14ac:dyDescent="0.25">
      <c r="B225" s="1" t="s">
        <v>3</v>
      </c>
      <c r="D225" s="1">
        <f>E225-1</f>
        <v>2016</v>
      </c>
      <c r="E225" s="1">
        <f>F225-1</f>
        <v>2017</v>
      </c>
      <c r="F225" s="1">
        <f>G225-1</f>
        <v>2018</v>
      </c>
      <c r="G225" s="1">
        <f>H225-1</f>
        <v>2019</v>
      </c>
      <c r="H225" s="1">
        <f>B13</f>
        <v>2020</v>
      </c>
      <c r="I225" s="1">
        <v>1</v>
      </c>
      <c r="J225" s="1">
        <f>I225+1</f>
        <v>2</v>
      </c>
      <c r="K225" s="1">
        <f t="shared" ref="K225:AB225" si="16">J225+1</f>
        <v>3</v>
      </c>
      <c r="L225" s="1">
        <f t="shared" si="16"/>
        <v>4</v>
      </c>
      <c r="M225" s="1">
        <f t="shared" si="16"/>
        <v>5</v>
      </c>
      <c r="N225" s="1">
        <f t="shared" si="16"/>
        <v>6</v>
      </c>
      <c r="O225" s="1">
        <f t="shared" si="16"/>
        <v>7</v>
      </c>
      <c r="P225" s="1">
        <f t="shared" si="16"/>
        <v>8</v>
      </c>
      <c r="Q225" s="1">
        <f t="shared" si="16"/>
        <v>9</v>
      </c>
      <c r="R225" s="1">
        <f t="shared" si="16"/>
        <v>10</v>
      </c>
      <c r="S225" s="1">
        <f t="shared" si="16"/>
        <v>11</v>
      </c>
      <c r="T225" s="1">
        <f t="shared" si="16"/>
        <v>12</v>
      </c>
      <c r="U225" s="1">
        <f t="shared" si="16"/>
        <v>13</v>
      </c>
      <c r="V225" s="1">
        <f t="shared" si="16"/>
        <v>14</v>
      </c>
      <c r="W225" s="1">
        <f t="shared" si="16"/>
        <v>15</v>
      </c>
      <c r="X225" s="1">
        <f t="shared" si="16"/>
        <v>16</v>
      </c>
      <c r="Y225" s="1">
        <f t="shared" si="16"/>
        <v>17</v>
      </c>
      <c r="Z225" s="1">
        <f t="shared" si="16"/>
        <v>18</v>
      </c>
      <c r="AA225" s="1">
        <f t="shared" si="16"/>
        <v>19</v>
      </c>
      <c r="AB225" s="1">
        <f t="shared" si="16"/>
        <v>20</v>
      </c>
      <c r="AC225" s="33" t="s">
        <v>1</v>
      </c>
    </row>
    <row r="226" spans="2:29" x14ac:dyDescent="0.25">
      <c r="B226" s="1" t="s">
        <v>13</v>
      </c>
      <c r="D226" s="72">
        <f>M29</f>
        <v>90272</v>
      </c>
      <c r="E226" s="73">
        <f>N29</f>
        <v>110855</v>
      </c>
      <c r="F226" s="72">
        <f>O29</f>
        <v>136819</v>
      </c>
      <c r="G226" s="73">
        <f>P29</f>
        <v>166677</v>
      </c>
      <c r="H226" s="72">
        <f>Q29</f>
        <v>182527</v>
      </c>
      <c r="I226" s="27">
        <f>B28*(1+$B30)</f>
        <v>291836.2</v>
      </c>
      <c r="J226" s="28">
        <f>I226*(1+$B31)</f>
        <v>344366.71600000001</v>
      </c>
      <c r="K226" s="27">
        <f>J226*(1+$B32)</f>
        <v>406352.72487999999</v>
      </c>
      <c r="L226" s="28">
        <f>K226*(1+$B33)</f>
        <v>471369.16086079995</v>
      </c>
      <c r="M226" s="27">
        <f>L226*(1+$B34)</f>
        <v>546788.22659852786</v>
      </c>
      <c r="N226" s="28">
        <f>M226*(1+$B35)</f>
        <v>590531.28472641017</v>
      </c>
      <c r="O226" s="27">
        <f>N226*(1+$B36)</f>
        <v>637773.78750452306</v>
      </c>
      <c r="P226" s="28">
        <f>O226*(1+$B37)</f>
        <v>688795.69050488493</v>
      </c>
      <c r="Q226" s="27">
        <f>P226*(1+$B38)</f>
        <v>743899.34574527573</v>
      </c>
      <c r="R226" s="28">
        <f>Q226*(1+$B39)</f>
        <v>803411.29340489779</v>
      </c>
      <c r="S226" s="27">
        <f>R226*(1+$B40)</f>
        <v>867684.19687728968</v>
      </c>
      <c r="T226" s="28">
        <f>S226*(1+$B41)</f>
        <v>911068.40672115423</v>
      </c>
      <c r="U226" s="27">
        <f>T226*(1+$B42)</f>
        <v>956621.82705721201</v>
      </c>
      <c r="V226" s="28">
        <f>U226*(1+$B43)</f>
        <v>1004452.9184100727</v>
      </c>
      <c r="W226" s="27">
        <f>V226*(1+$B44)</f>
        <v>1054675.5643305765</v>
      </c>
      <c r="X226" s="28">
        <f>W226*(1+$B45)</f>
        <v>1107409.3425471054</v>
      </c>
      <c r="Y226" s="27">
        <f>X226*(1+$B46)</f>
        <v>1146168.6695362539</v>
      </c>
      <c r="Z226" s="28">
        <f>Y226*(1+$B47)</f>
        <v>1186284.5729700227</v>
      </c>
      <c r="AA226" s="27">
        <f>Z226*(1+$B48)</f>
        <v>1227804.5330239735</v>
      </c>
      <c r="AB226" s="28">
        <f>AA226*(1+$B49)</f>
        <v>1270777.6916798125</v>
      </c>
      <c r="AC226" s="27">
        <f>AB226*(1+B50)</f>
        <v>1308901.0224302069</v>
      </c>
    </row>
    <row r="227" spans="2:29" x14ac:dyDescent="0.25">
      <c r="B227" s="1" t="s">
        <v>187</v>
      </c>
      <c r="D227" s="72">
        <f>M59</f>
        <v>23720</v>
      </c>
      <c r="E227" s="73">
        <f>N59</f>
        <v>28880</v>
      </c>
      <c r="F227" s="72">
        <f>O59</f>
        <v>31390</v>
      </c>
      <c r="G227" s="73">
        <f>P59</f>
        <v>34231</v>
      </c>
      <c r="H227" s="72">
        <f>Q59</f>
        <v>35393</v>
      </c>
      <c r="I227" s="27">
        <f>I226*$B58</f>
        <v>78795.774000000005</v>
      </c>
      <c r="J227" s="26">
        <f>J226*$B59</f>
        <v>92979.013320000013</v>
      </c>
      <c r="K227" s="29">
        <f>K226*$B60</f>
        <v>109715.23571760001</v>
      </c>
      <c r="L227" s="26">
        <f>L226*$B61</f>
        <v>127269.67343241599</v>
      </c>
      <c r="M227" s="29">
        <f>M226*$B62</f>
        <v>147632.82118160254</v>
      </c>
      <c r="N227" s="26">
        <f>N226*$B63</f>
        <v>159443.44687613077</v>
      </c>
      <c r="O227" s="29">
        <f>O226*$B64</f>
        <v>172198.92262622123</v>
      </c>
      <c r="P227" s="26">
        <f>P226*$B65</f>
        <v>185974.83643631893</v>
      </c>
      <c r="Q227" s="29">
        <f>Q226*$B66</f>
        <v>200852.82335122445</v>
      </c>
      <c r="R227" s="26">
        <f>R226*$B67</f>
        <v>216921.04921932242</v>
      </c>
      <c r="S227" s="29">
        <f>S226*$B68</f>
        <v>234274.73315686823</v>
      </c>
      <c r="T227" s="26">
        <f>T226*$B69</f>
        <v>245988.46981471166</v>
      </c>
      <c r="U227" s="29">
        <f>U226*$B70</f>
        <v>258287.89330544727</v>
      </c>
      <c r="V227" s="26">
        <f>V226*$B71</f>
        <v>271202.28797071963</v>
      </c>
      <c r="W227" s="29">
        <f>W226*$B72</f>
        <v>284762.40236925567</v>
      </c>
      <c r="X227" s="26">
        <f>X226*$B73</f>
        <v>299000.5224877185</v>
      </c>
      <c r="Y227" s="29">
        <f>Y226*$B74</f>
        <v>309465.54077478859</v>
      </c>
      <c r="Z227" s="26">
        <f>Z226*$B75</f>
        <v>320296.83470190613</v>
      </c>
      <c r="AA227" s="29">
        <f>AA226*$B76</f>
        <v>331507.22391647287</v>
      </c>
      <c r="AB227" s="26">
        <f>AB226*$B77</f>
        <v>343109.97675354942</v>
      </c>
      <c r="AC227" s="27">
        <f>AC226*$B78</f>
        <v>353403.27605615585</v>
      </c>
    </row>
    <row r="228" spans="2:29" x14ac:dyDescent="0.25">
      <c r="B228" s="1" t="s">
        <v>188</v>
      </c>
      <c r="D228" s="72">
        <f>D227*(1-M89)</f>
        <v>19050</v>
      </c>
      <c r="E228" s="73">
        <f>E227*(1-N89)</f>
        <v>14349.999999999998</v>
      </c>
      <c r="F228" s="72">
        <f>F227*(1-O89)</f>
        <v>27210</v>
      </c>
      <c r="G228" s="73">
        <f>G227*(1-P89)</f>
        <v>28949</v>
      </c>
      <c r="H228" s="72">
        <f>H227*(1-Q89)</f>
        <v>31009</v>
      </c>
      <c r="I228" s="27">
        <f>I227*(1-$B$87)</f>
        <v>64218.555809999998</v>
      </c>
      <c r="J228" s="26">
        <f>J227*(1-$B$88)</f>
        <v>75777.895855800001</v>
      </c>
      <c r="K228" s="29">
        <f>K227*(1-$B$89)</f>
        <v>89417.917109843998</v>
      </c>
      <c r="L228" s="26">
        <f>L227*(1-$B$90)</f>
        <v>103724.78384741902</v>
      </c>
      <c r="M228" s="29">
        <f>M227*(1-$B$91)</f>
        <v>120320.74926300606</v>
      </c>
      <c r="N228" s="26">
        <f>N227*(1-$B$92)</f>
        <v>129946.40920404656</v>
      </c>
      <c r="O228" s="29">
        <f>O227*(1-$B$93)</f>
        <v>140342.1219403703</v>
      </c>
      <c r="P228" s="26">
        <f>P227*(1-$B$94)</f>
        <v>151569.49169559992</v>
      </c>
      <c r="Q228" s="29">
        <f>Q227*(1-$B$95)</f>
        <v>163695.05103124792</v>
      </c>
      <c r="R228" s="26">
        <f>R227*(1-$B$96)</f>
        <v>176790.65511374775</v>
      </c>
      <c r="S228" s="29">
        <f>S227*(1-$B$97)</f>
        <v>190933.90752284758</v>
      </c>
      <c r="T228" s="26">
        <f>T227*(1-$B$98)</f>
        <v>200480.60289898998</v>
      </c>
      <c r="U228" s="29">
        <f>U227*(1-$B$99)</f>
        <v>210504.63304393951</v>
      </c>
      <c r="V228" s="26">
        <f>V227*(1-$B$100)</f>
        <v>221029.86469613647</v>
      </c>
      <c r="W228" s="29">
        <f>W227*(1-$B$101)</f>
        <v>232081.35793094334</v>
      </c>
      <c r="X228" s="26">
        <f>X227*(1-$B$102)</f>
        <v>243685.42582749054</v>
      </c>
      <c r="Y228" s="29">
        <f>Y227*(1-$B$103)</f>
        <v>252214.4157314527</v>
      </c>
      <c r="Z228" s="26">
        <f>Z227*(1-$B$104)</f>
        <v>261041.92028205347</v>
      </c>
      <c r="AA228" s="29">
        <f>AA227*(1-$B$105)</f>
        <v>270178.38749192539</v>
      </c>
      <c r="AB228" s="26">
        <f>AB227*(1-$B$106)</f>
        <v>279634.63105414278</v>
      </c>
      <c r="AC228" s="27">
        <f>AC227*(1-$B$107)</f>
        <v>288023.66998576699</v>
      </c>
    </row>
    <row r="229" spans="2:29" x14ac:dyDescent="0.25">
      <c r="D229" s="74"/>
      <c r="E229" s="74"/>
      <c r="F229" s="74"/>
      <c r="G229" s="74"/>
      <c r="H229" s="74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</row>
    <row r="230" spans="2:29" ht="15.6" x14ac:dyDescent="0.3">
      <c r="B230" s="2" t="s">
        <v>189</v>
      </c>
      <c r="D230" s="74"/>
      <c r="E230" s="74"/>
      <c r="F230" s="74"/>
      <c r="G230" s="74"/>
      <c r="H230" s="74"/>
    </row>
    <row r="231" spans="2:29" x14ac:dyDescent="0.25">
      <c r="B231" s="1" t="s">
        <v>14</v>
      </c>
      <c r="D231" s="72">
        <f>M113</f>
        <v>6144</v>
      </c>
      <c r="E231" s="73">
        <f>N113</f>
        <v>6915</v>
      </c>
      <c r="F231" s="72">
        <f>O113</f>
        <v>9035</v>
      </c>
      <c r="G231" s="73">
        <f>P113</f>
        <v>11781</v>
      </c>
      <c r="H231" s="72">
        <f>Q113</f>
        <v>13607</v>
      </c>
      <c r="I231" s="27">
        <f>I226*$B111</f>
        <v>20428.534000000003</v>
      </c>
      <c r="J231" s="28">
        <f>J226*$B112</f>
        <v>24105.670120000002</v>
      </c>
      <c r="K231" s="27">
        <f>K226*$B113</f>
        <v>28444.690741600003</v>
      </c>
      <c r="L231" s="28">
        <f>L226*$B114</f>
        <v>32995.841260255998</v>
      </c>
      <c r="M231" s="27">
        <f>M226*$B115</f>
        <v>38275.175861896954</v>
      </c>
      <c r="N231" s="28">
        <f>N226*$B116</f>
        <v>29526.564236320512</v>
      </c>
      <c r="O231" s="27">
        <f>O226*$B117</f>
        <v>31888.689375226153</v>
      </c>
      <c r="P231" s="28">
        <f>P226*$B118</f>
        <v>34439.784525244249</v>
      </c>
      <c r="Q231" s="27">
        <f>Q226*$B119</f>
        <v>37194.967287263789</v>
      </c>
      <c r="R231" s="28">
        <f>R226*$B120</f>
        <v>40170.564670244894</v>
      </c>
      <c r="S231" s="27">
        <f>S226*$B121</f>
        <v>43384.20984386449</v>
      </c>
      <c r="T231" s="28">
        <f>T226*$B122</f>
        <v>45553.420336057716</v>
      </c>
      <c r="U231" s="27">
        <f>U226*$B123</f>
        <v>47831.091352860603</v>
      </c>
      <c r="V231" s="28">
        <f>V226*$B124</f>
        <v>50222.645920503637</v>
      </c>
      <c r="W231" s="27">
        <f>W226*$B125</f>
        <v>52733.778216528823</v>
      </c>
      <c r="X231" s="28">
        <f>X226*$B126</f>
        <v>55370.467127355274</v>
      </c>
      <c r="Y231" s="27">
        <f>Y226*$B127</f>
        <v>57308.433476812701</v>
      </c>
      <c r="Z231" s="28">
        <f>Z226*$B128</f>
        <v>59314.228648501135</v>
      </c>
      <c r="AA231" s="27">
        <f>AA226*$B129</f>
        <v>61390.226651198675</v>
      </c>
      <c r="AB231" s="28">
        <f>AB226*$B130</f>
        <v>63538.884583990628</v>
      </c>
      <c r="AC231" s="27">
        <f>AC226*$B131</f>
        <v>65445.051121510347</v>
      </c>
    </row>
    <row r="232" spans="2:29" x14ac:dyDescent="0.25">
      <c r="B232" s="1" t="s">
        <v>28</v>
      </c>
      <c r="D232" s="72">
        <f>M160</f>
        <v>6703</v>
      </c>
      <c r="E232" s="73">
        <f>N160</f>
        <v>7679</v>
      </c>
      <c r="F232" s="72">
        <f>O160</f>
        <v>9353</v>
      </c>
      <c r="G232" s="73">
        <f>P160</f>
        <v>10794</v>
      </c>
      <c r="H232" s="72">
        <f>Q160</f>
        <v>12991</v>
      </c>
      <c r="I232" s="27">
        <f>I226*$B$159</f>
        <v>20428.534000000003</v>
      </c>
      <c r="J232" s="28">
        <f>J226*$B160</f>
        <v>24105.670120000002</v>
      </c>
      <c r="K232" s="27">
        <f>K226*$B161</f>
        <v>28444.690741600003</v>
      </c>
      <c r="L232" s="28">
        <f>L226*$B162</f>
        <v>32995.841260255998</v>
      </c>
      <c r="M232" s="27">
        <f>M226*$B163</f>
        <v>38275.175861896954</v>
      </c>
      <c r="N232" s="28">
        <f>N226*$B164</f>
        <v>23621.251389056408</v>
      </c>
      <c r="O232" s="27">
        <f>O226*$B165</f>
        <v>25510.951500180923</v>
      </c>
      <c r="P232" s="28">
        <f>P226*$B166</f>
        <v>27551.8276201954</v>
      </c>
      <c r="Q232" s="27">
        <f>Q226*$B167</f>
        <v>29755.973829811031</v>
      </c>
      <c r="R232" s="28">
        <f>R226*$B168</f>
        <v>32136.451736195912</v>
      </c>
      <c r="S232" s="27">
        <f>S226*$B169</f>
        <v>26030.52590631869</v>
      </c>
      <c r="T232" s="28">
        <f>T226*$B170</f>
        <v>27332.052201634626</v>
      </c>
      <c r="U232" s="27">
        <f>U226*$B171</f>
        <v>28698.654811716358</v>
      </c>
      <c r="V232" s="28">
        <f>V226*$B172</f>
        <v>30133.587552302179</v>
      </c>
      <c r="W232" s="27">
        <f>W226*$B173</f>
        <v>31640.266929917292</v>
      </c>
      <c r="X232" s="28">
        <f>X226*$B174</f>
        <v>33222.280276413163</v>
      </c>
      <c r="Y232" s="27">
        <f>Y226*$B175</f>
        <v>34385.060086087615</v>
      </c>
      <c r="Z232" s="28">
        <f>Z226*$B176</f>
        <v>35588.53718910068</v>
      </c>
      <c r="AA232" s="27">
        <f>AA226*$B177</f>
        <v>36834.135990719202</v>
      </c>
      <c r="AB232" s="28">
        <f>AB226*$B178</f>
        <v>38123.330750394372</v>
      </c>
      <c r="AC232" s="27">
        <f>AC226*$B179</f>
        <v>39267.030672906207</v>
      </c>
    </row>
    <row r="233" spans="2:29" x14ac:dyDescent="0.25">
      <c r="B233" s="1" t="s">
        <v>39</v>
      </c>
      <c r="D233" s="72">
        <f>M185</f>
        <v>-4143</v>
      </c>
      <c r="E233" s="73">
        <f>N185</f>
        <v>-8146</v>
      </c>
      <c r="F233" s="72">
        <f>O185</f>
        <v>-2372</v>
      </c>
      <c r="G233" s="73">
        <f>P185</f>
        <v>-1556</v>
      </c>
      <c r="H233" s="72">
        <f>Q185</f>
        <v>-7517</v>
      </c>
      <c r="I233" s="27">
        <f>I226*$B183</f>
        <v>-5836.7240000000002</v>
      </c>
      <c r="J233" s="28">
        <f>J226*$B184</f>
        <v>-6887.3343200000008</v>
      </c>
      <c r="K233" s="27">
        <f>K226*$B185</f>
        <v>-8127.0544976000001</v>
      </c>
      <c r="L233" s="28">
        <f>L226*$B186</f>
        <v>-9427.383217216</v>
      </c>
      <c r="M233" s="27">
        <f>M226*$B187</f>
        <v>-10935.764531970557</v>
      </c>
      <c r="N233" s="28">
        <f>N226*$B188</f>
        <v>-5905.3128472641019</v>
      </c>
      <c r="O233" s="27">
        <f>O226*$B189</f>
        <v>-6377.7378750452308</v>
      </c>
      <c r="P233" s="28">
        <f>P226*$B190</f>
        <v>-6887.9569050488499</v>
      </c>
      <c r="Q233" s="27">
        <f>Q226*$B191</f>
        <v>-7438.9934574527579</v>
      </c>
      <c r="R233" s="28">
        <f>R226*$B192</f>
        <v>-8034.1129340489779</v>
      </c>
      <c r="S233" s="27">
        <f>S226*$B193</f>
        <v>0</v>
      </c>
      <c r="T233" s="28">
        <f>T226*$B194</f>
        <v>0</v>
      </c>
      <c r="U233" s="27">
        <f>U226*$B195</f>
        <v>0</v>
      </c>
      <c r="V233" s="28">
        <f>V226*$B196</f>
        <v>0</v>
      </c>
      <c r="W233" s="27">
        <f>W226*$B197</f>
        <v>0</v>
      </c>
      <c r="X233" s="28">
        <f>X226*$B198</f>
        <v>0</v>
      </c>
      <c r="Y233" s="27">
        <f>Y226*$B199</f>
        <v>0</v>
      </c>
      <c r="Z233" s="28">
        <f>Z226*$B200</f>
        <v>0</v>
      </c>
      <c r="AA233" s="27">
        <f>AA226*$B201</f>
        <v>0</v>
      </c>
      <c r="AB233" s="28">
        <f>AB226*$B202</f>
        <v>0</v>
      </c>
      <c r="AC233" s="27">
        <f>AC226*$B203</f>
        <v>0</v>
      </c>
    </row>
    <row r="234" spans="2:29" x14ac:dyDescent="0.25">
      <c r="B234" s="1" t="s">
        <v>190</v>
      </c>
      <c r="D234" s="72">
        <f>M192</f>
        <v>36040</v>
      </c>
      <c r="E234" s="73">
        <f>N192</f>
        <v>37090</v>
      </c>
      <c r="F234" s="72">
        <f>O192</f>
        <v>47970</v>
      </c>
      <c r="G234" s="73">
        <f>P192</f>
        <v>53080</v>
      </c>
      <c r="H234" s="72">
        <f>Q192</f>
        <v>65124</v>
      </c>
      <c r="I234" s="27">
        <f t="shared" ref="I234:AB234" si="17">I228+I231+I232-I233</f>
        <v>110912.34781000001</v>
      </c>
      <c r="J234" s="76">
        <f t="shared" si="17"/>
        <v>130876.5704158</v>
      </c>
      <c r="K234" s="27">
        <f t="shared" si="17"/>
        <v>154434.353090644</v>
      </c>
      <c r="L234" s="76">
        <f t="shared" si="17"/>
        <v>179143.84958514705</v>
      </c>
      <c r="M234" s="27">
        <f t="shared" si="17"/>
        <v>207806.8655187705</v>
      </c>
      <c r="N234" s="76">
        <f t="shared" si="17"/>
        <v>188999.53767668761</v>
      </c>
      <c r="O234" s="27">
        <f t="shared" si="17"/>
        <v>204119.50069082261</v>
      </c>
      <c r="P234" s="76">
        <f t="shared" si="17"/>
        <v>220449.06074608845</v>
      </c>
      <c r="Q234" s="27">
        <f t="shared" si="17"/>
        <v>238084.9856057755</v>
      </c>
      <c r="R234" s="76">
        <f t="shared" si="17"/>
        <v>257131.78445423755</v>
      </c>
      <c r="S234" s="27">
        <f t="shared" si="17"/>
        <v>260348.64327303076</v>
      </c>
      <c r="T234" s="76">
        <f t="shared" si="17"/>
        <v>273366.07543668232</v>
      </c>
      <c r="U234" s="27">
        <f t="shared" si="17"/>
        <v>287034.37920851645</v>
      </c>
      <c r="V234" s="76">
        <f t="shared" si="17"/>
        <v>301386.09816894226</v>
      </c>
      <c r="W234" s="27">
        <f t="shared" si="17"/>
        <v>316455.40307738946</v>
      </c>
      <c r="X234" s="76">
        <f t="shared" si="17"/>
        <v>332278.17323125899</v>
      </c>
      <c r="Y234" s="27">
        <f t="shared" si="17"/>
        <v>343907.90929435304</v>
      </c>
      <c r="Z234" s="76">
        <f t="shared" si="17"/>
        <v>355944.68611965532</v>
      </c>
      <c r="AA234" s="27">
        <f t="shared" si="17"/>
        <v>368402.75013384328</v>
      </c>
      <c r="AB234" s="76">
        <f t="shared" si="17"/>
        <v>381296.84638852777</v>
      </c>
      <c r="AC234" s="27">
        <f>AC228+AC231+AC232-AC233</f>
        <v>392735.75178018352</v>
      </c>
    </row>
    <row r="235" spans="2:29" x14ac:dyDescent="0.25">
      <c r="D235" s="74"/>
      <c r="E235" s="74"/>
      <c r="F235" s="74"/>
      <c r="G235" s="74"/>
      <c r="H235" s="74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</row>
    <row r="236" spans="2:29" x14ac:dyDescent="0.25">
      <c r="B236" s="1" t="s">
        <v>191</v>
      </c>
      <c r="D236" s="72">
        <f>M140</f>
        <v>11198</v>
      </c>
      <c r="E236" s="73">
        <f>N140</f>
        <v>13372</v>
      </c>
      <c r="F236" s="72">
        <f>O140</f>
        <v>26532</v>
      </c>
      <c r="G236" s="73">
        <f>P140</f>
        <v>26063</v>
      </c>
      <c r="H236" s="72">
        <f>Q140</f>
        <v>23019</v>
      </c>
      <c r="I236" s="27">
        <f>I226*$B135</f>
        <v>43775.43</v>
      </c>
      <c r="J236" s="28">
        <f>J226*$B136</f>
        <v>51655.007400000002</v>
      </c>
      <c r="K236" s="27">
        <f>K226*$B137</f>
        <v>60952.908731999996</v>
      </c>
      <c r="L236" s="28">
        <f>L226*$B138</f>
        <v>70705.374129119984</v>
      </c>
      <c r="M236" s="27">
        <f>M226*$B139</f>
        <v>82018.233989779183</v>
      </c>
      <c r="N236" s="28">
        <f>N226*$B140</f>
        <v>59053.128472641023</v>
      </c>
      <c r="O236" s="27">
        <f>O226*$B141</f>
        <v>63777.378750452306</v>
      </c>
      <c r="P236" s="28">
        <f>P226*$B142</f>
        <v>68879.569050488499</v>
      </c>
      <c r="Q236" s="27">
        <f>Q226*$B143</f>
        <v>74389.934574527579</v>
      </c>
      <c r="R236" s="28">
        <f>R226*$B144</f>
        <v>80341.129340489788</v>
      </c>
      <c r="S236" s="27">
        <f>S226*$B145</f>
        <v>69414.735750183172</v>
      </c>
      <c r="T236" s="28">
        <f>T226*$B146</f>
        <v>72885.472537692345</v>
      </c>
      <c r="U236" s="27">
        <f>U226*$B147</f>
        <v>76529.746164576965</v>
      </c>
      <c r="V236" s="28">
        <f>V226*$B148</f>
        <v>80356.233472805819</v>
      </c>
      <c r="W236" s="27">
        <f>W226*$B149</f>
        <v>84374.045146446122</v>
      </c>
      <c r="X236" s="28">
        <f>X226*$B150</f>
        <v>66444.560552826326</v>
      </c>
      <c r="Y236" s="27">
        <f>Y226*$B151</f>
        <v>68770.12017217523</v>
      </c>
      <c r="Z236" s="28">
        <f>Z226*$B152</f>
        <v>71177.07437820136</v>
      </c>
      <c r="AA236" s="27">
        <f>AA226*$B153</f>
        <v>73668.271981438404</v>
      </c>
      <c r="AB236" s="28">
        <f>AB226*$B154</f>
        <v>76246.661500788745</v>
      </c>
      <c r="AC236" s="27">
        <f>AC226*$B155</f>
        <v>78534.061345812413</v>
      </c>
    </row>
    <row r="237" spans="2:29" x14ac:dyDescent="0.25">
      <c r="D237" s="74"/>
      <c r="E237" s="74"/>
      <c r="F237" s="74"/>
      <c r="G237" s="74"/>
      <c r="H237" s="74"/>
    </row>
    <row r="238" spans="2:29" x14ac:dyDescent="0.25">
      <c r="B238" s="1" t="s">
        <v>11</v>
      </c>
      <c r="D238" s="72">
        <f>D234-D236</f>
        <v>24842</v>
      </c>
      <c r="E238" s="73">
        <f t="shared" ref="E238:H238" si="18">E234-E236</f>
        <v>23718</v>
      </c>
      <c r="F238" s="72">
        <f t="shared" si="18"/>
        <v>21438</v>
      </c>
      <c r="G238" s="73">
        <f t="shared" si="18"/>
        <v>27017</v>
      </c>
      <c r="H238" s="72">
        <f t="shared" si="18"/>
        <v>42105</v>
      </c>
      <c r="I238" s="27">
        <f>I234-I236</f>
        <v>67136.917810000014</v>
      </c>
      <c r="J238" s="76">
        <f t="shared" ref="J238:AB238" si="19">J234-J236</f>
        <v>79221.563015799999</v>
      </c>
      <c r="K238" s="27">
        <f t="shared" si="19"/>
        <v>93481.444358644003</v>
      </c>
      <c r="L238" s="76">
        <f t="shared" si="19"/>
        <v>108438.47545602707</v>
      </c>
      <c r="M238" s="27">
        <f t="shared" si="19"/>
        <v>125788.63152899132</v>
      </c>
      <c r="N238" s="76">
        <f t="shared" si="19"/>
        <v>129946.40920404659</v>
      </c>
      <c r="O238" s="27">
        <f t="shared" si="19"/>
        <v>140342.1219403703</v>
      </c>
      <c r="P238" s="76">
        <f t="shared" si="19"/>
        <v>151569.49169559995</v>
      </c>
      <c r="Q238" s="27">
        <f t="shared" si="19"/>
        <v>163695.05103124792</v>
      </c>
      <c r="R238" s="76">
        <f t="shared" si="19"/>
        <v>176790.65511374775</v>
      </c>
      <c r="S238" s="27">
        <f t="shared" si="19"/>
        <v>190933.90752284758</v>
      </c>
      <c r="T238" s="76">
        <f t="shared" si="19"/>
        <v>200480.60289898998</v>
      </c>
      <c r="U238" s="27">
        <f t="shared" si="19"/>
        <v>210504.63304393948</v>
      </c>
      <c r="V238" s="76">
        <f t="shared" si="19"/>
        <v>221029.86469613644</v>
      </c>
      <c r="W238" s="27">
        <f t="shared" si="19"/>
        <v>232081.35793094334</v>
      </c>
      <c r="X238" s="76">
        <f t="shared" si="19"/>
        <v>265833.61267843266</v>
      </c>
      <c r="Y238" s="27">
        <f t="shared" si="19"/>
        <v>275137.78912217781</v>
      </c>
      <c r="Z238" s="76">
        <f t="shared" si="19"/>
        <v>284767.61174145399</v>
      </c>
      <c r="AA238" s="27">
        <f t="shared" si="19"/>
        <v>294734.47815240489</v>
      </c>
      <c r="AB238" s="76">
        <f t="shared" si="19"/>
        <v>305050.18488773901</v>
      </c>
      <c r="AC238" s="27">
        <f>AC234-AC236</f>
        <v>314201.69043437112</v>
      </c>
    </row>
    <row r="239" spans="2:29" x14ac:dyDescent="0.25">
      <c r="B239" s="1" t="s">
        <v>10</v>
      </c>
      <c r="I239" s="30">
        <f t="shared" ref="I239:AB239" si="20">I238/(1+$B$216)^I225</f>
        <v>61312.253707762568</v>
      </c>
      <c r="J239" s="31">
        <f t="shared" si="20"/>
        <v>66071.652397406229</v>
      </c>
      <c r="K239" s="30">
        <f t="shared" si="20"/>
        <v>71200.502126885258</v>
      </c>
      <c r="L239" s="31">
        <f t="shared" si="20"/>
        <v>75427.015951768873</v>
      </c>
      <c r="M239" s="30">
        <f t="shared" si="20"/>
        <v>79904.418725161493</v>
      </c>
      <c r="N239" s="31">
        <f t="shared" si="20"/>
        <v>75384.067699039166</v>
      </c>
      <c r="O239" s="30">
        <f t="shared" si="20"/>
        <v>74351.409237408487</v>
      </c>
      <c r="P239" s="31">
        <f t="shared" si="20"/>
        <v>73332.896782101539</v>
      </c>
      <c r="Q239" s="30">
        <f t="shared" si="20"/>
        <v>72328.33655220973</v>
      </c>
      <c r="R239" s="31">
        <f t="shared" si="20"/>
        <v>71337.537421357527</v>
      </c>
      <c r="S239" s="30">
        <f t="shared" si="20"/>
        <v>70360.310881338941</v>
      </c>
      <c r="T239" s="31">
        <f t="shared" si="20"/>
        <v>67468.791256078432</v>
      </c>
      <c r="U239" s="30">
        <f t="shared" si="20"/>
        <v>64696.101204458784</v>
      </c>
      <c r="V239" s="31">
        <f t="shared" si="20"/>
        <v>62037.357319344032</v>
      </c>
      <c r="W239" s="30">
        <f t="shared" si="20"/>
        <v>59487.876881562792</v>
      </c>
      <c r="X239" s="31">
        <f t="shared" si="20"/>
        <v>62227.733994412258</v>
      </c>
      <c r="Y239" s="30">
        <f t="shared" si="20"/>
        <v>58817.995145403365</v>
      </c>
      <c r="Z239" s="31">
        <f t="shared" si="20"/>
        <v>55595.091301819608</v>
      </c>
      <c r="AA239" s="30">
        <f t="shared" si="20"/>
        <v>52548.784929117173</v>
      </c>
      <c r="AB239" s="31">
        <f t="shared" si="20"/>
        <v>49669.3994535491</v>
      </c>
      <c r="AC239" s="32">
        <f>AC238/(B216-B50)</f>
        <v>4833872.1605287865</v>
      </c>
    </row>
    <row r="240" spans="2:29" x14ac:dyDescent="0.25"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3"/>
    </row>
    <row r="241" spans="2:15" x14ac:dyDescent="0.25"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3"/>
    </row>
    <row r="242" spans="2:15" x14ac:dyDescent="0.25">
      <c r="B242" s="74"/>
    </row>
    <row r="243" spans="2:15" ht="15.6" x14ac:dyDescent="0.3">
      <c r="B243" s="87" t="s">
        <v>6</v>
      </c>
      <c r="F243" s="34"/>
      <c r="G243" s="34"/>
      <c r="H243" s="34"/>
      <c r="I243" s="34"/>
    </row>
    <row r="244" spans="2:15" x14ac:dyDescent="0.25">
      <c r="B244" s="31">
        <f>SUM(I239:AB239)</f>
        <v>1323559.5329681851</v>
      </c>
      <c r="C244" s="1" t="s">
        <v>286</v>
      </c>
      <c r="D244" s="37"/>
    </row>
    <row r="245" spans="2:15" x14ac:dyDescent="0.25">
      <c r="B245" s="35">
        <f>AC239/(1+B216)^AB225</f>
        <v>787068.94518700871</v>
      </c>
      <c r="C245" s="1" t="s">
        <v>12</v>
      </c>
      <c r="D245" s="37"/>
      <c r="G245" s="36"/>
    </row>
    <row r="246" spans="2:15" x14ac:dyDescent="0.25">
      <c r="B246" s="31">
        <f>B244+B245</f>
        <v>2110628.4781551939</v>
      </c>
      <c r="C246" s="1" t="s">
        <v>4</v>
      </c>
      <c r="D246" s="37"/>
      <c r="N246" s="37"/>
    </row>
    <row r="247" spans="2:15" x14ac:dyDescent="0.25">
      <c r="B247" s="38">
        <f>B207</f>
        <v>168104</v>
      </c>
      <c r="C247" s="1" t="s">
        <v>5</v>
      </c>
      <c r="D247" s="37"/>
      <c r="N247" s="37"/>
    </row>
    <row r="248" spans="2:15" x14ac:dyDescent="0.25">
      <c r="B248" s="31">
        <f>B246+B247</f>
        <v>2278732.4781551939</v>
      </c>
      <c r="C248" s="1" t="s">
        <v>6</v>
      </c>
      <c r="D248" s="37"/>
      <c r="N248" s="37"/>
    </row>
    <row r="249" spans="2:15" x14ac:dyDescent="0.25">
      <c r="B249" s="21"/>
      <c r="D249" s="21"/>
      <c r="N249" s="37"/>
    </row>
    <row r="250" spans="2:15" ht="15.6" x14ac:dyDescent="0.3">
      <c r="B250" s="22" t="s">
        <v>8</v>
      </c>
      <c r="D250" s="21"/>
      <c r="N250" s="37"/>
    </row>
    <row r="251" spans="2:15" x14ac:dyDescent="0.25">
      <c r="B251" s="31">
        <f>B209+B210+B211</f>
        <v>14288</v>
      </c>
      <c r="C251" s="1" t="s">
        <v>7</v>
      </c>
      <c r="D251" s="21"/>
      <c r="N251" s="37"/>
    </row>
    <row r="252" spans="2:15" x14ac:dyDescent="0.25">
      <c r="B252" s="31">
        <f>B248-B251</f>
        <v>2264444.4781551939</v>
      </c>
      <c r="C252" s="1" t="s">
        <v>8</v>
      </c>
      <c r="D252" s="21"/>
      <c r="N252" s="37"/>
    </row>
    <row r="253" spans="2:15" x14ac:dyDescent="0.25">
      <c r="B253" s="21"/>
      <c r="D253" s="21"/>
      <c r="N253" s="37"/>
    </row>
    <row r="254" spans="2:15" ht="15.6" x14ac:dyDescent="0.3">
      <c r="B254" s="22" t="s">
        <v>45</v>
      </c>
      <c r="D254" s="21"/>
      <c r="N254" s="37"/>
    </row>
    <row r="255" spans="2:15" x14ac:dyDescent="0.25">
      <c r="B255" s="39">
        <f>B252/B17</f>
        <v>3347.2941288325114</v>
      </c>
      <c r="C255" s="1" t="s">
        <v>17</v>
      </c>
      <c r="D255" s="40"/>
      <c r="N255" s="37"/>
    </row>
    <row r="256" spans="2:15" x14ac:dyDescent="0.25">
      <c r="B256" s="41">
        <f>B24/B255</f>
        <v>0.83453676088342799</v>
      </c>
      <c r="C256" s="1" t="s">
        <v>2</v>
      </c>
    </row>
    <row r="258" spans="2:10" x14ac:dyDescent="0.25">
      <c r="B258" s="53">
        <f>(B255/B22)/B23</f>
        <v>3347.2941288325114</v>
      </c>
      <c r="C258" s="1" t="s">
        <v>166</v>
      </c>
    </row>
    <row r="259" spans="2:10" x14ac:dyDescent="0.25">
      <c r="B259" s="68"/>
    </row>
    <row r="260" spans="2:10" ht="15.6" x14ac:dyDescent="0.3">
      <c r="B260" s="56" t="s">
        <v>122</v>
      </c>
    </row>
    <row r="261" spans="2:10" x14ac:dyDescent="0.25">
      <c r="B261" s="1" t="s">
        <v>3</v>
      </c>
      <c r="D261" s="1">
        <v>0</v>
      </c>
      <c r="E261" s="1">
        <v>1</v>
      </c>
      <c r="F261" s="1">
        <v>2</v>
      </c>
      <c r="G261" s="1">
        <v>3</v>
      </c>
      <c r="H261" s="1">
        <v>4</v>
      </c>
      <c r="I261" s="1">
        <v>5</v>
      </c>
    </row>
    <row r="262" spans="2:10" x14ac:dyDescent="0.25">
      <c r="B262" s="1" t="s">
        <v>15</v>
      </c>
      <c r="D262" s="57">
        <f>-B24</f>
        <v>-2793.44</v>
      </c>
      <c r="E262" s="58">
        <f>$B$20*$B$24</f>
        <v>0</v>
      </c>
      <c r="F262" s="45">
        <f>$B$20*$B$24</f>
        <v>0</v>
      </c>
      <c r="G262" s="58">
        <f>$B$20*$B$24</f>
        <v>0</v>
      </c>
      <c r="H262" s="45">
        <f>$B$20*$B$24</f>
        <v>0</v>
      </c>
      <c r="I262" s="58">
        <f>B255*(1+B216)^5+($B$20*$B$24)</f>
        <v>5269.4400949103183</v>
      </c>
    </row>
    <row r="263" spans="2:10" x14ac:dyDescent="0.25">
      <c r="B263" s="1" t="s">
        <v>123</v>
      </c>
      <c r="D263" s="59">
        <f>IRR(D262:I262)</f>
        <v>0.13533760990197607</v>
      </c>
    </row>
    <row r="265" spans="2:10" x14ac:dyDescent="0.25">
      <c r="D265" s="60" t="s">
        <v>124</v>
      </c>
      <c r="E265" s="16"/>
      <c r="F265" s="16"/>
      <c r="G265" s="16"/>
      <c r="H265" s="16"/>
      <c r="I265" s="16"/>
      <c r="J265" s="16"/>
    </row>
    <row r="266" spans="2:10" x14ac:dyDescent="0.25">
      <c r="D266" s="16" t="s">
        <v>125</v>
      </c>
      <c r="E266" s="16"/>
      <c r="F266" s="16"/>
      <c r="G266" s="16"/>
      <c r="H266" s="16"/>
      <c r="I266" s="61"/>
      <c r="J266" s="16"/>
    </row>
    <row r="267" spans="2:10" x14ac:dyDescent="0.25">
      <c r="D267" s="16" t="s">
        <v>126</v>
      </c>
      <c r="E267" s="16"/>
      <c r="F267" s="16"/>
      <c r="G267" s="16"/>
      <c r="H267" s="16"/>
      <c r="I267" s="16"/>
      <c r="J267" s="16"/>
    </row>
  </sheetData>
  <phoneticPr fontId="0" type="noConversion"/>
  <conditionalFormatting sqref="F5">
    <cfRule type="cellIs" dxfId="2" priority="1" operator="greaterThanOrEqual">
      <formula>1.1</formula>
    </cfRule>
    <cfRule type="cellIs" dxfId="1" priority="2" operator="between">
      <formula>0.85</formula>
      <formula>1.1</formula>
    </cfRule>
    <cfRule type="cellIs" dxfId="0" priority="3" operator="lessThanOrEqual">
      <formula>0.85</formula>
    </cfRule>
  </conditionalFormatting>
  <pageMargins left="0.75" right="0.75" top="1" bottom="1" header="0.5" footer="0.5"/>
  <pageSetup orientation="portrait" horizontalDpi="4294967293" verticalDpi="429496729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Valuation DCF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 User</dc:creator>
  <cp:lastModifiedBy>christian</cp:lastModifiedBy>
  <dcterms:created xsi:type="dcterms:W3CDTF">2005-11-04T23:05:07Z</dcterms:created>
  <dcterms:modified xsi:type="dcterms:W3CDTF">2022-01-10T21:30:17Z</dcterms:modified>
</cp:coreProperties>
</file>