
<file path=[Content_Types].xml><?xml version="1.0" encoding="utf-8"?>
<Types xmlns="http://schemas.openxmlformats.org/package/2006/content-types">
  <Override PartName="/xl/_rels/workbook.xml.rels" ContentType="application/vnd.openxmlformats-package.relationships+xml"/>
  <Override PartName="/xl/comments10.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workbook.xml" ContentType="application/vnd.openxmlformats-officedocument.spreadsheetml.sheet.main+xml"/>
  <Override PartName="/xl/styles.xml" ContentType="application/vnd.openxmlformats-officedocument.spreadsheetml.styles+xml"/>
  <Override PartName="/xl/comments1.xml" ContentType="application/vnd.openxmlformats-officedocument.spreadsheetml.comments+xml"/>
  <Override PartName="/xl/comments11.xml" ContentType="application/vnd.openxmlformats-officedocument.spreadsheetml.comments+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_rels/sheet11.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_rels/sheet10.xml.rels" ContentType="application/vnd.openxmlformats-package.relationships+xml"/>
  <Override PartName="/xl/worksheets/_rels/sheet3.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1.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worksheets/sheet14.xml" ContentType="application/vnd.openxmlformats-officedocument.spreadsheetml.worksheet+xml"/>
  <Override PartName="/xl/worksheets/sheet4.xml" ContentType="application/vnd.openxmlformats-officedocument.spreadsheetml.worksheet+xml"/>
  <Override PartName="/xl/worksheets/sheet1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vmlDrawing5.vml" ContentType="application/vnd.openxmlformats-officedocument.vmlDrawing"/>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Input sheet" sheetId="1" state="visible" r:id="rId2"/>
    <sheet name="Valuation output" sheetId="2" state="visible" r:id="rId3"/>
    <sheet name="Stories to Numbers" sheetId="3" state="visible" r:id="rId4"/>
    <sheet name="Diagnostics" sheetId="4" state="visible" r:id="rId5"/>
    <sheet name="Summary Sheet" sheetId="5" state="visible" r:id="rId6"/>
    <sheet name="Option value" sheetId="6" state="visible" r:id="rId7"/>
    <sheet name="Cost of capital worksheet" sheetId="7" state="visible" r:id="rId8"/>
    <sheet name="R&amp; D converter" sheetId="8" state="visible" r:id="rId9"/>
    <sheet name="Operating lease converter" sheetId="9" state="visible" r:id="rId10"/>
    <sheet name="Country equity risk premiums" sheetId="10" state="visible" r:id="rId11"/>
    <sheet name="Synthetic rating" sheetId="11" state="visible" r:id="rId12"/>
    <sheet name="Industry Average Beta (US)" sheetId="12" state="visible" r:id="rId13"/>
    <sheet name="Industry Average Beta (Global)" sheetId="13" state="visible" r:id="rId14"/>
    <sheet name="Trailing 12 month" sheetId="14" state="visible" r:id="rId15"/>
    <sheet name="Answer keys" sheetId="15" state="visible" r:id="rId16"/>
  </sheets>
  <calcPr iterateCount="100" refMode="A1" iterate="tru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B6" authorId="0">
      <text>
        <r>
          <rPr>
            <sz val="9"/>
            <color rgb="FF000000"/>
            <rFont val="Calibri"/>
            <family val="0"/>
            <charset val="1"/>
          </rPr>
          <t xml:space="preserve">Aswath Damodaran:
If you are in multiple businesses, you can construct your own weighted averages using the industry average table from this spreadsheet and your company's business breakdown.</t>
        </r>
      </text>
    </comment>
    <comment ref="B8" authorId="0">
      <text>
        <r>
          <rPr>
            <sz val="9"/>
            <color rgb="FF000000"/>
            <rFont val="Calibri"/>
            <family val="0"/>
            <charset val="1"/>
          </rPr>
          <t xml:space="preserve">Aswath Damodaran:
Enter the revenues from the most recent period (you can either use annual or the trailing 12 months). If your company had no revenues, enter a very small positive number. (You need a base for your growth rate)</t>
        </r>
      </text>
    </comment>
    <comment ref="B9" authorId="0">
      <text>
        <r>
          <rPr>
            <sz val="9"/>
            <color rgb="FF000000"/>
            <rFont val="Calibri"/>
            <family val="0"/>
            <charset val="1"/>
          </rPr>
          <t xml:space="preserve">Aswath Damodaran:
Enter the operating income or EBIT from the most recent time period, even if that number is negative. If you have operating leases or R&amp;D and want to adjust for them, use the options below to start the process and enter the numbers in the relevan t worksheets.</t>
        </r>
      </text>
    </comment>
    <comment ref="B11" authorId="0">
      <text>
        <r>
          <rPr>
            <sz val="9"/>
            <color rgb="FF000000"/>
            <rFont val="Calibri"/>
            <family val="0"/>
            <charset val="1"/>
          </rPr>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B12" authorId="0">
      <text>
        <r>
          <rPr>
            <sz val="9"/>
            <color rgb="FF000000"/>
            <rFont val="Calibri"/>
            <family val="0"/>
            <charset val="1"/>
          </rPr>
          <t xml:space="preserve">Aswath Damodaran:
Enter the book value of interest bearing debt (short and long term) at your company from the most recent balance sheet. (Do not include accounts payable, supplier credit or other non-interest bearing liabilities.) </t>
        </r>
      </text>
    </comment>
    <comment ref="B15" authorId="0">
      <text>
        <r>
          <rPr>
            <sz val="9"/>
            <color rgb="FF000000"/>
            <rFont val="Calibri"/>
            <family val="0"/>
            <charset val="1"/>
          </rPr>
          <t xml:space="preserve">Aswath Damodaran:
Enter the cash balance from the most recent balance sheet. This should include marketable securities.</t>
        </r>
      </text>
    </comment>
    <comment ref="B16" authorId="0">
      <text>
        <r>
          <rPr>
            <sz val="9"/>
            <color rgb="FF000000"/>
            <rFont val="Calibri"/>
            <family val="0"/>
            <charset val="1"/>
          </rPr>
          <t xml:space="preserve">Aswath Damodaran:
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r>
      </text>
    </comment>
    <comment ref="B17" authorId="0">
      <text>
        <r>
          <rPr>
            <sz val="9"/>
            <color rgb="FF000000"/>
            <rFont val="Calibri"/>
            <family val="0"/>
            <charset val="1"/>
          </rPr>
          <t xml:space="preserve">Aswath Damodaran:
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r>
      </text>
    </comment>
    <comment ref="B18" authorId="0">
      <text>
        <r>
          <rPr>
            <sz val="9"/>
            <color rgb="FF000000"/>
            <rFont val="Calibri"/>
            <family val="0"/>
            <charset val="1"/>
          </rPr>
          <t xml:space="preserve">Aswath Damodaran:
Enter the most recent update you have on the number of shares. If you have different classes of shares, aggregate them all and enter one number. Count restricted stock units (RSUs) as shares but don't count shares underlying employee options.</t>
        </r>
      </text>
    </comment>
    <comment ref="B19" authorId="0">
      <text>
        <r>
          <rPr>
            <sz val="9"/>
            <color rgb="FF000000"/>
            <rFont val="Calibri"/>
            <family val="0"/>
            <charset val="1"/>
          </rPr>
          <t xml:space="preserve">Aswath Damodaran:
Enter the most recent stock price (how about today's?) in here. </t>
        </r>
      </text>
    </comment>
    <comment ref="B20" authorId="0">
      <text>
        <r>
          <rPr>
            <sz val="9"/>
            <color rgb="FF000000"/>
            <rFont val="Calibri"/>
            <family val="0"/>
            <charset val="1"/>
          </rPr>
          <t xml:space="preserve">Aswath Damodaran:
Enter your effective (not marginal) tax rate for your firm. You will find this in your company's annual report. If you cannot, you can compute it as follows, from the income statement:
Effective tax rate = Taxes paid/ Taxable income
If your effective tax rate varies across years, you can use an average. If the effective tax rate is less than zero, enter zero.
If you have a money losing company, don't enter zero but enter the tax rate that you will have when you start making money.</t>
        </r>
      </text>
    </comment>
    <comment ref="B21" authorId="0">
      <text>
        <r>
          <rPr>
            <sz val="9"/>
            <color rgb="FF000000"/>
            <rFont val="Calibri"/>
            <family val="0"/>
            <charset val="1"/>
          </rPr>
          <t xml:space="preserve">Aswath Damodaran:
This is a statutory tax rate. I use the tax rate of the country the company is domiciled in. See worksheet embedded in this spreadshseet for country tax rates.</t>
        </r>
      </text>
    </comment>
    <comment ref="B25" authorId="0">
      <text>
        <r>
          <rPr>
            <sz val="9"/>
            <color rgb="FF000000"/>
            <rFont val="Calibri"/>
            <family val="0"/>
            <charset val="1"/>
          </rPr>
          <t xml:space="preserve">Aswath Damodaran:
I don't have a crystal ball but you should look at 
a. Revenue growth in your company in recent years
b. Your company's revenues, relative to the overall market size and larger players in the sector. 
Suggestion: Check your revenues in year 10 against the overall market and see what market share are you giving your company. Check your company's revenues against other companies in the sector.
Note that this number can be negative for a declining firm.</t>
        </r>
      </text>
    </comment>
    <comment ref="B26" authorId="0">
      <text>
        <r>
          <rPr>
            <sz val="9"/>
            <color rgb="FF000000"/>
            <rFont val="Calibri"/>
            <family val="0"/>
            <charset val="1"/>
          </rPr>
          <t xml:space="preserve">Aswath Damodaran:
You should start by looking at your company's current pre-tax operating margin  but also look at the average for your industry. (You can check my estimates of industry averages in the last worksheet on this spreadsheet.) </t>
        </r>
      </text>
    </comment>
    <comment ref="B27" authorId="0">
      <text>
        <r>
          <rPr>
            <sz val="9"/>
            <color rgb="FF000000"/>
            <rFont val="Calibri"/>
            <family val="0"/>
            <charset val="1"/>
          </rPr>
          <t xml:space="preserve">Aswath Damodaran:
This is the forecast year in which your current margin will converge on target.</t>
        </r>
      </text>
    </comment>
    <comment ref="B28" authorId="0">
      <text>
        <r>
          <rPr>
            <sz val="9"/>
            <color rgb="FF000000"/>
            <rFont val="Calibri"/>
            <family val="0"/>
            <charset val="1"/>
          </rPr>
          <t xml:space="preserve">Aswath Damodaran:
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r>
      </text>
    </comment>
    <comment ref="B30" authorId="0">
      <text>
        <r>
          <rPr>
            <sz val="9"/>
            <color rgb="FF000000"/>
            <rFont val="Calibri"/>
            <family val="0"/>
            <charset val="1"/>
          </rPr>
          <t xml:space="preserve">Aswath Damodaran:
This should be today's long term riskfree rate. If you are working with a currency where the government has default risk, clean up the government bond rate to make it riskfree (by subtracting the default spread for the government).</t>
        </r>
      </text>
    </comment>
    <comment ref="B34" authorId="0">
      <text>
        <r>
          <rPr>
            <sz val="9"/>
            <color rgb="FF000000"/>
            <rFont val="Calibri"/>
            <family val="0"/>
            <charset val="1"/>
          </rPr>
          <t xml:space="preserve">Aswath Damodaran:
Check your company's annual report or 10K. If it does have options outstanding, enter the total number here (vested and non vested, in the money and out…)</t>
        </r>
      </text>
    </comment>
    <comment ref="B35" authorId="0">
      <text>
        <r>
          <rPr>
            <sz val="9"/>
            <color rgb="FF000000"/>
            <rFont val="Calibri"/>
            <family val="0"/>
            <charset val="1"/>
          </rPr>
          <t xml:space="preserve">Aswath Damodaran:
Enter the weighted average strike price of your options. (Should be in your 10K or annual report.)</t>
        </r>
      </text>
    </comment>
    <comment ref="B36" authorId="0">
      <text>
        <r>
          <rPr>
            <sz val="9"/>
            <color rgb="FF000000"/>
            <rFont val="Calibri"/>
            <family val="0"/>
            <charset val="1"/>
          </rPr>
          <t xml:space="preserve">Aswath Damodaran:
The weighted average maturity of your options should be reported in your financial statements.</t>
        </r>
      </text>
    </comment>
    <comment ref="B37" authorId="0">
      <text>
        <r>
          <rPr>
            <sz val="9"/>
            <color rgb="FF000000"/>
            <rFont val="Calibri"/>
            <family val="0"/>
            <charset val="1"/>
          </rPr>
          <t xml:space="preserve">Aswath Damodaran:
If you have a standard deviation for your stock, enter that number. If not, use the industry average standard deviation from the worksheet.</t>
        </r>
      </text>
    </comment>
    <comment ref="B41" authorId="0">
      <text>
        <r>
          <rPr>
            <sz val="9"/>
            <color rgb="FF000000"/>
            <rFont val="Calibri"/>
            <family val="0"/>
            <charset val="1"/>
          </rPr>
          <t xml:space="preserve">Aswath Damodaran:
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r>
      </text>
    </comment>
    <comment ref="B44" authorId="0">
      <text>
        <r>
          <rPr>
            <sz val="9"/>
            <color rgb="FF000000"/>
            <rFont val="Calibri"/>
            <family val="0"/>
            <charset val="1"/>
          </rPr>
          <t xml:space="preserve">Aswath Damodaran:
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r>
      </text>
    </comment>
    <comment ref="B45" authorId="0">
      <text>
        <r>
          <rPr>
            <sz val="9"/>
            <color rgb="FF000000"/>
            <rFont val="Calibri"/>
            <family val="0"/>
            <charset val="1"/>
          </rPr>
          <t xml:space="preserve">Aswath Damodaran:
Even if you believe your firm has significant competitive advantages, don't set this number to more than 5% more than your cost of capital. </t>
        </r>
      </text>
    </comment>
    <comment ref="B47" authorId="0">
      <text>
        <r>
          <rPr>
            <sz val="9"/>
            <color rgb="FF000000"/>
            <rFont val="Calibri"/>
            <family val="0"/>
            <charset val="1"/>
          </rPr>
          <t xml:space="preserve">Aswath Damodaran:
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48" authorId="0">
      <text>
        <r>
          <rPr>
            <sz val="9"/>
            <color rgb="FF000000"/>
            <rFont val="Calibri"/>
            <family val="0"/>
            <charset val="1"/>
          </rPr>
          <t xml:space="preserve">Aswath Damodaran
If you want to look at ways of estimating this probability, try these papers I have on the topic:
For young growth companies: http://papers.ssrn.com/sol3/papers.cfm?abstract_id=1418687  
For declining, distressed companies: http://papers.ssrn.com/sol3/papers.cfm?abstract_id=1428022 </t>
        </r>
      </text>
    </comment>
    <comment ref="B49" authorId="0">
      <text>
        <r>
          <rPr>
            <sz val="9"/>
            <color rgb="FF000000"/>
            <rFont val="Calibri"/>
            <family val="0"/>
            <charset val="1"/>
          </rPr>
          <t xml:space="preserve">Aswath Damodaran:
If the firm fail and has to liquidate its assets, you need to specify what the liquidation proceeds will be tied to. For young growth companies, I would tie it to value and with distressed firms (especially ones with significant assets in place), I would use book value.</t>
        </r>
      </text>
    </comment>
    <comment ref="B50" authorId="0">
      <text>
        <r>
          <rPr>
            <sz val="9"/>
            <color rgb="FF000000"/>
            <rFont val="Calibri"/>
            <family val="0"/>
            <charset val="1"/>
          </rPr>
          <t xml:space="preserve">Aswath Damodaran:
You will generally not get 100% of fair value. How much less than 100% you get will depend on whether there are lots of potential buyers for your assets and how much of a hurry you are in to liquidate. It may well be zero for a young growth company with no tangible assets.</t>
        </r>
      </text>
    </comment>
    <comment ref="B52" authorId="0">
      <text>
        <r>
          <rPr>
            <sz val="9"/>
            <color rgb="FF000000"/>
            <rFont val="Calibri"/>
            <family val="0"/>
            <charset val="1"/>
          </rPr>
          <t xml:space="preserve">Aswath Damodaran:
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r>
      </text>
    </comment>
    <comment ref="B54" authorId="0">
      <text>
        <r>
          <rPr>
            <sz val="9"/>
            <color rgb="FF000000"/>
            <rFont val="Calibri"/>
            <family val="0"/>
            <charset val="1"/>
          </rPr>
          <t xml:space="preserve">Aswath Damodaran:
If your company has been losing money for a while, there will be accumulated losses from prior periods. Check your financial statements.</t>
        </r>
      </text>
    </comment>
    <comment ref="B55" authorId="0">
      <text>
        <r>
          <rPr>
            <sz val="9"/>
            <color rgb="FF000000"/>
            <rFont val="Calibri"/>
            <family val="0"/>
            <charset val="1"/>
          </rPr>
          <t xml:space="preserve">Aswath Damodaran:
This is the NOL from prior years carried forward into this year.</t>
        </r>
      </text>
    </comment>
    <comment ref="B61" authorId="0">
      <text>
        <r>
          <rPr>
            <sz val="9"/>
            <color rgb="FF000000"/>
            <rFont val="Calibri"/>
            <family val="0"/>
            <charset val="1"/>
          </rPr>
          <t xml:space="preserve">Aswath Damodaran:
Be VERY, VERY careful. This is a growth rate in perpetuity, after year 10. Entering numbers significantly (more than 1%) higher than the risk free rate will render your valuation close to useless.
</t>
        </r>
      </text>
    </comment>
    <comment ref="B64" authorId="0">
      <text>
        <r>
          <rPr>
            <sz val="9"/>
            <color rgb="FF000000"/>
            <rFont val="Calibri"/>
            <family val="0"/>
            <charset val="1"/>
          </rPr>
          <t xml:space="preserve">Aswath Damodaran:
If your concern is that a portion of the cash is trapped in foreign markets and will be subject to tax, when returned, enter the trapped cash balance. If you feel that the entire cash balance is being discounted because markets don't trust managers, enter the entire cash balance.</t>
        </r>
      </text>
    </comment>
    <comment ref="B65" authorId="0">
      <text>
        <r>
          <rPr>
            <sz val="9"/>
            <color rgb="FF000000"/>
            <rFont val="Calibri"/>
            <family val="0"/>
            <charset val="1"/>
          </rPr>
          <t xml:space="preserve">Aswath Damodaran:
This is the additional tax due, if the cash is trapped cash. If your concern is that all cash is being discounted by the market because of management mistrust, enter the percentage discount to apply to cash.</t>
        </r>
      </text>
    </comment>
    <comment ref="C4" authorId="0">
      <text>
        <r>
          <rPr>
            <sz val="9"/>
            <color rgb="FF000000"/>
            <rFont val="Calibri"/>
            <family val="0"/>
            <charset val="1"/>
          </rPr>
          <t xml:space="preserve">Aswath Damodaran:
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r>
      </text>
    </comment>
    <comment ref="C8" authorId="0">
      <text>
        <r>
          <rPr>
            <sz val="9"/>
            <color rgb="FF000000"/>
            <rFont val="Calibri"/>
            <family val="0"/>
            <charset val="1"/>
          </rPr>
          <t xml:space="preserve">Aswath Damodaran:
Enter the revenues from the most recent period (you can either use annual or the trailing 12 months). If your company had no revenues, enter a very small positive number. (You need a base for your growth rate)</t>
        </r>
      </text>
    </comment>
    <comment ref="C9" authorId="0">
      <text>
        <r>
          <rPr>
            <sz val="9"/>
            <color rgb="FF000000"/>
            <rFont val="Calibri"/>
            <family val="0"/>
            <charset val="1"/>
          </rPr>
          <t xml:space="preserve">Aswath Damodaran:
Enter the operating income or EBIT from the most recent time period, even if that number is negative. If you have operating leases, enter the adjusted operating income (see the operating lease worksheet for the amount you have to adjust operating income by).</t>
        </r>
      </text>
    </comment>
    <comment ref="C11" authorId="0">
      <text>
        <r>
          <rPr>
            <sz val="9"/>
            <color rgb="FF000000"/>
            <rFont val="Calibri"/>
            <family val="0"/>
            <charset val="1"/>
          </rPr>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C12" authorId="0">
      <text>
        <r>
          <rPr>
            <sz val="9"/>
            <color rgb="FF000000"/>
            <rFont val="Calibri"/>
            <family val="0"/>
            <charset val="1"/>
          </rPr>
          <t xml:space="preserve">Aswath Damodaran:
Enter the book value of interest bearing debt (short and long term) at your company from the most recent balance sheet. (Do not include accounts payable, supplier credit or other non-interest bearing liabilities.) </t>
        </r>
      </text>
    </comment>
    <comment ref="C15" authorId="0">
      <text>
        <r>
          <rPr>
            <sz val="9"/>
            <color rgb="FF000000"/>
            <rFont val="Calibri"/>
            <family val="0"/>
            <charset val="1"/>
          </rPr>
          <t xml:space="preserve">Aswath Damodaran:
Enter the cash balance from the most recent balance sheet. This should include marketable securities.</t>
        </r>
      </text>
    </comment>
    <comment ref="D7" authorId="0">
      <text>
        <r>
          <rPr>
            <sz val="9"/>
            <color rgb="FF000000"/>
            <rFont val="Calibri"/>
            <family val="0"/>
            <charset val="1"/>
          </rPr>
          <t xml:space="preserve">Aswath Damodaran:
If you have trailing 12 month numbers, the last year's numbers may be only 3 months, 6 months or 9 months ago.</t>
        </r>
      </text>
    </comment>
    <comment ref="J30" authorId="0">
      <text>
        <r>
          <rPr>
            <sz val="9"/>
            <color rgb="FF000000"/>
            <rFont val="Calibri"/>
            <family val="0"/>
            <charset val="1"/>
          </rPr>
          <t xml:space="preserve">Aswath Damodaran:
Compare to your total market and check your market share.</t>
        </r>
      </text>
    </comment>
    <comment ref="J31" authorId="0">
      <text>
        <r>
          <rPr>
            <sz val="9"/>
            <color rgb="FF000000"/>
            <rFont val="Calibri"/>
            <family val="0"/>
            <charset val="1"/>
          </rPr>
          <t xml:space="preserve">Aswath Damodaran:
Determined by your target margin. </t>
        </r>
      </text>
    </comment>
    <comment ref="J32" authorId="0">
      <text>
        <r>
          <rPr>
            <sz val="9"/>
            <color rgb="FF000000"/>
            <rFont val="Calibri"/>
            <family val="0"/>
            <charset val="1"/>
          </rPr>
          <t xml:space="preserve">Aswath Damodaran:
Function of both your target margin and your sales to capital ratio.</t>
        </r>
      </text>
    </comment>
  </commentList>
</comments>
</file>

<file path=xl/comments10.xml><?xml version="1.0" encoding="utf-8"?>
<comments xmlns="http://schemas.openxmlformats.org/spreadsheetml/2006/main" xmlns:xdr="http://schemas.openxmlformats.org/drawingml/2006/spreadsheetDrawing">
  <authors>
    <author> </author>
  </authors>
  <commentList>
    <comment ref="B1" authorId="0">
      <text>
        <r>
          <rPr>
            <sz val="9"/>
            <color rgb="FF000000"/>
            <rFont val="Calibri"/>
            <family val="0"/>
            <charset val="1"/>
          </rPr>
          <t xml:space="preserve">Microsoft Office User:
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r>
      </text>
    </comment>
  </commentList>
</comments>
</file>

<file path=xl/comments11.xml><?xml version="1.0" encoding="utf-8"?>
<comments xmlns="http://schemas.openxmlformats.org/spreadsheetml/2006/main" xmlns:xdr="http://schemas.openxmlformats.org/drawingml/2006/spreadsheetDrawing">
  <authors>
    <author> </author>
  </authors>
  <commentList>
    <comment ref="F5" authorId="0">
      <text>
        <r>
          <rPr>
            <sz val="9"/>
            <color rgb="FF000000"/>
            <rFont val="Calibri"/>
            <family val="0"/>
            <charset val="1"/>
          </rPr>
          <t xml:space="preserve">Aswath Damodaran:
If your most recent year's operating income is unusually low or high, you can use the average operating income from the last few years. </t>
        </r>
      </text>
    </comment>
    <comment ref="F6" authorId="0">
      <text>
        <r>
          <rPr>
            <sz val="9"/>
            <color rgb="FF000000"/>
            <rFont val="Calibri"/>
            <family val="0"/>
            <charset val="1"/>
          </rPr>
          <t xml:space="preserve">Aswath Damodaran:
Enter the interest expense from the most recent income statement.</t>
        </r>
      </text>
    </comment>
    <comment ref="F7" authorId="0">
      <text>
        <r>
          <rPr>
            <sz val="9"/>
            <color rgb="FF000000"/>
            <rFont val="Calibri"/>
            <family val="0"/>
            <charset val="1"/>
          </rPr>
          <t xml:space="preserve">Aswath Damodaran:
I use a 10 year government bond rate.</t>
        </r>
      </text>
    </comment>
  </commentList>
</comments>
</file>

<file path=xl/comments7.xml><?xml version="1.0" encoding="utf-8"?>
<comments xmlns="http://schemas.openxmlformats.org/spreadsheetml/2006/main" xmlns:xdr="http://schemas.openxmlformats.org/drawingml/2006/spreadsheetDrawing">
  <authors>
    <author> </author>
  </authors>
  <commentList>
    <comment ref="B11" authorId="0">
      <text>
        <r>
          <rPr>
            <sz val="9"/>
            <color rgb="FF000000"/>
            <rFont val="Calibri"/>
            <family val="0"/>
            <charset val="1"/>
          </rPr>
          <t xml:space="preserve">Aswath Damodaran:
Use a sector average beta, if need be.</t>
        </r>
      </text>
    </comment>
    <comment ref="B13" authorId="0">
      <text>
        <r>
          <rPr>
            <sz val="9"/>
            <color rgb="FF000000"/>
            <rFont val="Calibri"/>
            <family val="0"/>
            <charset val="1"/>
          </rPr>
          <t xml:space="preserve">Aswath Damodaran:
If you pick operating regions or countries, please input the revenues by country or region in the table to the right.</t>
        </r>
      </text>
    </comment>
    <comment ref="B15" authorId="0">
      <text>
        <r>
          <rPr>
            <sz val="9"/>
            <color rgb="FF000000"/>
            <rFont val="Calibri"/>
            <family val="0"/>
            <charset val="1"/>
          </rPr>
          <t xml:space="preserve">Aswath Damodaran:
If your company has risk exposure in emergiing markets, incorporate that risk premiums here. See worksheet on country risk premiums.</t>
        </r>
      </text>
    </comment>
    <comment ref="B19" authorId="0">
      <text>
        <r>
          <rPr>
            <sz val="9"/>
            <color rgb="FF000000"/>
            <rFont val="Calibri"/>
            <family val="0"/>
            <charset val="1"/>
          </rPr>
          <t xml:space="preserve">Aswath Damodaran:
Interest expense (gross) from most recent financial statement.</t>
        </r>
      </text>
    </comment>
    <comment ref="B20" authorId="0">
      <text>
        <r>
          <rPr>
            <sz val="9"/>
            <color rgb="FF000000"/>
            <rFont val="Calibri"/>
            <family val="0"/>
            <charset val="1"/>
          </rPr>
          <t xml:space="preserve">Aswath Damodaran:
Generally found in footnotes to financial statements.</t>
        </r>
      </text>
    </comment>
    <comment ref="B24" authorId="0">
      <text>
        <r>
          <rPr>
            <sz val="9"/>
            <color rgb="FF000000"/>
            <rFont val="Calibri"/>
            <family val="0"/>
            <charset val="1"/>
          </rPr>
          <t xml:space="preserve">Aswath Damodaran:
1: Large market cap (&gt;$5 billion) and safe.
2: Small market cap (&lt;$5 billion) or risky.
If company has volatile earnings or is in risky business, use 2, even if large market cap.</t>
        </r>
      </text>
    </comment>
    <comment ref="B25" authorId="0">
      <text>
        <r>
          <rPr>
            <sz val="9"/>
            <color rgb="FF000000"/>
            <rFont val="Calibri"/>
            <family val="0"/>
            <charset val="1"/>
          </rPr>
          <t xml:space="preserve">Aswath Damodaran:
Current, long term cost of borrowing money. If you have a rating use it, if not use a synthetic rating. See the worksheet attached.</t>
        </r>
      </text>
    </comment>
  </commentList>
</comments>
</file>

<file path=xl/comments8.xml><?xml version="1.0" encoding="utf-8"?>
<comments xmlns="http://schemas.openxmlformats.org/spreadsheetml/2006/main" xmlns:xdr="http://schemas.openxmlformats.org/drawingml/2006/spreadsheetDrawing">
  <authors>
    <author> </author>
  </authors>
  <commentList>
    <comment ref="D40" authorId="0">
      <text>
        <r>
          <rPr>
            <sz val="9"/>
            <color rgb="FF000000"/>
            <rFont val="Calibri"/>
            <family val="0"/>
            <charset val="1"/>
          </rPr>
          <t xml:space="preserve">Aswath Damodaran:
By expensing R&amp;D rather than capitalizing it, the firm gets a tax benefit. This is the dollar value of that tax benefit.</t>
        </r>
      </text>
    </comment>
  </commentList>
</comments>
</file>

<file path=xl/sharedStrings.xml><?xml version="1.0" encoding="utf-8"?>
<sst xmlns="http://schemas.openxmlformats.org/spreadsheetml/2006/main" count="1259" uniqueCount="771">
  <si>
    <t xml:space="preserve">Date of valuation</t>
  </si>
  <si>
    <r>
      <rPr>
        <b val="true"/>
        <sz val="10"/>
        <color rgb="FF000000"/>
        <rFont val="Arial"/>
        <family val="0"/>
        <charset val="1"/>
      </rPr>
      <t xml:space="preserve">Important:</t>
    </r>
    <r>
      <rPr>
        <sz val="10"/>
        <color rgb="FF000000"/>
        <rFont val="Arial"/>
        <family val="0"/>
        <charset val="1"/>
      </rPr>
      <t xml:space="preserve"> Before you run this spreadsheet, go into preferences in Excel and check under Calculation options</t>
    </r>
  </si>
  <si>
    <t xml:space="preserve">Company name</t>
  </si>
  <si>
    <t xml:space="preserve">Alphabet</t>
  </si>
  <si>
    <t xml:space="preserve">There should be a check against the iteration box. If there is not, you will get circular reasoning errors.</t>
  </si>
  <si>
    <t xml:space="preserve">Numbers from your base year below ( in consistent units)</t>
  </si>
  <si>
    <t xml:space="preserve">This year</t>
  </si>
  <si>
    <t xml:space="preserve">Last year</t>
  </si>
  <si>
    <t xml:space="preserve">Country of incorporation</t>
  </si>
  <si>
    <t xml:space="preserve">United States</t>
  </si>
  <si>
    <t xml:space="preserve">Industry (US)</t>
  </si>
  <si>
    <t xml:space="preserve">Advertising</t>
  </si>
  <si>
    <t xml:space="preserve">Industry (Global)</t>
  </si>
  <si>
    <t xml:space="preserve">Last 10K</t>
  </si>
  <si>
    <t xml:space="preserve">Years since last 10K</t>
  </si>
  <si>
    <t xml:space="preserve">Revenues</t>
  </si>
  <si>
    <t xml:space="preserve">Operating income or EBIT</t>
  </si>
  <si>
    <t xml:space="preserve">Interest expense</t>
  </si>
  <si>
    <t xml:space="preserve">Book value of equity</t>
  </si>
  <si>
    <t xml:space="preserve">Book value of debt</t>
  </si>
  <si>
    <t xml:space="preserve">Do you have R&amp;D expenses to capitalize?</t>
  </si>
  <si>
    <t xml:space="preserve">Yes</t>
  </si>
  <si>
    <t xml:space="preserve"> If you want to capitalize R&amp;D, you have to input the numbers into the R&amp;D worksheet. </t>
  </si>
  <si>
    <t xml:space="preserve">Do you have operating lease commitments?</t>
  </si>
  <si>
    <t xml:space="preserve">No</t>
  </si>
  <si>
    <t xml:space="preserve">If you have operating leases, please enter your lease commitments in the lease worksheet below and I will convert to debt</t>
  </si>
  <si>
    <t xml:space="preserve">Cash and Marketable Securities</t>
  </si>
  <si>
    <t xml:space="preserve">Cross holdings and other non-operating assets</t>
  </si>
  <si>
    <t xml:space="preserve">Minority interests</t>
  </si>
  <si>
    <t xml:space="preserve">Number of shares outstanding =</t>
  </si>
  <si>
    <t xml:space="preserve">Current stock price =</t>
  </si>
  <si>
    <t xml:space="preserve">Computed numbers: Here is what your company's numbers look like, relative to industry.</t>
  </si>
  <si>
    <t xml:space="preserve">Effective tax rate =</t>
  </si>
  <si>
    <t xml:space="preserve">If you are not working in US dollars, you should add the inflation differential to the industry averages.</t>
  </si>
  <si>
    <t xml:space="preserve">Marginal tax rate =</t>
  </si>
  <si>
    <t xml:space="preserve">Company</t>
  </si>
  <si>
    <t xml:space="preserve">Industry (US data)</t>
  </si>
  <si>
    <t xml:space="preserve">Industry (Global data)</t>
  </si>
  <si>
    <t xml:space="preserve">The value drivers below:</t>
  </si>
  <si>
    <t xml:space="preserve">Revenue growth in the most recent year =</t>
  </si>
  <si>
    <t xml:space="preserve">Revenue growth rate for next year </t>
  </si>
  <si>
    <t xml:space="preserve">Pre-tax operating margin in the most recent year =</t>
  </si>
  <si>
    <t xml:space="preserve">Operating Margin for next year</t>
  </si>
  <si>
    <t xml:space="preserve">Sales to capital ratio in most recent year =</t>
  </si>
  <si>
    <t xml:space="preserve">Compounded annual revenue growth rate - years 2-5 =</t>
  </si>
  <si>
    <t xml:space="preserve">Growth Lever</t>
  </si>
  <si>
    <t xml:space="preserve">Return on invested capital in most recent year=</t>
  </si>
  <si>
    <t xml:space="preserve">Target pre-tax operating margin (EBIT as % of sales in year 10) =</t>
  </si>
  <si>
    <t xml:space="preserve">Profitability Lever</t>
  </si>
  <si>
    <t xml:space="preserve">Standard deviation in stock prices =</t>
  </si>
  <si>
    <t xml:space="preserve">Year of convergence</t>
  </si>
  <si>
    <t xml:space="preserve">Speed of convergence level</t>
  </si>
  <si>
    <t xml:space="preserve">Cost of capital =</t>
  </si>
  <si>
    <t xml:space="preserve">Sales to capital ratio  (for computing reinvestment) =</t>
  </si>
  <si>
    <t xml:space="preserve">Efficency of Growth Lever</t>
  </si>
  <si>
    <t xml:space="preserve">Market numbers </t>
  </si>
  <si>
    <t xml:space="preserve">Valuation Output Feedback (for you to use to fine tune your inputs, if you want)</t>
  </si>
  <si>
    <t xml:space="preserve">Riskfree rate</t>
  </si>
  <si>
    <t xml:space="preserve">Revenues in year 10, based on your revenue growth =</t>
  </si>
  <si>
    <t xml:space="preserve">Initial cost of capital =</t>
  </si>
  <si>
    <t xml:space="preserve">Pre-tax Operating Income in year 10, based on your operating margin =</t>
  </si>
  <si>
    <t xml:space="preserve">Other inputs</t>
  </si>
  <si>
    <t xml:space="preserve">Return on invested capital in year 10, based on your sales/capital ratio =</t>
  </si>
  <si>
    <t xml:space="preserve">Do you have employee options outstanding?</t>
  </si>
  <si>
    <t xml:space="preserve">Check the Diagnostics worksheet for more details.</t>
  </si>
  <si>
    <t xml:space="preserve">Number of options outstanding =</t>
  </si>
  <si>
    <t xml:space="preserve">Average strike price =</t>
  </si>
  <si>
    <t xml:space="preserve">Average maturity =</t>
  </si>
  <si>
    <t xml:space="preserve">Standard deviation on stock price =</t>
  </si>
  <si>
    <t xml:space="preserve">Default assumptions. </t>
  </si>
  <si>
    <t xml:space="preserve">In stable growth, I will assume that your firm will have a cost of capital similar to that of typical mature companies (riskfree rate + 4.5%)</t>
  </si>
  <si>
    <t xml:space="preserve">Do you want to override this assumption =</t>
  </si>
  <si>
    <t xml:space="preserve">Mature companies generally see their risk levels approach the average</t>
  </si>
  <si>
    <t xml:space="preserve">If yes, enter the cost of capital after year 10 =</t>
  </si>
  <si>
    <t xml:space="preserve">Though some sectors, even in stable growth, may have higher risk. If you change your risk free rate after year 10 (see cell B57 &amp; 58), you should incorporate it into your stable cost of capital estimate.</t>
  </si>
  <si>
    <t xml:space="preserve">I will assume that your firm will earn a return on capital equal to its cost of capital after year 10. I am assuming that whatever competitive advantages you have today will fade over time.</t>
  </si>
  <si>
    <t xml:space="preserve">Mature companies find it difficult to generate returns that exceed the cost of capital</t>
  </si>
  <si>
    <t xml:space="preserve">If yes, enter the return on capital you expect after year 10</t>
  </si>
  <si>
    <t xml:space="preserve">But there are significant exceptions among companies with long-lasting competitive advantages.</t>
  </si>
  <si>
    <t xml:space="preserve">I will assume that your firm has no chance of failure over the foreseeable future.</t>
  </si>
  <si>
    <t xml:space="preserve">Many young, growth companies fail, especially if they have trouble raising cash. Many distressed companies fail, because they have trouble making debt payments.</t>
  </si>
  <si>
    <t xml:space="preserve">If yes, enter the probability of failure =</t>
  </si>
  <si>
    <t xml:space="preserve">Tough to estimate but a key input.</t>
  </si>
  <si>
    <t xml:space="preserve">What do you want to tie your proceeds in failure to?</t>
  </si>
  <si>
    <t xml:space="preserve">V</t>
  </si>
  <si>
    <t xml:space="preserve">B: Book value of capital, V= Estimated fair value for the company</t>
  </si>
  <si>
    <t xml:space="preserve">Enter the distress proceeds as percentage of book or fair value</t>
  </si>
  <si>
    <t xml:space="preserve">This can be zero, if the assets will be worth nothing if the firm fails.</t>
  </si>
  <si>
    <t xml:space="preserve">I will assume that your effective tax rate will adjust to your marginal tax rate by your terminal year. If you override this assumption, I will leave the tax rate at your effective tax rate.</t>
  </si>
  <si>
    <t xml:space="preserve">I will assume that you have no losses carried forward from prior years ( NOL) coming into the valuation. If you have a money losing company, you may want to override tis.</t>
  </si>
  <si>
    <t xml:space="preserve">Check the financial statements.</t>
  </si>
  <si>
    <t xml:space="preserve">If yes, enter the NOL that you are carrying over into year 1</t>
  </si>
  <si>
    <t xml:space="preserve">An NOL will shield your income from taxes, even after you start making money.</t>
  </si>
  <si>
    <t xml:space="preserve">I will asssume that today's risk free rate will prevail in perpetuity. If you override this assumption, I will change the riskfree rate after year 10.</t>
  </si>
  <si>
    <t xml:space="preserve">If yes, you will be asked to enter a normal risk free rate and your growth in perpetuity will be adjusted accordingly.</t>
  </si>
  <si>
    <t xml:space="preserve">If yes, enter the riskfree rate after year 10</t>
  </si>
  <si>
    <t xml:space="preserve">Enter your estimate of what the riskfree rate (in your currency of choice) will be after year 10</t>
  </si>
  <si>
    <t xml:space="preserve">I will assume that the growth rate in perpetuity will be equal to the risk free rate. This allows for both valuation consistency and prevents "impossible" growth rates.</t>
  </si>
  <si>
    <t xml:space="preserve">This is an option to let you use a negative growth rate in perpetuity or to even liquidate the firm.</t>
  </si>
  <si>
    <t xml:space="preserve">If yes, enter the growth rate in perpetuity</t>
  </si>
  <si>
    <t xml:space="preserve">This can be negative, if you feel the company will decline (and disappear) after growth is done. If you let it exceed the risk free rate, you are on your own in uncharted territory.</t>
  </si>
  <si>
    <t xml:space="preserve">I have assumed that none of the cash is trapped (in foreign countries) and that there is no additional tax liability coming due and that cash is a neutral asset.</t>
  </si>
  <si>
    <t xml:space="preserve">Do you want to override this assumption</t>
  </si>
  <si>
    <t xml:space="preserve">If yes, enter trapped cash (if taxes) or entire balance (if mistrust)</t>
  </si>
  <si>
    <t xml:space="preserve">Cash that is trapped in foreign markets (and subject to additoinal tax) or cash that is being discounted by the market (because of management mistrust)</t>
  </si>
  <si>
    <t xml:space="preserve">&amp; Average tax rate of the foreign markets where the cash is trapped</t>
  </si>
  <si>
    <t xml:space="preserve">Additional tax rate due on trapped cash or discount being applied to cash balance because of mistrust.</t>
  </si>
  <si>
    <t xml:space="preserve">Base year</t>
  </si>
  <si>
    <t xml:space="preserve">Terminal year</t>
  </si>
  <si>
    <t xml:space="preserve">Revenue growth rate</t>
  </si>
  <si>
    <t xml:space="preserve">EBIT (Operating) margin</t>
  </si>
  <si>
    <t xml:space="preserve">EBIT (Operating income)</t>
  </si>
  <si>
    <t xml:space="preserve">Tax rate</t>
  </si>
  <si>
    <t xml:space="preserve">EBIT(1-t)</t>
  </si>
  <si>
    <t xml:space="preserve"> - Reinvestment</t>
  </si>
  <si>
    <t xml:space="preserve">FCFF</t>
  </si>
  <si>
    <t xml:space="preserve">NOL</t>
  </si>
  <si>
    <t xml:space="preserve">Cost of capital</t>
  </si>
  <si>
    <t xml:space="preserve">Cumulated discount factor</t>
  </si>
  <si>
    <t xml:space="preserve">PV(FCFF)</t>
  </si>
  <si>
    <t xml:space="preserve">Terminal cash flow</t>
  </si>
  <si>
    <t xml:space="preserve">Terminal cost of capital</t>
  </si>
  <si>
    <t xml:space="preserve">Terminal value</t>
  </si>
  <si>
    <t xml:space="preserve">PV(Terminal value)</t>
  </si>
  <si>
    <t xml:space="preserve">PV (CF over next 10 years)</t>
  </si>
  <si>
    <t xml:space="preserve">Sum of PV</t>
  </si>
  <si>
    <t xml:space="preserve">Probability of failure =</t>
  </si>
  <si>
    <t xml:space="preserve">Proceeds if firm fails =</t>
  </si>
  <si>
    <t xml:space="preserve">Value of operating assets =</t>
  </si>
  <si>
    <t xml:space="preserve"> - Debt</t>
  </si>
  <si>
    <t xml:space="preserve"> - Minority interests</t>
  </si>
  <si>
    <t xml:space="preserve"> +  Cash</t>
  </si>
  <si>
    <t xml:space="preserve"> + Non-operating assets</t>
  </si>
  <si>
    <t xml:space="preserve">Value of equity</t>
  </si>
  <si>
    <t xml:space="preserve"> - Value of options</t>
  </si>
  <si>
    <t xml:space="preserve">Value of equity in common stock</t>
  </si>
  <si>
    <t xml:space="preserve">Number of shares</t>
  </si>
  <si>
    <t xml:space="preserve">Estimated value /share</t>
  </si>
  <si>
    <t xml:space="preserve">Price as % of value without Cash:</t>
  </si>
  <si>
    <t xml:space="preserve">Price</t>
  </si>
  <si>
    <t xml:space="preserve">Yield without Cash:</t>
  </si>
  <si>
    <t xml:space="preserve">Price as % of value</t>
  </si>
  <si>
    <t xml:space="preserve">Yield:</t>
  </si>
  <si>
    <t xml:space="preserve">Value / share without Cash:</t>
  </si>
  <si>
    <t xml:space="preserve">Implied variables</t>
  </si>
  <si>
    <t xml:space="preserve">After year 10</t>
  </si>
  <si>
    <t xml:space="preserve">Sales to capital ratio</t>
  </si>
  <si>
    <t xml:space="preserve">Invested capital</t>
  </si>
  <si>
    <t xml:space="preserve">ROIC</t>
  </si>
  <si>
    <t xml:space="preserve">The Story</t>
  </si>
  <si>
    <t xml:space="preserve">Tell your story about the company. Keep it focuses on the company's businesses and tie it into the three key levers of value: cash flows, growth and risk</t>
  </si>
  <si>
    <t xml:space="preserve">The Assumptions</t>
  </si>
  <si>
    <t xml:space="preserve">In 2022</t>
  </si>
  <si>
    <t xml:space="preserve">Years 1-5</t>
  </si>
  <si>
    <t xml:space="preserve">Years 6-10</t>
  </si>
  <si>
    <t xml:space="preserve">Link to story</t>
  </si>
  <si>
    <t xml:space="preserve">Revenues (a)</t>
  </si>
  <si>
    <t xml:space="preserve">Tie each assumption to the part of your story that relates to it.</t>
  </si>
  <si>
    <t xml:space="preserve">Operating margin (b)</t>
  </si>
  <si>
    <t xml:space="preserve">Reinvestment (c )</t>
  </si>
  <si>
    <t xml:space="preserve">Sales to Capital =</t>
  </si>
  <si>
    <t xml:space="preserve">Return on capital</t>
  </si>
  <si>
    <t xml:space="preserve">Marginal ROIC =</t>
  </si>
  <si>
    <t xml:space="preserve">Cost of capital (d)</t>
  </si>
  <si>
    <t xml:space="preserve">The Cash Flows</t>
  </si>
  <si>
    <t xml:space="preserve">Operating Margin</t>
  </si>
  <si>
    <t xml:space="preserve">EBIT</t>
  </si>
  <si>
    <t xml:space="preserve">EBIT (1-t)</t>
  </si>
  <si>
    <t xml:space="preserve">Reinvestment </t>
  </si>
  <si>
    <t xml:space="preserve">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</si>
  <si>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 xml:space="preserve">The Value</t>
  </si>
  <si>
    <t xml:space="preserve">This is the output from your valuation. It reflects your cash flows being discounted back at the cost of capital to get to your operating asset value, which then gets adjusted for the likelihood that your firm will not make it. We add cash and non-operating assets, subtract out debt and minority interests to get to value of equity.</t>
  </si>
  <si>
    <t xml:space="preserve">Adjustment for distress</t>
  </si>
  <si>
    <t xml:space="preserve"> - Debt &amp; Mnority Interests</t>
  </si>
  <si>
    <t xml:space="preserve"> + Cash &amp; Other Non-operating assets</t>
  </si>
  <si>
    <t xml:space="preserve"> - Value of equity options</t>
  </si>
  <si>
    <t xml:space="preserve">Value per share</t>
  </si>
  <si>
    <t xml:space="preserve">Stock was trading at =</t>
  </si>
  <si>
    <t xml:space="preserve">IRR:</t>
  </si>
  <si>
    <t xml:space="preserve">VALUATION DIAGNOSTICS</t>
  </si>
  <si>
    <t xml:space="preserve">Invested capital at start of valuation</t>
  </si>
  <si>
    <t xml:space="preserve">Invested capital at end of valuation</t>
  </si>
  <si>
    <t xml:space="preserve">Change in invested capital over 10 years</t>
  </si>
  <si>
    <t xml:space="preserve">Change in EBIT*(1–t) (after-tax operating income) over 10 years</t>
  </si>
  <si>
    <t xml:space="preserve">Marginal ROIC over 10 years</t>
  </si>
  <si>
    <t xml:space="preserve">ROIC at end of valuation</t>
  </si>
  <si>
    <t xml:space="preserve">Average WACC over the 10 years (compounded)</t>
  </si>
  <si>
    <t xml:space="preserve">Your calculated value as a percent of current price</t>
  </si>
  <si>
    <t xml:space="preserve">Inputs</t>
  </si>
  <si>
    <t xml:space="preserve">If calculated value is negative or looks too low</t>
  </si>
  <si>
    <t xml:space="preserve">If calculated value looks too high</t>
  </si>
  <si>
    <t xml:space="preserve">Revenue growth rate (input cell B3)</t>
  </si>
  <si>
    <t xml:space="preserve">Increase revenue growth rate</t>
  </si>
  <si>
    <t xml:space="preserve">Decrease revenue growth rate</t>
  </si>
  <si>
    <t xml:space="preserve">Last period EBIT as % of revenue (Input cell B14)</t>
  </si>
  <si>
    <t xml:space="preserve">Increase the target pre-tax operating margin</t>
  </si>
  <si>
    <t xml:space="preserve">Decrease the target pre-tax operating margin</t>
  </si>
  <si>
    <t xml:space="preserve"> </t>
  </si>
  <si>
    <t xml:space="preserve">Sales to Capital Ratio or reinvestment (Input cell B15)</t>
  </si>
  <si>
    <t xml:space="preserve">Decrease the sales/capital ratio</t>
  </si>
  <si>
    <t xml:space="preserve">Increase the sales/capital ratio</t>
  </si>
  <si>
    <t xml:space="preserve">Return on capital in perpetuity (B30 &amp; B31)</t>
  </si>
  <si>
    <t xml:space="preserve">Increase relative to your cost of capital</t>
  </si>
  <si>
    <t xml:space="preserve">If higher than your cost of capital, lower towards your cost of capital</t>
  </si>
  <si>
    <t xml:space="preserve">T</t>
  </si>
  <si>
    <t xml:space="preserve">Year</t>
  </si>
  <si>
    <t xml:space="preserve">Revenue Growth Rate</t>
  </si>
  <si>
    <t xml:space="preserve">Pre-Tax Operating Margin</t>
  </si>
  <si>
    <t xml:space="preserve">Pre-Tax Operating Income</t>
  </si>
  <si>
    <t xml:space="preserve">Taxes</t>
  </si>
  <si>
    <t xml:space="preserve">After-Tax Operating Income</t>
  </si>
  <si>
    <t xml:space="preserve">Traling 12 month</t>
  </si>
  <si>
    <t xml:space="preserve">Change in Revenues</t>
  </si>
  <si>
    <t xml:space="preserve">Sales to Capital</t>
  </si>
  <si>
    <t xml:space="preserve">Reinvestment</t>
  </si>
  <si>
    <t xml:space="preserve">Capital Invested</t>
  </si>
  <si>
    <t xml:space="preserve">Implied ROC</t>
  </si>
  <si>
    <t xml:space="preserve">Beta</t>
  </si>
  <si>
    <t xml:space="preserve">Cost of Equity</t>
  </si>
  <si>
    <t xml:space="preserve">Pre-Tax Cost of Debt</t>
  </si>
  <si>
    <t xml:space="preserve">Tax Savings</t>
  </si>
  <si>
    <t xml:space="preserve">After-Tax Cost of Debt</t>
  </si>
  <si>
    <t xml:space="preserve">Debt Ratio</t>
  </si>
  <si>
    <t xml:space="preserve">Cost of Capital</t>
  </si>
  <si>
    <t xml:space="preserve">Cumulated Cost of Capital</t>
  </si>
  <si>
    <t xml:space="preserve">Terminal Value</t>
  </si>
  <si>
    <t xml:space="preserve">Present Value</t>
  </si>
  <si>
    <t xml:space="preserve">Valuing Options or Warrants</t>
  </si>
  <si>
    <t xml:space="preserve">Enter the current stock price =</t>
  </si>
  <si>
    <t xml:space="preserve">Enter the strike price on the option =</t>
  </si>
  <si>
    <t xml:space="preserve">Enter the expiration of the option =</t>
  </si>
  <si>
    <t xml:space="preserve">Enter the standard deviation in stock prices =</t>
  </si>
  <si>
    <t xml:space="preserve">(volatility)</t>
  </si>
  <si>
    <t xml:space="preserve">Enter the annualized dividend yield on stock =</t>
  </si>
  <si>
    <t xml:space="preserve">Enter the treasury bond rate =</t>
  </si>
  <si>
    <t xml:space="preserve">Enter the number of warrants (options) outstanding =</t>
  </si>
  <si>
    <t xml:space="preserve">Enter the number of shares outstanding =</t>
  </si>
  <si>
    <t xml:space="preserve">Do not input any numbers below this line</t>
  </si>
  <si>
    <t xml:space="preserve">VALUING WARRANTS WHEN THERE IS DILUTION</t>
  </si>
  <si>
    <t xml:space="preserve">Stock Price=</t>
  </si>
  <si>
    <t xml:space="preserve"># Warrants issued=</t>
  </si>
  <si>
    <t xml:space="preserve">Strike Price=</t>
  </si>
  <si>
    <t xml:space="preserve"># Shares outstanding=</t>
  </si>
  <si>
    <t xml:space="preserve">Adjusted S =</t>
  </si>
  <si>
    <t xml:space="preserve">T.Bond rate=</t>
  </si>
  <si>
    <t xml:space="preserve">Adjusted K =</t>
  </si>
  <si>
    <t xml:space="preserve">Variance=</t>
  </si>
  <si>
    <t xml:space="preserve">Expiration (in years) =</t>
  </si>
  <si>
    <t xml:space="preserve">Annualized dividend yield=</t>
  </si>
  <si>
    <t xml:space="preserve">Div. Adj. interest rate=</t>
  </si>
  <si>
    <t xml:space="preserve">d1 = </t>
  </si>
  <si>
    <t xml:space="preserve">N (d1) =</t>
  </si>
  <si>
    <t xml:space="preserve">d2 = </t>
  </si>
  <si>
    <t xml:space="preserve">N (d2) =</t>
  </si>
  <si>
    <t xml:space="preserve">Value per option = </t>
  </si>
  <si>
    <t xml:space="preserve">Value of all options outstanding =</t>
  </si>
  <si>
    <t xml:space="preserve">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</si>
  <si>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 xml:space="preserve">Estimation of Current Cost of Capital</t>
  </si>
  <si>
    <t xml:space="preserve">Operating Countries ERP calculator</t>
  </si>
  <si>
    <t xml:space="preserve">Country</t>
  </si>
  <si>
    <t xml:space="preserve">ERP</t>
  </si>
  <si>
    <t xml:space="preserve">Weight</t>
  </si>
  <si>
    <t xml:space="preserve">Weighted ERP</t>
  </si>
  <si>
    <t xml:space="preserve">Equity</t>
  </si>
  <si>
    <t xml:space="preserve">United States of America</t>
  </si>
  <si>
    <t xml:space="preserve">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</si>
  <si>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 xml:space="preserve">Number of Shares outstanding =</t>
  </si>
  <si>
    <t xml:space="preserve">Canada</t>
  </si>
  <si>
    <t xml:space="preserve">Current Market Price per share =</t>
  </si>
  <si>
    <t xml:space="preserve">United Kingdom</t>
  </si>
  <si>
    <t xml:space="preserve">Japan</t>
  </si>
  <si>
    <t xml:space="preserve">Approach for estimating beta</t>
  </si>
  <si>
    <t xml:space="preserve">Multibusiness(US)</t>
  </si>
  <si>
    <t xml:space="preserve">If direct input, enter levered beta (or regression beta)</t>
  </si>
  <si>
    <t xml:space="preserve">Unlevered beta =</t>
  </si>
  <si>
    <t xml:space="preserve">Riskfree Rate =</t>
  </si>
  <si>
    <t xml:space="preserve">What approach do you want to use to input ERP?</t>
  </si>
  <si>
    <t xml:space="preserve">Operating regions</t>
  </si>
  <si>
    <t xml:space="preserve">Direct input for ERP (if you choose "will input"</t>
  </si>
  <si>
    <t xml:space="preserve">Equity Risk Premium used in cost of equity =</t>
  </si>
  <si>
    <t xml:space="preserve">Rest of the World</t>
  </si>
  <si>
    <t xml:space="preserve">Debt</t>
  </si>
  <si>
    <t xml:space="preserve">Book Value of Straight Debt =</t>
  </si>
  <si>
    <t xml:space="preserve">Total</t>
  </si>
  <si>
    <t xml:space="preserve">Interest Expense on Debt =</t>
  </si>
  <si>
    <t xml:space="preserve">Operating Regions ERP calculator</t>
  </si>
  <si>
    <t xml:space="preserve">Average Maturity =</t>
  </si>
  <si>
    <t xml:space="preserve">Region</t>
  </si>
  <si>
    <t xml:space="preserve">Approach for estimating pre-tax cost of debt</t>
  </si>
  <si>
    <t xml:space="preserve">Actual rating</t>
  </si>
  <si>
    <t xml:space="preserve">If direct input, input the pre-tax cost of debt</t>
  </si>
  <si>
    <t xml:space="preserve">If actual rating, input the rating</t>
  </si>
  <si>
    <t xml:space="preserve">Aa2/AA</t>
  </si>
  <si>
    <t xml:space="preserve">If synethetic rating, input the type of company</t>
  </si>
  <si>
    <t xml:space="preserve">Pre-tax Cost of Debt =</t>
  </si>
  <si>
    <t xml:space="preserve">Tax Rate =</t>
  </si>
  <si>
    <t xml:space="preserve">Book Value of Convertible Debt =</t>
  </si>
  <si>
    <t xml:space="preserve">Interest Expense on Convertible =</t>
  </si>
  <si>
    <t xml:space="preserve">Maturity of Convertible Bond =</t>
  </si>
  <si>
    <t xml:space="preserve">Market Value of Convertible =</t>
  </si>
  <si>
    <t xml:space="preserve">Debt value of operating leases =</t>
  </si>
  <si>
    <t xml:space="preserve">Multi Business (US Industry Averages)</t>
  </si>
  <si>
    <t xml:space="preserve">Preferred Stock</t>
  </si>
  <si>
    <t xml:space="preserve">Business</t>
  </si>
  <si>
    <t xml:space="preserve">EV/Sales</t>
  </si>
  <si>
    <t xml:space="preserve">Estimated Value</t>
  </si>
  <si>
    <t xml:space="preserve">Unlevered Beta</t>
  </si>
  <si>
    <t xml:space="preserve">Number of Preferred Shares =</t>
  </si>
  <si>
    <t xml:space="preserve">Current Market Price per Share=</t>
  </si>
  <si>
    <t xml:space="preserve">Annual Dividend per Share =</t>
  </si>
  <si>
    <t xml:space="preserve">Output</t>
  </si>
  <si>
    <t xml:space="preserve">Estimating Market Value of Straight Debt =</t>
  </si>
  <si>
    <t xml:space="preserve">Estimated Value of Straight Debt in Convertible =</t>
  </si>
  <si>
    <t xml:space="preserve">Value of Debt in Operating leases =</t>
  </si>
  <si>
    <t xml:space="preserve">Estimated Value of Equity in Convertible =</t>
  </si>
  <si>
    <t xml:space="preserve">Levered Beta for equity =</t>
  </si>
  <si>
    <t xml:space="preserve">Debt </t>
  </si>
  <si>
    <t xml:space="preserve">Capital</t>
  </si>
  <si>
    <t xml:space="preserve">Market Value</t>
  </si>
  <si>
    <t xml:space="preserve">Weight in Cost of Capital</t>
  </si>
  <si>
    <t xml:space="preserve">Cost of Component</t>
  </si>
  <si>
    <t xml:space="preserve">Multi Business (Global Industry Averages)</t>
  </si>
  <si>
    <t xml:space="preserve">Beverage (Alcoholic)</t>
  </si>
  <si>
    <t xml:space="preserve">R &amp; D Converter</t>
  </si>
  <si>
    <t xml:space="preserve">This spreadsheet converts R&amp;D expenses from operating to capital expenses. It makes the appropriate adjustments to operating income, net</t>
  </si>
  <si>
    <t xml:space="preserve">income, the book value of assets and the book value of equity.</t>
  </si>
  <si>
    <t xml:space="preserve">Over how many years do you want to amortize R&amp;D expenses</t>
  </si>
  <si>
    <t xml:space="preserve">! If in doubt, use the lookup table below</t>
  </si>
  <si>
    <t xml:space="preserve">Enter the current year's R&amp;D expense =</t>
  </si>
  <si>
    <t xml:space="preserve">The maximum allowed is ten years</t>
  </si>
  <si>
    <t xml:space="preserve">Enter R&amp; D expenses for past years: the number of years that you will need to enter will be determined by the amortization period</t>
  </si>
  <si>
    <t xml:space="preserve">Do not input numbers in the first column (Year). It will get automatically updated  based on the input above.</t>
  </si>
  <si>
    <t xml:space="preserve">R&amp; D Expenses</t>
  </si>
  <si>
    <t xml:space="preserve">! Year -1 is the year prior to the current year</t>
  </si>
  <si>
    <t xml:space="preserve">! Year -2 is the two years prior to the current year</t>
  </si>
  <si>
    <t xml:space="preserve">R&amp;D Expense</t>
  </si>
  <si>
    <t xml:space="preserve">Unamortized portion</t>
  </si>
  <si>
    <t xml:space="preserve">Amortization this year</t>
  </si>
  <si>
    <t xml:space="preserve">Current</t>
  </si>
  <si>
    <t xml:space="preserve">Value of Research Asset =</t>
  </si>
  <si>
    <t xml:space="preserve">Amortization of asset for current year =</t>
  </si>
  <si>
    <t xml:space="preserve">Adjustment to Operating Income =</t>
  </si>
  <si>
    <t xml:space="preserve">! A positive number indicates an increase in operating income (add to reported EBIT)</t>
  </si>
  <si>
    <t xml:space="preserve">Tax Effect of R&amp;D Expensing</t>
  </si>
  <si>
    <t xml:space="preserve">Operating Lease Converter</t>
  </si>
  <si>
    <t xml:space="preserve">The yellow cells are input cells. Please enter them.</t>
  </si>
  <si>
    <t xml:space="preserve">Operating lease expense in current year =</t>
  </si>
  <si>
    <t xml:space="preserve">Operating Lease Commitments (From footnote to financials)</t>
  </si>
  <si>
    <t xml:space="preserve">Commitment</t>
  </si>
  <si>
    <t xml:space="preserve">! Year 1 is next year, ….</t>
  </si>
  <si>
    <t xml:space="preserve">6 and beyond</t>
  </si>
  <si>
    <t xml:space="preserve">! If you do not have a cost of debt, use the synthetic rating estimator</t>
  </si>
  <si>
    <t xml:space="preserve">Number of years embedded in yr 6 estimate =</t>
  </si>
  <si>
    <t xml:space="preserve">! I use the average lease expense over the first five years</t>
  </si>
  <si>
    <t xml:space="preserve">to estimate the number of years of expenses in yr 6</t>
  </si>
  <si>
    <t xml:space="preserve">Converting Operating Leases into debt</t>
  </si>
  <si>
    <t xml:space="preserve">! Commitment beyond year 6 converted into an annuity for ten years</t>
  </si>
  <si>
    <t xml:space="preserve">Debt Value of leases =</t>
  </si>
  <si>
    <t xml:space="preserve">Restated Financials</t>
  </si>
  <si>
    <t xml:space="preserve">Depreciation on Operating Lease Asset =</t>
  </si>
  <si>
    <t xml:space="preserve">! I use straight line depreciation</t>
  </si>
  <si>
    <t xml:space="preserve">Adjustment to Operating Earnings =</t>
  </si>
  <si>
    <t xml:space="preserve">! Add this amount to pre-tax operating income</t>
  </si>
  <si>
    <t xml:space="preserve">Adjustment to Total Debt outstanding =</t>
  </si>
  <si>
    <t xml:space="preserve">! Add this amount to debt</t>
  </si>
  <si>
    <t xml:space="preserve">Adjustment to Depreciation =</t>
  </si>
  <si>
    <t xml:space="preserve">Mature Market ERP +</t>
  </si>
  <si>
    <t xml:space="preserve">Updated november 1, 2022</t>
  </si>
  <si>
    <t xml:space="preserve">Moody's rating</t>
  </si>
  <si>
    <t xml:space="preserve">Adj. Default Spread</t>
  </si>
  <si>
    <t xml:space="preserve">Equity Risk Premium</t>
  </si>
  <si>
    <t xml:space="preserve">Country Risk Premium</t>
  </si>
  <si>
    <t xml:space="preserve">Corporate Tax Rate</t>
  </si>
  <si>
    <t xml:space="preserve">Abu Dhabi</t>
  </si>
  <si>
    <t xml:space="preserve">Aa2</t>
  </si>
  <si>
    <t xml:space="preserve">Albania</t>
  </si>
  <si>
    <t xml:space="preserve">B1</t>
  </si>
  <si>
    <t xml:space="preserve">Algeria</t>
  </si>
  <si>
    <t xml:space="preserve">NR</t>
  </si>
  <si>
    <t xml:space="preserve">Andorra (Principality of)</t>
  </si>
  <si>
    <t xml:space="preserve">Caa1</t>
  </si>
  <si>
    <t xml:space="preserve">Angola</t>
  </si>
  <si>
    <t xml:space="preserve">Argentina</t>
  </si>
  <si>
    <t xml:space="preserve">Ca</t>
  </si>
  <si>
    <t xml:space="preserve">Armenia</t>
  </si>
  <si>
    <t xml:space="preserve">Ba3</t>
  </si>
  <si>
    <t xml:space="preserve">Aruba</t>
  </si>
  <si>
    <t xml:space="preserve">Baa1</t>
  </si>
  <si>
    <t xml:space="preserve">Australia</t>
  </si>
  <si>
    <t xml:space="preserve">Aaa</t>
  </si>
  <si>
    <t xml:space="preserve">Austria</t>
  </si>
  <si>
    <t xml:space="preserve">Aa1</t>
  </si>
  <si>
    <t xml:space="preserve">Azerbaijan</t>
  </si>
  <si>
    <t xml:space="preserve">Ba2</t>
  </si>
  <si>
    <t xml:space="preserve">Bahamas</t>
  </si>
  <si>
    <t xml:space="preserve">Bahrain</t>
  </si>
  <si>
    <t xml:space="preserve">B2</t>
  </si>
  <si>
    <t xml:space="preserve">Bangladesh</t>
  </si>
  <si>
    <t xml:space="preserve">Barbados</t>
  </si>
  <si>
    <t xml:space="preserve">Belarus</t>
  </si>
  <si>
    <t xml:space="preserve">B3</t>
  </si>
  <si>
    <t xml:space="preserve">Belgium</t>
  </si>
  <si>
    <t xml:space="preserve">Aa3</t>
  </si>
  <si>
    <t xml:space="preserve">Belize</t>
  </si>
  <si>
    <t xml:space="preserve">Caa3</t>
  </si>
  <si>
    <t xml:space="preserve">Benin</t>
  </si>
  <si>
    <t xml:space="preserve">Bermuda</t>
  </si>
  <si>
    <t xml:space="preserve">A2</t>
  </si>
  <si>
    <t xml:space="preserve">Bolivia</t>
  </si>
  <si>
    <t xml:space="preserve">Bosnia and Herzegovina</t>
  </si>
  <si>
    <t xml:space="preserve">Botswana</t>
  </si>
  <si>
    <t xml:space="preserve">Brazil</t>
  </si>
  <si>
    <t xml:space="preserve">British Virgin Islands</t>
  </si>
  <si>
    <t xml:space="preserve">Brunei</t>
  </si>
  <si>
    <t xml:space="preserve">Bulgaria</t>
  </si>
  <si>
    <t xml:space="preserve">Burkina Faso</t>
  </si>
  <si>
    <t xml:space="preserve">Cambodia</t>
  </si>
  <si>
    <t xml:space="preserve">Cameroon</t>
  </si>
  <si>
    <t xml:space="preserve">Cape Verde</t>
  </si>
  <si>
    <t xml:space="preserve">Cayman Islands</t>
  </si>
  <si>
    <t xml:space="preserve">Chile</t>
  </si>
  <si>
    <t xml:space="preserve">A1</t>
  </si>
  <si>
    <t xml:space="preserve">China</t>
  </si>
  <si>
    <t xml:space="preserve">Colombia</t>
  </si>
  <si>
    <t xml:space="preserve">Baa2</t>
  </si>
  <si>
    <t xml:space="preserve">Congo (Democratic Republic of)</t>
  </si>
  <si>
    <t xml:space="preserve">Congo (Republic of)</t>
  </si>
  <si>
    <t xml:space="preserve">Caa2</t>
  </si>
  <si>
    <t xml:space="preserve">Cook Islands</t>
  </si>
  <si>
    <t xml:space="preserve">Costa Rica</t>
  </si>
  <si>
    <t xml:space="preserve">Croatia</t>
  </si>
  <si>
    <t xml:space="preserve">Ba1</t>
  </si>
  <si>
    <t xml:space="preserve">Cuba</t>
  </si>
  <si>
    <t xml:space="preserve">Curaçao</t>
  </si>
  <si>
    <t xml:space="preserve">A3</t>
  </si>
  <si>
    <t xml:space="preserve">Cyprus</t>
  </si>
  <si>
    <t xml:space="preserve">Czech Republic</t>
  </si>
  <si>
    <t xml:space="preserve">Denmark</t>
  </si>
  <si>
    <t xml:space="preserve">Dominican Republic</t>
  </si>
  <si>
    <t xml:space="preserve">Ecuador</t>
  </si>
  <si>
    <t xml:space="preserve">Egypt</t>
  </si>
  <si>
    <t xml:space="preserve">El Salvador</t>
  </si>
  <si>
    <t xml:space="preserve">Estonia</t>
  </si>
  <si>
    <t xml:space="preserve">Ethiopia</t>
  </si>
  <si>
    <t xml:space="preserve">Fiji</t>
  </si>
  <si>
    <t xml:space="preserve">Finland</t>
  </si>
  <si>
    <t xml:space="preserve">France</t>
  </si>
  <si>
    <t xml:space="preserve">Gabon</t>
  </si>
  <si>
    <t xml:space="preserve">Gambia</t>
  </si>
  <si>
    <t xml:space="preserve">Georgia</t>
  </si>
  <si>
    <t xml:space="preserve">Germany</t>
  </si>
  <si>
    <t xml:space="preserve">Ghana</t>
  </si>
  <si>
    <t xml:space="preserve">Greece</t>
  </si>
  <si>
    <t xml:space="preserve">Guatemala</t>
  </si>
  <si>
    <t xml:space="preserve">Guernsey</t>
  </si>
  <si>
    <t xml:space="preserve">Guinea</t>
  </si>
  <si>
    <t xml:space="preserve">Guinea-Bissau</t>
  </si>
  <si>
    <t xml:space="preserve">Guyana</t>
  </si>
  <si>
    <t xml:space="preserve">Haiti</t>
  </si>
  <si>
    <t xml:space="preserve">Honduras</t>
  </si>
  <si>
    <t xml:space="preserve">Hong Kong</t>
  </si>
  <si>
    <t xml:space="preserve">Hungary</t>
  </si>
  <si>
    <t xml:space="preserve">Baa3</t>
  </si>
  <si>
    <t xml:space="preserve">Iceland</t>
  </si>
  <si>
    <t xml:space="preserve">India</t>
  </si>
  <si>
    <t xml:space="preserve">Indonesia</t>
  </si>
  <si>
    <t xml:space="preserve">Iran</t>
  </si>
  <si>
    <t xml:space="preserve">Iraq</t>
  </si>
  <si>
    <t xml:space="preserve">Ireland</t>
  </si>
  <si>
    <t xml:space="preserve">Isle of Man</t>
  </si>
  <si>
    <t xml:space="preserve">Israel</t>
  </si>
  <si>
    <t xml:space="preserve">Italy</t>
  </si>
  <si>
    <t xml:space="preserve">Ivory Coast</t>
  </si>
  <si>
    <t xml:space="preserve">Jamaica</t>
  </si>
  <si>
    <t xml:space="preserve">Jersey</t>
  </si>
  <si>
    <t xml:space="preserve">Jordan</t>
  </si>
  <si>
    <t xml:space="preserve">Kazakhstan</t>
  </si>
  <si>
    <t xml:space="preserve">Kenya</t>
  </si>
  <si>
    <t xml:space="preserve">Korea, D.P.R.</t>
  </si>
  <si>
    <t xml:space="preserve">Kuwait</t>
  </si>
  <si>
    <t xml:space="preserve">Kyrgyzstan</t>
  </si>
  <si>
    <t xml:space="preserve">Laos</t>
  </si>
  <si>
    <t xml:space="preserve">Latvia</t>
  </si>
  <si>
    <t xml:space="preserve">Lebanon</t>
  </si>
  <si>
    <t xml:space="preserve">C</t>
  </si>
  <si>
    <t xml:space="preserve">Liberia</t>
  </si>
  <si>
    <t xml:space="preserve">Libya</t>
  </si>
  <si>
    <t xml:space="preserve">Liechtenstein</t>
  </si>
  <si>
    <t xml:space="preserve">Lithuania</t>
  </si>
  <si>
    <t xml:space="preserve">Luxembourg</t>
  </si>
  <si>
    <t xml:space="preserve">Macao</t>
  </si>
  <si>
    <t xml:space="preserve">Macedonia</t>
  </si>
  <si>
    <t xml:space="preserve">Madagascar</t>
  </si>
  <si>
    <t xml:space="preserve">Malawi</t>
  </si>
  <si>
    <t xml:space="preserve">Malaysia</t>
  </si>
  <si>
    <t xml:space="preserve">Mali</t>
  </si>
  <si>
    <t xml:space="preserve">Malta</t>
  </si>
  <si>
    <t xml:space="preserve">Mauritius</t>
  </si>
  <si>
    <t xml:space="preserve">Mexico</t>
  </si>
  <si>
    <t xml:space="preserve">Moldova</t>
  </si>
  <si>
    <t xml:space="preserve">Mongolia</t>
  </si>
  <si>
    <t xml:space="preserve">Montenegro</t>
  </si>
  <si>
    <t xml:space="preserve">Montserrat</t>
  </si>
  <si>
    <t xml:space="preserve">Morocco</t>
  </si>
  <si>
    <t xml:space="preserve">Mozambique</t>
  </si>
  <si>
    <t xml:space="preserve">Myanmar</t>
  </si>
  <si>
    <t xml:space="preserve">Namibia</t>
  </si>
  <si>
    <t xml:space="preserve">Netherlands</t>
  </si>
  <si>
    <t xml:space="preserve">New Zealand</t>
  </si>
  <si>
    <t xml:space="preserve">Nicaragua</t>
  </si>
  <si>
    <t xml:space="preserve">Niger</t>
  </si>
  <si>
    <t xml:space="preserve">Nigeria</t>
  </si>
  <si>
    <t xml:space="preserve">Norway</t>
  </si>
  <si>
    <t xml:space="preserve">Oman</t>
  </si>
  <si>
    <t xml:space="preserve">Pakistan</t>
  </si>
  <si>
    <t xml:space="preserve">Panama</t>
  </si>
  <si>
    <t xml:space="preserve">Papua New Guinea</t>
  </si>
  <si>
    <t xml:space="preserve">Paraguay</t>
  </si>
  <si>
    <t xml:space="preserve">Peru</t>
  </si>
  <si>
    <t xml:space="preserve">Philippines</t>
  </si>
  <si>
    <t xml:space="preserve">Poland</t>
  </si>
  <si>
    <t xml:space="preserve">Portugal</t>
  </si>
  <si>
    <t xml:space="preserve">Qatar</t>
  </si>
  <si>
    <t xml:space="preserve">Ras Al Khaimah (Emirate of)</t>
  </si>
  <si>
    <t xml:space="preserve">Romania</t>
  </si>
  <si>
    <t xml:space="preserve">Russia</t>
  </si>
  <si>
    <t xml:space="preserve">Rwanda</t>
  </si>
  <si>
    <t xml:space="preserve">Saint Lucia</t>
  </si>
  <si>
    <t xml:space="preserve">Saudi Arabia</t>
  </si>
  <si>
    <t xml:space="preserve">Senegal</t>
  </si>
  <si>
    <t xml:space="preserve">Serbia</t>
  </si>
  <si>
    <t xml:space="preserve">Sharjah</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</si>
  <si>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</si>
  <si>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</si>
  <si>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</si>
  <si>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</si>
  <si>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</si>
  <si>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</si>
  <si>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</si>
  <si>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South Korea</t>
  </si>
  <si>
    <t xml:space="preserve">Spain</t>
  </si>
  <si>
    <t xml:space="preserve">Sri Lanka</t>
  </si>
  <si>
    <t xml:space="preserve">St. Maarten</t>
  </si>
  <si>
    <t xml:space="preserve">St. Vincent &amp; the Grenadines</t>
  </si>
  <si>
    <t xml:space="preserve">Sudan</t>
  </si>
  <si>
    <t xml:space="preserve">Suriname</t>
  </si>
  <si>
    <t xml:space="preserve">Swaziland</t>
  </si>
  <si>
    <t xml:space="preserve">Sweden</t>
  </si>
  <si>
    <t xml:space="preserve">Switzerland</t>
  </si>
  <si>
    <t xml:space="preserve">Syria</t>
  </si>
  <si>
    <t xml:space="preserve">Taiwan</t>
  </si>
  <si>
    <t xml:space="preserve">Tajikistan</t>
  </si>
  <si>
    <t xml:space="preserve">Tanzania</t>
  </si>
  <si>
    <t xml:space="preserve">Thailand</t>
  </si>
  <si>
    <t xml:space="preserve">Togo</t>
  </si>
  <si>
    <t xml:space="preserve">Trinidad and Tobago</t>
  </si>
  <si>
    <t xml:space="preserve">Tunisia</t>
  </si>
  <si>
    <t xml:space="preserve">Turkey</t>
  </si>
  <si>
    <t xml:space="preserve">Turks and Caicos Islands</t>
  </si>
  <si>
    <t xml:space="preserve">Uganda</t>
  </si>
  <si>
    <t xml:space="preserve">Ukraine</t>
  </si>
  <si>
    <t xml:space="preserve">United Arab Emirates</t>
  </si>
  <si>
    <t xml:space="preserve">Uruguay</t>
  </si>
  <si>
    <t xml:space="preserve">Venezuela</t>
  </si>
  <si>
    <t xml:space="preserve">Vietnam</t>
  </si>
  <si>
    <t xml:space="preserve">Yemen</t>
  </si>
  <si>
    <t xml:space="preserve">Zambia</t>
  </si>
  <si>
    <t xml:space="preserve">Zimbabwe</t>
  </si>
  <si>
    <t xml:space="preserve">Default Spread</t>
  </si>
  <si>
    <t xml:space="preserve">CRP</t>
  </si>
  <si>
    <t xml:space="preserve">Africa</t>
  </si>
  <si>
    <t xml:space="preserve">Asia</t>
  </si>
  <si>
    <t xml:space="preserve">Australia &amp; New Zealand</t>
  </si>
  <si>
    <t xml:space="preserve">Caribbean</t>
  </si>
  <si>
    <t xml:space="preserve">Central and South America</t>
  </si>
  <si>
    <t xml:space="preserve">Eastern Europe &amp; Russia</t>
  </si>
  <si>
    <t xml:space="preserve">Middle East</t>
  </si>
  <si>
    <t xml:space="preserve">North America</t>
  </si>
  <si>
    <t xml:space="preserve">Western Europe</t>
  </si>
  <si>
    <t xml:space="preserve">Global</t>
  </si>
  <si>
    <t xml:space="preserve">Inputs for synthetic rating estimation</t>
  </si>
  <si>
    <t xml:space="preserve">Please read the special cases worksheet (see below) before you use this spreadsheet.</t>
  </si>
  <si>
    <t xml:space="preserve">Before you use this spreadsheet, make sure that the iteration box (under calculation options in excel) is checked.</t>
  </si>
  <si>
    <t xml:space="preserve">Enter the type of firm =</t>
  </si>
  <si>
    <t xml:space="preserve">Enter current Earnings before interest and taxes (EBIT) =</t>
  </si>
  <si>
    <t xml:space="preserve">(Add back only long term interest expense for financial firms)</t>
  </si>
  <si>
    <t xml:space="preserve">Enter current interest expenses =</t>
  </si>
  <si>
    <t xml:space="preserve">(Use only long term interest expense for financial firms)</t>
  </si>
  <si>
    <t xml:space="preserve">Enter long term risk free rate  =</t>
  </si>
  <si>
    <t xml:space="preserve">Interest  coverage ratio =</t>
  </si>
  <si>
    <t xml:space="preserve">Estimated Bond Rating =</t>
  </si>
  <si>
    <t xml:space="preserve">Note: If you get REF! All over the place, set the operating lease commitment question in cell F5</t>
  </si>
  <si>
    <t xml:space="preserve">Estimated Company Default Spread =</t>
  </si>
  <si>
    <t xml:space="preserve">to No, and then reset it to Yes. It should work.</t>
  </si>
  <si>
    <t xml:space="preserve">Estimated County Default Spread (if any) =</t>
  </si>
  <si>
    <t xml:space="preserve">Estimated Cost of Debt =</t>
  </si>
  <si>
    <t xml:space="preserve"> If you want to update the spreads listed below, please visit http://www.bondsonline.com</t>
  </si>
  <si>
    <t xml:space="preserve">For large manufacturing firms</t>
  </si>
  <si>
    <t xml:space="preserve">If interest coverage ratio is</t>
  </si>
  <si>
    <t xml:space="preserve">&gt;</t>
  </si>
  <si>
    <t xml:space="preserve">≤ to</t>
  </si>
  <si>
    <t xml:space="preserve">Rating is</t>
  </si>
  <si>
    <t xml:space="preserve">Spread is</t>
  </si>
  <si>
    <t xml:space="preserve">D2/D</t>
  </si>
  <si>
    <t xml:space="preserve">C2/C</t>
  </si>
  <si>
    <t xml:space="preserve">Ca2/CC</t>
  </si>
  <si>
    <t xml:space="preserve">Caa/CCC</t>
  </si>
  <si>
    <t xml:space="preserve">B3/B-</t>
  </si>
  <si>
    <t xml:space="preserve">B2/B</t>
  </si>
  <si>
    <t xml:space="preserve">B1/B+</t>
  </si>
  <si>
    <t xml:space="preserve">Ba2/BB</t>
  </si>
  <si>
    <t xml:space="preserve">Ba1/BB+</t>
  </si>
  <si>
    <t xml:space="preserve">Baa2/BBB</t>
  </si>
  <si>
    <t xml:space="preserve">A3/A-</t>
  </si>
  <si>
    <t xml:space="preserve">A2/A</t>
  </si>
  <si>
    <t xml:space="preserve">A1/A+</t>
  </si>
  <si>
    <t xml:space="preserve">Aaa/AAA</t>
  </si>
  <si>
    <t xml:space="preserve">For smaller and riskier firms</t>
  </si>
  <si>
    <t xml:space="preserve">greater than</t>
  </si>
  <si>
    <t xml:space="preserve">Spread July 2020</t>
  </si>
  <si>
    <t xml:space="preserve">Industry Name</t>
  </si>
  <si>
    <t xml:space="preserve">Number of firms</t>
  </si>
  <si>
    <t xml:space="preserve">Annual Average Revenue growth - Last 5 years</t>
  </si>
  <si>
    <t xml:space="preserve">Pre-tax Operating Margin (Unadjusted)</t>
  </si>
  <si>
    <t xml:space="preserve">After-tax ROC</t>
  </si>
  <si>
    <t xml:space="preserve">Average effective tax rate</t>
  </si>
  <si>
    <t xml:space="preserve">Equity (Levered) Beta</t>
  </si>
  <si>
    <t xml:space="preserve">Cost of equity</t>
  </si>
  <si>
    <t xml:space="preserve">Std deviation in stock prices</t>
  </si>
  <si>
    <t xml:space="preserve">Pre-tax cost of debt</t>
  </si>
  <si>
    <t xml:space="preserve">Market Debt/Capital</t>
  </si>
  <si>
    <t xml:space="preserve">Sales/Capital</t>
  </si>
  <si>
    <t xml:space="preserve">EV/EBITDA</t>
  </si>
  <si>
    <t xml:space="preserve">EV/EBIT</t>
  </si>
  <si>
    <t xml:space="preserve">Price/Book</t>
  </si>
  <si>
    <t xml:space="preserve">Trailing PE</t>
  </si>
  <si>
    <t xml:space="preserve">Non-cash WC as % of Revenues</t>
  </si>
  <si>
    <t xml:space="preserve">Cap Ex as % of Revenues</t>
  </si>
  <si>
    <t xml:space="preserve">Net Cap Ex as % of Revenues</t>
  </si>
  <si>
    <t xml:space="preserve">Reinvestment Rate</t>
  </si>
  <si>
    <t xml:space="preserve">ROE</t>
  </si>
  <si>
    <t xml:space="preserve">Dividend Payout Ratio</t>
  </si>
  <si>
    <t xml:space="preserve">Equity Reinvestment Rate</t>
  </si>
  <si>
    <t xml:space="preserve">Pre-tax Operating Margin (Lease &amp; R&amp;D adjusted)</t>
  </si>
  <si>
    <t xml:space="preserve">Aerospace/Defense</t>
  </si>
  <si>
    <t xml:space="preserve">Air Transport</t>
  </si>
  <si>
    <t xml:space="preserve">NA</t>
  </si>
  <si>
    <t xml:space="preserve">Apparel</t>
  </si>
  <si>
    <t xml:space="preserve">Auto &amp; Truck</t>
  </si>
  <si>
    <t xml:space="preserve">Auto Parts</t>
  </si>
  <si>
    <t xml:space="preserve">Bank (Money Center)</t>
  </si>
  <si>
    <t xml:space="preserve">Banks (Regional)</t>
  </si>
  <si>
    <t xml:space="preserve">Beverage (Soft)</t>
  </si>
  <si>
    <t xml:space="preserve">Broadcasting</t>
  </si>
  <si>
    <t xml:space="preserve">Brokerage &amp; Investment Banking</t>
  </si>
  <si>
    <t xml:space="preserve">Building Materials</t>
  </si>
  <si>
    <t xml:space="preserve">Business &amp; Consumer Services</t>
  </si>
  <si>
    <t xml:space="preserve">Cable TV</t>
  </si>
  <si>
    <t xml:space="preserve">Chemical (Basic)</t>
  </si>
  <si>
    <t xml:space="preserve">Chemical (Diversified)</t>
  </si>
  <si>
    <t xml:space="preserve">Chemical (Specialty)</t>
  </si>
  <si>
    <t xml:space="preserve">Coal &amp; Related Energy</t>
  </si>
  <si>
    <t xml:space="preserve">Computer Services</t>
  </si>
  <si>
    <t xml:space="preserve">Computers/Peripherals</t>
  </si>
  <si>
    <t xml:space="preserve">Construction Supplies</t>
  </si>
  <si>
    <t xml:space="preserve">Diversified</t>
  </si>
  <si>
    <t xml:space="preserve">Drugs (Biotechnology)</t>
  </si>
  <si>
    <t xml:space="preserve">Drugs (Pharmaceutical)</t>
  </si>
  <si>
    <t xml:space="preserve">Education</t>
  </si>
  <si>
    <t xml:space="preserve">Electrical Equipment</t>
  </si>
  <si>
    <t xml:space="preserve">Electronics (Consumer &amp; Office)</t>
  </si>
  <si>
    <t xml:space="preserve">Electronics (General)</t>
  </si>
  <si>
    <t xml:space="preserve">Engineering/Construction</t>
  </si>
  <si>
    <t xml:space="preserve">Entertainment</t>
  </si>
  <si>
    <t xml:space="preserve">Environmental &amp; Waste Services</t>
  </si>
  <si>
    <t xml:space="preserve">Farming/Agriculture</t>
  </si>
  <si>
    <t xml:space="preserve">Financial Svcs. (Non-bank &amp; Insurance)</t>
  </si>
  <si>
    <t xml:space="preserve">Food Processing</t>
  </si>
  <si>
    <t xml:space="preserve">Food Wholesalers</t>
  </si>
  <si>
    <t xml:space="preserve">Furn/Home Furnishings</t>
  </si>
  <si>
    <t xml:space="preserve">Green &amp; Renewable Energy</t>
  </si>
  <si>
    <t xml:space="preserve">Healthcare Products</t>
  </si>
  <si>
    <t xml:space="preserve">Healthcare Support Services</t>
  </si>
  <si>
    <t xml:space="preserve">Heathcare Information and Technology</t>
  </si>
  <si>
    <t xml:space="preserve">Homebuilding</t>
  </si>
  <si>
    <t xml:space="preserve">Hospitals/Healthcare Facilities</t>
  </si>
  <si>
    <t xml:space="preserve">Hotel/Gaming</t>
  </si>
  <si>
    <t xml:space="preserve">Household Products</t>
  </si>
  <si>
    <t xml:space="preserve">Information Services</t>
  </si>
  <si>
    <t xml:space="preserve">Insurance (General)</t>
  </si>
  <si>
    <t xml:space="preserve">Insurance (Life)</t>
  </si>
  <si>
    <t xml:space="preserve">Insurance (Prop/Cas.)</t>
  </si>
  <si>
    <t xml:space="preserve">Investments &amp; Asset Management</t>
  </si>
  <si>
    <t xml:space="preserve">Machinery</t>
  </si>
  <si>
    <t xml:space="preserve">Metals &amp; Mining</t>
  </si>
  <si>
    <t xml:space="preserve">Office Equipment &amp; Services</t>
  </si>
  <si>
    <t xml:space="preserve">Oil/Gas (Integrated)</t>
  </si>
  <si>
    <t xml:space="preserve">Oil/Gas (Production and Exploration)</t>
  </si>
  <si>
    <t xml:space="preserve">Oil/Gas Distribution</t>
  </si>
  <si>
    <t xml:space="preserve">Oilfield Svcs/Equip.</t>
  </si>
  <si>
    <t xml:space="preserve">Packaging &amp; Container</t>
  </si>
  <si>
    <t xml:space="preserve">Paper/Forest Products</t>
  </si>
  <si>
    <t xml:space="preserve">Power</t>
  </si>
  <si>
    <t xml:space="preserve">Precious Metals</t>
  </si>
  <si>
    <t xml:space="preserve">Publishing &amp; Newspapers</t>
  </si>
  <si>
    <t xml:space="preserve">R.E.I.T.</t>
  </si>
  <si>
    <t xml:space="preserve">Real Estate (Development)</t>
  </si>
  <si>
    <t xml:space="preserve">Real Estate (General/Diversified)</t>
  </si>
  <si>
    <t xml:space="preserve">Real Estate (Operations &amp; Services)</t>
  </si>
  <si>
    <t xml:space="preserve">Recreation</t>
  </si>
  <si>
    <t xml:space="preserve">Reinsurance</t>
  </si>
  <si>
    <t xml:space="preserve">Restaurant/Dining</t>
  </si>
  <si>
    <t xml:space="preserve">Retail (Automotive)</t>
  </si>
  <si>
    <t xml:space="preserve">Retail (Building Supply)</t>
  </si>
  <si>
    <t xml:space="preserve">Retail (Distributors)</t>
  </si>
  <si>
    <t xml:space="preserve">Retail (General)</t>
  </si>
  <si>
    <t xml:space="preserve">Retail (Grocery and Food)</t>
  </si>
  <si>
    <t xml:space="preserve">Retail (Online)</t>
  </si>
  <si>
    <t xml:space="preserve">Retail (Special Lines)</t>
  </si>
  <si>
    <t xml:space="preserve">Rubber&amp; Tires</t>
  </si>
  <si>
    <t xml:space="preserve">Semiconductor</t>
  </si>
  <si>
    <t xml:space="preserve">Semiconductor Equip</t>
  </si>
  <si>
    <t xml:space="preserve">Shipbuilding &amp; Marine</t>
  </si>
  <si>
    <t xml:space="preserve">Shoe</t>
  </si>
  <si>
    <t xml:space="preserve">Software (Entertainment)</t>
  </si>
  <si>
    <t xml:space="preserve">Software (Internet)</t>
  </si>
  <si>
    <t xml:space="preserve">Software (System &amp; Application)</t>
  </si>
  <si>
    <t xml:space="preserve">Steel</t>
  </si>
  <si>
    <t xml:space="preserve">Telecom (Wireless)</t>
  </si>
  <si>
    <t xml:space="preserve">Telecom. Equipment</t>
  </si>
  <si>
    <t xml:space="preserve">Telecom. Services</t>
  </si>
  <si>
    <t xml:space="preserve">Tobacco</t>
  </si>
  <si>
    <t xml:space="preserve">Transportation</t>
  </si>
  <si>
    <t xml:space="preserve">Transportation (Railroads)</t>
  </si>
  <si>
    <t xml:space="preserve">Trucking</t>
  </si>
  <si>
    <t xml:space="preserve">Utility (General)</t>
  </si>
  <si>
    <t xml:space="preserve">Utility (Water)</t>
  </si>
  <si>
    <t xml:space="preserve">Total Market</t>
  </si>
  <si>
    <t xml:space="preserve">Total Market (without financials)</t>
  </si>
  <si>
    <t xml:space="preserve">First X months: Last year</t>
  </si>
  <si>
    <t xml:space="preserve">First X months: Current year</t>
  </si>
  <si>
    <t xml:space="preserve">Trailing 12 month</t>
  </si>
  <si>
    <t xml:space="preserve">Technology &amp; Content</t>
  </si>
  <si>
    <t xml:space="preserve">Interest expenses</t>
  </si>
  <si>
    <t xml:space="preserve">Cash and cross holdings</t>
  </si>
  <si>
    <t xml:space="preserve">Non-operating assets </t>
  </si>
  <si>
    <t xml:space="preserve">Lease commitments</t>
  </si>
  <si>
    <t xml:space="preserve">Year 1</t>
  </si>
  <si>
    <t xml:space="preserve">Year 2</t>
  </si>
  <si>
    <t xml:space="preserve">Copy into operating lease worksheet</t>
  </si>
  <si>
    <t xml:space="preserve">Year 3</t>
  </si>
  <si>
    <t xml:space="preserve">Year 4</t>
  </si>
  <si>
    <t xml:space="preserve">Year 5</t>
  </si>
  <si>
    <t xml:space="preserve">Beyond year 5</t>
  </si>
  <si>
    <t xml:space="preserve">Current year's lease expense</t>
  </si>
  <si>
    <t xml:space="preserve">G&amp;A</t>
  </si>
  <si>
    <t xml:space="preserve">Marketing Costs</t>
  </si>
  <si>
    <t xml:space="preserve">Content Costs</t>
  </si>
  <si>
    <t xml:space="preserve">Content Costs (Cash Flows)</t>
  </si>
  <si>
    <t xml:space="preserve">Yes/No</t>
  </si>
  <si>
    <t xml:space="preserve">Book or Market Value</t>
  </si>
  <si>
    <t xml:space="preserve">ERP choices</t>
  </si>
  <si>
    <t xml:space="preserve">Cost of debt</t>
  </si>
  <si>
    <t xml:space="preserve">Synthetic rating</t>
  </si>
  <si>
    <t xml:space="preserve">B</t>
  </si>
  <si>
    <t xml:space="preserve">Will input</t>
  </si>
  <si>
    <t xml:space="preserve">Direct input</t>
  </si>
  <si>
    <t xml:space="preserve">Single Business(US)</t>
  </si>
  <si>
    <t xml:space="preserve">Operating countries</t>
  </si>
  <si>
    <t xml:space="preserve">Single Business(Global)</t>
  </si>
  <si>
    <t xml:space="preserve">Multibusiness(Global)</t>
  </si>
</sst>
</file>

<file path=xl/styles.xml><?xml version="1.0" encoding="utf-8"?>
<styleSheet xmlns="http://schemas.openxmlformats.org/spreadsheetml/2006/main">
  <numFmts count="25">
    <numFmt numFmtId="164" formatCode="General"/>
    <numFmt numFmtId="165" formatCode="MMM\ YY"/>
    <numFmt numFmtId="166" formatCode="_(\$* #,##0.00_);_(\$* \(#,##0.00\);_(\$* \-??_);_(@_)"/>
    <numFmt numFmtId="167" formatCode="0.00"/>
    <numFmt numFmtId="168" formatCode="0.00\ %"/>
    <numFmt numFmtId="169" formatCode="_(\$* #,##0_);_(\$* \(#,##0\);_(\$* \-??_);_(@_)"/>
    <numFmt numFmtId="170" formatCode="\$#,##0.00"/>
    <numFmt numFmtId="171" formatCode="0\ %"/>
    <numFmt numFmtId="172" formatCode="0.0000"/>
    <numFmt numFmtId="173" formatCode="#,##0.00"/>
    <numFmt numFmtId="174" formatCode="DD/MM/YYYY"/>
    <numFmt numFmtId="175" formatCode="\$#,##0.00_);[RED]&quot;($&quot;#,##0.00\)"/>
    <numFmt numFmtId="176" formatCode="_(* #,##0.00_);_(* \(#,##0.00\);_(* \-??_);_(@_)"/>
    <numFmt numFmtId="177" formatCode="D/M/YYYY"/>
    <numFmt numFmtId="178" formatCode="#,##0"/>
    <numFmt numFmtId="179" formatCode="DD/\ MMM"/>
    <numFmt numFmtId="180" formatCode="0.0%"/>
    <numFmt numFmtId="181" formatCode="_([$$-409]* #,##0_);_([$$-409]* \(#,##0\);_([$$-409]* \-??_);_(@_)"/>
    <numFmt numFmtId="182" formatCode="#,##0.0000"/>
    <numFmt numFmtId="183" formatCode="0.0000%"/>
    <numFmt numFmtId="184" formatCode="0.000%"/>
    <numFmt numFmtId="185" formatCode="_([$$-409]* #,##0.00_);_([$$-409]* \(#,##0.00\);_([$$-409]* \-??_);_(@_)"/>
    <numFmt numFmtId="186" formatCode="0"/>
    <numFmt numFmtId="187" formatCode="\$#,##0_);[RED]&quot;($&quot;#,##0\)"/>
    <numFmt numFmtId="188" formatCode="_(* #,##0.0_);_(* \(#,##0.0\)_)\ ;_(* 0_)"/>
  </numFmts>
  <fonts count="52">
    <font>
      <sz val="9"/>
      <color rgb="FF000000"/>
      <name val="Calibri"/>
      <family val="0"/>
      <charset val="1"/>
    </font>
    <font>
      <sz val="10"/>
      <name val="Arial"/>
      <family val="0"/>
    </font>
    <font>
      <sz val="10"/>
      <name val="Arial"/>
      <family val="0"/>
    </font>
    <font>
      <sz val="10"/>
      <name val="Arial"/>
      <family val="0"/>
    </font>
    <font>
      <b val="true"/>
      <sz val="9"/>
      <color rgb="FF000000"/>
      <name val="Arial"/>
      <family val="0"/>
      <charset val="1"/>
    </font>
    <font>
      <b val="true"/>
      <sz val="10"/>
      <color rgb="FF000000"/>
      <name val="Arial"/>
      <family val="0"/>
      <charset val="1"/>
    </font>
    <font>
      <sz val="10"/>
      <color rgb="FF000000"/>
      <name val="Arial"/>
      <family val="0"/>
      <charset val="1"/>
    </font>
    <font>
      <sz val="9"/>
      <color rgb="FF000000"/>
      <name val="Arial"/>
      <family val="0"/>
      <charset val="1"/>
    </font>
    <font>
      <i val="true"/>
      <sz val="10"/>
      <color rgb="FF000000"/>
      <name val="Arial"/>
      <family val="0"/>
      <charset val="1"/>
    </font>
    <font>
      <i val="true"/>
      <sz val="10"/>
      <color rgb="FFFF0000"/>
      <name val="Arial"/>
      <family val="0"/>
      <charset val="1"/>
    </font>
    <font>
      <b val="true"/>
      <sz val="10"/>
      <color rgb="FFFF0000"/>
      <name val="Arial"/>
      <family val="0"/>
      <charset val="1"/>
    </font>
    <font>
      <b val="true"/>
      <i val="true"/>
      <sz val="10"/>
      <color rgb="FF000000"/>
      <name val="Arial"/>
      <family val="0"/>
      <charset val="1"/>
    </font>
    <font>
      <i val="true"/>
      <sz val="9"/>
      <color rgb="FF000000"/>
      <name val="Arial"/>
      <family val="0"/>
      <charset val="1"/>
    </font>
    <font>
      <sz val="9"/>
      <color rgb="FF000000"/>
      <name val="arial"/>
      <family val="0"/>
      <charset val="1"/>
    </font>
    <font>
      <i val="true"/>
      <sz val="9"/>
      <color rgb="FFFF0000"/>
      <name val="Arial"/>
      <family val="0"/>
      <charset val="1"/>
    </font>
    <font>
      <i val="true"/>
      <sz val="12"/>
      <color rgb="FF000000"/>
      <name val="Times New Roman"/>
      <family val="0"/>
      <charset val="1"/>
    </font>
    <font>
      <sz val="12"/>
      <color rgb="FF000000"/>
      <name val="Times New Roman"/>
      <family val="0"/>
      <charset val="1"/>
    </font>
    <font>
      <sz val="11"/>
      <color rgb="FF000000"/>
      <name val="Calibri"/>
      <family val="0"/>
      <charset val="1"/>
    </font>
    <font>
      <sz val="12"/>
      <color rgb="FFFF0000"/>
      <name val="Times New Roman"/>
      <family val="0"/>
      <charset val="1"/>
    </font>
    <font>
      <sz val="11"/>
      <color rgb="FF000000"/>
      <name val="Inconsolata"/>
      <family val="0"/>
      <charset val="1"/>
    </font>
    <font>
      <sz val="12"/>
      <color rgb="FF000000"/>
      <name val="&quot;Times New Roman&quot;"/>
      <family val="0"/>
      <charset val="1"/>
    </font>
    <font>
      <b val="true"/>
      <i val="true"/>
      <u val="single"/>
      <sz val="12"/>
      <color rgb="FF000000"/>
      <name val="Times New Roman"/>
      <family val="0"/>
      <charset val="1"/>
    </font>
    <font>
      <sz val="11"/>
      <color rgb="FFFF0000"/>
      <name val="Calibri"/>
      <family val="0"/>
    </font>
    <font>
      <b val="true"/>
      <sz val="12"/>
      <color rgb="FF000000"/>
      <name val="Calibri"/>
      <family val="0"/>
      <charset val="1"/>
    </font>
    <font>
      <b val="true"/>
      <i val="true"/>
      <sz val="12"/>
      <color rgb="FF000000"/>
      <name val="Calibri"/>
      <family val="0"/>
      <charset val="1"/>
    </font>
    <font>
      <sz val="12"/>
      <color rgb="FF000000"/>
      <name val="Calibri"/>
      <family val="0"/>
      <charset val="1"/>
    </font>
    <font>
      <i val="true"/>
      <sz val="12"/>
      <color rgb="FFFF0000"/>
      <name val="Calibri"/>
      <family val="0"/>
      <charset val="1"/>
    </font>
    <font>
      <i val="true"/>
      <sz val="12"/>
      <color rgb="FF000000"/>
      <name val="Calibri"/>
      <family val="0"/>
      <charset val="1"/>
    </font>
    <font>
      <sz val="12"/>
      <color rgb="FFFF0000"/>
      <name val="Calibri"/>
      <family val="0"/>
      <charset val="1"/>
    </font>
    <font>
      <i val="true"/>
      <sz val="12"/>
      <color rgb="FF000000"/>
      <name val="Arial"/>
      <family val="0"/>
      <charset val="1"/>
    </font>
    <font>
      <sz val="10"/>
      <color rgb="FFFF0000"/>
      <name val="Arial"/>
      <family val="0"/>
      <charset val="1"/>
    </font>
    <font>
      <b val="true"/>
      <sz val="10"/>
      <color rgb="FF000000"/>
      <name val="Times New Roman"/>
      <family val="0"/>
      <charset val="1"/>
    </font>
    <font>
      <b val="true"/>
      <i val="true"/>
      <sz val="10"/>
      <color rgb="FF000000"/>
      <name val="Times New Roman"/>
      <family val="0"/>
      <charset val="1"/>
    </font>
    <font>
      <sz val="10"/>
      <color rgb="FF000000"/>
      <name val="Times New Roman"/>
      <family val="0"/>
      <charset val="1"/>
    </font>
    <font>
      <sz val="10"/>
      <color rgb="FF000000"/>
      <name val="Calibri"/>
      <family val="0"/>
      <charset val="1"/>
    </font>
    <font>
      <b val="true"/>
      <sz val="14"/>
      <color rgb="FF000000"/>
      <name val="Times New Roman"/>
      <family val="0"/>
      <charset val="1"/>
    </font>
    <font>
      <b val="true"/>
      <sz val="14"/>
      <color rgb="FF000000"/>
      <name val="arial"/>
      <family val="0"/>
      <charset val="1"/>
    </font>
    <font>
      <i val="true"/>
      <sz val="10"/>
      <color rgb="FF000000"/>
      <name val="Times New Roman"/>
      <family val="0"/>
      <charset val="1"/>
    </font>
    <font>
      <i val="true"/>
      <sz val="10"/>
      <color rgb="FF000000"/>
      <name val="arial"/>
      <family val="0"/>
      <charset val="1"/>
    </font>
    <font>
      <i val="true"/>
      <sz val="9"/>
      <color rgb="FF000000"/>
      <name val="arial"/>
      <family val="0"/>
      <charset val="1"/>
    </font>
    <font>
      <b val="true"/>
      <i val="true"/>
      <sz val="14"/>
      <color rgb="FF000000"/>
      <name val="Times New Roman"/>
      <family val="0"/>
      <charset val="1"/>
    </font>
    <font>
      <i val="true"/>
      <sz val="14"/>
      <color rgb="FF000000"/>
      <name val="Times New Roman"/>
      <family val="0"/>
      <charset val="1"/>
    </font>
    <font>
      <b val="true"/>
      <i val="true"/>
      <sz val="12"/>
      <color rgb="FF000000"/>
      <name val="Times New Roman"/>
      <family val="0"/>
      <charset val="1"/>
    </font>
    <font>
      <sz val="9"/>
      <color rgb="FF000000"/>
      <name val="Times New Roman"/>
      <family val="0"/>
      <charset val="1"/>
    </font>
    <font>
      <b val="true"/>
      <sz val="9"/>
      <color rgb="FF000000"/>
      <name val="Times New Roman"/>
      <family val="0"/>
      <charset val="1"/>
    </font>
    <font>
      <sz val="8"/>
      <color rgb="FF000000"/>
      <name val="Arial"/>
      <family val="0"/>
      <charset val="1"/>
    </font>
    <font>
      <b val="true"/>
      <sz val="12"/>
      <color rgb="FF000000"/>
      <name val="Times New Roman"/>
      <family val="0"/>
      <charset val="1"/>
    </font>
    <font>
      <i val="true"/>
      <sz val="12"/>
      <color rgb="FF000000"/>
      <name val="&quot;Times New Roman&quot;"/>
      <family val="0"/>
      <charset val="1"/>
    </font>
    <font>
      <i val="true"/>
      <sz val="12"/>
      <color rgb="FF000000"/>
      <name val="arial"/>
      <family val="0"/>
      <charset val="1"/>
    </font>
    <font>
      <sz val="10"/>
      <color rgb="FF000000"/>
      <name val="arial"/>
      <family val="0"/>
      <charset val="1"/>
    </font>
    <font>
      <b val="true"/>
      <sz val="10"/>
      <color rgb="FF000000"/>
      <name val="arial"/>
      <family val="0"/>
      <charset val="1"/>
    </font>
    <font>
      <b val="true"/>
      <sz val="9"/>
      <color rgb="FF000000"/>
      <name val="arial"/>
      <family val="0"/>
      <charset val="1"/>
    </font>
  </fonts>
  <fills count="10">
    <fill>
      <patternFill patternType="none"/>
    </fill>
    <fill>
      <patternFill patternType="gray125"/>
    </fill>
    <fill>
      <patternFill patternType="solid">
        <fgColor rgb="FFFFFF00"/>
        <bgColor rgb="FFFCF305"/>
      </patternFill>
    </fill>
    <fill>
      <patternFill patternType="solid">
        <fgColor rgb="FFFFFFFF"/>
        <bgColor rgb="FFEEECE1"/>
      </patternFill>
    </fill>
    <fill>
      <patternFill patternType="solid">
        <fgColor rgb="FF92D050"/>
        <bgColor rgb="FFC0C0C0"/>
      </patternFill>
    </fill>
    <fill>
      <patternFill patternType="solid">
        <fgColor rgb="FFEEECE1"/>
        <bgColor rgb="FFD9D9D9"/>
      </patternFill>
    </fill>
    <fill>
      <patternFill patternType="solid">
        <fgColor rgb="FFCCFFCC"/>
        <bgColor rgb="FFCCFFFF"/>
      </patternFill>
    </fill>
    <fill>
      <patternFill patternType="solid">
        <fgColor rgb="FFFF0000"/>
        <bgColor rgb="FF993300"/>
      </patternFill>
    </fill>
    <fill>
      <patternFill patternType="solid">
        <fgColor rgb="FFD9D9D9"/>
        <bgColor rgb="FFEEECE1"/>
      </patternFill>
    </fill>
    <fill>
      <patternFill patternType="solid">
        <fgColor rgb="FFFCF305"/>
        <bgColor rgb="FFFFFF00"/>
      </patternFill>
    </fill>
  </fills>
  <borders count="45">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medium"/>
      <right style="medium"/>
      <top style="medium"/>
      <bottom style="medium"/>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thin"/>
      <right style="thin"/>
      <top style="thin"/>
      <bottom/>
      <diagonal/>
    </border>
    <border diagonalUp="false" diagonalDown="false">
      <left style="medium"/>
      <right/>
      <top/>
      <bottom style="medium"/>
      <diagonal/>
    </border>
    <border diagonalUp="false" diagonalDown="false">
      <left/>
      <right/>
      <top/>
      <bottom style="medium"/>
      <diagonal/>
    </border>
    <border diagonalUp="false" diagonalDown="false">
      <left style="thin"/>
      <right style="thin"/>
      <top style="thin"/>
      <bottom style="medium"/>
      <diagonal/>
    </border>
    <border diagonalUp="false" diagonalDown="false">
      <left style="medium"/>
      <right style="medium"/>
      <top style="medium"/>
      <bottom/>
      <diagonal/>
    </border>
    <border diagonalUp="false" diagonalDown="false">
      <left/>
      <right style="medium"/>
      <top/>
      <bottom style="medium"/>
      <diagonal/>
    </border>
    <border diagonalUp="false" diagonalDown="false">
      <left/>
      <right/>
      <top style="thin"/>
      <bottom style="thin"/>
      <diagonal/>
    </border>
    <border diagonalUp="false" diagonalDown="false">
      <left style="medium"/>
      <right style="thin"/>
      <top/>
      <bottom style="thin"/>
      <diagonal/>
    </border>
    <border diagonalUp="false" diagonalDown="false">
      <left/>
      <right style="medium"/>
      <top/>
      <bottom style="thin"/>
      <diagonal/>
    </border>
    <border diagonalUp="false" diagonalDown="false">
      <left style="medium"/>
      <right style="thin"/>
      <top style="thin"/>
      <bottom style="thin"/>
      <diagonal/>
    </border>
    <border diagonalUp="false" diagonalDown="false">
      <left style="thin"/>
      <right/>
      <top style="thin"/>
      <bottom style="thin"/>
      <diagonal/>
    </border>
    <border diagonalUp="false" diagonalDown="false">
      <left style="medium"/>
      <right style="thin"/>
      <top style="thin"/>
      <bottom/>
      <diagonal/>
    </border>
    <border diagonalUp="false" diagonalDown="false">
      <left style="medium"/>
      <right style="thin"/>
      <top style="thin"/>
      <bottom style="medium"/>
      <diagonal/>
    </border>
    <border diagonalUp="false" diagonalDown="false">
      <left style="thin"/>
      <right/>
      <top style="thin"/>
      <bottom style="medium"/>
      <diagonal/>
    </border>
    <border diagonalUp="false" diagonalDown="false">
      <left/>
      <right/>
      <top style="thin"/>
      <bottom style="medium"/>
      <diagonal/>
    </border>
    <border diagonalUp="false" diagonalDown="false">
      <left style="thin"/>
      <right style="thin"/>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top style="medium"/>
      <bottom style="thin"/>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medium"/>
      <right/>
      <top style="thin"/>
      <bottom style="thin"/>
      <diagonal/>
    </border>
    <border diagonalUp="false" diagonalDown="false">
      <left style="thin"/>
      <right style="medium"/>
      <top/>
      <bottom style="thin"/>
      <diagonal/>
    </border>
    <border diagonalUp="false" diagonalDown="false">
      <left style="thin"/>
      <right style="medium"/>
      <top style="thin"/>
      <bottom style="thin"/>
      <diagonal/>
    </border>
    <border diagonalUp="false" diagonalDown="false">
      <left style="medium"/>
      <right/>
      <top/>
      <bottom style="thin"/>
      <diagonal/>
    </border>
    <border diagonalUp="false" diagonalDown="false">
      <left style="medium"/>
      <right/>
      <top style="thin"/>
      <bottom style="medium"/>
      <diagonal/>
    </border>
    <border diagonalUp="false" diagonalDown="false">
      <left style="thin"/>
      <right style="medium"/>
      <top style="thin"/>
      <bottom style="medium"/>
      <diagonal/>
    </border>
    <border diagonalUp="false" diagonalDown="false">
      <left/>
      <right/>
      <top style="medium"/>
      <bottom style="medium"/>
      <diagonal/>
    </border>
    <border diagonalUp="false" diagonalDown="false">
      <left style="medium"/>
      <right style="medium"/>
      <top/>
      <bottom style="medium"/>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5" fontId="5" fillId="2" borderId="1"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general" vertical="bottom" textRotation="0" wrapText="false" indent="0" shrinkToFit="false"/>
      <protection locked="true" hidden="false"/>
    </xf>
    <xf numFmtId="164" fontId="7" fillId="0" borderId="3" xfId="0" applyFont="true" applyBorder="true" applyAlignment="true" applyProtection="false">
      <alignment horizontal="general" vertical="bottom" textRotation="0" wrapText="false" indent="0" shrinkToFit="false"/>
      <protection locked="true" hidden="false"/>
    </xf>
    <xf numFmtId="164" fontId="7" fillId="0" borderId="4"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false" indent="0" shrinkToFit="false"/>
      <protection locked="true" hidden="false"/>
    </xf>
    <xf numFmtId="164" fontId="6" fillId="0" borderId="5"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6" fillId="0" borderId="6" xfId="0" applyFont="true" applyBorder="true" applyAlignment="true" applyProtection="false">
      <alignment horizontal="general" vertical="bottom" textRotation="0" wrapText="false" indent="0" shrinkToFit="false"/>
      <protection locked="true" hidden="false"/>
    </xf>
    <xf numFmtId="164" fontId="5" fillId="0" borderId="7"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6" fontId="6" fillId="2" borderId="1"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6" fontId="6" fillId="2" borderId="8" xfId="0" applyFont="true" applyBorder="true" applyAlignment="true" applyProtection="false">
      <alignment horizontal="center" vertical="bottom" textRotation="0" wrapText="false" indent="0" shrinkToFit="false"/>
      <protection locked="true" hidden="false"/>
    </xf>
    <xf numFmtId="166" fontId="9" fillId="3" borderId="8" xfId="0" applyFont="true" applyBorder="true" applyAlignment="true" applyProtection="false">
      <alignment horizontal="left" vertical="bottom" textRotation="0" wrapText="false" indent="0" shrinkToFit="false"/>
      <protection locked="true" hidden="false"/>
    </xf>
    <xf numFmtId="166" fontId="6" fillId="2" borderId="9" xfId="0" applyFont="true" applyBorder="true" applyAlignment="true" applyProtection="false">
      <alignment horizontal="center" vertical="bottom" textRotation="0" wrapText="false" indent="0" shrinkToFit="false"/>
      <protection locked="true" hidden="false"/>
    </xf>
    <xf numFmtId="167" fontId="6" fillId="2" borderId="9" xfId="0" applyFont="true" applyBorder="true" applyAlignment="true" applyProtection="false">
      <alignment horizontal="center" vertical="bottom" textRotation="0" wrapText="false" indent="0" shrinkToFit="false"/>
      <protection locked="true" hidden="false"/>
    </xf>
    <xf numFmtId="164" fontId="5" fillId="0" borderId="10" xfId="0" applyFont="true" applyBorder="true" applyAlignment="true" applyProtection="false">
      <alignment horizontal="general" vertical="bottom" textRotation="0" wrapText="false" indent="0" shrinkToFit="false"/>
      <protection locked="true" hidden="false"/>
    </xf>
    <xf numFmtId="164" fontId="6" fillId="0" borderId="11" xfId="0" applyFont="true" applyBorder="true" applyAlignment="true" applyProtection="false">
      <alignment horizontal="general" vertical="bottom" textRotation="0" wrapText="false" indent="0" shrinkToFit="false"/>
      <protection locked="true" hidden="false"/>
    </xf>
    <xf numFmtId="164" fontId="6" fillId="0" borderId="12" xfId="0" applyFont="true" applyBorder="true" applyAlignment="true" applyProtection="false">
      <alignment horizontal="general" vertical="bottom" textRotation="0" wrapText="false" indent="0" shrinkToFit="false"/>
      <protection locked="true" hidden="false"/>
    </xf>
    <xf numFmtId="168" fontId="6" fillId="2" borderId="1" xfId="0" applyFont="true" applyBorder="true" applyAlignment="true" applyProtection="false">
      <alignment horizontal="center" vertical="bottom" textRotation="0" wrapText="false" indent="0" shrinkToFit="false"/>
      <protection locked="true" hidden="false"/>
    </xf>
    <xf numFmtId="164" fontId="8" fillId="0" borderId="13" xfId="0" applyFont="true" applyBorder="true" applyAlignment="true" applyProtection="false">
      <alignment horizontal="general" vertical="bottom" textRotation="0" wrapText="false" indent="0" shrinkToFit="false"/>
      <protection locked="true" hidden="false"/>
    </xf>
    <xf numFmtId="164" fontId="6" fillId="0" borderId="14" xfId="0" applyFont="true" applyBorder="true" applyAlignment="true" applyProtection="false">
      <alignment horizontal="general" vertical="bottom" textRotation="0" wrapText="false" indent="0" shrinkToFit="false"/>
      <protection locked="true" hidden="false"/>
    </xf>
    <xf numFmtId="164" fontId="5" fillId="0" borderId="13" xfId="0" applyFont="true" applyBorder="true" applyAlignment="true" applyProtection="false">
      <alignment horizontal="general" vertical="bottom" textRotation="0" wrapText="false" indent="0" shrinkToFit="false"/>
      <protection locked="true" hidden="false"/>
    </xf>
    <xf numFmtId="166" fontId="6" fillId="0" borderId="0" xfId="0" applyFont="true" applyBorder="false" applyAlignment="true" applyProtection="false">
      <alignment horizontal="center" vertical="bottom" textRotation="0" wrapText="false" indent="0" shrinkToFit="false"/>
      <protection locked="true" hidden="false"/>
    </xf>
    <xf numFmtId="164" fontId="6" fillId="0" borderId="13" xfId="0" applyFont="true" applyBorder="true" applyAlignment="true" applyProtection="false">
      <alignment horizontal="general" vertical="bottom" textRotation="0" wrapText="false" indent="0" shrinkToFit="false"/>
      <protection locked="true" hidden="false"/>
    </xf>
    <xf numFmtId="168" fontId="6" fillId="4" borderId="1" xfId="0" applyFont="true" applyBorder="true" applyAlignment="tru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bottom" textRotation="0" wrapText="false" indent="0" shrinkToFit="false"/>
      <protection locked="true" hidden="false"/>
    </xf>
    <xf numFmtId="168" fontId="10" fillId="2" borderId="1" xfId="0" applyFont="true" applyBorder="true" applyAlignment="true" applyProtection="false">
      <alignment horizontal="center" vertical="bottom" textRotation="0" wrapText="false" indent="0" shrinkToFit="false"/>
      <protection locked="true" hidden="false"/>
    </xf>
    <xf numFmtId="167" fontId="6" fillId="4" borderId="1" xfId="0" applyFont="true" applyBorder="true" applyAlignment="true" applyProtection="false">
      <alignment horizontal="general" vertical="bottom" textRotation="0" wrapText="false" indent="0" shrinkToFit="false"/>
      <protection locked="true" hidden="false"/>
    </xf>
    <xf numFmtId="168" fontId="6" fillId="3" borderId="0" xfId="0" applyFont="true" applyBorder="true" applyAlignment="true" applyProtection="false">
      <alignment horizontal="general" vertical="bottom" textRotation="0" wrapText="false" indent="0" shrinkToFit="false"/>
      <protection locked="true" hidden="false"/>
    </xf>
    <xf numFmtId="168" fontId="6" fillId="4" borderId="15" xfId="0" applyFont="true" applyBorder="true" applyAlignment="true" applyProtection="false">
      <alignment horizontal="general" vertical="bottom" textRotation="0" wrapText="false" indent="0" shrinkToFit="false"/>
      <protection locked="true" hidden="false"/>
    </xf>
    <xf numFmtId="167" fontId="6" fillId="2" borderId="1" xfId="0" applyFont="true" applyBorder="true" applyAlignment="true" applyProtection="false">
      <alignment horizontal="center" vertical="bottom" textRotation="0" wrapText="false" indent="0" shrinkToFit="false"/>
      <protection locked="true" hidden="false"/>
    </xf>
    <xf numFmtId="164" fontId="6" fillId="0" borderId="16" xfId="0" applyFont="true" applyBorder="true" applyAlignment="true" applyProtection="false">
      <alignment horizontal="general" vertical="bottom" textRotation="0" wrapText="false" indent="0" shrinkToFit="false"/>
      <protection locked="true" hidden="false"/>
    </xf>
    <xf numFmtId="164" fontId="6" fillId="0" borderId="17" xfId="0" applyFont="true" applyBorder="true" applyAlignment="true" applyProtection="false">
      <alignment horizontal="general" vertical="bottom" textRotation="0" wrapText="false" indent="0" shrinkToFit="false"/>
      <protection locked="true" hidden="false"/>
    </xf>
    <xf numFmtId="168" fontId="6" fillId="4" borderId="18" xfId="0" applyFont="true" applyBorder="true" applyAlignment="true" applyProtection="false">
      <alignment horizontal="general" vertical="bottom" textRotation="0" wrapText="false" indent="0" shrinkToFit="false"/>
      <protection locked="true" hidden="false"/>
    </xf>
    <xf numFmtId="168" fontId="6" fillId="0" borderId="0" xfId="0" applyFont="true" applyBorder="false" applyAlignment="true" applyProtection="false">
      <alignment horizontal="general" vertical="bottom" textRotation="0" wrapText="false" indent="0" shrinkToFit="false"/>
      <protection locked="true" hidden="false"/>
    </xf>
    <xf numFmtId="164" fontId="5" fillId="0" borderId="19" xfId="0" applyFont="true" applyBorder="true" applyAlignment="true" applyProtection="false">
      <alignment horizontal="center" vertical="bottom" textRotation="0" wrapText="false" indent="0" shrinkToFit="false"/>
      <protection locked="true" hidden="false"/>
    </xf>
    <xf numFmtId="169" fontId="6" fillId="4" borderId="1" xfId="0" applyFont="true" applyBorder="true" applyAlignment="true" applyProtection="false">
      <alignment horizontal="general" vertical="bottom" textRotation="0" wrapText="false" indent="0" shrinkToFit="false"/>
      <protection locked="true" hidden="false"/>
    </xf>
    <xf numFmtId="168" fontId="6" fillId="3" borderId="0" xfId="0" applyFont="true" applyBorder="true" applyAlignment="true" applyProtection="false">
      <alignment horizontal="center" vertical="bottom" textRotation="0" wrapText="false" indent="0" shrinkToFit="false"/>
      <protection locked="true" hidden="false"/>
    </xf>
    <xf numFmtId="164" fontId="8" fillId="0" borderId="16" xfId="0" applyFont="true" applyBorder="true" applyAlignment="true" applyProtection="false">
      <alignment horizontal="general" vertical="bottom" textRotation="0" wrapText="false" indent="0" shrinkToFit="false"/>
      <protection locked="true" hidden="false"/>
    </xf>
    <xf numFmtId="164" fontId="6" fillId="0" borderId="20" xfId="0" applyFont="true" applyBorder="true" applyAlignment="true" applyProtection="false">
      <alignment horizontal="general" vertical="bottom" textRotation="0" wrapText="false" indent="0" shrinkToFit="false"/>
      <protection locked="true" hidden="false"/>
    </xf>
    <xf numFmtId="167" fontId="6" fillId="0" borderId="0" xfId="0" applyFont="true" applyBorder="false" applyAlignment="true" applyProtection="false">
      <alignment horizontal="center" vertical="bottom" textRotation="0" wrapText="false" indent="0" shrinkToFit="false"/>
      <protection locked="true" hidden="false"/>
    </xf>
    <xf numFmtId="170" fontId="6" fillId="2" borderId="1" xfId="0" applyFont="true" applyBorder="true" applyAlignment="true" applyProtection="false">
      <alignment horizontal="center" vertical="bottom" textRotation="0" wrapText="false" indent="0" shrinkToFit="false"/>
      <protection locked="true" hidden="false"/>
    </xf>
    <xf numFmtId="170" fontId="6" fillId="0"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8" fontId="6"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true" applyAlignment="true" applyProtection="false">
      <alignment horizontal="general" vertical="bottom" textRotation="0" wrapText="false" indent="0" shrinkToFit="false"/>
      <protection locked="true" hidden="false"/>
    </xf>
    <xf numFmtId="164" fontId="11" fillId="3" borderId="0" xfId="0" applyFont="true" applyBorder="true" applyAlignment="true" applyProtection="false">
      <alignment horizontal="general" vertical="bottom" textRotation="0" wrapText="false" indent="0" shrinkToFit="false"/>
      <protection locked="true" hidden="false"/>
    </xf>
    <xf numFmtId="164" fontId="8" fillId="3" borderId="0" xfId="0" applyFont="true" applyBorder="true" applyAlignment="tru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71" fontId="6" fillId="2" borderId="1" xfId="0" applyFont="true" applyBorder="true" applyAlignment="true" applyProtection="false">
      <alignment horizontal="center" vertical="bottom" textRotation="0" wrapText="false" indent="0" shrinkToFit="false"/>
      <protection locked="true" hidden="false"/>
    </xf>
    <xf numFmtId="171" fontId="6" fillId="3" borderId="0" xfId="0" applyFont="true" applyBorder="true" applyAlignment="true" applyProtection="false">
      <alignment horizontal="center" vertical="bottom" textRotation="0" wrapText="false" indent="0" shrinkToFit="false"/>
      <protection locked="true" hidden="false"/>
    </xf>
    <xf numFmtId="170" fontId="6" fillId="5" borderId="0" xfId="0" applyFont="true" applyBorder="tru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bottom" textRotation="0" wrapText="false" indent="0" shrinkToFit="false"/>
      <protection locked="true" hidden="false"/>
    </xf>
    <xf numFmtId="170" fontId="13" fillId="2" borderId="1" xfId="0" applyFont="true" applyBorder="true" applyAlignment="true" applyProtection="false">
      <alignment horizontal="center"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71" fontId="7" fillId="2" borderId="1" xfId="0" applyFont="true" applyBorder="true" applyAlignment="true" applyProtection="false">
      <alignment horizontal="center" vertical="bottom" textRotation="0" wrapText="false" indent="0" shrinkToFit="false"/>
      <protection locked="true" hidden="false"/>
    </xf>
    <xf numFmtId="164" fontId="7" fillId="3" borderId="0" xfId="0" applyFont="true" applyBorder="true" applyAlignment="true" applyProtection="false">
      <alignment horizontal="general" vertical="bottom" textRotation="0" wrapText="false" indent="0" shrinkToFit="false"/>
      <protection locked="true" hidden="false"/>
    </xf>
    <xf numFmtId="164" fontId="15" fillId="0" borderId="21" xfId="0" applyFont="true" applyBorder="true" applyAlignment="true" applyProtection="false">
      <alignment horizontal="center" vertical="bottom" textRotation="0" wrapText="false" indent="0" shrinkToFit="false"/>
      <protection locked="true" hidden="false"/>
    </xf>
    <xf numFmtId="164" fontId="15" fillId="0" borderId="1" xfId="0" applyFont="true" applyBorder="true" applyAlignment="true" applyProtection="false">
      <alignment horizontal="center" vertical="bottom" textRotation="0" wrapText="false" indent="0" shrinkToFit="false"/>
      <protection locked="true" hidden="false"/>
    </xf>
    <xf numFmtId="164" fontId="16" fillId="0" borderId="1" xfId="0" applyFont="true" applyBorder="true" applyAlignment="true" applyProtection="false">
      <alignment horizontal="center"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false" indent="0" shrinkToFit="false"/>
      <protection locked="true" hidden="false"/>
    </xf>
    <xf numFmtId="164" fontId="16" fillId="6" borderId="1" xfId="0" applyFont="true" applyBorder="true" applyAlignment="true" applyProtection="false">
      <alignment horizontal="general" vertical="bottom" textRotation="0" wrapText="false" indent="0" shrinkToFit="false"/>
      <protection locked="true" hidden="false"/>
    </xf>
    <xf numFmtId="168" fontId="16" fillId="6" borderId="1" xfId="0" applyFont="true" applyBorder="true" applyAlignment="true" applyProtection="false">
      <alignment horizontal="center" vertical="bottom" textRotation="0" wrapText="false" indent="0" shrinkToFit="false"/>
      <protection locked="true" hidden="false"/>
    </xf>
    <xf numFmtId="166" fontId="16" fillId="6" borderId="1" xfId="0" applyFont="true" applyBorder="true" applyAlignment="true" applyProtection="false">
      <alignment horizontal="general" vertical="bottom" textRotation="0" wrapText="false" indent="0" shrinkToFit="false"/>
      <protection locked="true" hidden="false"/>
    </xf>
    <xf numFmtId="166" fontId="16" fillId="6" borderId="1" xfId="0" applyFont="true" applyBorder="true" applyAlignment="true" applyProtection="false">
      <alignment horizontal="center" vertical="bottom" textRotation="0" wrapText="false" indent="0" shrinkToFit="false"/>
      <protection locked="true" hidden="false"/>
    </xf>
    <xf numFmtId="166" fontId="16" fillId="7" borderId="1" xfId="0" applyFont="true" applyBorder="true" applyAlignment="true" applyProtection="false">
      <alignment horizontal="center" vertical="bottom" textRotation="0" wrapText="false" indent="0" shrinkToFit="false"/>
      <protection locked="true" hidden="false"/>
    </xf>
    <xf numFmtId="168" fontId="16" fillId="6" borderId="1" xfId="0" applyFont="true" applyBorder="true" applyAlignment="true" applyProtection="false">
      <alignment horizontal="general" vertical="bottom" textRotation="0" wrapText="false" indent="0" shrinkToFit="false"/>
      <protection locked="true" hidden="false"/>
    </xf>
    <xf numFmtId="166" fontId="13" fillId="7" borderId="1" xfId="0" applyFont="true" applyBorder="true" applyAlignment="true" applyProtection="false">
      <alignment horizontal="general" vertical="bottom" textRotation="0" wrapText="false" indent="0" shrinkToFit="false"/>
      <protection locked="true" hidden="false"/>
    </xf>
    <xf numFmtId="164" fontId="16" fillId="6" borderId="1" xfId="0" applyFont="true" applyBorder="true" applyAlignment="true" applyProtection="false">
      <alignment horizontal="center" vertical="bottom" textRotation="0" wrapText="false" indent="0" shrinkToFit="false"/>
      <protection locked="true" hidden="false"/>
    </xf>
    <xf numFmtId="172" fontId="16" fillId="6" borderId="1" xfId="0" applyFont="true" applyBorder="true" applyAlignment="true" applyProtection="false">
      <alignment horizontal="center"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16" fillId="0" borderId="1" xfId="0" applyFont="true" applyBorder="true" applyAlignment="tru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73" fontId="17" fillId="0" borderId="0" xfId="0" applyFont="true" applyBorder="false" applyAlignment="false" applyProtection="false">
      <alignment horizontal="general" vertical="bottom" textRotation="0" wrapText="false" indent="0" shrinkToFit="false"/>
      <protection locked="true" hidden="false"/>
    </xf>
    <xf numFmtId="174" fontId="17" fillId="0" borderId="0" xfId="0" applyFont="true" applyBorder="false" applyAlignment="false" applyProtection="false">
      <alignment horizontal="general" vertical="bottom" textRotation="0" wrapText="false" indent="0" shrinkToFit="false"/>
      <protection locked="true" hidden="false"/>
    </xf>
    <xf numFmtId="168" fontId="17"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8" fontId="16" fillId="0" borderId="0" xfId="0" applyFont="true" applyBorder="false" applyAlignment="true" applyProtection="false">
      <alignment horizontal="center" vertical="bottom" textRotation="0" wrapText="false" indent="0" shrinkToFit="false"/>
      <protection locked="true" hidden="false"/>
    </xf>
    <xf numFmtId="170" fontId="16" fillId="6" borderId="1" xfId="0" applyFont="true" applyBorder="true" applyAlignment="true" applyProtection="false">
      <alignment horizontal="general" vertical="bottom" textRotation="0" wrapText="false" indent="0" shrinkToFit="false"/>
      <protection locked="true" hidden="false"/>
    </xf>
    <xf numFmtId="175" fontId="16" fillId="6" borderId="1" xfId="0" applyFont="true" applyBorder="true" applyAlignment="true" applyProtection="false">
      <alignment horizontal="general" vertical="bottom" textRotation="0" wrapText="false" indent="0" shrinkToFit="false"/>
      <protection locked="true" hidden="false"/>
    </xf>
    <xf numFmtId="176" fontId="16" fillId="6" borderId="1" xfId="0" applyFont="true" applyBorder="true" applyAlignment="true" applyProtection="false">
      <alignment horizontal="general" vertical="bottom" textRotation="0" wrapText="false" indent="0" shrinkToFit="false"/>
      <protection locked="true" hidden="false"/>
    </xf>
    <xf numFmtId="177" fontId="17" fillId="0" borderId="0" xfId="0" applyFont="true" applyBorder="false" applyAlignment="false" applyProtection="false">
      <alignment horizontal="general" vertical="bottom" textRotation="0" wrapText="false" indent="0" shrinkToFit="false"/>
      <protection locked="true" hidden="false"/>
    </xf>
    <xf numFmtId="166" fontId="18" fillId="6" borderId="1" xfId="0" applyFont="true" applyBorder="true" applyAlignment="true" applyProtection="false">
      <alignment horizontal="general" vertical="bottom" textRotation="0" wrapText="false" indent="0" shrinkToFit="false"/>
      <protection locked="true" hidden="false"/>
    </xf>
    <xf numFmtId="168" fontId="0" fillId="0" borderId="0" xfId="0" applyFont="true" applyBorder="false" applyAlignment="true" applyProtection="false">
      <alignment horizontal="general" vertical="bottom" textRotation="0" wrapText="false" indent="0" shrinkToFit="false"/>
      <protection locked="true" hidden="false"/>
    </xf>
    <xf numFmtId="168" fontId="16" fillId="0" borderId="1" xfId="0" applyFont="true" applyBorder="true" applyAlignment="true" applyProtection="false">
      <alignment horizontal="general" vertical="bottom" textRotation="0" wrapText="false" indent="0" shrinkToFit="false"/>
      <protection locked="true" hidden="false"/>
    </xf>
    <xf numFmtId="168" fontId="16" fillId="0" borderId="0" xfId="0" applyFont="true" applyBorder="false" applyAlignment="true" applyProtection="false">
      <alignment horizontal="right" vertical="bottom" textRotation="0" wrapText="false" indent="0" shrinkToFit="false"/>
      <protection locked="true" hidden="false"/>
    </xf>
    <xf numFmtId="171" fontId="0" fillId="0" borderId="0" xfId="0" applyFont="true" applyBorder="false" applyAlignment="true" applyProtection="false">
      <alignment horizontal="general" vertical="bottom" textRotation="0" wrapText="false" indent="0" shrinkToFit="false"/>
      <protection locked="true" hidden="false"/>
    </xf>
    <xf numFmtId="168" fontId="19" fillId="3" borderId="0" xfId="0" applyFont="true" applyBorder="false" applyAlignment="true" applyProtection="false">
      <alignment horizontal="right" vertical="bottom" textRotation="0" wrapText="false" indent="0" shrinkToFit="false"/>
      <protection locked="true" hidden="false"/>
    </xf>
    <xf numFmtId="164" fontId="20" fillId="0" borderId="0" xfId="0" applyFont="true" applyBorder="false" applyAlignment="true" applyProtection="false">
      <alignment horizontal="center" vertical="bottom" textRotation="0" wrapText="false" indent="0" shrinkToFit="false"/>
      <protection locked="true" hidden="false"/>
    </xf>
    <xf numFmtId="178" fontId="16" fillId="0" borderId="0" xfId="0" applyFont="true" applyBorder="false" applyAlignment="true" applyProtection="false">
      <alignment horizontal="right" vertical="bottom" textRotation="0" wrapText="false" indent="0" shrinkToFit="false"/>
      <protection locked="true" hidden="false"/>
    </xf>
    <xf numFmtId="164" fontId="21" fillId="0" borderId="1" xfId="0" applyFont="true" applyBorder="true" applyAlignment="true" applyProtection="false">
      <alignment horizontal="general" vertical="bottom" textRotation="0" wrapText="false" indent="0" shrinkToFit="false"/>
      <protection locked="true" hidden="false"/>
    </xf>
    <xf numFmtId="167" fontId="16" fillId="6" borderId="1" xfId="0" applyFont="true" applyBorder="true" applyAlignment="true" applyProtection="false">
      <alignment horizontal="center" vertical="bottom" textRotation="0" wrapText="false" indent="0" shrinkToFit="false"/>
      <protection locked="true" hidden="false"/>
    </xf>
    <xf numFmtId="169" fontId="16" fillId="6" borderId="1" xfId="0" applyFont="true" applyBorder="true" applyAlignment="true" applyProtection="false">
      <alignment horizontal="general" vertical="bottom" textRotation="0" wrapText="false" indent="0" shrinkToFit="false"/>
      <protection locked="true" hidden="false"/>
    </xf>
    <xf numFmtId="169" fontId="16" fillId="6" borderId="1" xfId="0" applyFont="true" applyBorder="true" applyAlignment="true" applyProtection="false">
      <alignment horizontal="center" vertical="bottom" textRotation="0" wrapText="false" indent="0" shrinkToFit="false"/>
      <protection locked="true" hidden="false"/>
    </xf>
    <xf numFmtId="168" fontId="16" fillId="7" borderId="1" xfId="0" applyFont="true" applyBorder="true" applyAlignment="true" applyProtection="false">
      <alignment horizontal="center" vertical="bottom" textRotation="0" wrapText="false" indent="0" shrinkToFit="false"/>
      <protection locked="true" hidden="false"/>
    </xf>
    <xf numFmtId="164" fontId="23" fillId="0" borderId="0" xfId="0" applyFont="true" applyBorder="true" applyAlignment="true" applyProtection="false">
      <alignment horizontal="center" vertical="bottom" textRotation="0" wrapText="false" indent="0" shrinkToFit="false"/>
      <protection locked="true" hidden="false"/>
    </xf>
    <xf numFmtId="164" fontId="24" fillId="0" borderId="1" xfId="0" applyFont="true" applyBorder="true" applyAlignment="true" applyProtection="false">
      <alignment horizontal="center" vertical="bottom" textRotation="0" wrapText="false" indent="0" shrinkToFit="false"/>
      <protection locked="true" hidden="false"/>
    </xf>
    <xf numFmtId="164" fontId="25" fillId="0" borderId="1" xfId="0" applyFont="true" applyBorder="true" applyAlignment="true" applyProtection="false">
      <alignment horizontal="left" vertical="top" textRotation="0" wrapText="true" indent="0" shrinkToFit="false"/>
      <protection locked="true" hidden="false"/>
    </xf>
    <xf numFmtId="164" fontId="26" fillId="0" borderId="1" xfId="0" applyFont="true" applyBorder="true" applyAlignment="true" applyProtection="false">
      <alignment horizontal="left" vertical="bottom" textRotation="0" wrapText="true" indent="0" shrinkToFit="false"/>
      <protection locked="true" hidden="false"/>
    </xf>
    <xf numFmtId="164" fontId="25" fillId="0" borderId="22" xfId="0" applyFont="true" applyBorder="true" applyAlignment="true" applyProtection="false">
      <alignment horizontal="general" vertical="bottom" textRotation="0" wrapText="false" indent="0" shrinkToFit="false"/>
      <protection locked="true" hidden="false"/>
    </xf>
    <xf numFmtId="164" fontId="27" fillId="0" borderId="9" xfId="0" applyFont="true" applyBorder="true" applyAlignment="true" applyProtection="false">
      <alignment horizontal="center" vertical="bottom" textRotation="0" wrapText="false" indent="0" shrinkToFit="false"/>
      <protection locked="true" hidden="false"/>
    </xf>
    <xf numFmtId="164" fontId="26" fillId="0" borderId="1" xfId="0" applyFont="true" applyBorder="true" applyAlignment="true" applyProtection="false">
      <alignment horizontal="center" vertical="bottom" textRotation="0" wrapText="false" indent="0" shrinkToFit="false"/>
      <protection locked="true" hidden="false"/>
    </xf>
    <xf numFmtId="179" fontId="27" fillId="0" borderId="9" xfId="0" applyFont="true" applyBorder="true" applyAlignment="true" applyProtection="false">
      <alignment horizontal="center" vertical="bottom" textRotation="0" wrapText="false" indent="0" shrinkToFit="false"/>
      <protection locked="true" hidden="false"/>
    </xf>
    <xf numFmtId="164" fontId="27" fillId="0" borderId="23" xfId="0" applyFont="true" applyBorder="true" applyAlignment="true" applyProtection="false">
      <alignment horizontal="center" vertical="bottom" textRotation="0" wrapText="false" indent="0" shrinkToFit="false"/>
      <protection locked="true" hidden="false"/>
    </xf>
    <xf numFmtId="164" fontId="25" fillId="0" borderId="24" xfId="0" applyFont="true" applyBorder="true" applyAlignment="true" applyProtection="false">
      <alignment horizontal="general" vertical="bottom" textRotation="0" wrapText="false" indent="0" shrinkToFit="false"/>
      <protection locked="true" hidden="false"/>
    </xf>
    <xf numFmtId="169" fontId="25" fillId="0" borderId="1" xfId="0" applyFont="true" applyBorder="true" applyAlignment="true" applyProtection="false">
      <alignment horizontal="center" vertical="bottom" textRotation="0" wrapText="false" indent="0" shrinkToFit="false"/>
      <protection locked="true" hidden="false"/>
    </xf>
    <xf numFmtId="180" fontId="28" fillId="0" borderId="1" xfId="0" applyFont="true" applyBorder="true" applyAlignment="true" applyProtection="false">
      <alignment horizontal="center" vertical="bottom" textRotation="0" wrapText="false" indent="0" shrinkToFit="false"/>
      <protection locked="true" hidden="false"/>
    </xf>
    <xf numFmtId="168" fontId="25" fillId="0" borderId="1" xfId="0" applyFont="true" applyBorder="true" applyAlignment="true" applyProtection="false">
      <alignment horizontal="center" vertical="bottom" textRotation="0" wrapText="false" indent="0" shrinkToFit="false"/>
      <protection locked="true" hidden="false"/>
    </xf>
    <xf numFmtId="164" fontId="25" fillId="0" borderId="21" xfId="0" applyFont="true" applyBorder="true" applyAlignment="true" applyProtection="false">
      <alignment horizontal="left" vertical="bottom" textRotation="0" wrapText="false" indent="0" shrinkToFit="false"/>
      <protection locked="true" hidden="false"/>
    </xf>
    <xf numFmtId="164" fontId="28" fillId="0" borderId="1" xfId="0" applyFont="true" applyBorder="true" applyAlignment="true" applyProtection="false">
      <alignment horizontal="left" vertical="center" textRotation="0" wrapText="true" indent="0" shrinkToFit="false"/>
      <protection locked="true" hidden="false"/>
    </xf>
    <xf numFmtId="168" fontId="25" fillId="0" borderId="25" xfId="0" applyFont="true" applyBorder="true" applyAlignment="true" applyProtection="false">
      <alignment horizontal="center" vertical="bottom" textRotation="0" wrapText="false" indent="0" shrinkToFit="false"/>
      <protection locked="true" hidden="false"/>
    </xf>
    <xf numFmtId="168" fontId="25" fillId="0" borderId="8" xfId="0" applyFont="true" applyBorder="true" applyAlignment="true" applyProtection="false">
      <alignment horizontal="center" vertical="bottom" textRotation="0" wrapText="false" indent="0" shrinkToFit="false"/>
      <protection locked="true" hidden="false"/>
    </xf>
    <xf numFmtId="164" fontId="25" fillId="0" borderId="21" xfId="0" applyFont="true" applyBorder="true" applyAlignment="true" applyProtection="false">
      <alignment horizontal="general" vertical="bottom" textRotation="0" wrapText="true" indent="0" shrinkToFit="false"/>
      <protection locked="true" hidden="false"/>
    </xf>
    <xf numFmtId="164" fontId="25" fillId="0" borderId="21" xfId="0" applyFont="true" applyBorder="true" applyAlignment="true" applyProtection="false">
      <alignment horizontal="general" vertical="bottom" textRotation="0" wrapText="false" indent="0" shrinkToFit="false"/>
      <protection locked="true" hidden="false"/>
    </xf>
    <xf numFmtId="164" fontId="25" fillId="0" borderId="1" xfId="0" applyFont="true" applyBorder="true" applyAlignment="true" applyProtection="false">
      <alignment horizontal="center" vertical="bottom" textRotation="0" wrapText="false" indent="0" shrinkToFit="false"/>
      <protection locked="true" hidden="false"/>
    </xf>
    <xf numFmtId="167" fontId="25" fillId="0" borderId="25" xfId="0" applyFont="true" applyBorder="true" applyAlignment="true" applyProtection="false">
      <alignment horizontal="general" vertical="bottom" textRotation="0" wrapText="false" indent="0" shrinkToFit="false"/>
      <protection locked="true" hidden="false"/>
    </xf>
    <xf numFmtId="167" fontId="25" fillId="5" borderId="8" xfId="0" applyFont="true" applyBorder="true" applyAlignment="true" applyProtection="false">
      <alignment horizontal="left" vertical="bottom" textRotation="0" wrapText="false" indent="0" shrinkToFit="false"/>
      <protection locked="true" hidden="false"/>
    </xf>
    <xf numFmtId="164" fontId="25" fillId="0" borderId="26" xfId="0" applyFont="true" applyBorder="true" applyAlignment="true" applyProtection="false">
      <alignment horizontal="general" vertical="bottom" textRotation="0" wrapText="false" indent="0" shrinkToFit="false"/>
      <protection locked="true" hidden="false"/>
    </xf>
    <xf numFmtId="168" fontId="25" fillId="0" borderId="15" xfId="0" applyFont="true" applyBorder="true" applyAlignment="true" applyProtection="false">
      <alignment horizontal="center" vertical="bottom" textRotation="0" wrapText="false" indent="0" shrinkToFit="false"/>
      <protection locked="true" hidden="false"/>
    </xf>
    <xf numFmtId="167" fontId="25" fillId="0" borderId="2" xfId="0" applyFont="true" applyBorder="true" applyAlignment="true" applyProtection="false">
      <alignment horizontal="general" vertical="bottom" textRotation="0" wrapText="false" indent="0" shrinkToFit="false"/>
      <protection locked="true" hidden="false"/>
    </xf>
    <xf numFmtId="168" fontId="25" fillId="5" borderId="4" xfId="0" applyFont="true" applyBorder="true" applyAlignment="true" applyProtection="false">
      <alignment horizontal="left" vertical="bottom" textRotation="0" wrapText="false" indent="0" shrinkToFit="false"/>
      <protection locked="true" hidden="false"/>
    </xf>
    <xf numFmtId="168" fontId="25" fillId="0" borderId="4" xfId="0" applyFont="true" applyBorder="true" applyAlignment="true" applyProtection="false">
      <alignment horizontal="center" vertical="bottom" textRotation="0" wrapText="false" indent="0" shrinkToFit="false"/>
      <protection locked="true" hidden="false"/>
    </xf>
    <xf numFmtId="164" fontId="25" fillId="0" borderId="3" xfId="0" applyFont="true" applyBorder="true" applyAlignment="true" applyProtection="false">
      <alignment horizontal="general" vertical="bottom" textRotation="0" wrapText="false" indent="0" shrinkToFit="false"/>
      <protection locked="true" hidden="false"/>
    </xf>
    <xf numFmtId="164" fontId="25" fillId="0" borderId="27" xfId="0" applyFont="true" applyBorder="true" applyAlignment="true" applyProtection="false">
      <alignment horizontal="general" vertical="bottom" textRotation="0" wrapText="false" indent="0" shrinkToFit="false"/>
      <protection locked="true" hidden="false"/>
    </xf>
    <xf numFmtId="164" fontId="25" fillId="0" borderId="28" xfId="0" applyFont="true" applyBorder="true" applyAlignment="true" applyProtection="false">
      <alignment horizontal="center" vertical="bottom" textRotation="0" wrapText="false" indent="0" shrinkToFit="false"/>
      <protection locked="true" hidden="false"/>
    </xf>
    <xf numFmtId="168" fontId="25" fillId="0" borderId="18" xfId="0" applyFont="true" applyBorder="true" applyAlignment="true" applyProtection="false">
      <alignment horizontal="center" vertical="bottom" textRotation="0" wrapText="false" indent="0" shrinkToFit="false"/>
      <protection locked="true" hidden="false"/>
    </xf>
    <xf numFmtId="164" fontId="25" fillId="0" borderId="29" xfId="0" applyFont="true" applyBorder="true" applyAlignment="true" applyProtection="false">
      <alignment horizontal="general" vertical="bottom" textRotation="0" wrapText="false" indent="0" shrinkToFit="false"/>
      <protection locked="true" hidden="false"/>
    </xf>
    <xf numFmtId="164" fontId="24" fillId="0" borderId="30" xfId="0" applyFont="true" applyBorder="true" applyAlignment="true" applyProtection="false">
      <alignment horizontal="center" vertical="bottom" textRotation="0" wrapText="false" indent="0" shrinkToFit="false"/>
      <protection locked="true" hidden="false"/>
    </xf>
    <xf numFmtId="164" fontId="27" fillId="0" borderId="31" xfId="0" applyFont="true" applyBorder="true" applyAlignment="true" applyProtection="false">
      <alignment horizontal="center" vertical="bottom" textRotation="0" wrapText="false" indent="0" shrinkToFit="false"/>
      <protection locked="true" hidden="false"/>
    </xf>
    <xf numFmtId="164" fontId="27" fillId="0" borderId="32" xfId="0" applyFont="true" applyBorder="true" applyAlignment="true" applyProtection="false">
      <alignment horizontal="general" vertical="bottom" textRotation="0" wrapText="false" indent="0" shrinkToFit="false"/>
      <protection locked="true" hidden="false"/>
    </xf>
    <xf numFmtId="164" fontId="27" fillId="0" borderId="33" xfId="0" applyFont="true" applyBorder="true" applyAlignment="true" applyProtection="false">
      <alignment horizontal="left" vertical="bottom" textRotation="0" wrapText="false" indent="0" shrinkToFit="false"/>
      <protection locked="true" hidden="false"/>
    </xf>
    <xf numFmtId="164" fontId="25" fillId="0" borderId="24" xfId="0" applyFont="true" applyBorder="true" applyAlignment="true" applyProtection="false">
      <alignment horizontal="center" vertical="bottom" textRotation="0" wrapText="false" indent="0" shrinkToFit="false"/>
      <protection locked="true" hidden="false"/>
    </xf>
    <xf numFmtId="181" fontId="25" fillId="0" borderId="1" xfId="0" applyFont="true" applyBorder="true" applyAlignment="true" applyProtection="false">
      <alignment horizontal="general" vertical="bottom" textRotation="0" wrapText="false" indent="0" shrinkToFit="false"/>
      <protection locked="true" hidden="false"/>
    </xf>
    <xf numFmtId="181" fontId="25" fillId="0" borderId="25" xfId="0" applyFont="true" applyBorder="true" applyAlignment="true" applyProtection="false">
      <alignment horizontal="left" vertical="bottom" textRotation="0" wrapText="false" indent="0" shrinkToFit="false"/>
      <protection locked="true" hidden="false"/>
    </xf>
    <xf numFmtId="164" fontId="25" fillId="0" borderId="27" xfId="0" applyFont="true" applyBorder="true" applyAlignment="true" applyProtection="false">
      <alignment horizontal="center" vertical="bottom" textRotation="0" wrapText="false" indent="0" shrinkToFit="false"/>
      <protection locked="true" hidden="false"/>
    </xf>
    <xf numFmtId="181" fontId="25" fillId="0" borderId="18" xfId="0" applyFont="true" applyBorder="true" applyAlignment="true" applyProtection="false">
      <alignment horizontal="general" vertical="bottom" textRotation="0" wrapText="false" indent="0" shrinkToFit="false"/>
      <protection locked="true" hidden="false"/>
    </xf>
    <xf numFmtId="164" fontId="25" fillId="0" borderId="31" xfId="0" applyFont="true" applyBorder="true" applyAlignment="true" applyProtection="false">
      <alignment horizontal="left" vertical="bottom" textRotation="0" wrapText="false" indent="0" shrinkToFit="false"/>
      <protection locked="true" hidden="false"/>
    </xf>
    <xf numFmtId="169" fontId="25" fillId="0" borderId="32" xfId="0" applyFont="true" applyBorder="true" applyAlignment="true" applyProtection="false">
      <alignment horizontal="general" vertical="bottom" textRotation="0" wrapText="false" indent="0" shrinkToFit="false"/>
      <protection locked="true" hidden="false"/>
    </xf>
    <xf numFmtId="169" fontId="25" fillId="0" borderId="11" xfId="0" applyFont="true" applyBorder="true" applyAlignment="true" applyProtection="false">
      <alignment horizontal="general" vertical="bottom" textRotation="0" wrapText="false" indent="0" shrinkToFit="false"/>
      <protection locked="true" hidden="false"/>
    </xf>
    <xf numFmtId="164" fontId="25" fillId="0" borderId="11" xfId="0" applyFont="true" applyBorder="true" applyAlignment="true" applyProtection="false">
      <alignment horizontal="general" vertical="bottom" textRotation="0" wrapText="false" indent="0" shrinkToFit="false"/>
      <protection locked="true" hidden="false"/>
    </xf>
    <xf numFmtId="164" fontId="25" fillId="0" borderId="12" xfId="0" applyFont="true" applyBorder="true" applyAlignment="true" applyProtection="false">
      <alignment horizontal="general" vertical="bottom" textRotation="0" wrapText="false" indent="0" shrinkToFit="false"/>
      <protection locked="true" hidden="false"/>
    </xf>
    <xf numFmtId="164" fontId="28" fillId="0" borderId="13" xfId="0" applyFont="true" applyBorder="true" applyAlignment="true" applyProtection="false">
      <alignment horizontal="left" vertical="center" textRotation="0" wrapText="true" indent="0" shrinkToFit="false"/>
      <protection locked="true" hidden="false"/>
    </xf>
    <xf numFmtId="164" fontId="25" fillId="0" borderId="24" xfId="0" applyFont="true" applyBorder="true" applyAlignment="true" applyProtection="false">
      <alignment horizontal="left" vertical="bottom" textRotation="0" wrapText="false" indent="0" shrinkToFit="false"/>
      <protection locked="true" hidden="false"/>
    </xf>
    <xf numFmtId="169" fontId="25" fillId="0" borderId="1" xfId="0" applyFont="true" applyBorder="true" applyAlignment="true" applyProtection="false">
      <alignment horizontal="general" vertical="bottom" textRotation="0" wrapText="false" indent="0" shrinkToFit="false"/>
      <protection locked="true" hidden="false"/>
    </xf>
    <xf numFmtId="169" fontId="25" fillId="0" borderId="0" xfId="0" applyFont="true" applyBorder="false" applyAlignment="tru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general" vertical="bottom" textRotation="0" wrapText="false" indent="0" shrinkToFit="false"/>
      <protection locked="true" hidden="false"/>
    </xf>
    <xf numFmtId="164" fontId="25" fillId="0" borderId="14" xfId="0" applyFont="true" applyBorder="true" applyAlignment="true" applyProtection="false">
      <alignment horizontal="general" vertical="bottom" textRotation="0" wrapText="false" indent="0" shrinkToFit="false"/>
      <protection locked="true" hidden="false"/>
    </xf>
    <xf numFmtId="169" fontId="25" fillId="0" borderId="25" xfId="0" applyFont="true" applyBorder="true" applyAlignment="true" applyProtection="false">
      <alignment horizontal="general" vertical="bottom" textRotation="0" wrapText="false" indent="0" shrinkToFit="false"/>
      <protection locked="true" hidden="false"/>
    </xf>
    <xf numFmtId="169" fontId="25" fillId="0" borderId="25" xfId="0" applyFont="true" applyBorder="true" applyAlignment="true" applyProtection="false">
      <alignment horizontal="right" vertical="bottom" textRotation="0" wrapText="false" indent="0" shrinkToFit="false"/>
      <protection locked="true" hidden="false"/>
    </xf>
    <xf numFmtId="168" fontId="25" fillId="0" borderId="8" xfId="0" applyFont="true" applyBorder="true" applyAlignment="true" applyProtection="false">
      <alignment horizontal="left" vertical="bottom" textRotation="0" wrapText="false" indent="0" shrinkToFit="false"/>
      <protection locked="true" hidden="false"/>
    </xf>
    <xf numFmtId="176" fontId="25" fillId="0" borderId="1" xfId="0" applyFont="true" applyBorder="true" applyAlignment="tru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left" vertical="bottom" textRotation="0" wrapText="false" indent="0" shrinkToFit="false"/>
      <protection locked="true" hidden="false"/>
    </xf>
    <xf numFmtId="164" fontId="25" fillId="0" borderId="27" xfId="0" applyFont="true" applyBorder="true" applyAlignment="true" applyProtection="false">
      <alignment horizontal="left" vertical="bottom" textRotation="0" wrapText="false" indent="0" shrinkToFit="false"/>
      <protection locked="true" hidden="false"/>
    </xf>
    <xf numFmtId="166" fontId="28" fillId="0" borderId="28" xfId="0" applyFont="true" applyBorder="true" applyAlignment="true" applyProtection="false">
      <alignment horizontal="general" vertical="bottom" textRotation="0" wrapText="false" indent="0" shrinkToFit="false"/>
      <protection locked="true" hidden="false"/>
    </xf>
    <xf numFmtId="164" fontId="25" fillId="0" borderId="34" xfId="0" applyFont="true" applyBorder="true" applyAlignment="true" applyProtection="false">
      <alignment horizontal="right" vertical="bottom" textRotation="0" wrapText="false" indent="0" shrinkToFit="false"/>
      <protection locked="true" hidden="false"/>
    </xf>
    <xf numFmtId="170" fontId="25" fillId="0" borderId="35" xfId="0" applyFont="true" applyBorder="true" applyAlignment="true" applyProtection="false">
      <alignment horizontal="left" vertical="bottom" textRotation="0" wrapText="false" indent="0" shrinkToFit="false"/>
      <protection locked="true" hidden="false"/>
    </xf>
    <xf numFmtId="164" fontId="29" fillId="0" borderId="0" xfId="0" applyFont="true" applyBorder="false" applyAlignment="tru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right" vertical="bottom" textRotation="0" wrapText="false" indent="0" shrinkToFit="false"/>
      <protection locked="true" hidden="false"/>
    </xf>
    <xf numFmtId="168" fontId="23" fillId="0" borderId="0" xfId="0" applyFont="true" applyBorder="false" applyAlignment="true" applyProtection="false">
      <alignment horizontal="general" vertical="bottom" textRotation="0" wrapText="false" indent="0" shrinkToFit="false"/>
      <protection locked="true" hidden="false"/>
    </xf>
    <xf numFmtId="164" fontId="5" fillId="6" borderId="1" xfId="0" applyFont="true" applyBorder="true" applyAlignment="true" applyProtection="false">
      <alignment horizontal="general" vertical="bottom" textRotation="0" wrapText="false" indent="0" shrinkToFit="false"/>
      <protection locked="true" hidden="false"/>
    </xf>
    <xf numFmtId="164" fontId="6" fillId="6" borderId="1" xfId="0" applyFont="true" applyBorder="true" applyAlignment="true" applyProtection="false">
      <alignment horizontal="general" vertical="bottom" textRotation="0" wrapText="false" indent="0" shrinkToFit="false"/>
      <protection locked="true" hidden="false"/>
    </xf>
    <xf numFmtId="166" fontId="6" fillId="6" borderId="1" xfId="0" applyFont="true" applyBorder="true" applyAlignment="true" applyProtection="false">
      <alignment horizontal="general" vertical="bottom" textRotation="0" wrapText="false" indent="0" shrinkToFit="false"/>
      <protection locked="true" hidden="false"/>
    </xf>
    <xf numFmtId="168" fontId="6" fillId="6" borderId="1" xfId="0" applyFont="true" applyBorder="true" applyAlignment="true" applyProtection="false">
      <alignment horizontal="general" vertical="bottom" textRotation="0" wrapText="false" indent="0" shrinkToFit="false"/>
      <protection locked="true" hidden="false"/>
    </xf>
    <xf numFmtId="164" fontId="6" fillId="6" borderId="15" xfId="0" applyFont="true" applyBorder="true" applyAlignment="true" applyProtection="false">
      <alignment horizontal="general" vertical="bottom" textRotation="0" wrapText="false" indent="0" shrinkToFit="false"/>
      <protection locked="true" hidden="false"/>
    </xf>
    <xf numFmtId="168" fontId="6" fillId="6" borderId="15" xfId="0" applyFont="true" applyBorder="true" applyAlignment="true" applyProtection="false">
      <alignment horizontal="right" vertical="bottom" textRotation="0" wrapText="false" indent="0" shrinkToFit="false"/>
      <protection locked="true" hidden="false"/>
    </xf>
    <xf numFmtId="164" fontId="6" fillId="0" borderId="10" xfId="0" applyFont="true" applyBorder="true" applyAlignment="true" applyProtection="false">
      <alignment horizontal="general" vertical="bottom" textRotation="0" wrapText="false" indent="0" shrinkToFit="false"/>
      <protection locked="true" hidden="false"/>
    </xf>
    <xf numFmtId="168" fontId="30" fillId="0" borderId="7" xfId="0" applyFont="true" applyBorder="true" applyAlignment="true" applyProtection="false">
      <alignment horizontal="center" vertical="bottom" textRotation="0" wrapText="false" indent="0" shrinkToFit="false"/>
      <protection locked="true" hidden="false"/>
    </xf>
    <xf numFmtId="164" fontId="31" fillId="3" borderId="36" xfId="0" applyFont="true" applyBorder="true" applyAlignment="true" applyProtection="false">
      <alignment horizontal="general" vertical="center" textRotation="0" wrapText="true" indent="0" shrinkToFit="false"/>
      <protection locked="true" hidden="false"/>
    </xf>
    <xf numFmtId="164" fontId="32" fillId="3" borderId="9" xfId="0" applyFont="true" applyBorder="true" applyAlignment="true" applyProtection="false">
      <alignment horizontal="center" vertical="center" textRotation="0" wrapText="true" indent="0" shrinkToFit="false"/>
      <protection locked="true" hidden="false"/>
    </xf>
    <xf numFmtId="164" fontId="32" fillId="3" borderId="37" xfId="0" applyFont="true" applyBorder="true" applyAlignment="true" applyProtection="false">
      <alignment horizontal="center" vertical="center" textRotation="0" wrapText="true" indent="0" shrinkToFit="false"/>
      <protection locked="true" hidden="false"/>
    </xf>
    <xf numFmtId="164" fontId="33" fillId="0" borderId="0" xfId="0" applyFont="true" applyBorder="false" applyAlignment="true" applyProtection="false">
      <alignment horizontal="general" vertical="bottom" textRotation="0" wrapText="false" indent="0" shrinkToFit="false"/>
      <protection locked="true" hidden="false"/>
    </xf>
    <xf numFmtId="164" fontId="33" fillId="3" borderId="36" xfId="0" applyFont="true" applyBorder="true" applyAlignment="true" applyProtection="false">
      <alignment horizontal="general" vertical="center" textRotation="0" wrapText="false" indent="0" shrinkToFit="false"/>
      <protection locked="true" hidden="false"/>
    </xf>
    <xf numFmtId="164" fontId="33" fillId="6" borderId="1" xfId="0" applyFont="true" applyBorder="true" applyAlignment="true" applyProtection="false">
      <alignment horizontal="left" vertical="center" textRotation="0" wrapText="true" indent="0" shrinkToFit="false"/>
      <protection locked="true" hidden="false"/>
    </xf>
    <xf numFmtId="164" fontId="33" fillId="6" borderId="38" xfId="0" applyFont="true" applyBorder="true" applyAlignment="true" applyProtection="false">
      <alignment horizontal="left" vertical="center" textRotation="0" wrapText="true" indent="0" shrinkToFit="false"/>
      <protection locked="true" hidden="false"/>
    </xf>
    <xf numFmtId="171" fontId="33" fillId="6" borderId="1" xfId="0" applyFont="true" applyBorder="true" applyAlignment="true" applyProtection="false">
      <alignment horizontal="left" vertical="center" textRotation="0" wrapText="true" indent="0" shrinkToFit="false"/>
      <protection locked="true" hidden="false"/>
    </xf>
    <xf numFmtId="164" fontId="33" fillId="6" borderId="38" xfId="0" applyFont="true" applyBorder="true" applyAlignment="true" applyProtection="false">
      <alignment horizontal="left" vertical="center" textRotation="0" wrapText="false" indent="0" shrinkToFit="false"/>
      <protection locked="true" hidden="false"/>
    </xf>
    <xf numFmtId="164" fontId="33" fillId="3" borderId="39" xfId="0" applyFont="true" applyBorder="true" applyAlignment="true" applyProtection="false">
      <alignment horizontal="general" vertical="bottom" textRotation="0" wrapText="false" indent="0" shrinkToFit="false"/>
      <protection locked="true" hidden="false"/>
    </xf>
    <xf numFmtId="164" fontId="33" fillId="6" borderId="1" xfId="0" applyFont="true" applyBorder="true" applyAlignment="true" applyProtection="false">
      <alignment horizontal="left" vertical="bottom" textRotation="0" wrapText="false" indent="0" shrinkToFit="false"/>
      <protection locked="true" hidden="false"/>
    </xf>
    <xf numFmtId="164" fontId="33" fillId="6" borderId="38" xfId="0" applyFont="true" applyBorder="true" applyAlignment="true" applyProtection="false">
      <alignment horizontal="left" vertical="bottom" textRotation="0" wrapText="false" indent="0" shrinkToFit="false"/>
      <protection locked="true" hidden="false"/>
    </xf>
    <xf numFmtId="164" fontId="33" fillId="3" borderId="40" xfId="0" applyFont="true" applyBorder="true" applyAlignment="true" applyProtection="false">
      <alignment horizontal="general" vertical="bottom" textRotation="0" wrapText="false" indent="0" shrinkToFit="false"/>
      <protection locked="true" hidden="false"/>
    </xf>
    <xf numFmtId="168" fontId="33" fillId="6" borderId="18" xfId="0" applyFont="true" applyBorder="true" applyAlignment="true" applyProtection="false">
      <alignment horizontal="left" vertical="bottom" textRotation="0" wrapText="false" indent="0" shrinkToFit="false"/>
      <protection locked="true" hidden="false"/>
    </xf>
    <xf numFmtId="164" fontId="33" fillId="6" borderId="41" xfId="0" applyFont="true" applyBorder="true" applyAlignment="true" applyProtection="false">
      <alignment horizontal="left" vertical="bottom" textRotation="0" wrapText="false" indent="0" shrinkToFit="false"/>
      <protection locked="true" hidden="false"/>
    </xf>
    <xf numFmtId="164" fontId="34" fillId="0" borderId="42" xfId="0" applyFont="true" applyBorder="true" applyAlignment="true" applyProtection="false">
      <alignment horizontal="general" vertical="center" textRotation="0" wrapText="true" indent="0" shrinkToFit="false"/>
      <protection locked="true" hidden="false"/>
    </xf>
    <xf numFmtId="166" fontId="0" fillId="0" borderId="0" xfId="0" applyFont="true" applyBorder="false" applyAlignment="true" applyProtection="false">
      <alignment horizontal="general" vertical="bottom" textRotation="0" wrapText="false" indent="0" shrinkToFit="false"/>
      <protection locked="true" hidden="false"/>
    </xf>
    <xf numFmtId="167" fontId="0" fillId="0" borderId="0" xfId="0" applyFont="true" applyBorder="false" applyAlignment="true" applyProtection="false">
      <alignment horizontal="general" vertical="bottom" textRotation="0" wrapText="false" indent="0" shrinkToFit="false"/>
      <protection locked="true" hidden="false"/>
    </xf>
    <xf numFmtId="168" fontId="13" fillId="0" borderId="0" xfId="0" applyFont="true" applyBorder="false" applyAlignment="true" applyProtection="false">
      <alignment horizontal="general" vertical="bottom" textRotation="0" wrapText="false" indent="0" shrinkToFit="false"/>
      <protection locked="true" hidden="false"/>
    </xf>
    <xf numFmtId="172" fontId="13" fillId="0" borderId="0" xfId="0" applyFont="true" applyBorder="false" applyAlignment="true" applyProtection="false">
      <alignment horizontal="general" vertical="bottom" textRotation="0" wrapText="false" indent="0" shrinkToFit="false"/>
      <protection locked="true" hidden="false"/>
    </xf>
    <xf numFmtId="166" fontId="13" fillId="0" borderId="0" xfId="0" applyFont="true" applyBorder="false" applyAlignment="true" applyProtection="false">
      <alignment horizontal="general" vertical="bottom" textRotation="0" wrapText="false" indent="0" shrinkToFit="false"/>
      <protection locked="true" hidden="false"/>
    </xf>
    <xf numFmtId="164" fontId="35" fillId="0" borderId="0" xfId="0" applyFont="true" applyBorder="false" applyAlignment="true" applyProtection="false">
      <alignment horizontal="general" vertical="bottom" textRotation="0" wrapText="false" indent="0" shrinkToFit="false"/>
      <protection locked="true" hidden="false"/>
    </xf>
    <xf numFmtId="164" fontId="36" fillId="0" borderId="0" xfId="0" applyFont="true" applyBorder="false" applyAlignment="true" applyProtection="false">
      <alignment horizontal="general" vertical="bottom" textRotation="0" wrapText="false" indent="0" shrinkToFit="false"/>
      <protection locked="true" hidden="false"/>
    </xf>
    <xf numFmtId="166" fontId="33" fillId="6" borderId="1" xfId="0" applyFont="true" applyBorder="true" applyAlignment="true" applyProtection="false">
      <alignment horizontal="general" vertical="bottom" textRotation="0" wrapText="false" indent="0" shrinkToFit="false"/>
      <protection locked="true" hidden="false"/>
    </xf>
    <xf numFmtId="167" fontId="33" fillId="6" borderId="1" xfId="0" applyFont="true" applyBorder="true" applyAlignment="true" applyProtection="false">
      <alignment horizontal="general" vertical="bottom" textRotation="0" wrapText="false" indent="0" shrinkToFit="false"/>
      <protection locked="true" hidden="false"/>
    </xf>
    <xf numFmtId="168" fontId="33" fillId="6" borderId="1" xfId="0" applyFont="true" applyBorder="true" applyAlignment="true" applyProtection="false">
      <alignment horizontal="general" vertical="bottom" textRotation="0" wrapText="false" indent="0" shrinkToFit="false"/>
      <protection locked="true" hidden="false"/>
    </xf>
    <xf numFmtId="173" fontId="33" fillId="6" borderId="1" xfId="0" applyFont="true" applyBorder="true" applyAlignment="tru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bottom" textRotation="0" wrapText="false" indent="0" shrinkToFit="false"/>
      <protection locked="true" hidden="false"/>
    </xf>
    <xf numFmtId="164" fontId="37" fillId="0" borderId="0" xfId="0" applyFont="true" applyBorder="false" applyAlignment="true" applyProtection="false">
      <alignment horizontal="general" vertical="bottom" textRotation="0" wrapText="false" indent="0" shrinkToFit="false"/>
      <protection locked="true" hidden="false"/>
    </xf>
    <xf numFmtId="164" fontId="38" fillId="0" borderId="0" xfId="0" applyFont="true" applyBorder="false" applyAlignment="true" applyProtection="false">
      <alignment horizontal="general" vertical="bottom" textRotation="0" wrapText="false" indent="0" shrinkToFit="false"/>
      <protection locked="true" hidden="false"/>
    </xf>
    <xf numFmtId="164" fontId="31" fillId="0" borderId="0" xfId="0" applyFont="true" applyBorder="false" applyAlignment="true" applyProtection="false">
      <alignment horizontal="general" vertical="bottom" textRotation="0" wrapText="false" indent="0" shrinkToFit="false"/>
      <protection locked="true" hidden="false"/>
    </xf>
    <xf numFmtId="166" fontId="31" fillId="0" borderId="1" xfId="0" applyFont="true" applyBorder="true" applyAlignment="true" applyProtection="false">
      <alignment horizontal="general" vertical="bottom" textRotation="0" wrapText="false" indent="0" shrinkToFit="false"/>
      <protection locked="true" hidden="false"/>
    </xf>
    <xf numFmtId="167" fontId="33" fillId="0" borderId="1" xfId="0" applyFont="true" applyBorder="true" applyAlignment="true" applyProtection="false">
      <alignment horizontal="general" vertical="bottom" textRotation="0" wrapText="false" indent="0" shrinkToFit="false"/>
      <protection locked="true" hidden="false"/>
    </xf>
    <xf numFmtId="168" fontId="31" fillId="0" borderId="0" xfId="0" applyFont="true" applyBorder="false" applyAlignment="true" applyProtection="false">
      <alignment horizontal="general" vertical="bottom" textRotation="0" wrapText="false" indent="0" shrinkToFit="false"/>
      <protection locked="true" hidden="false"/>
    </xf>
    <xf numFmtId="178" fontId="33" fillId="0" borderId="1" xfId="0" applyFont="true" applyBorder="true" applyAlignment="true" applyProtection="false">
      <alignment horizontal="general" vertical="bottom" textRotation="0" wrapText="false" indent="0" shrinkToFit="false"/>
      <protection locked="true" hidden="false"/>
    </xf>
    <xf numFmtId="164" fontId="31" fillId="0" borderId="1" xfId="0" applyFont="true" applyBorder="true" applyAlignment="true" applyProtection="false">
      <alignment horizontal="general" vertical="bottom" textRotation="0" wrapText="false" indent="0" shrinkToFit="false"/>
      <protection locked="true" hidden="false"/>
    </xf>
    <xf numFmtId="168" fontId="31" fillId="0" borderId="1" xfId="0" applyFont="true" applyBorder="true" applyAlignment="true" applyProtection="false">
      <alignment horizontal="general" vertical="bottom" textRotation="0" wrapText="false" indent="0" shrinkToFit="false"/>
      <protection locked="true" hidden="false"/>
    </xf>
    <xf numFmtId="182" fontId="31" fillId="0" borderId="1" xfId="0" applyFont="true" applyBorder="true" applyAlignment="true" applyProtection="false">
      <alignment horizontal="general" vertical="bottom" textRotation="0" wrapText="false" indent="0" shrinkToFit="false"/>
      <protection locked="true" hidden="false"/>
    </xf>
    <xf numFmtId="167" fontId="31" fillId="0" borderId="1" xfId="0" applyFont="true" applyBorder="true" applyAlignment="true" applyProtection="false">
      <alignment horizontal="general" vertical="bottom" textRotation="0" wrapText="false" indent="0" shrinkToFit="false"/>
      <protection locked="true" hidden="false"/>
    </xf>
    <xf numFmtId="168" fontId="33" fillId="0" borderId="1" xfId="0" applyFont="true" applyBorder="true" applyAlignment="true" applyProtection="false">
      <alignment horizontal="general" vertical="bottom" textRotation="0" wrapText="false" indent="0" shrinkToFit="false"/>
      <protection locked="true" hidden="false"/>
    </xf>
    <xf numFmtId="164" fontId="33" fillId="0" borderId="1" xfId="0" applyFont="true" applyBorder="true" applyAlignment="true" applyProtection="false">
      <alignment horizontal="general" vertical="bottom" textRotation="0" wrapText="false" indent="0" shrinkToFit="false"/>
      <protection locked="true" hidden="false"/>
    </xf>
    <xf numFmtId="166" fontId="33" fillId="0" borderId="7" xfId="0" applyFont="true" applyBorder="true" applyAlignment="true" applyProtection="false">
      <alignment horizontal="general" vertical="bottom" textRotation="0" wrapText="false" indent="0" shrinkToFit="false"/>
      <protection locked="true" hidden="false"/>
    </xf>
    <xf numFmtId="166" fontId="33" fillId="0" borderId="0" xfId="0" applyFont="true" applyBorder="false" applyAlignment="true" applyProtection="false">
      <alignment horizontal="general" vertical="bottom" textRotation="0" wrapText="false" indent="0" shrinkToFit="false"/>
      <protection locked="true" hidden="false"/>
    </xf>
    <xf numFmtId="175" fontId="33" fillId="0" borderId="7" xfId="0" applyFont="true" applyBorder="true" applyAlignment="true" applyProtection="false">
      <alignment horizontal="general" vertical="bottom" textRotation="0" wrapText="false" indent="0" shrinkToFit="false"/>
      <protection locked="true" hidden="false"/>
    </xf>
    <xf numFmtId="164" fontId="39" fillId="5" borderId="1" xfId="0" applyFont="true" applyBorder="true" applyAlignment="true" applyProtection="false">
      <alignment horizontal="left" vertical="top" textRotation="0" wrapText="true" indent="0" shrinkToFit="false"/>
      <protection locked="true" hidden="false"/>
    </xf>
    <xf numFmtId="164" fontId="40" fillId="0" borderId="0" xfId="0" applyFont="true" applyBorder="false" applyAlignment="true" applyProtection="false">
      <alignment horizontal="general" vertical="bottom" textRotation="0" wrapText="false" indent="0" shrinkToFit="false"/>
      <protection locked="true" hidden="false"/>
    </xf>
    <xf numFmtId="164" fontId="41" fillId="3" borderId="0" xfId="0" applyFont="true" applyBorder="true" applyAlignment="true" applyProtection="false">
      <alignment horizontal="general" vertical="bottom" textRotation="0" wrapText="false" indent="0" shrinkToFit="false"/>
      <protection locked="true" hidden="false"/>
    </xf>
    <xf numFmtId="164" fontId="41" fillId="0" borderId="0" xfId="0" applyFont="true" applyBorder="false" applyAlignment="true" applyProtection="false">
      <alignment horizontal="general" vertical="bottom" textRotation="0" wrapText="false" indent="0" shrinkToFit="false"/>
      <protection locked="true" hidden="false"/>
    </xf>
    <xf numFmtId="164" fontId="42" fillId="0" borderId="0" xfId="0" applyFont="true" applyBorder="false" applyAlignment="true" applyProtection="false">
      <alignment horizontal="general" vertical="bottom" textRotation="0" wrapText="false" indent="0" shrinkToFit="false"/>
      <protection locked="true" hidden="false"/>
    </xf>
    <xf numFmtId="164" fontId="32" fillId="3" borderId="0" xfId="0" applyFont="true" applyBorder="true" applyAlignment="true" applyProtection="false">
      <alignment horizontal="general" vertical="bottom" textRotation="0" wrapText="false" indent="0" shrinkToFit="false"/>
      <protection locked="true" hidden="false"/>
    </xf>
    <xf numFmtId="164" fontId="32" fillId="0" borderId="1" xfId="0" applyFont="true" applyBorder="true" applyAlignment="true" applyProtection="false">
      <alignment horizontal="general" vertical="bottom" textRotation="0" wrapText="false" indent="0" shrinkToFit="false"/>
      <protection locked="true" hidden="false"/>
    </xf>
    <xf numFmtId="164" fontId="33" fillId="2" borderId="1" xfId="0" applyFont="true" applyBorder="true" applyAlignment="true" applyProtection="false">
      <alignment horizontal="general" vertical="bottom" textRotation="0" wrapText="false" indent="0" shrinkToFit="false"/>
      <protection locked="true" hidden="false"/>
    </xf>
    <xf numFmtId="164" fontId="33" fillId="8" borderId="0" xfId="0" applyFont="true" applyBorder="true" applyAlignment="true" applyProtection="false">
      <alignment horizontal="center" vertical="center" textRotation="0" wrapText="true" indent="0" shrinkToFit="false"/>
      <protection locked="true" hidden="false"/>
    </xf>
    <xf numFmtId="167" fontId="33" fillId="2" borderId="1" xfId="0" applyFont="true" applyBorder="true" applyAlignment="true" applyProtection="false">
      <alignment horizontal="general" vertical="bottom" textRotation="0" wrapText="false" indent="0" shrinkToFit="false"/>
      <protection locked="true" hidden="false"/>
    </xf>
    <xf numFmtId="167" fontId="33" fillId="9" borderId="1" xfId="0" applyFont="true" applyBorder="true" applyAlignment="true" applyProtection="false">
      <alignment horizontal="general" vertical="bottom" textRotation="0" wrapText="false" indent="0" shrinkToFit="false"/>
      <protection locked="true" hidden="false"/>
    </xf>
    <xf numFmtId="168" fontId="33" fillId="2" borderId="1" xfId="0" applyFont="true" applyBorder="true" applyAlignment="true" applyProtection="false">
      <alignment horizontal="center" vertical="bottom" textRotation="0" wrapText="false" indent="0" shrinkToFit="false"/>
      <protection locked="true" hidden="false"/>
    </xf>
    <xf numFmtId="168" fontId="33" fillId="6" borderId="1" xfId="0" applyFont="true" applyBorder="true" applyAlignment="true" applyProtection="false">
      <alignment horizontal="center" vertical="bottom" textRotation="0" wrapText="false" indent="0" shrinkToFit="false"/>
      <protection locked="true" hidden="false"/>
    </xf>
    <xf numFmtId="164" fontId="13" fillId="2" borderId="1" xfId="0" applyFont="true" applyBorder="true" applyAlignment="true" applyProtection="false">
      <alignment horizontal="general" vertical="bottom" textRotation="0" wrapText="false" indent="0" shrinkToFit="false"/>
      <protection locked="true" hidden="false"/>
    </xf>
    <xf numFmtId="168" fontId="13" fillId="2" borderId="1" xfId="0" applyFont="true" applyBorder="true" applyAlignment="true" applyProtection="false">
      <alignment horizontal="general" vertical="bottom" textRotation="0" wrapText="false" indent="0" shrinkToFit="false"/>
      <protection locked="true" hidden="false"/>
    </xf>
    <xf numFmtId="164" fontId="33" fillId="6" borderId="1" xfId="0" applyFont="true" applyBorder="true" applyAlignment="true" applyProtection="false">
      <alignment horizontal="general" vertical="bottom" textRotation="0" wrapText="false" indent="0" shrinkToFit="false"/>
      <protection locked="true" hidden="false"/>
    </xf>
    <xf numFmtId="164" fontId="33" fillId="9" borderId="1" xfId="0" applyFont="true" applyBorder="true" applyAlignment="true" applyProtection="false">
      <alignment horizontal="general" vertical="bottom" textRotation="0" wrapText="false" indent="0" shrinkToFit="false"/>
      <protection locked="true" hidden="false"/>
    </xf>
    <xf numFmtId="164" fontId="33" fillId="9" borderId="1" xfId="0" applyFont="true" applyBorder="true" applyAlignment="true" applyProtection="false">
      <alignment horizontal="center" vertical="bottom" textRotation="0" wrapText="false" indent="0" shrinkToFit="false"/>
      <protection locked="true" hidden="false"/>
    </xf>
    <xf numFmtId="183" fontId="33" fillId="6" borderId="1" xfId="0" applyFont="true" applyBorder="true" applyAlignment="true" applyProtection="false">
      <alignment horizontal="general" vertical="bottom" textRotation="0" wrapText="false" indent="0" shrinkToFit="false"/>
      <protection locked="true" hidden="false"/>
    </xf>
    <xf numFmtId="184" fontId="33" fillId="9" borderId="1" xfId="0" applyFont="true" applyBorder="true" applyAlignment="true" applyProtection="false">
      <alignment horizontal="general" vertical="bottom" textRotation="0" wrapText="false" indent="0" shrinkToFit="false"/>
      <protection locked="true" hidden="false"/>
    </xf>
    <xf numFmtId="171" fontId="33" fillId="6" borderId="1" xfId="0" applyFont="true" applyBorder="true" applyAlignment="true" applyProtection="false">
      <alignment horizontal="center" vertical="bottom" textRotation="0" wrapText="false" indent="0" shrinkToFit="false"/>
      <protection locked="true" hidden="false"/>
    </xf>
    <xf numFmtId="168" fontId="33" fillId="2" borderId="1" xfId="0" applyFont="true" applyBorder="true" applyAlignment="true" applyProtection="false">
      <alignment horizontal="general" vertical="bottom" textRotation="0" wrapText="false" indent="0" shrinkToFit="false"/>
      <protection locked="true" hidden="false"/>
    </xf>
    <xf numFmtId="185" fontId="33" fillId="2" borderId="1" xfId="0" applyFont="true" applyBorder="true" applyAlignment="true" applyProtection="false">
      <alignment horizontal="general" vertical="bottom" textRotation="0" wrapText="false" indent="0" shrinkToFit="false"/>
      <protection locked="true" hidden="false"/>
    </xf>
    <xf numFmtId="172" fontId="33" fillId="6" borderId="1" xfId="0" applyFont="true" applyBorder="true" applyAlignment="true" applyProtection="false">
      <alignment horizontal="general" vertical="bottom" textRotation="0" wrapText="false" indent="0" shrinkToFit="false"/>
      <protection locked="true" hidden="false"/>
    </xf>
    <xf numFmtId="185" fontId="33" fillId="6" borderId="1" xfId="0" applyFont="true" applyBorder="true" applyAlignment="true" applyProtection="false">
      <alignment horizontal="general" vertical="bottom" textRotation="0" wrapText="false" indent="0" shrinkToFit="false"/>
      <protection locked="true" hidden="false"/>
    </xf>
    <xf numFmtId="164" fontId="37" fillId="0" borderId="0" xfId="0" applyFont="true" applyBorder="false" applyAlignment="true" applyProtection="false">
      <alignment horizontal="center" vertical="bottom" textRotation="0" wrapText="false" indent="0" shrinkToFit="false"/>
      <protection locked="true" hidden="false"/>
    </xf>
    <xf numFmtId="164" fontId="37" fillId="0" borderId="1" xfId="0" applyFont="true" applyBorder="true" applyAlignment="true" applyProtection="false">
      <alignment horizontal="center" vertical="bottom" textRotation="0" wrapText="false" indent="0" shrinkToFit="false"/>
      <protection locked="true" hidden="false"/>
    </xf>
    <xf numFmtId="164" fontId="13" fillId="6" borderId="1" xfId="0" applyFont="true" applyBorder="true" applyAlignment="true" applyProtection="false">
      <alignment horizontal="general" vertical="bottom" textRotation="0" wrapText="false" indent="0" shrinkToFit="false"/>
      <protection locked="true" hidden="false"/>
    </xf>
    <xf numFmtId="185" fontId="13" fillId="6" borderId="1" xfId="0" applyFont="true" applyBorder="true" applyAlignment="true" applyProtection="false">
      <alignment horizontal="general" vertical="bottom" textRotation="0" wrapText="false" indent="0" shrinkToFit="false"/>
      <protection locked="true" hidden="false"/>
    </xf>
    <xf numFmtId="172" fontId="13" fillId="6" borderId="1" xfId="0" applyFont="true" applyBorder="true" applyAlignment="true" applyProtection="false">
      <alignment horizontal="general" vertical="bottom" textRotation="0" wrapText="false" indent="0" shrinkToFit="false"/>
      <protection locked="true" hidden="false"/>
    </xf>
    <xf numFmtId="168" fontId="33" fillId="6" borderId="15" xfId="0" applyFont="true" applyBorder="true" applyAlignment="true" applyProtection="false">
      <alignment horizontal="general" vertical="bottom" textRotation="0" wrapText="false" indent="0" shrinkToFit="false"/>
      <protection locked="true" hidden="false"/>
    </xf>
    <xf numFmtId="168" fontId="33" fillId="6" borderId="25" xfId="0" applyFont="true" applyBorder="true" applyAlignment="true" applyProtection="false">
      <alignment horizontal="general" vertical="bottom" textRotation="0" wrapText="false" indent="0" shrinkToFit="false"/>
      <protection locked="true" hidden="false"/>
    </xf>
    <xf numFmtId="168" fontId="33" fillId="6" borderId="7" xfId="0" applyFont="true" applyBorder="true" applyAlignment="true" applyProtection="false">
      <alignment horizontal="general" vertical="bottom" textRotation="0" wrapText="false" indent="0" shrinkToFit="false"/>
      <protection locked="true" hidden="false"/>
    </xf>
    <xf numFmtId="164" fontId="40" fillId="0" borderId="0" xfId="0" applyFont="true" applyBorder="false" applyAlignment="true" applyProtection="false">
      <alignment horizontal="left" vertical="bottom" textRotation="0" wrapText="false" indent="0" shrinkToFit="false"/>
      <protection locked="true" hidden="false"/>
    </xf>
    <xf numFmtId="164" fontId="35" fillId="0" borderId="0" xfId="0" applyFont="true" applyBorder="true" applyAlignment="true" applyProtection="false">
      <alignment horizontal="center" vertical="bottom" textRotation="0" wrapText="false" indent="0" shrinkToFit="false"/>
      <protection locked="true" hidden="false"/>
    </xf>
    <xf numFmtId="166" fontId="33" fillId="9" borderId="1" xfId="0" applyFont="true" applyBorder="true" applyAlignment="true" applyProtection="false">
      <alignment horizontal="general" vertical="bottom" textRotation="0" wrapText="false" indent="0" shrinkToFit="false"/>
      <protection locked="true" hidden="false"/>
    </xf>
    <xf numFmtId="167" fontId="43" fillId="0" borderId="1" xfId="0" applyFont="true" applyBorder="true" applyAlignment="true" applyProtection="false">
      <alignment horizontal="center" vertical="bottom" textRotation="0" wrapText="false" indent="0" shrinkToFit="false"/>
      <protection locked="true" hidden="false"/>
    </xf>
    <xf numFmtId="167" fontId="43" fillId="0" borderId="0" xfId="0" applyFont="true" applyBorder="false" applyAlignment="true" applyProtection="false">
      <alignment horizontal="general" vertical="bottom" textRotation="0" wrapText="false" indent="0" shrinkToFit="false"/>
      <protection locked="true" hidden="false"/>
    </xf>
    <xf numFmtId="167" fontId="33" fillId="0" borderId="0" xfId="0" applyFont="true" applyBorder="false" applyAlignment="true" applyProtection="false">
      <alignment horizontal="general" vertical="bottom" textRotation="0" wrapText="false" indent="0" shrinkToFit="false"/>
      <protection locked="true" hidden="false"/>
    </xf>
    <xf numFmtId="186" fontId="43" fillId="0" borderId="1" xfId="0" applyFont="true" applyBorder="true" applyAlignment="true" applyProtection="false">
      <alignment horizontal="center" vertical="bottom" textRotation="0" wrapText="false" indent="0" shrinkToFit="false"/>
      <protection locked="true" hidden="false"/>
    </xf>
    <xf numFmtId="167" fontId="43" fillId="9" borderId="1" xfId="0" applyFont="true" applyBorder="true" applyAlignment="true" applyProtection="false">
      <alignment horizontal="center" vertical="bottom" textRotation="0" wrapText="false" indent="0" shrinkToFit="false"/>
      <protection locked="true" hidden="false"/>
    </xf>
    <xf numFmtId="167" fontId="44" fillId="0" borderId="0" xfId="0" applyFont="true" applyBorder="false" applyAlignment="true" applyProtection="false">
      <alignment horizontal="general" vertical="bottom" textRotation="0" wrapText="false" indent="0" shrinkToFit="false"/>
      <protection locked="true" hidden="false"/>
    </xf>
    <xf numFmtId="166" fontId="43" fillId="0" borderId="1" xfId="0" applyFont="true" applyBorder="true" applyAlignment="true" applyProtection="false">
      <alignment horizontal="general" vertical="bottom" textRotation="0" wrapText="false" indent="0" shrinkToFit="false"/>
      <protection locked="true" hidden="false"/>
    </xf>
    <xf numFmtId="167" fontId="43" fillId="0" borderId="15" xfId="0" applyFont="true" applyBorder="true" applyAlignment="true" applyProtection="false">
      <alignment horizontal="center" vertical="bottom" textRotation="0" wrapText="false" indent="0" shrinkToFit="false"/>
      <protection locked="true" hidden="false"/>
    </xf>
    <xf numFmtId="166" fontId="43" fillId="0" borderId="15" xfId="0" applyFont="true" applyBorder="true" applyAlignment="true" applyProtection="false">
      <alignment horizontal="general" vertical="bottom" textRotation="0" wrapText="false" indent="0" shrinkToFit="false"/>
      <protection locked="true" hidden="false"/>
    </xf>
    <xf numFmtId="170" fontId="33" fillId="0" borderId="7" xfId="0" applyFont="true" applyBorder="true" applyAlignment="true" applyProtection="false">
      <alignment horizontal="general" vertical="bottom" textRotation="0" wrapText="false" indent="0" shrinkToFit="false"/>
      <protection locked="true" hidden="false"/>
    </xf>
    <xf numFmtId="170" fontId="33" fillId="0" borderId="19" xfId="0" applyFont="true" applyBorder="true" applyAlignment="true" applyProtection="false">
      <alignment horizontal="general" vertical="bottom" textRotation="0" wrapText="false" indent="0" shrinkToFit="false"/>
      <protection locked="true" hidden="false"/>
    </xf>
    <xf numFmtId="187" fontId="33" fillId="0" borderId="1" xfId="0" applyFont="true" applyBorder="true" applyAlignment="true" applyProtection="false">
      <alignment horizontal="general" vertical="bottom" textRotation="0" wrapText="false" indent="0" shrinkToFit="false"/>
      <protection locked="true" hidden="false"/>
    </xf>
    <xf numFmtId="164" fontId="33" fillId="0" borderId="1" xfId="0" applyFont="true" applyBorder="true" applyAlignment="true" applyProtection="false">
      <alignment horizontal="center" vertical="bottom" textRotation="0" wrapText="false" indent="0" shrinkToFit="false"/>
      <protection locked="true" hidden="false"/>
    </xf>
    <xf numFmtId="188" fontId="45" fillId="0" borderId="0" xfId="0" applyFont="true" applyBorder="false" applyAlignment="true" applyProtection="false">
      <alignment horizontal="right" vertical="bottom" textRotation="0" wrapText="false" indent="0" shrinkToFit="false"/>
      <protection locked="true" hidden="false"/>
    </xf>
    <xf numFmtId="164" fontId="34" fillId="2" borderId="1" xfId="0" applyFont="true" applyBorder="true" applyAlignment="true" applyProtection="false">
      <alignment horizontal="general" vertical="bottom" textRotation="0" wrapText="false" indent="0" shrinkToFit="false"/>
      <protection locked="true" hidden="false"/>
    </xf>
    <xf numFmtId="164" fontId="46" fillId="0" borderId="0" xfId="0" applyFont="true" applyBorder="false" applyAlignment="true" applyProtection="false">
      <alignment horizontal="general" vertical="bottom" textRotation="0" wrapText="false" indent="0" shrinkToFit="false"/>
      <protection locked="true" hidden="false"/>
    </xf>
    <xf numFmtId="168" fontId="33" fillId="2" borderId="7" xfId="0" applyFont="true" applyBorder="true" applyAlignment="true" applyProtection="false">
      <alignment horizontal="center" vertical="bottom" textRotation="0" wrapText="false" indent="0" shrinkToFit="false"/>
      <protection locked="true" hidden="false"/>
    </xf>
    <xf numFmtId="164" fontId="33" fillId="6" borderId="1" xfId="0" applyFont="true" applyBorder="true" applyAlignment="true" applyProtection="false">
      <alignment horizontal="center" vertical="bottom" textRotation="0" wrapText="false" indent="0" shrinkToFit="false"/>
      <protection locked="true" hidden="false"/>
    </xf>
    <xf numFmtId="164" fontId="33" fillId="0" borderId="15" xfId="0" applyFont="true" applyBorder="true" applyAlignment="true" applyProtection="false">
      <alignment horizontal="general" vertical="bottom" textRotation="0" wrapText="false" indent="0" shrinkToFit="false"/>
      <protection locked="true" hidden="false"/>
    </xf>
    <xf numFmtId="166" fontId="33" fillId="6" borderId="15" xfId="0" applyFont="true" applyBorder="true" applyAlignment="true" applyProtection="false">
      <alignment horizontal="general" vertical="bottom" textRotation="0" wrapText="false" indent="0" shrinkToFit="false"/>
      <protection locked="true" hidden="false"/>
    </xf>
    <xf numFmtId="164" fontId="33" fillId="0" borderId="7" xfId="0" applyFont="true" applyBorder="true" applyAlignment="true" applyProtection="false">
      <alignment horizontal="general" vertical="bottom" textRotation="0" wrapText="false" indent="0" shrinkToFit="false"/>
      <protection locked="true" hidden="false"/>
    </xf>
    <xf numFmtId="164" fontId="33" fillId="6" borderId="7" xfId="0" applyFont="true" applyBorder="true" applyAlignment="true" applyProtection="false">
      <alignment horizontal="general" vertical="bottom" textRotation="0" wrapText="false" indent="0" shrinkToFit="false"/>
      <protection locked="true" hidden="false"/>
    </xf>
    <xf numFmtId="166" fontId="33" fillId="6" borderId="7" xfId="0" applyFont="true" applyBorder="true" applyAlignment="true" applyProtection="false">
      <alignment horizontal="general" vertical="bottom" textRotation="0" wrapText="false" indent="0" shrinkToFit="false"/>
      <protection locked="true" hidden="false"/>
    </xf>
    <xf numFmtId="175" fontId="33" fillId="6" borderId="7" xfId="0" applyFont="true" applyBorder="true" applyAlignment="true" applyProtection="false">
      <alignment horizontal="general" vertical="bottom" textRotation="0" wrapText="false" indent="0" shrinkToFit="false"/>
      <protection locked="true" hidden="false"/>
    </xf>
    <xf numFmtId="166" fontId="33" fillId="6" borderId="43" xfId="0" applyFont="true" applyBorder="true" applyAlignment="true" applyProtection="false">
      <alignment horizontal="general" vertical="bottom" textRotation="0" wrapText="false" indent="0" shrinkToFit="false"/>
      <protection locked="true" hidden="false"/>
    </xf>
    <xf numFmtId="170" fontId="13" fillId="6" borderId="1" xfId="0" applyFont="true" applyBorder="true" applyAlignment="true" applyProtection="false">
      <alignment horizontal="general" vertical="bottom" textRotation="0" wrapText="false" indent="0" shrinkToFit="false"/>
      <protection locked="true" hidden="false"/>
    </xf>
    <xf numFmtId="168" fontId="13" fillId="2" borderId="1" xfId="0" applyFont="true" applyBorder="true" applyAlignment="true" applyProtection="false">
      <alignment horizontal="right"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64" fontId="47" fillId="0" borderId="1" xfId="0" applyFont="true" applyBorder="true" applyAlignment="true" applyProtection="false">
      <alignment horizontal="general" vertical="bottom" textRotation="0" wrapText="false" indent="0" shrinkToFit="false"/>
      <protection locked="true" hidden="false"/>
    </xf>
    <xf numFmtId="164" fontId="20" fillId="0" borderId="1" xfId="0" applyFont="true" applyBorder="true" applyAlignment="true" applyProtection="false">
      <alignment horizontal="center" vertical="bottom" textRotation="0" wrapText="false" indent="0" shrinkToFit="false"/>
      <protection locked="true" hidden="false"/>
    </xf>
    <xf numFmtId="164" fontId="47" fillId="0" borderId="1" xfId="0" applyFont="true" applyBorder="true" applyAlignment="true" applyProtection="false">
      <alignment horizontal="center" vertical="bottom" textRotation="0" wrapText="false" indent="0" shrinkToFit="false"/>
      <protection locked="true" hidden="false"/>
    </xf>
    <xf numFmtId="164" fontId="20" fillId="0" borderId="1" xfId="0" applyFont="true" applyBorder="true" applyAlignment="true" applyProtection="false">
      <alignment horizontal="general" vertical="bottom" textRotation="0" wrapText="false" indent="0" shrinkToFit="false"/>
      <protection locked="true" hidden="false"/>
    </xf>
    <xf numFmtId="168" fontId="20" fillId="0" borderId="1" xfId="0" applyFont="true" applyBorder="true" applyAlignment="true" applyProtection="false">
      <alignment horizontal="center" vertical="bottom" textRotation="0" wrapText="false" indent="0" shrinkToFit="false"/>
      <protection locked="true" hidden="false"/>
    </xf>
    <xf numFmtId="164" fontId="25" fillId="0" borderId="1" xfId="0" applyFont="true" applyBorder="true" applyAlignment="true" applyProtection="false">
      <alignment horizontal="general" vertical="bottom" textRotation="0" wrapText="false" indent="0" shrinkToFit="false"/>
      <protection locked="true" hidden="false"/>
    </xf>
    <xf numFmtId="168" fontId="13" fillId="0" borderId="1" xfId="0" applyFont="true" applyBorder="true" applyAlignment="true" applyProtection="false">
      <alignment horizontal="center" vertical="bottom" textRotation="0" wrapText="false" indent="0" shrinkToFit="false"/>
      <protection locked="true" hidden="false"/>
    </xf>
    <xf numFmtId="164" fontId="45" fillId="0" borderId="1" xfId="0" applyFont="true" applyBorder="true" applyAlignment="true" applyProtection="false">
      <alignment horizontal="general" vertical="bottom" textRotation="0" wrapText="false" indent="0" shrinkToFit="false"/>
      <protection locked="true" hidden="false"/>
    </xf>
    <xf numFmtId="164" fontId="39" fillId="0" borderId="1" xfId="0" applyFont="true" applyBorder="true" applyAlignment="true" applyProtection="false">
      <alignment horizontal="center" vertical="bottom" textRotation="0" wrapText="fals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4" fontId="48" fillId="0" borderId="0" xfId="0" applyFont="true" applyBorder="false" applyAlignment="true" applyProtection="false">
      <alignment horizontal="general" vertical="bottom" textRotation="0" wrapText="false" indent="0" shrinkToFit="false"/>
      <protection locked="true" hidden="false"/>
    </xf>
    <xf numFmtId="164" fontId="33" fillId="6" borderId="7" xfId="0" applyFont="true" applyBorder="true" applyAlignment="true" applyProtection="false">
      <alignment horizontal="center" vertical="bottom" textRotation="0" wrapText="false" indent="0" shrinkToFit="false"/>
      <protection locked="true" hidden="false"/>
    </xf>
    <xf numFmtId="164" fontId="49" fillId="0" borderId="0" xfId="0" applyFont="true" applyBorder="false" applyAlignment="true" applyProtection="false">
      <alignment horizontal="general" vertical="bottom" textRotation="0" wrapText="false" indent="0" shrinkToFit="false"/>
      <protection locked="true" hidden="false"/>
    </xf>
    <xf numFmtId="170" fontId="33" fillId="6" borderId="7" xfId="0" applyFont="true" applyBorder="true" applyAlignment="true" applyProtection="false">
      <alignment horizontal="general" vertical="bottom" textRotation="0" wrapText="false" indent="0" shrinkToFit="false"/>
      <protection locked="true" hidden="false"/>
    </xf>
    <xf numFmtId="167" fontId="31" fillId="6" borderId="7" xfId="0" applyFont="true" applyBorder="true" applyAlignment="true" applyProtection="false">
      <alignment horizontal="center" vertical="bottom" textRotation="0" wrapText="false" indent="0" shrinkToFit="false"/>
      <protection locked="true" hidden="false"/>
    </xf>
    <xf numFmtId="164" fontId="50" fillId="6" borderId="43" xfId="0" applyFont="true" applyBorder="true" applyAlignment="true" applyProtection="false">
      <alignment horizontal="center" vertical="bottom" textRotation="0" wrapText="false" indent="0" shrinkToFit="false"/>
      <protection locked="true" hidden="false"/>
    </xf>
    <xf numFmtId="168" fontId="31" fillId="6" borderId="7" xfId="0" applyFont="true" applyBorder="true" applyAlignment="true" applyProtection="false">
      <alignment horizontal="center" vertical="bottom" textRotation="0" wrapText="false" indent="0" shrinkToFit="false"/>
      <protection locked="true" hidden="false"/>
    </xf>
    <xf numFmtId="168" fontId="31" fillId="0" borderId="0" xfId="0" applyFont="true" applyBorder="false" applyAlignment="true" applyProtection="false">
      <alignment horizontal="center" vertical="bottom" textRotation="0" wrapText="false" indent="0" shrinkToFit="false"/>
      <protection locked="true" hidden="false"/>
    </xf>
    <xf numFmtId="168" fontId="32" fillId="0" borderId="0" xfId="0" applyFont="true" applyBorder="false" applyAlignment="true" applyProtection="false">
      <alignment horizontal="center" vertical="bottom" textRotation="0" wrapText="false" indent="0" shrinkToFit="false"/>
      <protection locked="true" hidden="false"/>
    </xf>
    <xf numFmtId="164" fontId="37" fillId="0" borderId="1" xfId="0" applyFont="true" applyBorder="true" applyAlignment="true" applyProtection="false">
      <alignment horizontal="general" vertical="bottom" textRotation="0" wrapText="false" indent="0" shrinkToFit="false"/>
      <protection locked="true" hidden="false"/>
    </xf>
    <xf numFmtId="164" fontId="34" fillId="0" borderId="1" xfId="0" applyFont="true" applyBorder="true" applyAlignment="true" applyProtection="false">
      <alignment horizontal="center" vertical="bottom" textRotation="0" wrapText="false" indent="0" shrinkToFit="false"/>
      <protection locked="true" hidden="false"/>
    </xf>
    <xf numFmtId="168" fontId="34" fillId="0" borderId="44" xfId="0" applyFont="true" applyBorder="true" applyAlignment="true" applyProtection="false">
      <alignment horizontal="center" vertical="bottom" textRotation="0" wrapText="false" indent="0" shrinkToFit="false"/>
      <protection locked="true" hidden="false"/>
    </xf>
    <xf numFmtId="167" fontId="33" fillId="0" borderId="1" xfId="0" applyFont="true" applyBorder="true" applyAlignment="true" applyProtection="false">
      <alignment horizontal="center" vertical="bottom" textRotation="0" wrapText="false" indent="0" shrinkToFit="false"/>
      <protection locked="true" hidden="false"/>
    </xf>
    <xf numFmtId="164" fontId="39" fillId="0" borderId="1" xfId="0" applyFont="true" applyBorder="true" applyAlignment="true" applyProtection="false">
      <alignment horizontal="general" vertical="bottom" textRotation="0" wrapText="true" indent="0" shrinkToFit="false"/>
      <protection locked="true" hidden="false"/>
    </xf>
    <xf numFmtId="164" fontId="39" fillId="0" borderId="1" xfId="0" applyFont="true" applyBorder="true" applyAlignment="true" applyProtection="false">
      <alignment horizontal="center" vertical="bottom" textRotation="0" wrapText="true" indent="0" shrinkToFit="false"/>
      <protection locked="true" hidden="false"/>
    </xf>
    <xf numFmtId="168" fontId="39" fillId="0" borderId="1" xfId="0" applyFont="true" applyBorder="true" applyAlignment="true" applyProtection="false">
      <alignment horizontal="center" vertical="bottom" textRotation="0" wrapText="true" indent="0" shrinkToFit="false"/>
      <protection locked="true" hidden="false"/>
    </xf>
    <xf numFmtId="167" fontId="39" fillId="0" borderId="1"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false" applyAlignment="true" applyProtection="false">
      <alignment horizontal="right" vertical="bottom" textRotation="0" wrapText="false" indent="0" shrinkToFit="false"/>
      <protection locked="true" hidden="false"/>
    </xf>
    <xf numFmtId="168" fontId="7" fillId="0" borderId="0" xfId="0" applyFont="true" applyBorder="false" applyAlignment="true" applyProtection="false">
      <alignment horizontal="right" vertical="bottom" textRotation="0" wrapText="false" indent="0" shrinkToFit="false"/>
      <protection locked="true" hidden="false"/>
    </xf>
    <xf numFmtId="167" fontId="7" fillId="0" borderId="0" xfId="0" applyFont="true" applyBorder="false" applyAlignment="true" applyProtection="false">
      <alignment horizontal="right" vertical="bottom" textRotation="0" wrapText="false" indent="0" shrinkToFit="false"/>
      <protection locked="true" hidden="false"/>
    </xf>
    <xf numFmtId="168" fontId="45" fillId="0" borderId="0" xfId="0" applyFont="true" applyBorder="false" applyAlignment="true" applyProtection="false">
      <alignment horizontal="right" vertical="bottom" textRotation="0" wrapText="false" indent="0" shrinkToFit="false"/>
      <protection locked="true" hidden="false"/>
    </xf>
    <xf numFmtId="167" fontId="7" fillId="0" borderId="0" xfId="0" applyFont="true" applyBorder="false" applyAlignment="true" applyProtection="false">
      <alignment horizontal="general" vertical="bottom" textRotation="0" wrapText="false" indent="0" shrinkToFit="false"/>
      <protection locked="true" hidden="false"/>
    </xf>
    <xf numFmtId="168" fontId="7"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bottom" textRotation="0" wrapText="false" indent="0" shrinkToFit="false"/>
      <protection locked="true" hidden="false"/>
    </xf>
    <xf numFmtId="167" fontId="6" fillId="0" borderId="0" xfId="0" applyFont="true" applyBorder="false" applyAlignment="true" applyProtection="false">
      <alignment horizontal="general" vertical="bottom" textRotation="0" wrapText="false" indent="0" shrinkToFit="false"/>
      <protection locked="true" hidden="false"/>
    </xf>
    <xf numFmtId="168" fontId="45" fillId="0" borderId="0" xfId="0" applyFont="true" applyBorder="fals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center" vertical="bottom" textRotation="0" wrapText="false" indent="0" shrinkToFit="false"/>
      <protection locked="true" hidden="false"/>
    </xf>
    <xf numFmtId="170" fontId="13" fillId="0" borderId="1" xfId="0" applyFont="true" applyBorder="true" applyAlignment="true" applyProtection="false">
      <alignment horizontal="center" vertical="bottom" textRotation="0" wrapText="false" indent="0" shrinkToFit="false"/>
      <protection locked="true" hidden="false"/>
    </xf>
    <xf numFmtId="170" fontId="13" fillId="0" borderId="1" xfId="0" applyFont="true" applyBorder="true" applyAlignment="true" applyProtection="false">
      <alignment horizontal="general" vertical="bottom" textRotation="0" wrapText="false" indent="0" shrinkToFit="false"/>
      <protection locked="true" hidden="false"/>
    </xf>
    <xf numFmtId="170" fontId="39" fillId="0" borderId="0" xfId="0" applyFont="true" applyBorder="false" applyAlignment="true" applyProtection="false">
      <alignment horizontal="center" vertical="bottom" textRotation="0" wrapText="false" indent="0" shrinkToFit="false"/>
      <protection locked="true" hidden="false"/>
    </xf>
    <xf numFmtId="170" fontId="39" fillId="0" borderId="0" xfId="0" applyFont="true" applyBorder="false" applyAlignment="true" applyProtection="false">
      <alignment horizontal="general" vertical="bottom" textRotation="0" wrapText="false" indent="0" shrinkToFit="false"/>
      <protection locked="true" hidden="false"/>
    </xf>
    <xf numFmtId="164" fontId="39" fillId="0" borderId="0" xfId="0" applyFont="true" applyBorder="false" applyAlignment="true" applyProtection="false">
      <alignment horizontal="general" vertical="bottom" textRotation="0" wrapText="false" indent="0" shrinkToFit="false"/>
      <protection locked="true" hidden="false"/>
    </xf>
    <xf numFmtId="170" fontId="13" fillId="0" borderId="0" xfId="0" applyFont="true" applyBorder="false" applyAlignment="true" applyProtection="false">
      <alignment horizontal="center" vertical="bottom" textRotation="0" wrapText="false" indent="0" shrinkToFit="false"/>
      <protection locked="true" hidden="false"/>
    </xf>
    <xf numFmtId="170" fontId="13" fillId="0" borderId="0" xfId="0" applyFont="true" applyBorder="false" applyAlignment="true" applyProtection="false">
      <alignment horizontal="general" vertical="bottom" textRotation="0" wrapText="false" indent="0" shrinkToFit="false"/>
      <protection locked="true" hidden="false"/>
    </xf>
    <xf numFmtId="170" fontId="13" fillId="0" borderId="5"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6" fontId="13" fillId="2" borderId="1" xfId="0" applyFont="true" applyBorder="true" applyAlignment="true" applyProtection="false">
      <alignment horizontal="center" vertical="bottom" textRotation="0" wrapText="false" indent="0" shrinkToFit="false"/>
      <protection locked="true" hidden="false"/>
    </xf>
    <xf numFmtId="164" fontId="51"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dxfs count="1">
    <dxf>
      <fill>
        <patternFill>
          <bgColor rgb="FF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D9D9D9"/>
      <rgbColor rgb="FF000080"/>
      <rgbColor rgb="FFFF00FF"/>
      <rgbColor rgb="FFFCF305"/>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847800</xdr:colOff>
      <xdr:row>0</xdr:row>
      <xdr:rowOff>66600</xdr:rowOff>
    </xdr:from>
    <xdr:to>
      <xdr:col>15</xdr:col>
      <xdr:colOff>434520</xdr:colOff>
      <xdr:row>3</xdr:row>
      <xdr:rowOff>56520</xdr:rowOff>
    </xdr:to>
    <xdr:sp>
      <xdr:nvSpPr>
        <xdr:cNvPr id="0" name="CustomShape 1"/>
        <xdr:cNvSpPr/>
      </xdr:nvSpPr>
      <xdr:spPr>
        <a:xfrm>
          <a:off x="13883400" y="66600"/>
          <a:ext cx="2172600" cy="580320"/>
        </a:xfrm>
        <a:prstGeom prst="rect">
          <a:avLst/>
        </a:prstGeom>
        <a:noFill/>
        <a:ln>
          <a:noFill/>
        </a:ln>
      </xdr:spPr>
      <xdr:style>
        <a:lnRef idx="0"/>
        <a:fillRef idx="0"/>
        <a:effectRef idx="0"/>
        <a:fontRef idx="minor"/>
      </xdr:style>
      <xdr:txBody>
        <a:bodyPr lIns="90000" rIns="90000" tIns="45000" bIns="45000"/>
        <a:p>
          <a:pPr>
            <a:lnSpc>
              <a:spcPct val="100000"/>
            </a:lnSpc>
          </a:pPr>
          <a:r>
            <a:rPr b="0" lang="de-DE" sz="1100" spc="-1" strike="noStrike">
              <a:solidFill>
                <a:srgbClr val="ff0000"/>
              </a:solidFill>
              <a:latin typeface="Calibri"/>
              <a:ea typeface="Calibri"/>
            </a:rPr>
            <a:t>Check these revenues against</a:t>
          </a:r>
          <a:endParaRPr b="0" lang="de-DE" sz="1100" spc="-1" strike="noStrike">
            <a:latin typeface="Times New Roman"/>
          </a:endParaRPr>
        </a:p>
        <a:p>
          <a:pPr>
            <a:lnSpc>
              <a:spcPct val="100000"/>
            </a:lnSpc>
          </a:pPr>
          <a:r>
            <a:rPr b="0" lang="de-DE" sz="1100" spc="-1" strike="noStrike">
              <a:solidFill>
                <a:srgbClr val="ff0000"/>
              </a:solidFill>
              <a:latin typeface="Calibri"/>
              <a:ea typeface="Calibri"/>
            </a:rPr>
            <a:t>a. Overall market size</a:t>
          </a:r>
          <a:endParaRPr b="0" lang="de-DE" sz="1100" spc="-1" strike="noStrike">
            <a:latin typeface="Times New Roman"/>
          </a:endParaRPr>
        </a:p>
        <a:p>
          <a:pPr>
            <a:lnSpc>
              <a:spcPct val="100000"/>
            </a:lnSpc>
          </a:pPr>
          <a:r>
            <a:rPr b="0" lang="de-DE" sz="1100" spc="-1" strike="noStrike">
              <a:solidFill>
                <a:srgbClr val="ff0000"/>
              </a:solidFill>
              <a:latin typeface="Calibri"/>
              <a:ea typeface="Calibri"/>
            </a:rPr>
            <a:t>b. Largest companies in this market</a:t>
          </a:r>
          <a:endParaRPr b="0" lang="de-DE" sz="1100" spc="-1" strike="noStrike">
            <a:latin typeface="Times New Roman"/>
          </a:endParaRPr>
        </a:p>
      </xdr:txBody>
    </xdr:sp>
    <xdr:clientData/>
  </xdr:twoCellAnchor>
  <xdr:twoCellAnchor editAs="oneCell">
    <xdr:from>
      <xdr:col>10</xdr:col>
      <xdr:colOff>561960</xdr:colOff>
      <xdr:row>41</xdr:row>
      <xdr:rowOff>28440</xdr:rowOff>
    </xdr:from>
    <xdr:to>
      <xdr:col>16</xdr:col>
      <xdr:colOff>212400</xdr:colOff>
      <xdr:row>44</xdr:row>
      <xdr:rowOff>160920</xdr:rowOff>
    </xdr:to>
    <xdr:sp>
      <xdr:nvSpPr>
        <xdr:cNvPr id="1" name="CustomShape 1"/>
        <xdr:cNvSpPr/>
      </xdr:nvSpPr>
      <xdr:spPr>
        <a:xfrm>
          <a:off x="11530080" y="8086320"/>
          <a:ext cx="4934880" cy="732600"/>
        </a:xfrm>
        <a:prstGeom prst="rect">
          <a:avLst/>
        </a:prstGeom>
        <a:noFill/>
        <a:ln>
          <a:noFill/>
        </a:ln>
      </xdr:spPr>
      <xdr:style>
        <a:lnRef idx="0"/>
        <a:fillRef idx="0"/>
        <a:effectRef idx="0"/>
        <a:fontRef idx="minor"/>
      </xdr:style>
      <xdr:txBody>
        <a:bodyPr lIns="90000" rIns="90000" tIns="45000" bIns="45000"/>
        <a:p>
          <a:pPr>
            <a:lnSpc>
              <a:spcPct val="100000"/>
            </a:lnSpc>
          </a:pPr>
          <a:r>
            <a:rPr b="0" lang="de-DE" sz="1100" spc="-1" strike="noStrike">
              <a:solidFill>
                <a:srgbClr val="ff0000"/>
              </a:solidFill>
              <a:latin typeface="Calibri"/>
              <a:ea typeface="Calibri"/>
            </a:rPr>
            <a:t>Compare this return on capital in year 10 against</a:t>
          </a:r>
          <a:endParaRPr b="0" lang="de-DE" sz="1100" spc="-1" strike="noStrike">
            <a:latin typeface="Times New Roman"/>
          </a:endParaRPr>
        </a:p>
        <a:p>
          <a:pPr>
            <a:lnSpc>
              <a:spcPct val="100000"/>
            </a:lnSpc>
          </a:pPr>
          <a:r>
            <a:rPr b="0" lang="de-DE" sz="1100" spc="-1" strike="noStrike">
              <a:solidFill>
                <a:srgbClr val="ff0000"/>
              </a:solidFill>
              <a:latin typeface="Calibri"/>
              <a:ea typeface="Calibri"/>
            </a:rPr>
            <a:t>a.  the industry average(column E of worksheet)</a:t>
          </a:r>
          <a:endParaRPr b="0" lang="de-DE" sz="1100" spc="-1" strike="noStrike">
            <a:latin typeface="Times New Roman"/>
          </a:endParaRPr>
        </a:p>
        <a:p>
          <a:pPr>
            <a:lnSpc>
              <a:spcPct val="100000"/>
            </a:lnSpc>
          </a:pPr>
          <a:r>
            <a:rPr b="0" lang="de-DE" sz="1100" spc="-1" strike="noStrike">
              <a:solidFill>
                <a:srgbClr val="ff0000"/>
              </a:solidFill>
              <a:latin typeface="Calibri"/>
              <a:ea typeface="Calibri"/>
            </a:rPr>
            <a:t>b. the return on capital after year 10</a:t>
          </a:r>
          <a:endParaRPr b="0" lang="de-DE" sz="1100" spc="-1" strike="noStrike">
            <a:latin typeface="Times New Roman"/>
          </a:endParaRPr>
        </a:p>
        <a:p>
          <a:pPr>
            <a:lnSpc>
              <a:spcPct val="100000"/>
            </a:lnSpc>
          </a:pPr>
          <a:r>
            <a:rPr b="0" lang="de-DE" sz="1100" spc="-1" strike="noStrike">
              <a:solidFill>
                <a:srgbClr val="ff0000"/>
              </a:solidFill>
              <a:latin typeface="Calibri"/>
              <a:ea typeface="Calibri"/>
            </a:rPr>
            <a:t>If it is too high (low), you may want to lower  (raise) your sales to capital ratio</a:t>
          </a:r>
          <a:endParaRPr b="0" lang="de-DE" sz="1100" spc="-1" strike="noStrike">
            <a:latin typeface="Times New Roman"/>
          </a:endParaRPr>
        </a:p>
      </xdr:txBody>
    </xdr:sp>
    <xdr:clientData/>
  </xdr:twoCellAnchor>
  <xdr:twoCellAnchor editAs="oneCell">
    <xdr:from>
      <xdr:col>14</xdr:col>
      <xdr:colOff>19080</xdr:colOff>
      <xdr:row>6</xdr:row>
      <xdr:rowOff>133200</xdr:rowOff>
    </xdr:from>
    <xdr:to>
      <xdr:col>16</xdr:col>
      <xdr:colOff>509760</xdr:colOff>
      <xdr:row>9</xdr:row>
      <xdr:rowOff>141840</xdr:rowOff>
    </xdr:to>
    <xdr:sp>
      <xdr:nvSpPr>
        <xdr:cNvPr id="2" name="CustomShape 1"/>
        <xdr:cNvSpPr/>
      </xdr:nvSpPr>
      <xdr:spPr>
        <a:xfrm>
          <a:off x="15009480" y="1294920"/>
          <a:ext cx="1752840" cy="580320"/>
        </a:xfrm>
        <a:prstGeom prst="rect">
          <a:avLst/>
        </a:prstGeom>
        <a:noFill/>
        <a:ln>
          <a:noFill/>
        </a:ln>
      </xdr:spPr>
      <xdr:style>
        <a:lnRef idx="0"/>
        <a:fillRef idx="0"/>
        <a:effectRef idx="0"/>
        <a:fontRef idx="minor"/>
      </xdr:style>
      <xdr:txBody>
        <a:bodyPr lIns="90000" rIns="90000" tIns="45000" bIns="45000"/>
        <a:p>
          <a:pPr>
            <a:lnSpc>
              <a:spcPct val="100000"/>
            </a:lnSpc>
          </a:pPr>
          <a:r>
            <a:rPr b="0" lang="de-DE" sz="1100" spc="-1" strike="noStrike">
              <a:solidFill>
                <a:srgbClr val="ff0000"/>
              </a:solidFill>
              <a:latin typeface="Calibri"/>
              <a:ea typeface="Calibri"/>
            </a:rPr>
            <a:t>This is how much capital you invested over the ten year period. </a:t>
          </a:r>
          <a:endParaRPr b="0" lang="de-DE" sz="1100" spc="-1" strike="noStrike">
            <a:latin typeface="Times New Roman"/>
          </a:endParaRPr>
        </a:p>
      </xdr:txBody>
    </xdr:sp>
    <xdr:clientData/>
  </xdr:twoCellAnchor>
  <xdr:twoCellAnchor editAs="oneCell">
    <xdr:from>
      <xdr:col>14</xdr:col>
      <xdr:colOff>0</xdr:colOff>
      <xdr:row>3</xdr:row>
      <xdr:rowOff>133200</xdr:rowOff>
    </xdr:from>
    <xdr:to>
      <xdr:col>17</xdr:col>
      <xdr:colOff>441360</xdr:colOff>
      <xdr:row>5</xdr:row>
      <xdr:rowOff>170640</xdr:rowOff>
    </xdr:to>
    <xdr:sp>
      <xdr:nvSpPr>
        <xdr:cNvPr id="3" name="CustomShape 1"/>
        <xdr:cNvSpPr/>
      </xdr:nvSpPr>
      <xdr:spPr>
        <a:xfrm>
          <a:off x="14990400" y="723600"/>
          <a:ext cx="2334960" cy="418320"/>
        </a:xfrm>
        <a:prstGeom prst="rect">
          <a:avLst/>
        </a:prstGeom>
        <a:noFill/>
        <a:ln>
          <a:noFill/>
        </a:ln>
      </xdr:spPr>
      <xdr:style>
        <a:lnRef idx="0"/>
        <a:fillRef idx="0"/>
        <a:effectRef idx="0"/>
        <a:fontRef idx="minor"/>
      </xdr:style>
      <xdr:txBody>
        <a:bodyPr lIns="90000" rIns="90000" tIns="45000" bIns="45000"/>
        <a:p>
          <a:pPr>
            <a:lnSpc>
              <a:spcPct val="100000"/>
            </a:lnSpc>
          </a:pPr>
          <a:r>
            <a:rPr b="0" lang="de-DE" sz="1100" spc="-1" strike="noStrike">
              <a:solidFill>
                <a:srgbClr val="ff0000"/>
              </a:solidFill>
              <a:latin typeface="Calibri"/>
              <a:ea typeface="Calibri"/>
            </a:rPr>
            <a:t>This is is how much your operating income grew over the ten-year period.</a:t>
          </a:r>
          <a:endParaRPr b="0" lang="de-DE" sz="1100" spc="-1" strike="noStrike">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1047600</xdr:colOff>
      <xdr:row>9</xdr:row>
      <xdr:rowOff>66600</xdr:rowOff>
    </xdr:from>
    <xdr:to>
      <xdr:col>4</xdr:col>
      <xdr:colOff>86040</xdr:colOff>
      <xdr:row>9</xdr:row>
      <xdr:rowOff>104040</xdr:rowOff>
    </xdr:to>
    <xdr:sp>
      <xdr:nvSpPr>
        <xdr:cNvPr id="4" name="CustomShape 1"/>
        <xdr:cNvSpPr/>
      </xdr:nvSpPr>
      <xdr:spPr>
        <a:xfrm>
          <a:off x="4728600" y="1771560"/>
          <a:ext cx="237240" cy="37440"/>
        </a:xfrm>
        <a:custGeom>
          <a:avLst/>
          <a:gdLst/>
          <a:ahLst/>
          <a:rect l="l" t="t" r="r" b="b"/>
          <a:pathLst>
            <a:path w="21600" h="21600">
              <a:moveTo>
                <a:pt x="0" y="0"/>
              </a:moveTo>
              <a:lnTo>
                <a:pt x="21600" y="21600"/>
              </a:lnTo>
            </a:path>
          </a:pathLst>
        </a:custGeom>
        <a:noFill/>
        <a:ln w="25560">
          <a:solidFill>
            <a:srgbClr val="4f81bd"/>
          </a:solidFill>
          <a:round/>
          <a:tailEnd len="med" type="triangle" w="med"/>
        </a:ln>
        <a:effectLst>
          <a:outerShdw blurRad="40000" dir="5400000" dist="20000" rotWithShape="0">
            <a:srgbClr val="808080">
              <a:alpha val="38000"/>
            </a:srgbClr>
          </a:outerShdw>
        </a:effectLst>
      </xdr:spPr>
      <xdr:style>
        <a:lnRef idx="0"/>
        <a:fillRef idx="0"/>
        <a:effectRef idx="0"/>
        <a:fontRef idx="minor"/>
      </xdr:style>
    </xdr:sp>
    <xdr:clientData/>
  </xdr:twoCellAnchor>
  <xdr:twoCellAnchor editAs="oneCell">
    <xdr:from>
      <xdr:col>3</xdr:col>
      <xdr:colOff>1057320</xdr:colOff>
      <xdr:row>10</xdr:row>
      <xdr:rowOff>85680</xdr:rowOff>
    </xdr:from>
    <xdr:to>
      <xdr:col>4</xdr:col>
      <xdr:colOff>114840</xdr:colOff>
      <xdr:row>10</xdr:row>
      <xdr:rowOff>123120</xdr:rowOff>
    </xdr:to>
    <xdr:sp>
      <xdr:nvSpPr>
        <xdr:cNvPr id="5" name="CustomShape 1"/>
        <xdr:cNvSpPr/>
      </xdr:nvSpPr>
      <xdr:spPr>
        <a:xfrm>
          <a:off x="4738320" y="1990440"/>
          <a:ext cx="256320" cy="37440"/>
        </a:xfrm>
        <a:custGeom>
          <a:avLst/>
          <a:gdLst/>
          <a:ahLst/>
          <a:rect l="l" t="t" r="r" b="b"/>
          <a:pathLst>
            <a:path w="21600" h="21600">
              <a:moveTo>
                <a:pt x="0" y="0"/>
              </a:moveTo>
              <a:lnTo>
                <a:pt x="21600" y="21600"/>
              </a:lnTo>
            </a:path>
          </a:pathLst>
        </a:custGeom>
        <a:noFill/>
        <a:ln w="25560">
          <a:solidFill>
            <a:srgbClr val="4f81bd"/>
          </a:solidFill>
          <a:round/>
          <a:tailEnd len="med" type="triangle" w="med"/>
        </a:ln>
        <a:effectLst>
          <a:outerShdw blurRad="40000" dir="5400000" dist="20000" rotWithShape="0">
            <a:srgbClr val="808080">
              <a:alpha val="38000"/>
            </a:srgbClr>
          </a:outerShdw>
        </a:effectLst>
      </xdr:spPr>
      <xdr:style>
        <a:lnRef idx="0"/>
        <a:fillRef idx="0"/>
        <a:effectRef idx="0"/>
        <a:fontRef idx="minor"/>
      </xdr:style>
    </xdr:sp>
    <xdr:clientData/>
  </xdr:twoCellAnchor>
  <xdr:twoCellAnchor editAs="oneCell">
    <xdr:from>
      <xdr:col>3</xdr:col>
      <xdr:colOff>1057320</xdr:colOff>
      <xdr:row>13</xdr:row>
      <xdr:rowOff>57240</xdr:rowOff>
    </xdr:from>
    <xdr:to>
      <xdr:col>4</xdr:col>
      <xdr:colOff>276840</xdr:colOff>
      <xdr:row>13</xdr:row>
      <xdr:rowOff>94680</xdr:rowOff>
    </xdr:to>
    <xdr:sp>
      <xdr:nvSpPr>
        <xdr:cNvPr id="6" name="CustomShape 1"/>
        <xdr:cNvSpPr/>
      </xdr:nvSpPr>
      <xdr:spPr>
        <a:xfrm>
          <a:off x="4738320" y="2562120"/>
          <a:ext cx="418320" cy="37440"/>
        </a:xfrm>
        <a:custGeom>
          <a:avLst/>
          <a:gdLst/>
          <a:ahLst/>
          <a:rect l="l" t="t" r="r" b="b"/>
          <a:pathLst>
            <a:path w="21600" h="21600">
              <a:moveTo>
                <a:pt x="0" y="0"/>
              </a:moveTo>
              <a:lnTo>
                <a:pt x="21600" y="0"/>
              </a:lnTo>
            </a:path>
          </a:pathLst>
        </a:custGeom>
        <a:noFill/>
        <a:ln w="25560">
          <a:solidFill>
            <a:srgbClr val="4f81bd"/>
          </a:solidFill>
          <a:round/>
          <a:tailEnd len="med" type="triangle" w="med"/>
        </a:ln>
        <a:effectLst>
          <a:outerShdw blurRad="40000" dir="5400000" dist="20000" rotWithShape="0">
            <a:srgbClr val="808080">
              <a:alpha val="38000"/>
            </a:srgbClr>
          </a:outerShdw>
        </a:effectLst>
      </xdr:spPr>
      <xdr:style>
        <a:lnRef idx="0"/>
        <a:fillRef idx="0"/>
        <a:effectRef idx="0"/>
        <a:fontRef idx="minor"/>
      </xdr:style>
    </xdr:sp>
    <xdr:clientData/>
  </xdr:twoCellAnchor>
  <xdr:twoCellAnchor editAs="oneCell">
    <xdr:from>
      <xdr:col>3</xdr:col>
      <xdr:colOff>990720</xdr:colOff>
      <xdr:row>8</xdr:row>
      <xdr:rowOff>85680</xdr:rowOff>
    </xdr:from>
    <xdr:to>
      <xdr:col>4</xdr:col>
      <xdr:colOff>86400</xdr:colOff>
      <xdr:row>8</xdr:row>
      <xdr:rowOff>123120</xdr:rowOff>
    </xdr:to>
    <xdr:sp>
      <xdr:nvSpPr>
        <xdr:cNvPr id="7" name="CustomShape 1"/>
        <xdr:cNvSpPr/>
      </xdr:nvSpPr>
      <xdr:spPr>
        <a:xfrm>
          <a:off x="4671720" y="1590480"/>
          <a:ext cx="294480" cy="37440"/>
        </a:xfrm>
        <a:custGeom>
          <a:avLst/>
          <a:gdLst/>
          <a:ahLst/>
          <a:rect l="l" t="t" r="r" b="b"/>
          <a:pathLst>
            <a:path w="21600" h="21600">
              <a:moveTo>
                <a:pt x="0" y="0"/>
              </a:moveTo>
              <a:lnTo>
                <a:pt x="21600" y="21600"/>
              </a:lnTo>
            </a:path>
          </a:pathLst>
        </a:custGeom>
        <a:noFill/>
        <a:ln w="25560">
          <a:solidFill>
            <a:srgbClr val="4f81bd"/>
          </a:solidFill>
          <a:round/>
          <a:tailEnd len="med" type="triangle" w="med"/>
        </a:ln>
        <a:effectLst>
          <a:outerShdw blurRad="40000" dir="5400000" dist="20000" rotWithShape="0">
            <a:srgbClr val="808080">
              <a:alpha val="38000"/>
            </a:srgbClr>
          </a:outerShdw>
        </a:effectLst>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vmlDrawing" Target="../drawings/vmlDrawing4.vml"/>
</Relationships>
</file>

<file path=xl/worksheets/_rels/sheet11.xml.rels><?xml version="1.0" encoding="UTF-8"?>
<Relationships xmlns="http://schemas.openxmlformats.org/package/2006/relationships"><Relationship Id="rId1" Type="http://schemas.openxmlformats.org/officeDocument/2006/relationships/comments" Target="../comments11.xml"/><Relationship Id="rId2" Type="http://schemas.openxmlformats.org/officeDocument/2006/relationships/vmlDrawing" Target="../drawings/vmlDrawing5.v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2.vml"/>
</Relationships>
</file>

<file path=xl/worksheets/_rels/sheet8.xml.rels><?xml version="1.0" encoding="UTF-8"?>
<Relationships xmlns="http://schemas.openxmlformats.org/package/2006/relationships"><Relationship Id="rId1" Type="http://schemas.openxmlformats.org/officeDocument/2006/relationships/comments" Target="../comments8.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67"/>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B24" activeCellId="0" sqref="B24"/>
    </sheetView>
  </sheetViews>
  <sheetFormatPr defaultRowHeight="15" zeroHeight="false" outlineLevelRow="0" outlineLevelCol="0"/>
  <cols>
    <col collapsed="false" customWidth="true" hidden="false" outlineLevel="0" max="1" min="1" style="0" width="49.71"/>
    <col collapsed="false" customWidth="true" hidden="false" outlineLevel="0" max="2" min="2" style="0" width="26.43"/>
    <col collapsed="false" customWidth="true" hidden="false" outlineLevel="0" max="3" min="3" style="0" width="17"/>
    <col collapsed="false" customWidth="true" hidden="false" outlineLevel="0" max="4" min="4" style="0" width="16.71"/>
    <col collapsed="false" customWidth="true" hidden="false" outlineLevel="0" max="7" min="5" style="0" width="10.87"/>
    <col collapsed="false" customWidth="true" hidden="false" outlineLevel="0" max="8" min="8" style="0" width="11"/>
    <col collapsed="false" customWidth="true" hidden="false" outlineLevel="0" max="9" min="9" style="0" width="13.59"/>
    <col collapsed="false" customWidth="true" hidden="false" outlineLevel="0" max="10" min="10" style="0" width="15"/>
    <col collapsed="false" customWidth="true" hidden="false" outlineLevel="0" max="11" min="11" style="0" width="17.43"/>
    <col collapsed="false" customWidth="true" hidden="false" outlineLevel="0" max="14" min="12" style="0" width="10.87"/>
    <col collapsed="false" customWidth="true" hidden="false" outlineLevel="0" max="26" min="15" style="0" width="8.72"/>
    <col collapsed="false" customWidth="true" hidden="false" outlineLevel="0" max="1025" min="27" style="0" width="14.43"/>
  </cols>
  <sheetData>
    <row r="1" customFormat="false" ht="12" hidden="false" customHeight="true" outlineLevel="0" collapsed="false">
      <c r="A1" s="1" t="s">
        <v>0</v>
      </c>
      <c r="B1" s="2" t="n">
        <v>44870</v>
      </c>
      <c r="C1" s="3" t="s">
        <v>1</v>
      </c>
      <c r="D1" s="4"/>
      <c r="E1" s="4"/>
      <c r="F1" s="4"/>
      <c r="G1" s="4"/>
      <c r="H1" s="4"/>
      <c r="I1" s="4"/>
      <c r="J1" s="5"/>
      <c r="K1" s="6"/>
      <c r="L1" s="6"/>
      <c r="M1" s="6"/>
      <c r="N1" s="6"/>
      <c r="O1" s="6"/>
      <c r="P1" s="6"/>
      <c r="Q1" s="6"/>
      <c r="R1" s="6"/>
      <c r="S1" s="6"/>
      <c r="T1" s="6"/>
      <c r="U1" s="6"/>
      <c r="V1" s="6"/>
      <c r="W1" s="6"/>
      <c r="X1" s="6"/>
      <c r="Y1" s="6"/>
      <c r="Z1" s="6"/>
    </row>
    <row r="2" customFormat="false" ht="12" hidden="false" customHeight="true" outlineLevel="0" collapsed="false">
      <c r="A2" s="7" t="s">
        <v>2</v>
      </c>
      <c r="B2" s="8" t="s">
        <v>3</v>
      </c>
      <c r="C2" s="9" t="s">
        <v>4</v>
      </c>
      <c r="D2" s="10"/>
      <c r="E2" s="10"/>
      <c r="F2" s="10"/>
      <c r="G2" s="10"/>
      <c r="H2" s="10"/>
      <c r="I2" s="10"/>
      <c r="J2" s="11"/>
      <c r="K2" s="10"/>
      <c r="L2" s="10"/>
      <c r="M2" s="10"/>
      <c r="N2" s="10"/>
      <c r="O2" s="10"/>
      <c r="P2" s="10"/>
      <c r="Q2" s="10"/>
      <c r="R2" s="10"/>
      <c r="S2" s="10"/>
      <c r="T2" s="10"/>
      <c r="U2" s="10"/>
      <c r="V2" s="10"/>
      <c r="W2" s="10"/>
      <c r="X2" s="10"/>
      <c r="Y2" s="10"/>
      <c r="Z2" s="10"/>
    </row>
    <row r="3" customFormat="false" ht="12" hidden="false" customHeight="true" outlineLevel="0" collapsed="false">
      <c r="A3" s="12" t="s">
        <v>5</v>
      </c>
      <c r="B3" s="12"/>
      <c r="C3" s="12"/>
      <c r="D3" s="12"/>
      <c r="E3" s="12"/>
      <c r="F3" s="12"/>
      <c r="G3" s="12"/>
      <c r="H3" s="12"/>
      <c r="I3" s="12"/>
      <c r="J3" s="12"/>
      <c r="K3" s="10"/>
      <c r="L3" s="10"/>
      <c r="M3" s="10"/>
      <c r="N3" s="10"/>
      <c r="O3" s="10"/>
      <c r="P3" s="10"/>
      <c r="Q3" s="10"/>
      <c r="R3" s="10"/>
      <c r="S3" s="10"/>
      <c r="T3" s="10"/>
      <c r="U3" s="10"/>
      <c r="V3" s="10"/>
      <c r="W3" s="10"/>
      <c r="X3" s="10"/>
      <c r="Y3" s="10"/>
      <c r="Z3" s="10"/>
    </row>
    <row r="4" customFormat="false" ht="12" hidden="false" customHeight="true" outlineLevel="0" collapsed="false">
      <c r="A4" s="7"/>
      <c r="B4" s="7" t="s">
        <v>6</v>
      </c>
      <c r="C4" s="7" t="s">
        <v>7</v>
      </c>
      <c r="D4" s="10"/>
      <c r="E4" s="10"/>
      <c r="F4" s="10"/>
      <c r="G4" s="10"/>
      <c r="H4" s="10"/>
      <c r="I4" s="10"/>
      <c r="J4" s="10"/>
      <c r="K4" s="10"/>
      <c r="L4" s="10"/>
      <c r="M4" s="10"/>
      <c r="N4" s="10"/>
      <c r="O4" s="10"/>
      <c r="P4" s="10"/>
      <c r="Q4" s="10"/>
      <c r="R4" s="10"/>
      <c r="S4" s="10"/>
      <c r="T4" s="10"/>
      <c r="U4" s="10"/>
      <c r="V4" s="10"/>
      <c r="W4" s="10"/>
      <c r="X4" s="10"/>
      <c r="Y4" s="10"/>
      <c r="Z4" s="10"/>
    </row>
    <row r="5" customFormat="false" ht="12" hidden="false" customHeight="true" outlineLevel="0" collapsed="false">
      <c r="A5" s="10" t="s">
        <v>8</v>
      </c>
      <c r="B5" s="13" t="s">
        <v>9</v>
      </c>
      <c r="C5" s="7"/>
      <c r="D5" s="10"/>
      <c r="E5" s="10"/>
      <c r="F5" s="10"/>
      <c r="G5" s="10"/>
      <c r="H5" s="10"/>
      <c r="I5" s="10"/>
      <c r="J5" s="10"/>
      <c r="K5" s="10"/>
      <c r="L5" s="10"/>
      <c r="M5" s="10"/>
      <c r="N5" s="10"/>
      <c r="O5" s="10"/>
      <c r="P5" s="10"/>
      <c r="Q5" s="10"/>
      <c r="R5" s="10"/>
      <c r="S5" s="10"/>
      <c r="T5" s="10"/>
      <c r="U5" s="10"/>
      <c r="V5" s="10"/>
      <c r="W5" s="10"/>
      <c r="X5" s="10"/>
      <c r="Y5" s="10"/>
      <c r="Z5" s="10"/>
    </row>
    <row r="6" customFormat="false" ht="12" hidden="false" customHeight="true" outlineLevel="0" collapsed="false">
      <c r="A6" s="10" t="s">
        <v>10</v>
      </c>
      <c r="B6" s="13" t="s">
        <v>11</v>
      </c>
      <c r="C6" s="10"/>
      <c r="D6" s="10"/>
      <c r="E6" s="10"/>
      <c r="F6" s="10"/>
      <c r="G6" s="10"/>
      <c r="H6" s="10"/>
      <c r="I6" s="10"/>
      <c r="J6" s="10"/>
      <c r="K6" s="10"/>
      <c r="L6" s="10"/>
      <c r="M6" s="10"/>
      <c r="N6" s="10"/>
      <c r="O6" s="10"/>
      <c r="P6" s="10"/>
      <c r="Q6" s="10"/>
      <c r="R6" s="10"/>
      <c r="S6" s="10"/>
      <c r="T6" s="10"/>
      <c r="U6" s="10"/>
      <c r="V6" s="10"/>
      <c r="W6" s="10"/>
      <c r="X6" s="10"/>
      <c r="Y6" s="10"/>
      <c r="Z6" s="10"/>
    </row>
    <row r="7" customFormat="false" ht="12" hidden="false" customHeight="true" outlineLevel="0" collapsed="false">
      <c r="A7" s="10" t="s">
        <v>12</v>
      </c>
      <c r="B7" s="13" t="s">
        <v>11</v>
      </c>
      <c r="C7" s="14" t="s">
        <v>13</v>
      </c>
      <c r="D7" s="14" t="s">
        <v>14</v>
      </c>
      <c r="E7" s="10"/>
      <c r="F7" s="10"/>
      <c r="G7" s="10"/>
      <c r="H7" s="10"/>
      <c r="I7" s="10"/>
      <c r="J7" s="10"/>
      <c r="K7" s="10"/>
      <c r="L7" s="10"/>
      <c r="M7" s="10"/>
      <c r="N7" s="10"/>
      <c r="O7" s="10"/>
      <c r="P7" s="10"/>
      <c r="Q7" s="10"/>
      <c r="R7" s="10"/>
      <c r="S7" s="10"/>
      <c r="T7" s="10"/>
      <c r="U7" s="10"/>
      <c r="V7" s="10"/>
      <c r="W7" s="10"/>
      <c r="X7" s="10"/>
      <c r="Y7" s="10"/>
      <c r="Z7" s="10"/>
    </row>
    <row r="8" customFormat="false" ht="12" hidden="false" customHeight="true" outlineLevel="0" collapsed="false">
      <c r="A8" s="15" t="s">
        <v>15</v>
      </c>
      <c r="B8" s="16" t="n">
        <v>282113</v>
      </c>
      <c r="C8" s="16" t="n">
        <v>257637</v>
      </c>
      <c r="D8" s="13" t="n">
        <v>0.75</v>
      </c>
      <c r="E8" s="10"/>
      <c r="F8" s="10"/>
      <c r="G8" s="10"/>
      <c r="H8" s="10"/>
      <c r="I8" s="10"/>
      <c r="J8" s="10"/>
      <c r="K8" s="10"/>
      <c r="L8" s="10"/>
      <c r="M8" s="10"/>
      <c r="N8" s="10"/>
      <c r="O8" s="10"/>
      <c r="P8" s="10"/>
      <c r="Q8" s="10"/>
      <c r="R8" s="10"/>
      <c r="S8" s="10"/>
      <c r="T8" s="10"/>
      <c r="U8" s="10"/>
      <c r="V8" s="10"/>
      <c r="W8" s="10"/>
      <c r="X8" s="10"/>
      <c r="Y8" s="10"/>
      <c r="Z8" s="10"/>
    </row>
    <row r="9" customFormat="false" ht="12" hidden="false" customHeight="true" outlineLevel="0" collapsed="false">
      <c r="A9" s="15" t="s">
        <v>16</v>
      </c>
      <c r="B9" s="16" t="n">
        <v>78567</v>
      </c>
      <c r="C9" s="16" t="n">
        <v>78714</v>
      </c>
      <c r="D9" s="13" t="n">
        <v>0.75</v>
      </c>
      <c r="E9" s="10"/>
      <c r="F9" s="10"/>
      <c r="G9" s="10"/>
      <c r="H9" s="10"/>
      <c r="I9" s="10"/>
      <c r="J9" s="10"/>
      <c r="K9" s="10"/>
      <c r="L9" s="10"/>
      <c r="M9" s="10"/>
      <c r="N9" s="10"/>
      <c r="O9" s="10"/>
      <c r="P9" s="10"/>
      <c r="Q9" s="10"/>
      <c r="R9" s="10"/>
      <c r="S9" s="10"/>
      <c r="T9" s="10"/>
      <c r="U9" s="10"/>
      <c r="V9" s="10"/>
      <c r="W9" s="10"/>
      <c r="X9" s="10"/>
      <c r="Y9" s="10"/>
      <c r="Z9" s="10"/>
    </row>
    <row r="10" customFormat="false" ht="12" hidden="false" customHeight="true" outlineLevel="0" collapsed="false">
      <c r="A10" s="15" t="s">
        <v>17</v>
      </c>
      <c r="B10" s="16" t="n">
        <v>384</v>
      </c>
      <c r="C10" s="16" t="n">
        <v>346</v>
      </c>
      <c r="D10" s="17"/>
      <c r="E10" s="10"/>
      <c r="F10" s="10"/>
      <c r="G10" s="10"/>
      <c r="H10" s="10"/>
      <c r="I10" s="10"/>
      <c r="J10" s="10"/>
      <c r="K10" s="10"/>
      <c r="L10" s="10"/>
      <c r="M10" s="10"/>
      <c r="N10" s="10"/>
      <c r="O10" s="10"/>
      <c r="P10" s="10"/>
      <c r="Q10" s="10"/>
      <c r="R10" s="10"/>
      <c r="S10" s="10"/>
      <c r="T10" s="10"/>
      <c r="U10" s="10"/>
      <c r="V10" s="10"/>
      <c r="W10" s="10"/>
      <c r="X10" s="10"/>
      <c r="Y10" s="10"/>
      <c r="Z10" s="10"/>
    </row>
    <row r="11" customFormat="false" ht="12" hidden="false" customHeight="true" outlineLevel="0" collapsed="false">
      <c r="A11" s="15" t="s">
        <v>18</v>
      </c>
      <c r="B11" s="16" t="n">
        <v>253626</v>
      </c>
      <c r="C11" s="16" t="n">
        <v>251635</v>
      </c>
      <c r="D11" s="17"/>
      <c r="E11" s="10"/>
      <c r="F11" s="10"/>
      <c r="G11" s="10"/>
      <c r="H11" s="10"/>
      <c r="I11" s="10"/>
      <c r="J11" s="10"/>
      <c r="K11" s="10"/>
      <c r="L11" s="10"/>
      <c r="M11" s="10"/>
      <c r="N11" s="10"/>
      <c r="O11" s="10"/>
      <c r="P11" s="10"/>
      <c r="Q11" s="10"/>
      <c r="R11" s="10"/>
      <c r="S11" s="10"/>
      <c r="T11" s="10"/>
      <c r="U11" s="10"/>
      <c r="V11" s="10"/>
      <c r="W11" s="10"/>
      <c r="X11" s="10"/>
      <c r="Y11" s="10"/>
      <c r="Z11" s="10"/>
    </row>
    <row r="12" customFormat="false" ht="12" hidden="false" customHeight="true" outlineLevel="0" collapsed="false">
      <c r="A12" s="15" t="s">
        <v>19</v>
      </c>
      <c r="B12" s="16" t="n">
        <f aca="false">26637+2285</f>
        <v>28922</v>
      </c>
      <c r="C12" s="16" t="n">
        <f aca="false">2189+26206</f>
        <v>28395</v>
      </c>
      <c r="D12" s="17"/>
      <c r="E12" s="10"/>
      <c r="F12" s="10"/>
      <c r="G12" s="10"/>
      <c r="H12" s="10"/>
      <c r="I12" s="10"/>
      <c r="J12" s="10"/>
      <c r="K12" s="10"/>
      <c r="L12" s="10"/>
      <c r="M12" s="10"/>
      <c r="N12" s="10"/>
      <c r="O12" s="10"/>
      <c r="P12" s="10"/>
      <c r="Q12" s="10"/>
      <c r="R12" s="10"/>
      <c r="S12" s="10"/>
      <c r="T12" s="10"/>
      <c r="U12" s="10"/>
      <c r="V12" s="10"/>
      <c r="W12" s="10"/>
      <c r="X12" s="10"/>
      <c r="Y12" s="10"/>
      <c r="Z12" s="10"/>
    </row>
    <row r="13" customFormat="false" ht="12" hidden="false" customHeight="true" outlineLevel="0" collapsed="false">
      <c r="A13" s="15" t="s">
        <v>20</v>
      </c>
      <c r="B13" s="18" t="s">
        <v>21</v>
      </c>
      <c r="C13" s="19" t="s">
        <v>22</v>
      </c>
      <c r="D13" s="17"/>
      <c r="E13" s="10"/>
      <c r="F13" s="10"/>
      <c r="G13" s="10"/>
      <c r="H13" s="10"/>
      <c r="I13" s="10"/>
      <c r="J13" s="10"/>
      <c r="K13" s="10"/>
      <c r="L13" s="10"/>
      <c r="M13" s="10"/>
      <c r="N13" s="10"/>
      <c r="O13" s="10"/>
      <c r="P13" s="10"/>
      <c r="Q13" s="10"/>
      <c r="R13" s="10"/>
      <c r="S13" s="10"/>
      <c r="T13" s="10"/>
      <c r="U13" s="10"/>
      <c r="V13" s="10"/>
      <c r="W13" s="10"/>
      <c r="X13" s="10"/>
      <c r="Y13" s="10"/>
      <c r="Z13" s="10"/>
    </row>
    <row r="14" customFormat="false" ht="12" hidden="false" customHeight="true" outlineLevel="0" collapsed="false">
      <c r="A14" s="15" t="s">
        <v>23</v>
      </c>
      <c r="B14" s="16" t="s">
        <v>24</v>
      </c>
      <c r="C14" s="17" t="s">
        <v>25</v>
      </c>
      <c r="D14" s="17"/>
      <c r="E14" s="10"/>
      <c r="F14" s="10"/>
      <c r="G14" s="10"/>
      <c r="H14" s="10"/>
      <c r="I14" s="10"/>
      <c r="J14" s="10"/>
      <c r="K14" s="10"/>
      <c r="L14" s="10"/>
      <c r="M14" s="10"/>
      <c r="N14" s="10"/>
      <c r="O14" s="10"/>
      <c r="P14" s="10"/>
      <c r="Q14" s="10"/>
      <c r="R14" s="10"/>
      <c r="S14" s="10"/>
      <c r="T14" s="10"/>
      <c r="U14" s="10"/>
      <c r="V14" s="10"/>
      <c r="W14" s="10"/>
      <c r="X14" s="10"/>
      <c r="Y14" s="10"/>
      <c r="Z14" s="10"/>
    </row>
    <row r="15" customFormat="false" ht="12" hidden="false" customHeight="true" outlineLevel="0" collapsed="false">
      <c r="A15" s="15" t="s">
        <v>26</v>
      </c>
      <c r="B15" s="16" t="n">
        <f aca="false">21984+116259</f>
        <v>138243</v>
      </c>
      <c r="C15" s="16" t="n">
        <f aca="false">20945+118704</f>
        <v>139649</v>
      </c>
      <c r="D15" s="17"/>
      <c r="E15" s="10"/>
      <c r="F15" s="10"/>
      <c r="G15" s="10"/>
      <c r="H15" s="10"/>
      <c r="I15" s="10"/>
      <c r="J15" s="10"/>
      <c r="K15" s="10"/>
      <c r="L15" s="10"/>
      <c r="M15" s="10"/>
      <c r="N15" s="10"/>
      <c r="O15" s="10"/>
      <c r="P15" s="10"/>
      <c r="Q15" s="10"/>
      <c r="R15" s="10"/>
      <c r="S15" s="10"/>
      <c r="T15" s="10"/>
      <c r="U15" s="10"/>
      <c r="V15" s="10"/>
      <c r="W15" s="10"/>
      <c r="X15" s="10"/>
      <c r="Y15" s="10"/>
      <c r="Z15" s="10"/>
    </row>
    <row r="16" customFormat="false" ht="12" hidden="false" customHeight="true" outlineLevel="0" collapsed="false">
      <c r="A16" s="15" t="s">
        <v>27</v>
      </c>
      <c r="B16" s="20" t="n">
        <v>0</v>
      </c>
      <c r="C16" s="16" t="n">
        <v>0</v>
      </c>
      <c r="D16" s="17"/>
      <c r="E16" s="10"/>
      <c r="F16" s="10"/>
      <c r="G16" s="10"/>
      <c r="H16" s="10"/>
      <c r="I16" s="10"/>
      <c r="J16" s="10"/>
      <c r="K16" s="10"/>
      <c r="L16" s="10"/>
      <c r="M16" s="10"/>
      <c r="N16" s="10"/>
      <c r="O16" s="10"/>
      <c r="P16" s="10"/>
      <c r="Q16" s="10"/>
      <c r="R16" s="10"/>
      <c r="S16" s="10"/>
      <c r="T16" s="10"/>
      <c r="U16" s="10"/>
      <c r="V16" s="10"/>
      <c r="W16" s="10"/>
      <c r="X16" s="10"/>
      <c r="Y16" s="10"/>
      <c r="Z16" s="10"/>
    </row>
    <row r="17" customFormat="false" ht="12" hidden="false" customHeight="true" outlineLevel="0" collapsed="false">
      <c r="A17" s="15" t="s">
        <v>28</v>
      </c>
      <c r="B17" s="20" t="n">
        <v>0</v>
      </c>
      <c r="C17" s="16" t="n">
        <v>0</v>
      </c>
      <c r="D17" s="17"/>
      <c r="E17" s="10"/>
      <c r="F17" s="10"/>
      <c r="G17" s="10"/>
      <c r="H17" s="10"/>
      <c r="I17" s="10"/>
      <c r="J17" s="10"/>
      <c r="K17" s="10"/>
      <c r="L17" s="10"/>
      <c r="M17" s="10"/>
      <c r="N17" s="10"/>
      <c r="O17" s="10"/>
      <c r="P17" s="10"/>
      <c r="Q17" s="10"/>
      <c r="R17" s="10"/>
      <c r="S17" s="10"/>
      <c r="T17" s="10"/>
      <c r="U17" s="10"/>
      <c r="V17" s="10"/>
      <c r="W17" s="10"/>
      <c r="X17" s="10"/>
      <c r="Y17" s="10"/>
      <c r="Z17" s="10"/>
    </row>
    <row r="18" customFormat="false" ht="12" hidden="false" customHeight="true" outlineLevel="0" collapsed="false">
      <c r="A18" s="15" t="s">
        <v>29</v>
      </c>
      <c r="B18" s="21" t="n">
        <v>12943</v>
      </c>
      <c r="C18" s="17"/>
      <c r="D18" s="10"/>
      <c r="E18" s="10"/>
      <c r="F18" s="10"/>
      <c r="G18" s="10"/>
      <c r="H18" s="10"/>
      <c r="I18" s="10"/>
      <c r="J18" s="10"/>
      <c r="K18" s="10"/>
      <c r="L18" s="10"/>
      <c r="M18" s="10"/>
      <c r="N18" s="10"/>
      <c r="O18" s="10"/>
      <c r="P18" s="10"/>
      <c r="Q18" s="10"/>
      <c r="R18" s="10"/>
      <c r="S18" s="10"/>
      <c r="T18" s="10"/>
      <c r="U18" s="10"/>
      <c r="V18" s="10"/>
      <c r="W18" s="10"/>
      <c r="X18" s="10"/>
      <c r="Y18" s="10"/>
      <c r="Z18" s="10"/>
    </row>
    <row r="19" customFormat="false" ht="12" hidden="false" customHeight="true" outlineLevel="0" collapsed="false">
      <c r="A19" s="15" t="s">
        <v>30</v>
      </c>
      <c r="B19" s="16" t="n">
        <v>86.7</v>
      </c>
      <c r="C19" s="17"/>
      <c r="D19" s="10"/>
      <c r="E19" s="22" t="s">
        <v>31</v>
      </c>
      <c r="F19" s="23"/>
      <c r="G19" s="23"/>
      <c r="H19" s="23"/>
      <c r="I19" s="23"/>
      <c r="J19" s="23"/>
      <c r="K19" s="24"/>
      <c r="L19" s="10"/>
      <c r="M19" s="10"/>
      <c r="N19" s="10"/>
      <c r="O19" s="10"/>
      <c r="P19" s="10"/>
      <c r="Q19" s="10"/>
      <c r="R19" s="10"/>
      <c r="S19" s="10"/>
      <c r="T19" s="10"/>
      <c r="U19" s="10"/>
      <c r="V19" s="10"/>
      <c r="W19" s="10"/>
      <c r="X19" s="10"/>
      <c r="Y19" s="10"/>
      <c r="Z19" s="10"/>
    </row>
    <row r="20" customFormat="false" ht="12" hidden="false" customHeight="true" outlineLevel="0" collapsed="false">
      <c r="A20" s="10" t="s">
        <v>32</v>
      </c>
      <c r="B20" s="25" t="n">
        <v>0.145</v>
      </c>
      <c r="C20" s="17"/>
      <c r="D20" s="10"/>
      <c r="E20" s="26" t="s">
        <v>33</v>
      </c>
      <c r="F20" s="10"/>
      <c r="G20" s="10"/>
      <c r="H20" s="10"/>
      <c r="I20" s="10"/>
      <c r="J20" s="10"/>
      <c r="K20" s="27"/>
      <c r="L20" s="10"/>
      <c r="M20" s="10"/>
      <c r="N20" s="10"/>
      <c r="O20" s="10"/>
      <c r="P20" s="10"/>
      <c r="Q20" s="10"/>
      <c r="R20" s="10"/>
      <c r="S20" s="10"/>
      <c r="T20" s="10"/>
      <c r="U20" s="10"/>
      <c r="V20" s="10"/>
      <c r="W20" s="10"/>
      <c r="X20" s="10"/>
      <c r="Y20" s="10"/>
      <c r="Z20" s="10"/>
    </row>
    <row r="21" customFormat="false" ht="12" hidden="false" customHeight="true" outlineLevel="0" collapsed="false">
      <c r="A21" s="10" t="s">
        <v>34</v>
      </c>
      <c r="B21" s="25" t="n">
        <v>0.28</v>
      </c>
      <c r="C21" s="17"/>
      <c r="D21" s="10"/>
      <c r="E21" s="28"/>
      <c r="F21" s="10"/>
      <c r="G21" s="10"/>
      <c r="H21" s="10"/>
      <c r="I21" s="15" t="s">
        <v>35</v>
      </c>
      <c r="J21" s="15" t="s">
        <v>36</v>
      </c>
      <c r="K21" s="27" t="s">
        <v>37</v>
      </c>
      <c r="L21" s="10"/>
      <c r="M21" s="10"/>
      <c r="N21" s="10"/>
      <c r="O21" s="10"/>
      <c r="P21" s="10"/>
      <c r="Q21" s="10"/>
      <c r="R21" s="10"/>
      <c r="S21" s="10"/>
      <c r="T21" s="10"/>
      <c r="U21" s="10"/>
      <c r="V21" s="10"/>
      <c r="W21" s="10"/>
      <c r="X21" s="10"/>
      <c r="Y21" s="10"/>
      <c r="Z21" s="10"/>
    </row>
    <row r="22" customFormat="false" ht="12" hidden="false" customHeight="true" outlineLevel="0" collapsed="false">
      <c r="A22" s="7" t="s">
        <v>38</v>
      </c>
      <c r="B22" s="29"/>
      <c r="C22" s="17"/>
      <c r="D22" s="10"/>
      <c r="E22" s="30" t="s">
        <v>39</v>
      </c>
      <c r="F22" s="10"/>
      <c r="G22" s="10"/>
      <c r="H22" s="10"/>
      <c r="I22" s="31" t="n">
        <f aca="false">IF(C8&gt;0,(B8/C8)^(1/D8)-1, "NA")</f>
        <v>0.128634065461021</v>
      </c>
      <c r="J22" s="31" t="n">
        <f aca="false">VLOOKUP(B6,'Industry Average Beta (US)'!A2:S95,3)</f>
        <v>0.083146</v>
      </c>
      <c r="K22" s="31" t="n">
        <f aca="false">VLOOKUP(B7,'Industry Average Beta (Global)'!A2:N95,3)</f>
        <v>0.0908532978723404</v>
      </c>
      <c r="L22" s="10"/>
      <c r="M22" s="10"/>
      <c r="N22" s="10"/>
      <c r="O22" s="10"/>
      <c r="P22" s="10"/>
      <c r="Q22" s="10"/>
      <c r="R22" s="10"/>
      <c r="S22" s="10"/>
      <c r="T22" s="10"/>
      <c r="U22" s="10"/>
      <c r="V22" s="10"/>
      <c r="W22" s="10"/>
      <c r="X22" s="10"/>
      <c r="Y22" s="10"/>
      <c r="Z22" s="10"/>
    </row>
    <row r="23" customFormat="false" ht="12" hidden="false" customHeight="true" outlineLevel="0" collapsed="false">
      <c r="A23" s="32" t="s">
        <v>40</v>
      </c>
      <c r="B23" s="33" t="n">
        <v>0.0966</v>
      </c>
      <c r="C23" s="17"/>
      <c r="D23" s="10"/>
      <c r="E23" s="30" t="s">
        <v>41</v>
      </c>
      <c r="F23" s="10"/>
      <c r="G23" s="10"/>
      <c r="H23" s="10"/>
      <c r="I23" s="31" t="n">
        <f aca="false">'Valuation output'!B4</f>
        <v>0.31192229118592</v>
      </c>
      <c r="J23" s="31" t="n">
        <f aca="false">VLOOKUP(B6,'Industry Average Beta (US)'!A2:AA95,4)</f>
        <v>0.0997898291147154</v>
      </c>
      <c r="K23" s="31" t="n">
        <f aca="false">VLOOKUP(B7,'Industry Average Beta (Global)'!A2:N95,4)</f>
        <v>0.0873314144056333</v>
      </c>
      <c r="L23" s="10"/>
      <c r="M23" s="10"/>
      <c r="N23" s="10"/>
      <c r="O23" s="10"/>
      <c r="P23" s="10"/>
      <c r="Q23" s="10"/>
      <c r="R23" s="10"/>
      <c r="S23" s="10"/>
      <c r="T23" s="10"/>
      <c r="U23" s="10"/>
      <c r="V23" s="10"/>
      <c r="W23" s="10"/>
      <c r="X23" s="10"/>
      <c r="Y23" s="10"/>
      <c r="Z23" s="10"/>
    </row>
    <row r="24" customFormat="false" ht="12" hidden="false" customHeight="true" outlineLevel="0" collapsed="false">
      <c r="A24" s="32" t="s">
        <v>42</v>
      </c>
      <c r="B24" s="33" t="n">
        <f aca="false">26.8%+3.3%</f>
        <v>0.301</v>
      </c>
      <c r="C24" s="17"/>
      <c r="D24" s="10"/>
      <c r="E24" s="30" t="s">
        <v>43</v>
      </c>
      <c r="F24" s="10"/>
      <c r="G24" s="10"/>
      <c r="H24" s="10"/>
      <c r="I24" s="34" t="n">
        <f aca="false">B8/'Valuation output'!B39</f>
        <v>1.32614898627845</v>
      </c>
      <c r="J24" s="34" t="n">
        <f aca="false">VLOOKUP(B6,'Industry Average Beta (US)'!A2:S95,14)</f>
        <v>5.16893366314677</v>
      </c>
      <c r="K24" s="34" t="n">
        <f aca="false">VLOOKUP(B7,'Industry Average Beta (Global)'!A2:N95,14)</f>
        <v>2.64070692404083</v>
      </c>
      <c r="L24" s="10"/>
      <c r="M24" s="10"/>
      <c r="N24" s="10"/>
      <c r="O24" s="10"/>
      <c r="P24" s="10"/>
      <c r="Q24" s="10"/>
      <c r="R24" s="10"/>
      <c r="S24" s="10"/>
      <c r="T24" s="10"/>
      <c r="U24" s="10"/>
      <c r="V24" s="10"/>
      <c r="W24" s="10"/>
      <c r="X24" s="10"/>
      <c r="Y24" s="10"/>
      <c r="Z24" s="10"/>
    </row>
    <row r="25" customFormat="false" ht="12" hidden="false" customHeight="true" outlineLevel="0" collapsed="false">
      <c r="A25" s="15" t="s">
        <v>44</v>
      </c>
      <c r="B25" s="25" t="n">
        <v>0.1</v>
      </c>
      <c r="C25" s="17" t="s">
        <v>45</v>
      </c>
      <c r="D25" s="10"/>
      <c r="E25" s="30" t="s">
        <v>46</v>
      </c>
      <c r="F25" s="10"/>
      <c r="G25" s="10"/>
      <c r="H25" s="10"/>
      <c r="I25" s="31" t="n">
        <f aca="false">'Valuation output'!B7/'Valuation output'!B39</f>
        <v>0.353675392867048</v>
      </c>
      <c r="J25" s="31" t="n">
        <f aca="false">VLOOKUP(B6,'Industry Average Beta (US)'!A2:S95,5)</f>
        <v>0.515118995170022</v>
      </c>
      <c r="K25" s="31" t="n">
        <f aca="false">VLOOKUP(B7,'Industry Average Beta (Global)'!A2:N95,5)</f>
        <v>0.20101704822719</v>
      </c>
      <c r="L25" s="10"/>
      <c r="M25" s="10"/>
      <c r="N25" s="10"/>
      <c r="O25" s="10"/>
      <c r="P25" s="10"/>
      <c r="Q25" s="10"/>
      <c r="R25" s="10"/>
      <c r="S25" s="10"/>
      <c r="T25" s="10"/>
      <c r="U25" s="10"/>
      <c r="V25" s="10"/>
      <c r="W25" s="10"/>
      <c r="X25" s="10"/>
      <c r="Y25" s="10"/>
      <c r="Z25" s="10"/>
    </row>
    <row r="26" customFormat="false" ht="12" hidden="false" customHeight="true" outlineLevel="0" collapsed="false">
      <c r="A26" s="15" t="s">
        <v>47</v>
      </c>
      <c r="B26" s="25" t="n">
        <f aca="false">25%+1%</f>
        <v>0.26</v>
      </c>
      <c r="C26" s="17" t="s">
        <v>48</v>
      </c>
      <c r="D26" s="10"/>
      <c r="E26" s="30" t="s">
        <v>49</v>
      </c>
      <c r="F26" s="10"/>
      <c r="G26" s="10"/>
      <c r="H26" s="10"/>
      <c r="I26" s="35"/>
      <c r="J26" s="36" t="n">
        <f aca="false">VLOOKUP(B6,'Industry Average Beta (US)'!A2:S95,10)</f>
        <v>0.577363502634707</v>
      </c>
      <c r="K26" s="31" t="n">
        <f aca="false">VLOOKUP(B6,'Industry Average Beta (Global)'!A2:Z95,10)</f>
        <v>0.463852038136777</v>
      </c>
      <c r="L26" s="10"/>
      <c r="M26" s="10"/>
      <c r="N26" s="10"/>
      <c r="O26" s="10"/>
      <c r="P26" s="10"/>
      <c r="Q26" s="10"/>
      <c r="R26" s="10"/>
      <c r="S26" s="10"/>
      <c r="T26" s="10"/>
      <c r="U26" s="10"/>
      <c r="V26" s="10"/>
      <c r="W26" s="10"/>
      <c r="X26" s="10"/>
      <c r="Y26" s="10"/>
      <c r="Z26" s="10"/>
    </row>
    <row r="27" customFormat="false" ht="12" hidden="false" customHeight="true" outlineLevel="0" collapsed="false">
      <c r="A27" s="15" t="s">
        <v>50</v>
      </c>
      <c r="B27" s="37" t="n">
        <v>7</v>
      </c>
      <c r="C27" s="17" t="s">
        <v>51</v>
      </c>
      <c r="D27" s="10"/>
      <c r="E27" s="38" t="s">
        <v>52</v>
      </c>
      <c r="F27" s="39"/>
      <c r="G27" s="39"/>
      <c r="H27" s="39"/>
      <c r="I27" s="39"/>
      <c r="J27" s="40" t="n">
        <f aca="false">VLOOKUP(B6,'Industry Average Beta (US)'!A2:S95,13)</f>
        <v>0.0434158193811354</v>
      </c>
      <c r="K27" s="31" t="n">
        <f aca="false">VLOOKUP(B6,'Industry Average Beta (Global)'!A2:Z95,13)</f>
        <v>0.0728908383006665</v>
      </c>
      <c r="L27" s="10"/>
      <c r="M27" s="10"/>
      <c r="N27" s="10"/>
      <c r="O27" s="10"/>
      <c r="P27" s="10"/>
      <c r="Q27" s="10"/>
      <c r="R27" s="10"/>
      <c r="S27" s="10"/>
      <c r="T27" s="10"/>
      <c r="U27" s="10"/>
      <c r="V27" s="10"/>
      <c r="W27" s="10"/>
      <c r="X27" s="10"/>
      <c r="Y27" s="10"/>
      <c r="Z27" s="10"/>
    </row>
    <row r="28" customFormat="false" ht="12" hidden="false" customHeight="true" outlineLevel="0" collapsed="false">
      <c r="A28" s="15" t="s">
        <v>53</v>
      </c>
      <c r="B28" s="37" t="n">
        <f aca="false">I24</f>
        <v>1.32614898627845</v>
      </c>
      <c r="C28" s="17" t="s">
        <v>54</v>
      </c>
      <c r="D28" s="10"/>
      <c r="E28" s="10"/>
      <c r="F28" s="10"/>
      <c r="G28" s="10"/>
      <c r="H28" s="10"/>
      <c r="I28" s="10"/>
      <c r="J28" s="10"/>
      <c r="K28" s="10"/>
      <c r="L28" s="10"/>
      <c r="M28" s="10"/>
      <c r="N28" s="10"/>
      <c r="O28" s="10"/>
      <c r="P28" s="10"/>
      <c r="Q28" s="10"/>
      <c r="R28" s="10"/>
      <c r="S28" s="10"/>
      <c r="T28" s="10"/>
      <c r="U28" s="10"/>
      <c r="V28" s="10"/>
      <c r="W28" s="10"/>
      <c r="X28" s="10"/>
      <c r="Y28" s="10"/>
      <c r="Z28" s="10"/>
    </row>
    <row r="29" customFormat="false" ht="12" hidden="false" customHeight="true" outlineLevel="0" collapsed="false">
      <c r="A29" s="7" t="s">
        <v>55</v>
      </c>
      <c r="B29" s="41"/>
      <c r="C29" s="17"/>
      <c r="D29" s="10"/>
      <c r="E29" s="42" t="s">
        <v>56</v>
      </c>
      <c r="F29" s="42"/>
      <c r="G29" s="42"/>
      <c r="H29" s="42"/>
      <c r="I29" s="42"/>
      <c r="J29" s="42"/>
      <c r="K29" s="10"/>
      <c r="L29" s="10"/>
      <c r="M29" s="10"/>
      <c r="N29" s="10"/>
      <c r="O29" s="10"/>
      <c r="P29" s="10"/>
      <c r="Q29" s="10"/>
      <c r="R29" s="10"/>
      <c r="S29" s="10"/>
      <c r="T29" s="10"/>
      <c r="U29" s="10"/>
      <c r="V29" s="10"/>
      <c r="W29" s="10"/>
      <c r="X29" s="10"/>
      <c r="Y29" s="10"/>
      <c r="Z29" s="10"/>
    </row>
    <row r="30" customFormat="false" ht="12" hidden="false" customHeight="true" outlineLevel="0" collapsed="false">
      <c r="A30" s="15" t="s">
        <v>57</v>
      </c>
      <c r="B30" s="25" t="n">
        <v>0.0416</v>
      </c>
      <c r="C30" s="17"/>
      <c r="D30" s="10"/>
      <c r="E30" s="30" t="s">
        <v>58</v>
      </c>
      <c r="F30" s="10"/>
      <c r="G30" s="10"/>
      <c r="H30" s="10"/>
      <c r="I30" s="10"/>
      <c r="J30" s="43" t="n">
        <f aca="false">'Valuation output'!M3</f>
        <v>606162.586008798</v>
      </c>
      <c r="K30" s="10"/>
      <c r="L30" s="10"/>
      <c r="M30" s="10"/>
      <c r="N30" s="10"/>
      <c r="O30" s="10"/>
      <c r="P30" s="10"/>
      <c r="Q30" s="10"/>
      <c r="R30" s="10"/>
      <c r="S30" s="10"/>
      <c r="T30" s="10"/>
      <c r="U30" s="10"/>
      <c r="V30" s="10"/>
      <c r="W30" s="10"/>
      <c r="X30" s="10"/>
      <c r="Y30" s="10"/>
      <c r="Z30" s="10"/>
    </row>
    <row r="31" customFormat="false" ht="12" hidden="false" customHeight="true" outlineLevel="0" collapsed="false">
      <c r="A31" s="15" t="s">
        <v>59</v>
      </c>
      <c r="B31" s="25" t="n">
        <f aca="false">'Cost of capital worksheet'!E50</f>
        <v>0.0829198173245978</v>
      </c>
      <c r="C31" s="17"/>
      <c r="D31" s="10"/>
      <c r="E31" s="30" t="s">
        <v>60</v>
      </c>
      <c r="F31" s="10"/>
      <c r="G31" s="10"/>
      <c r="H31" s="10"/>
      <c r="I31" s="10"/>
      <c r="J31" s="43" t="n">
        <f aca="false">'Valuation output'!M5</f>
        <v>157602.272362287</v>
      </c>
      <c r="K31" s="10"/>
      <c r="L31" s="10"/>
      <c r="M31" s="10"/>
      <c r="N31" s="10"/>
      <c r="O31" s="10"/>
      <c r="P31" s="10"/>
      <c r="Q31" s="10"/>
      <c r="R31" s="10"/>
      <c r="S31" s="10"/>
      <c r="T31" s="10"/>
      <c r="U31" s="10"/>
      <c r="V31" s="10"/>
      <c r="W31" s="10"/>
      <c r="X31" s="10"/>
      <c r="Y31" s="10"/>
      <c r="Z31" s="10"/>
    </row>
    <row r="32" customFormat="false" ht="12" hidden="false" customHeight="true" outlineLevel="0" collapsed="false">
      <c r="A32" s="7" t="s">
        <v>61</v>
      </c>
      <c r="B32" s="44"/>
      <c r="C32" s="44"/>
      <c r="D32" s="17"/>
      <c r="E32" s="30" t="s">
        <v>62</v>
      </c>
      <c r="F32" s="10"/>
      <c r="G32" s="10"/>
      <c r="H32" s="10"/>
      <c r="I32" s="10"/>
      <c r="J32" s="31" t="n">
        <f aca="false">'Valuation output'!L40</f>
        <v>0.248255090231325</v>
      </c>
      <c r="K32" s="10"/>
      <c r="L32" s="10"/>
      <c r="M32" s="10"/>
      <c r="N32" s="10"/>
      <c r="O32" s="10"/>
      <c r="P32" s="10"/>
      <c r="Q32" s="10"/>
      <c r="R32" s="10"/>
      <c r="S32" s="10"/>
      <c r="T32" s="10"/>
      <c r="U32" s="10"/>
      <c r="V32" s="10"/>
      <c r="W32" s="10"/>
      <c r="X32" s="10"/>
      <c r="Y32" s="10"/>
      <c r="Z32" s="10"/>
    </row>
    <row r="33" customFormat="false" ht="12" hidden="false" customHeight="true" outlineLevel="0" collapsed="false">
      <c r="A33" s="10" t="s">
        <v>63</v>
      </c>
      <c r="B33" s="25" t="s">
        <v>24</v>
      </c>
      <c r="C33" s="10"/>
      <c r="D33" s="17"/>
      <c r="E33" s="45" t="s">
        <v>64</v>
      </c>
      <c r="F33" s="39"/>
      <c r="G33" s="39"/>
      <c r="H33" s="39"/>
      <c r="I33" s="39"/>
      <c r="J33" s="46"/>
      <c r="K33" s="10"/>
      <c r="L33" s="10"/>
      <c r="M33" s="10"/>
      <c r="N33" s="10"/>
      <c r="O33" s="10"/>
      <c r="P33" s="10"/>
      <c r="Q33" s="10"/>
      <c r="R33" s="10"/>
      <c r="S33" s="10"/>
      <c r="T33" s="10"/>
      <c r="U33" s="10"/>
      <c r="V33" s="10"/>
      <c r="W33" s="10"/>
      <c r="X33" s="10"/>
      <c r="Y33" s="10"/>
      <c r="Z33" s="10"/>
    </row>
    <row r="34" customFormat="false" ht="12" hidden="false" customHeight="true" outlineLevel="0" collapsed="false">
      <c r="A34" s="10" t="s">
        <v>65</v>
      </c>
      <c r="B34" s="37" t="n">
        <v>7.72</v>
      </c>
      <c r="C34" s="47"/>
      <c r="D34" s="17"/>
      <c r="E34" s="10"/>
      <c r="F34" s="10"/>
      <c r="G34" s="10"/>
      <c r="H34" s="10"/>
      <c r="I34" s="10"/>
      <c r="J34" s="10"/>
      <c r="K34" s="10"/>
      <c r="L34" s="10"/>
      <c r="M34" s="10"/>
      <c r="N34" s="10"/>
      <c r="O34" s="10"/>
      <c r="P34" s="10"/>
      <c r="Q34" s="10"/>
      <c r="R34" s="10"/>
      <c r="S34" s="10"/>
      <c r="T34" s="10"/>
      <c r="U34" s="10"/>
      <c r="V34" s="10"/>
      <c r="W34" s="10"/>
      <c r="X34" s="10"/>
      <c r="Y34" s="10"/>
      <c r="Z34" s="10"/>
    </row>
    <row r="35" customFormat="false" ht="12" hidden="false" customHeight="true" outlineLevel="0" collapsed="false">
      <c r="A35" s="10" t="s">
        <v>66</v>
      </c>
      <c r="B35" s="48" t="n">
        <v>1.29</v>
      </c>
      <c r="C35" s="49"/>
      <c r="D35" s="17"/>
      <c r="E35" s="10"/>
      <c r="F35" s="10"/>
      <c r="G35" s="10"/>
      <c r="H35" s="10"/>
      <c r="I35" s="10"/>
      <c r="J35" s="10"/>
      <c r="K35" s="10"/>
      <c r="L35" s="10"/>
      <c r="M35" s="10"/>
      <c r="N35" s="10"/>
      <c r="O35" s="10"/>
      <c r="P35" s="10"/>
      <c r="Q35" s="10"/>
      <c r="R35" s="10"/>
      <c r="S35" s="10"/>
      <c r="T35" s="10"/>
      <c r="U35" s="10"/>
      <c r="V35" s="10"/>
      <c r="W35" s="10"/>
      <c r="X35" s="10"/>
      <c r="Y35" s="10"/>
      <c r="Z35" s="10"/>
    </row>
    <row r="36" customFormat="false" ht="12" hidden="false" customHeight="true" outlineLevel="0" collapsed="false">
      <c r="A36" s="10" t="s">
        <v>67</v>
      </c>
      <c r="B36" s="37" t="n">
        <v>7</v>
      </c>
      <c r="C36" s="47"/>
      <c r="D36" s="17"/>
      <c r="E36" s="10"/>
      <c r="F36" s="10"/>
      <c r="G36" s="10"/>
      <c r="H36" s="10"/>
      <c r="I36" s="10"/>
      <c r="J36" s="10"/>
      <c r="K36" s="10"/>
      <c r="L36" s="10"/>
      <c r="M36" s="10"/>
      <c r="N36" s="10"/>
      <c r="O36" s="10"/>
      <c r="P36" s="10"/>
      <c r="Q36" s="10"/>
      <c r="R36" s="10"/>
      <c r="S36" s="10"/>
      <c r="T36" s="10"/>
      <c r="U36" s="10"/>
      <c r="V36" s="10"/>
      <c r="W36" s="10"/>
      <c r="X36" s="10"/>
      <c r="Y36" s="10"/>
      <c r="Z36" s="10"/>
    </row>
    <row r="37" customFormat="false" ht="12" hidden="false" customHeight="true" outlineLevel="0" collapsed="false">
      <c r="A37" s="10" t="s">
        <v>68</v>
      </c>
      <c r="B37" s="25" t="n">
        <v>0.45</v>
      </c>
      <c r="C37" s="17"/>
      <c r="D37" s="10"/>
      <c r="E37" s="50"/>
      <c r="F37" s="50"/>
      <c r="G37" s="50"/>
      <c r="H37" s="10"/>
      <c r="I37" s="10"/>
      <c r="J37" s="10"/>
      <c r="K37" s="10"/>
      <c r="L37" s="10"/>
      <c r="M37" s="10"/>
      <c r="N37" s="10"/>
      <c r="O37" s="50"/>
      <c r="P37" s="50"/>
      <c r="Q37" s="50"/>
      <c r="R37" s="50"/>
      <c r="S37" s="50"/>
      <c r="T37" s="50"/>
      <c r="U37" s="50"/>
      <c r="V37" s="50"/>
      <c r="W37" s="50"/>
      <c r="X37" s="50"/>
      <c r="Y37" s="50"/>
      <c r="Z37" s="50"/>
    </row>
    <row r="38" customFormat="false" ht="12" hidden="false" customHeight="true" outlineLevel="0" collapsed="false">
      <c r="A38" s="10"/>
      <c r="B38" s="51"/>
      <c r="C38" s="44"/>
      <c r="D38" s="17"/>
      <c r="E38" s="10"/>
      <c r="F38" s="10"/>
      <c r="G38" s="10"/>
      <c r="H38" s="10"/>
      <c r="I38" s="10"/>
      <c r="J38" s="10"/>
      <c r="K38" s="10"/>
      <c r="L38" s="10"/>
      <c r="M38" s="10"/>
      <c r="N38" s="10"/>
      <c r="O38" s="10"/>
      <c r="P38" s="10"/>
      <c r="Q38" s="10"/>
      <c r="R38" s="10"/>
      <c r="S38" s="10"/>
      <c r="T38" s="10"/>
      <c r="U38" s="10"/>
      <c r="V38" s="10"/>
      <c r="W38" s="10"/>
      <c r="X38" s="10"/>
      <c r="Y38" s="10"/>
      <c r="Z38" s="10"/>
    </row>
    <row r="39" customFormat="false" ht="12" hidden="false" customHeight="true" outlineLevel="0" collapsed="false">
      <c r="A39" s="52" t="s">
        <v>69</v>
      </c>
      <c r="B39" s="52"/>
      <c r="C39" s="53"/>
      <c r="D39" s="17"/>
      <c r="E39" s="10"/>
      <c r="F39" s="10"/>
      <c r="G39" s="10"/>
      <c r="H39" s="10"/>
      <c r="I39" s="10"/>
      <c r="J39" s="10"/>
      <c r="K39" s="10"/>
      <c r="L39" s="10"/>
      <c r="M39" s="10"/>
      <c r="N39" s="50"/>
      <c r="O39" s="10"/>
      <c r="P39" s="10"/>
      <c r="Q39" s="10"/>
      <c r="R39" s="10"/>
      <c r="S39" s="10"/>
      <c r="T39" s="10"/>
      <c r="U39" s="10"/>
      <c r="V39" s="10"/>
      <c r="W39" s="10"/>
      <c r="X39" s="10"/>
      <c r="Y39" s="10"/>
      <c r="Z39" s="10"/>
    </row>
    <row r="40" customFormat="false" ht="12" hidden="false" customHeight="true" outlineLevel="0" collapsed="false">
      <c r="A40" s="50" t="s">
        <v>70</v>
      </c>
      <c r="B40" s="50"/>
      <c r="C40" s="54"/>
      <c r="D40" s="17"/>
      <c r="E40" s="50"/>
      <c r="F40" s="50"/>
      <c r="G40" s="50"/>
      <c r="H40" s="50"/>
      <c r="I40" s="50"/>
      <c r="J40" s="50"/>
      <c r="K40" s="50"/>
      <c r="L40" s="50"/>
      <c r="M40" s="50"/>
      <c r="N40" s="10"/>
      <c r="O40" s="50"/>
      <c r="P40" s="50"/>
      <c r="Q40" s="50"/>
      <c r="R40" s="50"/>
      <c r="S40" s="50"/>
      <c r="T40" s="50"/>
      <c r="U40" s="50"/>
      <c r="V40" s="50"/>
      <c r="W40" s="50"/>
      <c r="X40" s="50"/>
      <c r="Y40" s="50"/>
      <c r="Z40" s="50"/>
    </row>
    <row r="41" customFormat="false" ht="12" hidden="false" customHeight="true" outlineLevel="0" collapsed="false">
      <c r="A41" s="10" t="s">
        <v>71</v>
      </c>
      <c r="B41" s="55" t="s">
        <v>24</v>
      </c>
      <c r="C41" s="17" t="s">
        <v>72</v>
      </c>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2" hidden="false" customHeight="true" outlineLevel="0" collapsed="false">
      <c r="A42" s="10" t="s">
        <v>73</v>
      </c>
      <c r="B42" s="25" t="n">
        <v>0.083</v>
      </c>
      <c r="C42" s="17" t="s">
        <v>74</v>
      </c>
      <c r="D42" s="10"/>
      <c r="E42" s="10"/>
      <c r="F42" s="10"/>
      <c r="G42" s="10"/>
      <c r="H42" s="10"/>
      <c r="I42" s="10"/>
      <c r="J42" s="10"/>
      <c r="K42" s="10"/>
      <c r="L42" s="10"/>
      <c r="M42" s="10"/>
      <c r="N42" s="50"/>
      <c r="O42" s="10"/>
      <c r="P42" s="10"/>
      <c r="Q42" s="10"/>
      <c r="R42" s="10"/>
      <c r="S42" s="10"/>
      <c r="T42" s="10"/>
      <c r="U42" s="10"/>
      <c r="V42" s="10"/>
      <c r="W42" s="10"/>
      <c r="X42" s="10"/>
      <c r="Y42" s="10"/>
      <c r="Z42" s="10"/>
    </row>
    <row r="43" customFormat="false" ht="12" hidden="false" customHeight="true" outlineLevel="0" collapsed="false">
      <c r="A43" s="50" t="s">
        <v>75</v>
      </c>
      <c r="B43" s="50"/>
      <c r="C43" s="17"/>
      <c r="D43" s="50"/>
      <c r="E43" s="10"/>
      <c r="F43" s="10"/>
      <c r="G43" s="10"/>
      <c r="H43" s="50"/>
      <c r="I43" s="50"/>
      <c r="J43" s="50"/>
      <c r="K43" s="50"/>
      <c r="L43" s="50"/>
      <c r="M43" s="50"/>
      <c r="N43" s="10"/>
      <c r="O43" s="10"/>
      <c r="P43" s="10"/>
      <c r="Q43" s="10"/>
      <c r="R43" s="10"/>
      <c r="S43" s="10"/>
      <c r="T43" s="10"/>
      <c r="U43" s="10"/>
      <c r="V43" s="10"/>
      <c r="W43" s="10"/>
      <c r="X43" s="10"/>
      <c r="Y43" s="10"/>
      <c r="Z43" s="10"/>
    </row>
    <row r="44" customFormat="false" ht="12" hidden="false" customHeight="true" outlineLevel="0" collapsed="false">
      <c r="A44" s="10" t="s">
        <v>71</v>
      </c>
      <c r="B44" s="55" t="s">
        <v>21</v>
      </c>
      <c r="C44" s="17" t="s">
        <v>76</v>
      </c>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2" hidden="false" customHeight="true" outlineLevel="0" collapsed="false">
      <c r="A45" s="10" t="s">
        <v>77</v>
      </c>
      <c r="B45" s="56" t="n">
        <v>0.2</v>
      </c>
      <c r="C45" s="17" t="s">
        <v>78</v>
      </c>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2" hidden="false" customHeight="true" outlineLevel="0" collapsed="false">
      <c r="A46" s="50" t="s">
        <v>79</v>
      </c>
      <c r="B46" s="10"/>
      <c r="C46" s="17"/>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2" hidden="false" customHeight="true" outlineLevel="0" collapsed="false">
      <c r="A47" s="10" t="s">
        <v>71</v>
      </c>
      <c r="B47" s="55" t="s">
        <v>24</v>
      </c>
      <c r="C47" s="17" t="s">
        <v>80</v>
      </c>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2" hidden="false" customHeight="true" outlineLevel="0" collapsed="false">
      <c r="A48" s="10" t="s">
        <v>81</v>
      </c>
      <c r="B48" s="56" t="n">
        <v>0.2</v>
      </c>
      <c r="C48" s="17" t="s">
        <v>82</v>
      </c>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2" hidden="false" customHeight="true" outlineLevel="0" collapsed="false">
      <c r="A49" s="10" t="s">
        <v>83</v>
      </c>
      <c r="B49" s="56" t="s">
        <v>84</v>
      </c>
      <c r="C49" s="17" t="s">
        <v>85</v>
      </c>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2" hidden="false" customHeight="true" outlineLevel="0" collapsed="false">
      <c r="A50" s="10" t="s">
        <v>86</v>
      </c>
      <c r="B50" s="56" t="n">
        <v>0.5</v>
      </c>
      <c r="C50" s="17" t="s">
        <v>87</v>
      </c>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2" hidden="false" customHeight="true" outlineLevel="0" collapsed="false">
      <c r="A51" s="50" t="s">
        <v>88</v>
      </c>
      <c r="B51" s="57"/>
      <c r="C51" s="17"/>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2" hidden="false" customHeight="true" outlineLevel="0" collapsed="false">
      <c r="A52" s="10" t="s">
        <v>71</v>
      </c>
      <c r="B52" s="56" t="s">
        <v>24</v>
      </c>
      <c r="C52" s="17"/>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2" hidden="false" customHeight="true" outlineLevel="0" collapsed="false">
      <c r="A53" s="50" t="s">
        <v>89</v>
      </c>
      <c r="B53" s="10"/>
      <c r="C53" s="17"/>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2" hidden="false" customHeight="true" outlineLevel="0" collapsed="false">
      <c r="A54" s="10" t="s">
        <v>71</v>
      </c>
      <c r="B54" s="55" t="s">
        <v>24</v>
      </c>
      <c r="C54" s="17" t="s">
        <v>90</v>
      </c>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2" hidden="false" customHeight="true" outlineLevel="0" collapsed="false">
      <c r="A55" s="10" t="s">
        <v>91</v>
      </c>
      <c r="B55" s="48" t="n">
        <v>250</v>
      </c>
      <c r="C55" s="17" t="s">
        <v>92</v>
      </c>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2" hidden="false" customHeight="true" outlineLevel="0" collapsed="false">
      <c r="A56" s="10" t="s">
        <v>93</v>
      </c>
      <c r="B56" s="58"/>
      <c r="C56" s="17"/>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2" hidden="false" customHeight="true" outlineLevel="0" collapsed="false">
      <c r="A57" s="10" t="s">
        <v>71</v>
      </c>
      <c r="B57" s="48" t="s">
        <v>21</v>
      </c>
      <c r="C57" s="17" t="s">
        <v>94</v>
      </c>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2" hidden="false" customHeight="true" outlineLevel="0" collapsed="false">
      <c r="A58" s="10" t="s">
        <v>95</v>
      </c>
      <c r="B58" s="25" t="n">
        <v>0.025</v>
      </c>
      <c r="C58" s="17" t="s">
        <v>96</v>
      </c>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2" hidden="false" customHeight="true" outlineLevel="0" collapsed="false">
      <c r="A59" s="10" t="s">
        <v>97</v>
      </c>
      <c r="B59" s="49"/>
      <c r="C59" s="17"/>
      <c r="D59" s="10"/>
      <c r="E59" s="59"/>
      <c r="F59" s="59"/>
      <c r="G59" s="59"/>
      <c r="H59" s="50"/>
      <c r="I59" s="50"/>
      <c r="J59" s="50"/>
      <c r="K59" s="50"/>
      <c r="L59" s="50"/>
      <c r="M59" s="50"/>
      <c r="N59" s="50"/>
      <c r="O59" s="59"/>
      <c r="P59" s="59"/>
      <c r="Q59" s="59"/>
      <c r="R59" s="59"/>
      <c r="S59" s="59"/>
      <c r="T59" s="59"/>
      <c r="U59" s="59"/>
      <c r="V59" s="59"/>
      <c r="W59" s="59"/>
      <c r="X59" s="59"/>
      <c r="Y59" s="59"/>
      <c r="Z59" s="59"/>
    </row>
    <row r="60" customFormat="false" ht="12" hidden="false" customHeight="true" outlineLevel="0" collapsed="false">
      <c r="A60" s="10" t="s">
        <v>71</v>
      </c>
      <c r="B60" s="48" t="s">
        <v>24</v>
      </c>
      <c r="C60" s="17" t="s">
        <v>98</v>
      </c>
      <c r="D60" s="10"/>
      <c r="E60" s="6"/>
      <c r="F60" s="6"/>
      <c r="G60" s="6"/>
      <c r="H60" s="10"/>
      <c r="I60" s="10"/>
      <c r="J60" s="10"/>
      <c r="K60" s="10"/>
      <c r="L60" s="10"/>
      <c r="M60" s="10"/>
      <c r="N60" s="10"/>
      <c r="O60" s="6"/>
      <c r="P60" s="6"/>
      <c r="Q60" s="6"/>
      <c r="R60" s="6"/>
      <c r="S60" s="6"/>
      <c r="T60" s="6"/>
      <c r="U60" s="6"/>
      <c r="V60" s="6"/>
      <c r="W60" s="6"/>
      <c r="X60" s="6"/>
      <c r="Y60" s="6"/>
      <c r="Z60" s="6"/>
    </row>
    <row r="61" customFormat="false" ht="12" hidden="false" customHeight="true" outlineLevel="0" collapsed="false">
      <c r="A61" s="10" t="s">
        <v>99</v>
      </c>
      <c r="B61" s="25" t="n">
        <v>0.025</v>
      </c>
      <c r="C61" s="17" t="s">
        <v>100</v>
      </c>
      <c r="D61" s="10"/>
      <c r="E61" s="6"/>
      <c r="F61" s="6"/>
      <c r="G61" s="6"/>
      <c r="H61" s="10"/>
      <c r="I61" s="10"/>
      <c r="J61" s="10"/>
      <c r="K61" s="10"/>
      <c r="L61" s="10"/>
      <c r="M61" s="10"/>
      <c r="N61" s="6"/>
      <c r="O61" s="6"/>
      <c r="P61" s="6"/>
      <c r="Q61" s="6"/>
      <c r="R61" s="6"/>
      <c r="S61" s="6"/>
      <c r="T61" s="6"/>
      <c r="U61" s="6"/>
      <c r="V61" s="6"/>
      <c r="W61" s="6"/>
      <c r="X61" s="6"/>
      <c r="Y61" s="6"/>
      <c r="Z61" s="6"/>
    </row>
    <row r="62" customFormat="false" ht="12" hidden="false" customHeight="true" outlineLevel="0" collapsed="false">
      <c r="A62" s="59" t="s">
        <v>101</v>
      </c>
      <c r="B62" s="59"/>
      <c r="C62" s="59"/>
      <c r="D62" s="59"/>
      <c r="E62" s="6"/>
      <c r="F62" s="6"/>
      <c r="G62" s="6"/>
      <c r="H62" s="6"/>
      <c r="I62" s="6"/>
      <c r="J62" s="6"/>
      <c r="K62" s="6"/>
      <c r="L62" s="6"/>
      <c r="M62" s="6"/>
      <c r="N62" s="6"/>
      <c r="O62" s="6"/>
      <c r="P62" s="6"/>
      <c r="Q62" s="6"/>
      <c r="R62" s="6"/>
      <c r="S62" s="6"/>
      <c r="T62" s="6"/>
      <c r="U62" s="6"/>
      <c r="V62" s="6"/>
      <c r="W62" s="6"/>
      <c r="X62" s="6"/>
      <c r="Y62" s="6"/>
      <c r="Z62" s="6"/>
    </row>
    <row r="63" customFormat="false" ht="12" hidden="false" customHeight="true" outlineLevel="0" collapsed="false">
      <c r="A63" s="6" t="s">
        <v>102</v>
      </c>
      <c r="B63" s="60" t="s">
        <v>24</v>
      </c>
      <c r="C63" s="6"/>
      <c r="D63" s="6"/>
      <c r="E63" s="6"/>
      <c r="F63" s="6"/>
      <c r="G63" s="6"/>
      <c r="H63" s="6"/>
      <c r="I63" s="6"/>
      <c r="J63" s="6"/>
      <c r="K63" s="6"/>
      <c r="L63" s="6"/>
      <c r="M63" s="6"/>
      <c r="N63" s="6"/>
      <c r="O63" s="6"/>
      <c r="P63" s="6"/>
      <c r="Q63" s="6"/>
      <c r="R63" s="6"/>
      <c r="S63" s="6"/>
      <c r="T63" s="6"/>
      <c r="U63" s="6"/>
      <c r="V63" s="6"/>
      <c r="W63" s="6"/>
      <c r="X63" s="6"/>
      <c r="Y63" s="6"/>
      <c r="Z63" s="6"/>
    </row>
    <row r="64" customFormat="false" ht="12" hidden="false" customHeight="true" outlineLevel="0" collapsed="false">
      <c r="A64" s="6" t="s">
        <v>103</v>
      </c>
      <c r="B64" s="61" t="n">
        <v>140000</v>
      </c>
      <c r="C64" s="62" t="s">
        <v>104</v>
      </c>
      <c r="D64" s="6"/>
      <c r="E64" s="6"/>
      <c r="F64" s="6"/>
      <c r="G64" s="6"/>
      <c r="H64" s="6"/>
      <c r="I64" s="6"/>
      <c r="J64" s="6"/>
      <c r="K64" s="6"/>
      <c r="L64" s="6"/>
      <c r="M64" s="6"/>
      <c r="N64" s="6"/>
      <c r="O64" s="6"/>
      <c r="P64" s="6"/>
      <c r="Q64" s="6"/>
      <c r="R64" s="6"/>
      <c r="S64" s="6"/>
      <c r="T64" s="6"/>
      <c r="U64" s="6"/>
      <c r="V64" s="6"/>
      <c r="W64" s="6"/>
      <c r="X64" s="6"/>
      <c r="Y64" s="6"/>
      <c r="Z64" s="6"/>
    </row>
    <row r="65" customFormat="false" ht="12" hidden="false" customHeight="true" outlineLevel="0" collapsed="false">
      <c r="A65" s="63" t="s">
        <v>105</v>
      </c>
      <c r="B65" s="64" t="n">
        <v>0.15</v>
      </c>
      <c r="C65" s="62" t="s">
        <v>106</v>
      </c>
      <c r="D65" s="6"/>
      <c r="E65" s="6"/>
      <c r="F65" s="6"/>
      <c r="G65" s="6"/>
      <c r="H65" s="6"/>
      <c r="I65" s="6"/>
      <c r="J65" s="6"/>
      <c r="K65" s="6"/>
      <c r="L65" s="6"/>
      <c r="M65" s="6"/>
      <c r="N65" s="6"/>
      <c r="O65" s="6"/>
      <c r="P65" s="6"/>
      <c r="Q65" s="6"/>
      <c r="R65" s="6"/>
      <c r="S65" s="6"/>
      <c r="T65" s="6"/>
      <c r="U65" s="6"/>
      <c r="V65" s="6"/>
      <c r="W65" s="6"/>
      <c r="X65" s="6"/>
      <c r="Y65" s="6"/>
      <c r="Z65" s="6"/>
    </row>
    <row r="66" customFormat="false" ht="12" hidden="false" customHeight="true" outlineLevel="0" collapsed="false">
      <c r="A66" s="65"/>
      <c r="B66" s="6"/>
      <c r="C66" s="6"/>
      <c r="D66" s="6"/>
      <c r="E66" s="6"/>
      <c r="F66" s="6"/>
      <c r="G66" s="6"/>
      <c r="H66" s="6"/>
      <c r="I66" s="6"/>
      <c r="J66" s="6"/>
      <c r="K66" s="6"/>
      <c r="L66" s="6"/>
      <c r="M66" s="6"/>
      <c r="N66" s="6"/>
      <c r="O66" s="6"/>
      <c r="P66" s="6"/>
      <c r="Q66" s="6"/>
      <c r="R66" s="6"/>
      <c r="S66" s="6"/>
      <c r="T66" s="6"/>
      <c r="U66" s="6"/>
      <c r="V66" s="6"/>
      <c r="W66" s="6"/>
      <c r="X66" s="6"/>
      <c r="Y66" s="6"/>
      <c r="Z66" s="6"/>
    </row>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3">
    <mergeCell ref="A3:J3"/>
    <mergeCell ref="E29:J29"/>
    <mergeCell ref="A39:B39"/>
  </mergeCells>
  <dataValidations count="6">
    <dataValidation allowBlank="true" operator="between" showDropDown="false" showErrorMessage="true" showInputMessage="false" sqref="B5" type="list">
      <formula1>'Country equity risk premiums'!$A$5:$A$181</formula1>
      <formula2>0</formula2>
    </dataValidation>
    <dataValidation allowBlank="true" operator="between" showDropDown="false" showErrorMessage="true" showInputMessage="false" sqref="B6" type="list">
      <formula1>'Industry Average Beta (US)'!$A$2:$A$95</formula1>
      <formula2>0</formula2>
    </dataValidation>
    <dataValidation allowBlank="true" operator="between" showDropDown="false" showErrorMessage="true" showInputMessage="false" sqref="B13:B14 B33 B41 B44 B47 B52 B54 B57 B60 B63" type="list">
      <formula1>'Answer keys'!$A$2:$A$3</formula1>
      <formula2>0</formula2>
    </dataValidation>
    <dataValidation allowBlank="true" operator="between" prompt="While it is possible for an effective tax rate to be less than 0% or greater than 100% in any given year, it is dangerous to build off these tax rates for making future projections. If less than zero, enter zero. If greater than the 100%, go with the marg" promptTitle="No negative tax rates" showDropDown="false" showErrorMessage="true" showInputMessage="true" sqref="B20" type="decimal">
      <formula1>0</formula1>
      <formula2>1</formula2>
    </dataValidation>
    <dataValidation allowBlank="true" operator="between" showDropDown="false" showErrorMessage="true" showInputMessage="false" sqref="B49" type="list">
      <formula1>'Answer keys'!$B$2:$B$3</formula1>
      <formula2>0</formula2>
    </dataValidation>
    <dataValidation allowBlank="true" operator="between" showDropDown="false" showErrorMessage="true" showInputMessage="false" sqref="B7" type="list">
      <formula1>'Industry Average Beta (Global)'!$A$2:$A$95</formula1>
      <formula2>0</formula2>
    </dataValidation>
  </dataValidations>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10.xml><?xml version="1.0" encoding="utf-8"?>
<worksheet xmlns="http://schemas.openxmlformats.org/spreadsheetml/2006/main" xmlns:r="http://schemas.openxmlformats.org/officeDocument/2006/relationships">
  <sheetPr filterMode="false">
    <pageSetUpPr fitToPage="false"/>
  </sheetPr>
  <dimension ref="A1:Z19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 activeCellId="0" sqref="D1"/>
    </sheetView>
  </sheetViews>
  <sheetFormatPr defaultRowHeight="15" zeroHeight="false" outlineLevelRow="0" outlineLevelCol="0"/>
  <cols>
    <col collapsed="false" customWidth="true" hidden="false" outlineLevel="0" max="1" min="1" style="0" width="27.41"/>
    <col collapsed="false" customWidth="true" hidden="false" outlineLevel="0" max="2" min="2" style="0" width="15"/>
    <col collapsed="false" customWidth="true" hidden="false" outlineLevel="0" max="3" min="3" style="0" width="18.43"/>
    <col collapsed="false" customWidth="true" hidden="false" outlineLevel="0" max="4" min="4" style="0" width="21"/>
    <col collapsed="false" customWidth="true" hidden="false" outlineLevel="0" max="5" min="5" style="0" width="20"/>
    <col collapsed="false" customWidth="true" hidden="false" outlineLevel="0" max="6" min="6" style="0" width="17.71"/>
    <col collapsed="false" customWidth="true" hidden="false" outlineLevel="0" max="26" min="7" style="0" width="8.72"/>
    <col collapsed="false" customWidth="true" hidden="false" outlineLevel="0" max="1025" min="27" style="0" width="14.43"/>
  </cols>
  <sheetData>
    <row r="1" customFormat="false" ht="12" hidden="false" customHeight="true" outlineLevel="0" collapsed="false">
      <c r="A1" s="85" t="s">
        <v>366</v>
      </c>
      <c r="B1" s="282" t="n">
        <v>0.0459</v>
      </c>
      <c r="C1" s="85" t="s">
        <v>367</v>
      </c>
      <c r="D1" s="85"/>
      <c r="E1" s="85"/>
      <c r="F1" s="85"/>
      <c r="G1" s="85"/>
      <c r="H1" s="85"/>
      <c r="I1" s="85"/>
      <c r="J1" s="85"/>
      <c r="K1" s="85"/>
      <c r="L1" s="85"/>
      <c r="M1" s="85"/>
      <c r="N1" s="85"/>
      <c r="O1" s="85"/>
      <c r="P1" s="85"/>
      <c r="Q1" s="85"/>
      <c r="R1" s="85"/>
      <c r="S1" s="85"/>
      <c r="T1" s="85"/>
      <c r="U1" s="85"/>
      <c r="V1" s="85"/>
      <c r="W1" s="85"/>
      <c r="X1" s="85"/>
      <c r="Y1" s="85"/>
      <c r="Z1" s="85"/>
    </row>
    <row r="2" customFormat="false" ht="12" hidden="false" customHeight="true" outlineLevel="0" collapsed="false">
      <c r="A2" s="283"/>
      <c r="B2" s="283"/>
      <c r="C2" s="283"/>
      <c r="D2" s="283"/>
      <c r="E2" s="283"/>
      <c r="F2" s="283"/>
      <c r="G2" s="85"/>
      <c r="H2" s="85"/>
      <c r="I2" s="85"/>
      <c r="J2" s="85"/>
      <c r="K2" s="85"/>
      <c r="L2" s="85"/>
      <c r="M2" s="85"/>
      <c r="N2" s="85"/>
      <c r="O2" s="85"/>
      <c r="P2" s="85"/>
      <c r="Q2" s="85"/>
      <c r="R2" s="85"/>
      <c r="S2" s="85"/>
      <c r="T2" s="85"/>
      <c r="U2" s="85"/>
      <c r="V2" s="85"/>
      <c r="W2" s="85"/>
      <c r="X2" s="85"/>
      <c r="Y2" s="85"/>
      <c r="Z2" s="85"/>
    </row>
    <row r="3" customFormat="false" ht="12" hidden="false" customHeight="true" outlineLevel="0" collapsed="false">
      <c r="A3" s="283"/>
      <c r="B3" s="283"/>
      <c r="C3" s="283"/>
      <c r="D3" s="283"/>
      <c r="E3" s="283"/>
      <c r="F3" s="283"/>
      <c r="G3" s="85"/>
      <c r="H3" s="85"/>
      <c r="I3" s="85"/>
      <c r="J3" s="85"/>
      <c r="K3" s="85"/>
      <c r="L3" s="85"/>
      <c r="M3" s="85"/>
      <c r="N3" s="85"/>
      <c r="O3" s="85"/>
      <c r="P3" s="85"/>
      <c r="Q3" s="85"/>
      <c r="R3" s="85"/>
      <c r="S3" s="85"/>
      <c r="T3" s="85"/>
      <c r="U3" s="85"/>
      <c r="V3" s="85"/>
      <c r="W3" s="85"/>
      <c r="X3" s="85"/>
      <c r="Y3" s="85"/>
      <c r="Z3" s="85"/>
    </row>
    <row r="4" customFormat="false" ht="12" hidden="false" customHeight="true" outlineLevel="0" collapsed="false">
      <c r="A4" s="284" t="s">
        <v>259</v>
      </c>
      <c r="B4" s="285" t="s">
        <v>368</v>
      </c>
      <c r="C4" s="284" t="s">
        <v>369</v>
      </c>
      <c r="D4" s="286" t="s">
        <v>370</v>
      </c>
      <c r="E4" s="286" t="s">
        <v>371</v>
      </c>
      <c r="F4" s="286" t="s">
        <v>372</v>
      </c>
      <c r="G4" s="85"/>
      <c r="H4" s="85"/>
      <c r="I4" s="85"/>
      <c r="J4" s="85"/>
      <c r="K4" s="85"/>
      <c r="L4" s="85"/>
      <c r="M4" s="85"/>
      <c r="N4" s="85"/>
      <c r="O4" s="85"/>
      <c r="P4" s="85"/>
      <c r="Q4" s="85"/>
      <c r="R4" s="85"/>
      <c r="S4" s="85"/>
      <c r="T4" s="85"/>
      <c r="U4" s="85"/>
      <c r="V4" s="85"/>
      <c r="W4" s="85"/>
      <c r="X4" s="85"/>
      <c r="Y4" s="85"/>
      <c r="Z4" s="85"/>
    </row>
    <row r="5" customFormat="false" ht="12" hidden="false" customHeight="true" outlineLevel="0" collapsed="false">
      <c r="A5" s="287" t="s">
        <v>373</v>
      </c>
      <c r="B5" s="285" t="s">
        <v>374</v>
      </c>
      <c r="C5" s="288" t="n">
        <v>0.00438488981696718</v>
      </c>
      <c r="D5" s="288" t="n">
        <f aca="false">$B$1+E5</f>
        <v>0.0507055028663616</v>
      </c>
      <c r="E5" s="288" t="n">
        <v>0.00480550286636164</v>
      </c>
      <c r="F5" s="288" t="n">
        <v>0.55</v>
      </c>
      <c r="G5" s="85"/>
      <c r="H5" s="85"/>
      <c r="I5" s="85"/>
      <c r="J5" s="85"/>
      <c r="K5" s="85"/>
      <c r="L5" s="85"/>
      <c r="M5" s="85"/>
      <c r="N5" s="85"/>
      <c r="O5" s="85"/>
      <c r="P5" s="85"/>
      <c r="Q5" s="85"/>
      <c r="R5" s="85"/>
      <c r="S5" s="85"/>
      <c r="T5" s="85"/>
      <c r="U5" s="85"/>
      <c r="V5" s="85"/>
      <c r="W5" s="85"/>
      <c r="X5" s="85"/>
      <c r="Y5" s="85"/>
      <c r="Z5" s="85"/>
    </row>
    <row r="6" customFormat="false" ht="12" hidden="false" customHeight="true" outlineLevel="0" collapsed="false">
      <c r="A6" s="287" t="s">
        <v>375</v>
      </c>
      <c r="B6" s="285" t="s">
        <v>376</v>
      </c>
      <c r="C6" s="288" t="n">
        <v>0.0397829094303022</v>
      </c>
      <c r="D6" s="288" t="n">
        <f aca="false">$B$1+E6</f>
        <v>0.0894990169148083</v>
      </c>
      <c r="E6" s="288" t="n">
        <v>0.0435990169148083</v>
      </c>
      <c r="F6" s="288" t="n">
        <v>0.15</v>
      </c>
      <c r="G6" s="85"/>
      <c r="H6" s="85"/>
      <c r="I6" s="85"/>
      <c r="J6" s="85"/>
      <c r="K6" s="85"/>
      <c r="L6" s="85"/>
      <c r="M6" s="85"/>
      <c r="N6" s="85"/>
      <c r="O6" s="85"/>
      <c r="P6" s="85"/>
      <c r="Q6" s="85"/>
      <c r="R6" s="85"/>
      <c r="S6" s="85"/>
      <c r="T6" s="85"/>
      <c r="U6" s="85"/>
      <c r="V6" s="85"/>
      <c r="W6" s="85"/>
      <c r="X6" s="85"/>
      <c r="Y6" s="85"/>
      <c r="Z6" s="85"/>
    </row>
    <row r="7" customFormat="false" ht="12" hidden="false" customHeight="true" outlineLevel="0" collapsed="false">
      <c r="A7" s="289" t="s">
        <v>377</v>
      </c>
      <c r="B7" s="285" t="s">
        <v>378</v>
      </c>
      <c r="C7" s="116" t="n">
        <v>0.0795658188606044</v>
      </c>
      <c r="D7" s="288" t="n">
        <f aca="false">$B$1+E7</f>
        <v>0.133098033829617</v>
      </c>
      <c r="E7" s="290" t="n">
        <v>0.0871980338296166</v>
      </c>
      <c r="F7" s="290" t="n">
        <v>0.26</v>
      </c>
      <c r="G7" s="85"/>
      <c r="H7" s="85"/>
      <c r="I7" s="85"/>
      <c r="J7" s="85"/>
      <c r="K7" s="85"/>
      <c r="L7" s="85"/>
      <c r="M7" s="85"/>
      <c r="N7" s="85"/>
      <c r="O7" s="85"/>
      <c r="P7" s="85"/>
      <c r="Q7" s="85"/>
      <c r="R7" s="85"/>
      <c r="S7" s="85"/>
      <c r="T7" s="85"/>
      <c r="U7" s="85"/>
      <c r="V7" s="85"/>
      <c r="W7" s="85"/>
      <c r="X7" s="85"/>
      <c r="Y7" s="85"/>
      <c r="Z7" s="85"/>
    </row>
    <row r="8" customFormat="false" ht="12" hidden="false" customHeight="true" outlineLevel="0" collapsed="false">
      <c r="A8" s="287" t="s">
        <v>379</v>
      </c>
      <c r="B8" s="285" t="s">
        <v>380</v>
      </c>
      <c r="C8" s="288" t="n">
        <v>0.0662516988709041</v>
      </c>
      <c r="D8" s="288" t="n">
        <f aca="false">$B$1+E8</f>
        <v>0.118506779671755</v>
      </c>
      <c r="E8" s="288" t="n">
        <v>0.0726067796717549</v>
      </c>
      <c r="F8" s="288" t="n">
        <v>0.1</v>
      </c>
      <c r="G8" s="85"/>
      <c r="H8" s="85"/>
      <c r="I8" s="85"/>
      <c r="J8" s="85"/>
      <c r="K8" s="85"/>
      <c r="L8" s="85"/>
      <c r="M8" s="85"/>
      <c r="N8" s="85"/>
      <c r="O8" s="85"/>
      <c r="P8" s="85"/>
      <c r="Q8" s="85"/>
      <c r="R8" s="85"/>
      <c r="S8" s="85"/>
      <c r="T8" s="85"/>
      <c r="U8" s="85"/>
      <c r="V8" s="85"/>
      <c r="W8" s="85"/>
      <c r="X8" s="85"/>
      <c r="Y8" s="85"/>
      <c r="Z8" s="85"/>
    </row>
    <row r="9" customFormat="false" ht="12" hidden="false" customHeight="true" outlineLevel="0" collapsed="false">
      <c r="A9" s="287" t="s">
        <v>381</v>
      </c>
      <c r="B9" s="285" t="s">
        <v>380</v>
      </c>
      <c r="C9" s="288" t="n">
        <v>0.0662516988709041</v>
      </c>
      <c r="D9" s="288" t="n">
        <f aca="false">$B$1+E9</f>
        <v>0.118506779671755</v>
      </c>
      <c r="E9" s="288" t="n">
        <v>0.0726067796717549</v>
      </c>
      <c r="F9" s="288" t="n">
        <v>0.3</v>
      </c>
      <c r="G9" s="85"/>
      <c r="H9" s="85"/>
      <c r="I9" s="85"/>
      <c r="J9" s="85"/>
      <c r="K9" s="85"/>
      <c r="L9" s="85"/>
      <c r="M9" s="85"/>
      <c r="N9" s="85"/>
      <c r="O9" s="85"/>
      <c r="P9" s="85"/>
      <c r="Q9" s="85"/>
      <c r="R9" s="85"/>
      <c r="S9" s="85"/>
      <c r="T9" s="85"/>
      <c r="U9" s="85"/>
      <c r="V9" s="85"/>
      <c r="W9" s="85"/>
      <c r="X9" s="85"/>
      <c r="Y9" s="85"/>
      <c r="Z9" s="85"/>
    </row>
    <row r="10" customFormat="false" ht="12" hidden="false" customHeight="true" outlineLevel="0" collapsed="false">
      <c r="A10" s="287" t="s">
        <v>382</v>
      </c>
      <c r="B10" s="285" t="s">
        <v>383</v>
      </c>
      <c r="C10" s="288" t="n">
        <v>0.106034608301206</v>
      </c>
      <c r="D10" s="288" t="n">
        <f aca="false">$B$1+E10</f>
        <v>0.162105796586563</v>
      </c>
      <c r="E10" s="288" t="n">
        <v>0.116205796586563</v>
      </c>
      <c r="F10" s="288" t="n">
        <v>0.3</v>
      </c>
      <c r="G10" s="85"/>
      <c r="H10" s="85"/>
      <c r="I10" s="85"/>
      <c r="J10" s="85"/>
      <c r="K10" s="85"/>
      <c r="L10" s="85"/>
      <c r="M10" s="85"/>
      <c r="N10" s="85"/>
      <c r="O10" s="85"/>
      <c r="P10" s="85"/>
      <c r="Q10" s="85"/>
      <c r="R10" s="85"/>
      <c r="S10" s="85"/>
      <c r="T10" s="85"/>
      <c r="U10" s="85"/>
      <c r="V10" s="85"/>
      <c r="W10" s="85"/>
      <c r="X10" s="85"/>
      <c r="Y10" s="85"/>
      <c r="Z10" s="85"/>
    </row>
    <row r="11" customFormat="false" ht="12" hidden="false" customHeight="true" outlineLevel="0" collapsed="false">
      <c r="A11" s="287" t="s">
        <v>384</v>
      </c>
      <c r="B11" s="285" t="s">
        <v>385</v>
      </c>
      <c r="C11" s="288" t="n">
        <v>0.0318103824903619</v>
      </c>
      <c r="D11" s="288" t="n">
        <f aca="false">$B$1+E11</f>
        <v>0.080761738975969</v>
      </c>
      <c r="E11" s="288" t="n">
        <v>0.034861738975969</v>
      </c>
      <c r="F11" s="288" t="n">
        <v>0.18</v>
      </c>
      <c r="G11" s="85"/>
      <c r="H11" s="85"/>
      <c r="I11" s="85"/>
      <c r="J11" s="85"/>
      <c r="K11" s="85"/>
      <c r="L11" s="85"/>
      <c r="M11" s="85"/>
      <c r="N11" s="85"/>
      <c r="O11" s="85"/>
      <c r="P11" s="85"/>
      <c r="Q11" s="85"/>
      <c r="R11" s="85"/>
      <c r="S11" s="85"/>
      <c r="T11" s="85"/>
      <c r="U11" s="85"/>
      <c r="V11" s="85"/>
      <c r="W11" s="85"/>
      <c r="X11" s="85"/>
      <c r="Y11" s="85"/>
      <c r="Z11" s="85"/>
    </row>
    <row r="12" customFormat="false" ht="12" hidden="false" customHeight="true" outlineLevel="0" collapsed="false">
      <c r="A12" s="287" t="s">
        <v>386</v>
      </c>
      <c r="B12" s="285" t="s">
        <v>387</v>
      </c>
      <c r="C12" s="288" t="n">
        <v>0.0141113726836944</v>
      </c>
      <c r="D12" s="288" t="n">
        <f aca="false">$B$1+E12</f>
        <v>0.0613649819517456</v>
      </c>
      <c r="E12" s="288" t="n">
        <v>0.0154649819517456</v>
      </c>
      <c r="F12" s="288" t="n">
        <v>0.25</v>
      </c>
      <c r="G12" s="85"/>
      <c r="H12" s="85"/>
      <c r="I12" s="85"/>
      <c r="J12" s="85"/>
      <c r="K12" s="85"/>
      <c r="L12" s="85"/>
      <c r="M12" s="85"/>
      <c r="N12" s="85"/>
      <c r="O12" s="85"/>
      <c r="P12" s="85"/>
      <c r="Q12" s="85"/>
      <c r="R12" s="85"/>
      <c r="S12" s="85"/>
      <c r="T12" s="85"/>
      <c r="U12" s="85"/>
      <c r="V12" s="85"/>
      <c r="W12" s="85"/>
      <c r="X12" s="85"/>
      <c r="Y12" s="85"/>
      <c r="Z12" s="85"/>
    </row>
    <row r="13" customFormat="false" ht="12" hidden="false" customHeight="true" outlineLevel="0" collapsed="false">
      <c r="A13" s="287" t="s">
        <v>388</v>
      </c>
      <c r="B13" s="285" t="s">
        <v>389</v>
      </c>
      <c r="C13" s="288" t="n">
        <v>0</v>
      </c>
      <c r="D13" s="288" t="n">
        <f aca="false">$B$1+E13</f>
        <v>0.0459</v>
      </c>
      <c r="E13" s="288" t="n">
        <v>0</v>
      </c>
      <c r="F13" s="288" t="n">
        <v>0.3</v>
      </c>
      <c r="G13" s="85"/>
      <c r="H13" s="85"/>
      <c r="I13" s="85"/>
      <c r="J13" s="85"/>
      <c r="K13" s="85"/>
      <c r="L13" s="85"/>
      <c r="M13" s="85"/>
      <c r="N13" s="85"/>
      <c r="O13" s="85"/>
      <c r="P13" s="85"/>
      <c r="Q13" s="85"/>
      <c r="R13" s="85"/>
      <c r="S13" s="85"/>
      <c r="T13" s="85"/>
      <c r="U13" s="85"/>
      <c r="V13" s="85"/>
      <c r="W13" s="85"/>
      <c r="X13" s="85"/>
      <c r="Y13" s="85"/>
      <c r="Z13" s="85"/>
    </row>
    <row r="14" customFormat="false" ht="12" hidden="false" customHeight="true" outlineLevel="0" collapsed="false">
      <c r="A14" s="287" t="s">
        <v>390</v>
      </c>
      <c r="B14" s="285" t="s">
        <v>391</v>
      </c>
      <c r="C14" s="288" t="n">
        <v>0.00350791185357374</v>
      </c>
      <c r="D14" s="288" t="n">
        <f aca="false">$B$1+E14</f>
        <v>0.0497444022930893</v>
      </c>
      <c r="E14" s="288" t="n">
        <v>0.00384440229308931</v>
      </c>
      <c r="F14" s="288" t="n">
        <v>0.25</v>
      </c>
      <c r="G14" s="85"/>
      <c r="H14" s="85"/>
      <c r="I14" s="85"/>
      <c r="J14" s="85"/>
      <c r="K14" s="85"/>
      <c r="L14" s="85"/>
      <c r="M14" s="85"/>
      <c r="N14" s="85"/>
      <c r="O14" s="85"/>
      <c r="P14" s="85"/>
      <c r="Q14" s="85"/>
      <c r="R14" s="85"/>
      <c r="S14" s="85"/>
      <c r="T14" s="85"/>
      <c r="U14" s="85"/>
      <c r="V14" s="85"/>
      <c r="W14" s="85"/>
      <c r="X14" s="85"/>
      <c r="Y14" s="85"/>
      <c r="Z14" s="85"/>
    </row>
    <row r="15" customFormat="false" ht="12" hidden="false" customHeight="true" outlineLevel="0" collapsed="false">
      <c r="A15" s="287" t="s">
        <v>392</v>
      </c>
      <c r="B15" s="285" t="s">
        <v>393</v>
      </c>
      <c r="C15" s="288" t="n">
        <v>0.0265485147100013</v>
      </c>
      <c r="D15" s="288" t="n">
        <f aca="false">$B$1+E15</f>
        <v>0.074995135536335</v>
      </c>
      <c r="E15" s="288" t="n">
        <v>0.029095135536335</v>
      </c>
      <c r="F15" s="288" t="n">
        <v>0.2</v>
      </c>
      <c r="G15" s="85"/>
      <c r="H15" s="85"/>
      <c r="I15" s="85"/>
      <c r="J15" s="85"/>
      <c r="K15" s="85"/>
      <c r="L15" s="85"/>
      <c r="M15" s="85"/>
      <c r="N15" s="85"/>
      <c r="O15" s="85"/>
      <c r="P15" s="85"/>
      <c r="Q15" s="85"/>
      <c r="R15" s="85"/>
      <c r="S15" s="85"/>
      <c r="T15" s="85"/>
      <c r="U15" s="85"/>
      <c r="V15" s="85"/>
      <c r="W15" s="85"/>
      <c r="X15" s="85"/>
      <c r="Y15" s="85"/>
      <c r="Z15" s="85"/>
    </row>
    <row r="16" customFormat="false" ht="12" hidden="false" customHeight="true" outlineLevel="0" collapsed="false">
      <c r="A16" s="287" t="s">
        <v>394</v>
      </c>
      <c r="B16" s="285" t="s">
        <v>393</v>
      </c>
      <c r="C16" s="288" t="n">
        <v>0.0265485147100013</v>
      </c>
      <c r="D16" s="288" t="n">
        <f aca="false">$B$1+E16</f>
        <v>0.074995135536335</v>
      </c>
      <c r="E16" s="288" t="n">
        <v>0.029095135536335</v>
      </c>
      <c r="F16" s="288" t="n">
        <v>0</v>
      </c>
      <c r="G16" s="85"/>
      <c r="H16" s="85"/>
      <c r="I16" s="85"/>
      <c r="J16" s="85"/>
      <c r="K16" s="85"/>
      <c r="L16" s="85"/>
      <c r="M16" s="85"/>
      <c r="N16" s="85"/>
      <c r="O16" s="85"/>
      <c r="P16" s="85"/>
      <c r="Q16" s="85"/>
      <c r="R16" s="85"/>
      <c r="S16" s="85"/>
      <c r="T16" s="85"/>
      <c r="U16" s="85"/>
      <c r="V16" s="85"/>
      <c r="W16" s="85"/>
      <c r="X16" s="85"/>
      <c r="Y16" s="85"/>
      <c r="Z16" s="85"/>
    </row>
    <row r="17" customFormat="false" ht="12" hidden="false" customHeight="true" outlineLevel="0" collapsed="false">
      <c r="A17" s="287" t="s">
        <v>395</v>
      </c>
      <c r="B17" s="285" t="s">
        <v>396</v>
      </c>
      <c r="C17" s="288" t="n">
        <v>0.048632414333636</v>
      </c>
      <c r="D17" s="288" t="n">
        <f aca="false">$B$1+E17</f>
        <v>0.09919739542692</v>
      </c>
      <c r="E17" s="288" t="n">
        <v>0.05329739542692</v>
      </c>
      <c r="F17" s="288" t="n">
        <v>0</v>
      </c>
      <c r="G17" s="85"/>
      <c r="H17" s="85"/>
      <c r="I17" s="85"/>
      <c r="J17" s="85"/>
      <c r="K17" s="85"/>
      <c r="L17" s="85"/>
      <c r="M17" s="85"/>
      <c r="N17" s="85"/>
      <c r="O17" s="85"/>
      <c r="P17" s="85"/>
      <c r="Q17" s="85"/>
      <c r="R17" s="85"/>
      <c r="S17" s="85"/>
      <c r="T17" s="85"/>
      <c r="U17" s="85"/>
      <c r="V17" s="85"/>
      <c r="W17" s="85"/>
      <c r="X17" s="85"/>
      <c r="Y17" s="85"/>
      <c r="Z17" s="85"/>
    </row>
    <row r="18" customFormat="false" ht="12" hidden="false" customHeight="true" outlineLevel="0" collapsed="false">
      <c r="A18" s="287" t="s">
        <v>397</v>
      </c>
      <c r="B18" s="285" t="s">
        <v>385</v>
      </c>
      <c r="C18" s="288" t="n">
        <v>0.0318103824903619</v>
      </c>
      <c r="D18" s="288" t="n">
        <f aca="false">$B$1+E18</f>
        <v>0.080761738975969</v>
      </c>
      <c r="E18" s="288" t="n">
        <v>0.034861738975969</v>
      </c>
      <c r="F18" s="288" t="n">
        <v>0.25</v>
      </c>
      <c r="G18" s="85"/>
      <c r="H18" s="85"/>
      <c r="I18" s="85"/>
      <c r="J18" s="85"/>
      <c r="K18" s="85"/>
      <c r="L18" s="85"/>
      <c r="M18" s="85"/>
      <c r="N18" s="85"/>
      <c r="O18" s="85"/>
      <c r="P18" s="85"/>
      <c r="Q18" s="85"/>
      <c r="R18" s="85"/>
      <c r="S18" s="85"/>
      <c r="T18" s="85"/>
      <c r="U18" s="85"/>
      <c r="V18" s="85"/>
      <c r="W18" s="85"/>
      <c r="X18" s="85"/>
      <c r="Y18" s="85"/>
      <c r="Z18" s="85"/>
    </row>
    <row r="19" customFormat="false" ht="12" hidden="false" customHeight="true" outlineLevel="0" collapsed="false">
      <c r="A19" s="287" t="s">
        <v>398</v>
      </c>
      <c r="B19" s="285" t="s">
        <v>380</v>
      </c>
      <c r="C19" s="288" t="n">
        <v>0.0662516988709041</v>
      </c>
      <c r="D19" s="288" t="n">
        <f aca="false">$B$1+E19</f>
        <v>0.118506779671755</v>
      </c>
      <c r="E19" s="288" t="n">
        <v>0.0726067796717549</v>
      </c>
      <c r="F19" s="288" t="n">
        <v>0.055</v>
      </c>
      <c r="G19" s="85"/>
      <c r="H19" s="85"/>
      <c r="I19" s="85"/>
      <c r="J19" s="85"/>
      <c r="K19" s="85"/>
      <c r="L19" s="85"/>
      <c r="M19" s="85"/>
      <c r="N19" s="85"/>
      <c r="O19" s="85"/>
      <c r="P19" s="85"/>
      <c r="Q19" s="85"/>
      <c r="R19" s="85"/>
      <c r="S19" s="85"/>
      <c r="T19" s="85"/>
      <c r="U19" s="85"/>
      <c r="V19" s="85"/>
      <c r="W19" s="85"/>
      <c r="X19" s="85"/>
      <c r="Y19" s="85"/>
      <c r="Z19" s="85"/>
    </row>
    <row r="20" customFormat="false" ht="12" hidden="false" customHeight="true" outlineLevel="0" collapsed="false">
      <c r="A20" s="287" t="s">
        <v>399</v>
      </c>
      <c r="B20" s="285" t="s">
        <v>400</v>
      </c>
      <c r="C20" s="288" t="n">
        <v>0.0574819192369697</v>
      </c>
      <c r="D20" s="288" t="n">
        <f aca="false">$B$1+E20</f>
        <v>0.108895773939032</v>
      </c>
      <c r="E20" s="288" t="n">
        <v>0.0629957739390316</v>
      </c>
      <c r="F20" s="288" t="n">
        <v>0.18</v>
      </c>
      <c r="G20" s="85"/>
      <c r="H20" s="85"/>
      <c r="I20" s="85"/>
      <c r="J20" s="85"/>
      <c r="K20" s="85"/>
      <c r="L20" s="85"/>
      <c r="M20" s="85"/>
      <c r="N20" s="85"/>
      <c r="O20" s="85"/>
      <c r="P20" s="85"/>
      <c r="Q20" s="85"/>
      <c r="R20" s="85"/>
      <c r="S20" s="85"/>
      <c r="T20" s="85"/>
      <c r="U20" s="85"/>
      <c r="V20" s="85"/>
      <c r="W20" s="85"/>
      <c r="X20" s="85"/>
      <c r="Y20" s="85"/>
      <c r="Z20" s="85"/>
    </row>
    <row r="21" customFormat="false" ht="12" hidden="false" customHeight="true" outlineLevel="0" collapsed="false">
      <c r="A21" s="287" t="s">
        <v>401</v>
      </c>
      <c r="B21" s="285" t="s">
        <v>402</v>
      </c>
      <c r="C21" s="288" t="n">
        <v>0.00534159304976002</v>
      </c>
      <c r="D21" s="288" t="n">
        <f aca="false">$B$1+E21</f>
        <v>0.0517539762190224</v>
      </c>
      <c r="E21" s="288" t="n">
        <v>0.00585397621902236</v>
      </c>
      <c r="F21" s="288" t="n">
        <v>0.29</v>
      </c>
      <c r="G21" s="85"/>
      <c r="H21" s="85"/>
      <c r="I21" s="85"/>
      <c r="J21" s="85"/>
      <c r="K21" s="85"/>
      <c r="L21" s="85"/>
      <c r="M21" s="85"/>
      <c r="N21" s="85"/>
      <c r="O21" s="85"/>
      <c r="P21" s="85"/>
      <c r="Q21" s="85"/>
      <c r="R21" s="85"/>
      <c r="S21" s="85"/>
      <c r="T21" s="85"/>
      <c r="U21" s="85"/>
      <c r="V21" s="85"/>
      <c r="W21" s="85"/>
      <c r="X21" s="85"/>
      <c r="Y21" s="85"/>
      <c r="Z21" s="85"/>
    </row>
    <row r="22" customFormat="false" ht="12" hidden="false" customHeight="true" outlineLevel="0" collapsed="false">
      <c r="A22" s="287" t="s">
        <v>403</v>
      </c>
      <c r="B22" s="285" t="s">
        <v>404</v>
      </c>
      <c r="C22" s="288" t="n">
        <v>0.0883355984945388</v>
      </c>
      <c r="D22" s="288" t="n">
        <f aca="false">$B$1+E22</f>
        <v>0.14270903956234</v>
      </c>
      <c r="E22" s="288" t="n">
        <v>0.0968090395623399</v>
      </c>
      <c r="F22" s="288" t="n">
        <v>0.2825</v>
      </c>
      <c r="G22" s="85"/>
      <c r="H22" s="85"/>
      <c r="I22" s="85"/>
      <c r="J22" s="85"/>
      <c r="K22" s="85"/>
      <c r="L22" s="85"/>
      <c r="M22" s="85"/>
      <c r="N22" s="85"/>
      <c r="O22" s="85"/>
      <c r="P22" s="85"/>
      <c r="Q22" s="85"/>
      <c r="R22" s="85"/>
      <c r="S22" s="85"/>
      <c r="T22" s="85"/>
      <c r="U22" s="85"/>
      <c r="V22" s="85"/>
      <c r="W22" s="85"/>
      <c r="X22" s="85"/>
      <c r="Y22" s="85"/>
      <c r="Z22" s="85"/>
    </row>
    <row r="23" customFormat="false" ht="12" hidden="false" customHeight="true" outlineLevel="0" collapsed="false">
      <c r="A23" s="287" t="s">
        <v>405</v>
      </c>
      <c r="B23" s="285" t="s">
        <v>396</v>
      </c>
      <c r="C23" s="288" t="n">
        <v>0.048632414333636</v>
      </c>
      <c r="D23" s="288" t="n">
        <f aca="false">$B$1+E23</f>
        <v>0.09919739542692</v>
      </c>
      <c r="E23" s="288" t="n">
        <v>0.05329739542692</v>
      </c>
      <c r="F23" s="288" t="n">
        <v>0.3</v>
      </c>
      <c r="G23" s="85"/>
      <c r="H23" s="85"/>
      <c r="I23" s="85"/>
      <c r="J23" s="85"/>
      <c r="K23" s="85"/>
      <c r="L23" s="85"/>
      <c r="M23" s="85"/>
      <c r="N23" s="85"/>
      <c r="O23" s="85"/>
      <c r="P23" s="85"/>
      <c r="Q23" s="85"/>
      <c r="R23" s="85"/>
      <c r="S23" s="85"/>
      <c r="T23" s="85"/>
      <c r="U23" s="85"/>
      <c r="V23" s="85"/>
      <c r="W23" s="85"/>
      <c r="X23" s="85"/>
      <c r="Y23" s="85"/>
      <c r="Z23" s="85"/>
    </row>
    <row r="24" customFormat="false" ht="12" hidden="false" customHeight="true" outlineLevel="0" collapsed="false">
      <c r="A24" s="287" t="s">
        <v>406</v>
      </c>
      <c r="B24" s="285" t="s">
        <v>407</v>
      </c>
      <c r="C24" s="288" t="n">
        <v>0.0074941753235439</v>
      </c>
      <c r="D24" s="288" t="n">
        <f aca="false">$B$1+E24</f>
        <v>0.054113041262509</v>
      </c>
      <c r="E24" s="288" t="n">
        <v>0.00821304126250898</v>
      </c>
      <c r="F24" s="288" t="n">
        <v>0</v>
      </c>
      <c r="G24" s="85"/>
      <c r="H24" s="85"/>
      <c r="I24" s="85"/>
      <c r="J24" s="85"/>
      <c r="K24" s="85"/>
      <c r="L24" s="85"/>
      <c r="M24" s="85"/>
      <c r="N24" s="85"/>
      <c r="O24" s="85"/>
      <c r="P24" s="85"/>
      <c r="Q24" s="85"/>
      <c r="R24" s="85"/>
      <c r="S24" s="85"/>
      <c r="T24" s="85"/>
      <c r="U24" s="85"/>
      <c r="V24" s="85"/>
      <c r="W24" s="85"/>
      <c r="X24" s="85"/>
      <c r="Y24" s="85"/>
      <c r="Z24" s="85"/>
    </row>
    <row r="25" customFormat="false" ht="12" hidden="false" customHeight="true" outlineLevel="0" collapsed="false">
      <c r="A25" s="287" t="s">
        <v>408</v>
      </c>
      <c r="B25" s="285" t="s">
        <v>396</v>
      </c>
      <c r="C25" s="288" t="n">
        <v>0.048632414333636</v>
      </c>
      <c r="D25" s="288" t="n">
        <f aca="false">$B$1+E25</f>
        <v>0.09919739542692</v>
      </c>
      <c r="E25" s="288" t="n">
        <v>0.05329739542692</v>
      </c>
      <c r="F25" s="288" t="n">
        <v>0.25</v>
      </c>
      <c r="G25" s="85"/>
      <c r="H25" s="85"/>
      <c r="I25" s="85"/>
      <c r="J25" s="85"/>
      <c r="K25" s="85"/>
      <c r="L25" s="85"/>
      <c r="M25" s="85"/>
      <c r="N25" s="85"/>
      <c r="O25" s="85"/>
      <c r="P25" s="85"/>
      <c r="Q25" s="85"/>
      <c r="R25" s="85"/>
      <c r="S25" s="85"/>
      <c r="T25" s="85"/>
      <c r="U25" s="85"/>
      <c r="V25" s="85"/>
      <c r="W25" s="85"/>
      <c r="X25" s="85"/>
      <c r="Y25" s="85"/>
      <c r="Z25" s="85"/>
    </row>
    <row r="26" customFormat="false" ht="12" hidden="false" customHeight="true" outlineLevel="0" collapsed="false">
      <c r="A26" s="287" t="s">
        <v>409</v>
      </c>
      <c r="B26" s="285" t="s">
        <v>400</v>
      </c>
      <c r="C26" s="288" t="n">
        <v>0.0574819192369697</v>
      </c>
      <c r="D26" s="288" t="n">
        <f aca="false">$B$1+E26</f>
        <v>0.108895773939032</v>
      </c>
      <c r="E26" s="288" t="n">
        <v>0.0629957739390316</v>
      </c>
      <c r="F26" s="288" t="n">
        <v>0.1</v>
      </c>
      <c r="G26" s="85"/>
      <c r="H26" s="85"/>
      <c r="I26" s="85"/>
      <c r="J26" s="85"/>
      <c r="K26" s="85"/>
      <c r="L26" s="85"/>
      <c r="M26" s="85"/>
      <c r="N26" s="85"/>
      <c r="O26" s="85"/>
      <c r="P26" s="85"/>
      <c r="Q26" s="85"/>
      <c r="R26" s="85"/>
      <c r="S26" s="85"/>
      <c r="T26" s="85"/>
      <c r="U26" s="85"/>
      <c r="V26" s="85"/>
      <c r="W26" s="85"/>
      <c r="X26" s="85"/>
      <c r="Y26" s="85"/>
      <c r="Z26" s="85"/>
    </row>
    <row r="27" customFormat="false" ht="12" hidden="false" customHeight="true" outlineLevel="0" collapsed="false">
      <c r="A27" s="287" t="s">
        <v>410</v>
      </c>
      <c r="B27" s="285" t="s">
        <v>407</v>
      </c>
      <c r="C27" s="288" t="n">
        <v>0.0074941753235439</v>
      </c>
      <c r="D27" s="288" t="n">
        <f aca="false">$B$1+E27</f>
        <v>0.054113041262509</v>
      </c>
      <c r="E27" s="288" t="n">
        <v>0.00821304126250898</v>
      </c>
      <c r="F27" s="288" t="n">
        <v>0.22</v>
      </c>
      <c r="G27" s="85"/>
      <c r="H27" s="85"/>
      <c r="I27" s="85"/>
      <c r="J27" s="85"/>
      <c r="K27" s="85"/>
      <c r="L27" s="85"/>
      <c r="M27" s="85"/>
      <c r="N27" s="85"/>
      <c r="O27" s="85"/>
      <c r="P27" s="85"/>
      <c r="Q27" s="85"/>
      <c r="R27" s="85"/>
      <c r="S27" s="85"/>
      <c r="T27" s="85"/>
      <c r="U27" s="85"/>
      <c r="V27" s="85"/>
      <c r="W27" s="85"/>
      <c r="X27" s="85"/>
      <c r="Y27" s="85"/>
      <c r="Z27" s="85"/>
    </row>
    <row r="28" customFormat="false" ht="12" hidden="false" customHeight="true" outlineLevel="0" collapsed="false">
      <c r="A28" s="287" t="s">
        <v>411</v>
      </c>
      <c r="B28" s="285" t="s">
        <v>393</v>
      </c>
      <c r="C28" s="288" t="n">
        <v>0.0265485147100013</v>
      </c>
      <c r="D28" s="288" t="n">
        <f aca="false">$B$1+E28</f>
        <v>0.074995135536335</v>
      </c>
      <c r="E28" s="288" t="n">
        <v>0.029095135536335</v>
      </c>
      <c r="F28" s="288" t="n">
        <v>0.34</v>
      </c>
      <c r="G28" s="85"/>
      <c r="H28" s="85"/>
      <c r="I28" s="85"/>
      <c r="J28" s="85"/>
      <c r="K28" s="85"/>
      <c r="L28" s="85"/>
      <c r="M28" s="85"/>
      <c r="N28" s="85"/>
      <c r="O28" s="85"/>
      <c r="P28" s="85"/>
      <c r="Q28" s="85"/>
      <c r="R28" s="85"/>
      <c r="S28" s="85"/>
      <c r="T28" s="85"/>
      <c r="U28" s="85"/>
      <c r="V28" s="85"/>
      <c r="W28" s="85"/>
      <c r="X28" s="85"/>
      <c r="Y28" s="85"/>
      <c r="Z28" s="85"/>
    </row>
    <row r="29" customFormat="false" ht="12" hidden="false" customHeight="true" outlineLevel="0" collapsed="false">
      <c r="A29" s="291" t="s">
        <v>412</v>
      </c>
      <c r="B29" s="285" t="s">
        <v>378</v>
      </c>
      <c r="C29" s="288" t="n">
        <v>0.0302</v>
      </c>
      <c r="D29" s="288" t="n">
        <f aca="false">$B$1+E29</f>
        <v>0.079</v>
      </c>
      <c r="E29" s="288" t="n">
        <v>0.0331</v>
      </c>
      <c r="F29" s="288" t="n">
        <v>0.1698</v>
      </c>
      <c r="G29" s="85"/>
      <c r="H29" s="85"/>
      <c r="I29" s="85"/>
      <c r="J29" s="85"/>
      <c r="K29" s="85"/>
      <c r="L29" s="85"/>
      <c r="M29" s="85"/>
      <c r="N29" s="85"/>
      <c r="O29" s="85"/>
      <c r="P29" s="85"/>
      <c r="Q29" s="85"/>
      <c r="R29" s="85"/>
      <c r="S29" s="85"/>
      <c r="T29" s="85"/>
      <c r="U29" s="85"/>
      <c r="V29" s="85"/>
      <c r="W29" s="85"/>
      <c r="X29" s="85"/>
      <c r="Y29" s="85"/>
      <c r="Z29" s="85"/>
    </row>
    <row r="30" customFormat="false" ht="12" hidden="false" customHeight="true" outlineLevel="0" collapsed="false">
      <c r="A30" s="289" t="s">
        <v>413</v>
      </c>
      <c r="B30" s="285" t="s">
        <v>378</v>
      </c>
      <c r="C30" s="116" t="n">
        <v>0.0074941753235439</v>
      </c>
      <c r="D30" s="288" t="n">
        <f aca="false">$B$1+E30</f>
        <v>0.054113041262509</v>
      </c>
      <c r="E30" s="290" t="n">
        <v>0.00821304126250898</v>
      </c>
      <c r="F30" s="290" t="n">
        <v>0</v>
      </c>
      <c r="G30" s="85"/>
      <c r="H30" s="85"/>
      <c r="I30" s="85"/>
      <c r="J30" s="85"/>
      <c r="K30" s="85"/>
      <c r="L30" s="85"/>
      <c r="M30" s="85"/>
      <c r="N30" s="85"/>
      <c r="O30" s="85"/>
      <c r="P30" s="85"/>
      <c r="Q30" s="85"/>
      <c r="R30" s="85"/>
      <c r="S30" s="85"/>
      <c r="T30" s="85"/>
      <c r="U30" s="85"/>
      <c r="V30" s="85"/>
      <c r="W30" s="85"/>
      <c r="X30" s="85"/>
      <c r="Y30" s="85"/>
      <c r="Z30" s="85"/>
    </row>
    <row r="31" customFormat="false" ht="12" hidden="false" customHeight="true" outlineLevel="0" collapsed="false">
      <c r="A31" s="287" t="s">
        <v>414</v>
      </c>
      <c r="B31" s="285" t="s">
        <v>387</v>
      </c>
      <c r="C31" s="288" t="n">
        <v>0.0141113726836944</v>
      </c>
      <c r="D31" s="288" t="n">
        <f aca="false">$B$1+E31</f>
        <v>0.0613649819517456</v>
      </c>
      <c r="E31" s="288" t="n">
        <v>0.0154649819517456</v>
      </c>
      <c r="F31" s="288" t="n">
        <v>0.1</v>
      </c>
      <c r="G31" s="85"/>
      <c r="H31" s="85"/>
      <c r="I31" s="85"/>
      <c r="J31" s="85"/>
      <c r="K31" s="85"/>
      <c r="L31" s="85"/>
      <c r="M31" s="85"/>
      <c r="N31" s="85"/>
      <c r="O31" s="85"/>
      <c r="P31" s="85"/>
      <c r="Q31" s="85"/>
      <c r="R31" s="85"/>
      <c r="S31" s="85"/>
      <c r="T31" s="85"/>
      <c r="U31" s="85"/>
      <c r="V31" s="85"/>
      <c r="W31" s="85"/>
      <c r="X31" s="85"/>
      <c r="Y31" s="85"/>
      <c r="Z31" s="85"/>
    </row>
    <row r="32" customFormat="false" ht="12" hidden="false" customHeight="true" outlineLevel="0" collapsed="false">
      <c r="A32" s="287" t="s">
        <v>415</v>
      </c>
      <c r="B32" s="285" t="s">
        <v>396</v>
      </c>
      <c r="C32" s="288" t="n">
        <v>0.048632414333636</v>
      </c>
      <c r="D32" s="288" t="n">
        <f aca="false">$B$1+E32</f>
        <v>0.09919739542692</v>
      </c>
      <c r="E32" s="288" t="n">
        <v>0.05329739542692</v>
      </c>
      <c r="F32" s="288" t="n">
        <v>0.28</v>
      </c>
      <c r="G32" s="85"/>
      <c r="H32" s="85"/>
      <c r="I32" s="85"/>
      <c r="J32" s="85"/>
      <c r="K32" s="85"/>
      <c r="L32" s="85"/>
      <c r="M32" s="85"/>
      <c r="N32" s="85"/>
      <c r="O32" s="85"/>
      <c r="P32" s="85"/>
      <c r="Q32" s="85"/>
      <c r="R32" s="85"/>
      <c r="S32" s="85"/>
      <c r="T32" s="85"/>
      <c r="U32" s="85"/>
      <c r="V32" s="85"/>
      <c r="W32" s="85"/>
      <c r="X32" s="85"/>
      <c r="Y32" s="85"/>
      <c r="Z32" s="85"/>
    </row>
    <row r="33" customFormat="false" ht="12" hidden="false" customHeight="true" outlineLevel="0" collapsed="false">
      <c r="A33" s="287" t="s">
        <v>416</v>
      </c>
      <c r="B33" s="285" t="s">
        <v>396</v>
      </c>
      <c r="C33" s="288" t="n">
        <v>0.048632414333636</v>
      </c>
      <c r="D33" s="288" t="n">
        <f aca="false">$B$1+E33</f>
        <v>0.09919739542692</v>
      </c>
      <c r="E33" s="288" t="n">
        <v>0.05329739542692</v>
      </c>
      <c r="F33" s="288" t="n">
        <v>0.2</v>
      </c>
      <c r="G33" s="85"/>
      <c r="H33" s="85"/>
      <c r="I33" s="85"/>
      <c r="J33" s="85"/>
      <c r="K33" s="85"/>
      <c r="L33" s="85"/>
      <c r="M33" s="85"/>
      <c r="N33" s="85"/>
      <c r="O33" s="85"/>
      <c r="P33" s="85"/>
      <c r="Q33" s="85"/>
      <c r="R33" s="85"/>
      <c r="S33" s="85"/>
      <c r="T33" s="85"/>
      <c r="U33" s="85"/>
      <c r="V33" s="85"/>
      <c r="W33" s="85"/>
      <c r="X33" s="85"/>
      <c r="Y33" s="85"/>
      <c r="Z33" s="85"/>
    </row>
    <row r="34" customFormat="false" ht="12" hidden="false" customHeight="true" outlineLevel="0" collapsed="false">
      <c r="A34" s="287" t="s">
        <v>417</v>
      </c>
      <c r="B34" s="285" t="s">
        <v>396</v>
      </c>
      <c r="C34" s="288" t="n">
        <v>0.048632414333636</v>
      </c>
      <c r="D34" s="288" t="n">
        <f aca="false">$B$1+E34</f>
        <v>0.09919739542692</v>
      </c>
      <c r="E34" s="288" t="n">
        <v>0.05329739542692</v>
      </c>
      <c r="F34" s="288" t="n">
        <v>0.33</v>
      </c>
      <c r="G34" s="85"/>
      <c r="H34" s="85"/>
      <c r="I34" s="85"/>
      <c r="J34" s="85"/>
      <c r="K34" s="85"/>
      <c r="L34" s="85"/>
      <c r="M34" s="85"/>
      <c r="N34" s="85"/>
      <c r="O34" s="85"/>
      <c r="P34" s="85"/>
      <c r="Q34" s="85"/>
      <c r="R34" s="85"/>
      <c r="S34" s="85"/>
      <c r="T34" s="85"/>
      <c r="U34" s="85"/>
      <c r="V34" s="85"/>
      <c r="W34" s="85"/>
      <c r="X34" s="85"/>
      <c r="Y34" s="85"/>
      <c r="Z34" s="85"/>
    </row>
    <row r="35" customFormat="false" ht="12" hidden="false" customHeight="true" outlineLevel="0" collapsed="false">
      <c r="A35" s="287" t="s">
        <v>267</v>
      </c>
      <c r="B35" s="285" t="s">
        <v>389</v>
      </c>
      <c r="C35" s="288" t="n">
        <v>0</v>
      </c>
      <c r="D35" s="288" t="n">
        <f aca="false">$B$1+E35</f>
        <v>0.0459</v>
      </c>
      <c r="E35" s="288" t="n">
        <v>0</v>
      </c>
      <c r="F35" s="288" t="n">
        <v>0.265</v>
      </c>
      <c r="G35" s="85"/>
      <c r="H35" s="85"/>
      <c r="I35" s="85"/>
      <c r="J35" s="85"/>
      <c r="K35" s="85"/>
      <c r="L35" s="85"/>
      <c r="M35" s="85"/>
      <c r="N35" s="85"/>
      <c r="O35" s="85"/>
      <c r="P35" s="85"/>
      <c r="Q35" s="85"/>
      <c r="R35" s="85"/>
      <c r="S35" s="85"/>
      <c r="T35" s="85"/>
      <c r="U35" s="85"/>
      <c r="V35" s="85"/>
      <c r="W35" s="85"/>
      <c r="X35" s="85"/>
      <c r="Y35" s="85"/>
      <c r="Z35" s="85"/>
    </row>
    <row r="36" customFormat="false" ht="12" hidden="false" customHeight="true" outlineLevel="0" collapsed="false">
      <c r="A36" s="287" t="s">
        <v>418</v>
      </c>
      <c r="B36" s="285" t="s">
        <v>396</v>
      </c>
      <c r="C36" s="288" t="n">
        <v>0.048632414333636</v>
      </c>
      <c r="D36" s="288" t="n">
        <f aca="false">$B$1+E36</f>
        <v>0.09919739542692</v>
      </c>
      <c r="E36" s="288" t="n">
        <v>0.05329739542692</v>
      </c>
      <c r="F36" s="288" t="n">
        <v>0</v>
      </c>
      <c r="G36" s="85"/>
      <c r="H36" s="85"/>
      <c r="I36" s="85"/>
      <c r="J36" s="85"/>
      <c r="K36" s="85"/>
      <c r="L36" s="85"/>
      <c r="M36" s="85"/>
      <c r="N36" s="85"/>
      <c r="O36" s="85"/>
      <c r="P36" s="85"/>
      <c r="Q36" s="85"/>
      <c r="R36" s="85"/>
      <c r="S36" s="85"/>
      <c r="T36" s="85"/>
      <c r="U36" s="85"/>
      <c r="V36" s="85"/>
      <c r="W36" s="85"/>
      <c r="X36" s="85"/>
      <c r="Y36" s="85"/>
      <c r="Z36" s="85"/>
    </row>
    <row r="37" customFormat="false" ht="12" hidden="false" customHeight="true" outlineLevel="0" collapsed="false">
      <c r="A37" s="287" t="s">
        <v>419</v>
      </c>
      <c r="B37" s="285" t="s">
        <v>402</v>
      </c>
      <c r="C37" s="288" t="n">
        <v>0.00534159304976002</v>
      </c>
      <c r="D37" s="288" t="n">
        <f aca="false">$B$1+E37</f>
        <v>0.0517539762190224</v>
      </c>
      <c r="E37" s="288" t="n">
        <v>0.00585397621902236</v>
      </c>
      <c r="F37" s="288" t="n">
        <v>0</v>
      </c>
      <c r="G37" s="85"/>
      <c r="H37" s="85"/>
      <c r="I37" s="85"/>
      <c r="J37" s="85"/>
      <c r="K37" s="85"/>
      <c r="L37" s="85"/>
      <c r="M37" s="85"/>
      <c r="N37" s="85"/>
      <c r="O37" s="85"/>
      <c r="P37" s="85"/>
      <c r="Q37" s="85"/>
      <c r="R37" s="85"/>
      <c r="S37" s="85"/>
      <c r="T37" s="85"/>
      <c r="U37" s="85"/>
      <c r="V37" s="85"/>
      <c r="W37" s="85"/>
      <c r="X37" s="85"/>
      <c r="Y37" s="85"/>
      <c r="Z37" s="85"/>
    </row>
    <row r="38" customFormat="false" ht="12" hidden="false" customHeight="true" outlineLevel="0" collapsed="false">
      <c r="A38" s="287" t="s">
        <v>420</v>
      </c>
      <c r="B38" s="285" t="s">
        <v>421</v>
      </c>
      <c r="C38" s="288" t="n">
        <v>0.00621857101315345</v>
      </c>
      <c r="D38" s="288" t="n">
        <f aca="false">$B$1+E38</f>
        <v>0.0527150767922947</v>
      </c>
      <c r="E38" s="288" t="n">
        <v>0.00681507679229468</v>
      </c>
      <c r="F38" s="288" t="n">
        <v>0.27</v>
      </c>
      <c r="G38" s="85"/>
      <c r="H38" s="85"/>
      <c r="I38" s="85"/>
      <c r="J38" s="85"/>
      <c r="K38" s="85"/>
      <c r="L38" s="85"/>
      <c r="M38" s="85"/>
      <c r="N38" s="85"/>
      <c r="O38" s="85"/>
      <c r="P38" s="85"/>
      <c r="Q38" s="85"/>
      <c r="R38" s="85"/>
      <c r="S38" s="85"/>
      <c r="T38" s="85"/>
      <c r="U38" s="85"/>
      <c r="V38" s="85"/>
      <c r="W38" s="85"/>
      <c r="X38" s="85"/>
      <c r="Y38" s="85"/>
      <c r="Z38" s="85"/>
    </row>
    <row r="39" customFormat="false" ht="12" hidden="false" customHeight="true" outlineLevel="0" collapsed="false">
      <c r="A39" s="287" t="s">
        <v>422</v>
      </c>
      <c r="B39" s="285" t="s">
        <v>421</v>
      </c>
      <c r="C39" s="288" t="n">
        <v>0.00621857101315345</v>
      </c>
      <c r="D39" s="288" t="n">
        <f aca="false">$B$1+E39</f>
        <v>0.0527150767922947</v>
      </c>
      <c r="E39" s="288" t="n">
        <v>0.00681507679229468</v>
      </c>
      <c r="F39" s="288" t="n">
        <v>0.25</v>
      </c>
      <c r="G39" s="85"/>
      <c r="H39" s="85"/>
      <c r="I39" s="85"/>
      <c r="J39" s="85"/>
      <c r="K39" s="85"/>
      <c r="L39" s="85"/>
      <c r="M39" s="85"/>
      <c r="N39" s="85"/>
      <c r="O39" s="85"/>
      <c r="P39" s="85"/>
      <c r="Q39" s="85"/>
      <c r="R39" s="85"/>
      <c r="S39" s="85"/>
      <c r="T39" s="85"/>
      <c r="U39" s="85"/>
      <c r="V39" s="85"/>
      <c r="W39" s="85"/>
      <c r="X39" s="85"/>
      <c r="Y39" s="85"/>
      <c r="Z39" s="85"/>
    </row>
    <row r="40" customFormat="false" ht="12" hidden="false" customHeight="true" outlineLevel="0" collapsed="false">
      <c r="A40" s="287" t="s">
        <v>423</v>
      </c>
      <c r="B40" s="285" t="s">
        <v>424</v>
      </c>
      <c r="C40" s="288" t="n">
        <v>0.0168220318432741</v>
      </c>
      <c r="D40" s="288" t="n">
        <f aca="false">$B$1+E40</f>
        <v>0.064335656450951</v>
      </c>
      <c r="E40" s="288" t="n">
        <v>0.018435656450951</v>
      </c>
      <c r="F40" s="288" t="n">
        <v>0.32</v>
      </c>
      <c r="G40" s="85"/>
      <c r="H40" s="85"/>
      <c r="I40" s="85"/>
      <c r="J40" s="85"/>
      <c r="K40" s="85"/>
      <c r="L40" s="85"/>
      <c r="M40" s="85"/>
      <c r="N40" s="85"/>
      <c r="O40" s="85"/>
      <c r="P40" s="85"/>
      <c r="Q40" s="85"/>
      <c r="R40" s="85"/>
      <c r="S40" s="85"/>
      <c r="T40" s="85"/>
      <c r="U40" s="85"/>
      <c r="V40" s="85"/>
      <c r="W40" s="85"/>
      <c r="X40" s="85"/>
      <c r="Y40" s="85"/>
      <c r="Z40" s="85"/>
    </row>
    <row r="41" customFormat="false" ht="12" hidden="false" customHeight="true" outlineLevel="0" collapsed="false">
      <c r="A41" s="287" t="s">
        <v>425</v>
      </c>
      <c r="B41" s="285" t="s">
        <v>380</v>
      </c>
      <c r="C41" s="288" t="n">
        <v>0.0662516988709041</v>
      </c>
      <c r="D41" s="288" t="n">
        <f aca="false">$B$1+E41</f>
        <v>0.118506779671755</v>
      </c>
      <c r="E41" s="288" t="n">
        <v>0.0726067796717549</v>
      </c>
      <c r="F41" s="288" t="n">
        <v>0.35</v>
      </c>
      <c r="G41" s="85"/>
      <c r="H41" s="85"/>
      <c r="I41" s="85"/>
      <c r="J41" s="85"/>
      <c r="K41" s="85"/>
      <c r="L41" s="85"/>
      <c r="M41" s="85"/>
      <c r="N41" s="85"/>
      <c r="O41" s="85"/>
      <c r="P41" s="85"/>
      <c r="Q41" s="85"/>
      <c r="R41" s="85"/>
      <c r="S41" s="85"/>
      <c r="T41" s="85"/>
      <c r="U41" s="85"/>
      <c r="V41" s="85"/>
      <c r="W41" s="85"/>
      <c r="X41" s="85"/>
      <c r="Y41" s="85"/>
      <c r="Z41" s="85"/>
    </row>
    <row r="42" customFormat="false" ht="12" hidden="false" customHeight="true" outlineLevel="0" collapsed="false">
      <c r="A42" s="287" t="s">
        <v>426</v>
      </c>
      <c r="B42" s="285" t="s">
        <v>427</v>
      </c>
      <c r="C42" s="288" t="n">
        <v>0.0795658188606044</v>
      </c>
      <c r="D42" s="288" t="n">
        <f aca="false">$B$1+E42</f>
        <v>0.133098033829617</v>
      </c>
      <c r="E42" s="288" t="n">
        <v>0.0871980338296166</v>
      </c>
      <c r="F42" s="288" t="n">
        <v>0.3</v>
      </c>
      <c r="G42" s="85"/>
      <c r="H42" s="85"/>
      <c r="I42" s="85"/>
      <c r="J42" s="85"/>
      <c r="K42" s="85"/>
      <c r="L42" s="85"/>
      <c r="M42" s="85"/>
      <c r="N42" s="85"/>
      <c r="O42" s="85"/>
      <c r="P42" s="85"/>
      <c r="Q42" s="85"/>
      <c r="R42" s="85"/>
      <c r="S42" s="85"/>
      <c r="T42" s="85"/>
      <c r="U42" s="85"/>
      <c r="V42" s="85"/>
      <c r="W42" s="85"/>
      <c r="X42" s="85"/>
      <c r="Y42" s="85"/>
      <c r="Z42" s="85"/>
    </row>
    <row r="43" customFormat="false" ht="12" hidden="false" customHeight="true" outlineLevel="0" collapsed="false">
      <c r="A43" s="287" t="s">
        <v>428</v>
      </c>
      <c r="B43" s="285" t="s">
        <v>376</v>
      </c>
      <c r="C43" s="288" t="n">
        <v>0.0397829094303022</v>
      </c>
      <c r="D43" s="288" t="n">
        <f aca="false">$B$1+E43</f>
        <v>0.0894990169148083</v>
      </c>
      <c r="E43" s="288" t="n">
        <v>0.0435990169148083</v>
      </c>
      <c r="F43" s="288" t="n">
        <v>0.2843</v>
      </c>
      <c r="G43" s="85"/>
      <c r="H43" s="85"/>
      <c r="I43" s="85"/>
      <c r="J43" s="85"/>
      <c r="K43" s="85"/>
      <c r="L43" s="85"/>
      <c r="M43" s="85"/>
      <c r="N43" s="85"/>
      <c r="O43" s="85"/>
      <c r="P43" s="85"/>
      <c r="Q43" s="85"/>
      <c r="R43" s="85"/>
      <c r="S43" s="85"/>
      <c r="T43" s="85"/>
      <c r="U43" s="85"/>
      <c r="V43" s="85"/>
      <c r="W43" s="85"/>
      <c r="X43" s="85"/>
      <c r="Y43" s="85"/>
      <c r="Z43" s="85"/>
    </row>
    <row r="44" customFormat="false" ht="12" hidden="false" customHeight="true" outlineLevel="0" collapsed="false">
      <c r="A44" s="287" t="s">
        <v>429</v>
      </c>
      <c r="B44" s="285" t="s">
        <v>396</v>
      </c>
      <c r="C44" s="288" t="n">
        <v>0.048632414333636</v>
      </c>
      <c r="D44" s="288" t="n">
        <f aca="false">$B$1+E44</f>
        <v>0.09919739542692</v>
      </c>
      <c r="E44" s="288" t="n">
        <v>0.05329739542692</v>
      </c>
      <c r="F44" s="288" t="n">
        <v>0.3</v>
      </c>
      <c r="G44" s="85"/>
      <c r="H44" s="85"/>
      <c r="I44" s="85"/>
      <c r="J44" s="85"/>
      <c r="K44" s="85"/>
      <c r="L44" s="85"/>
      <c r="M44" s="85"/>
      <c r="N44" s="85"/>
      <c r="O44" s="85"/>
      <c r="P44" s="85"/>
      <c r="Q44" s="85"/>
      <c r="R44" s="85"/>
      <c r="S44" s="85"/>
      <c r="T44" s="85"/>
      <c r="U44" s="85"/>
      <c r="V44" s="85"/>
      <c r="W44" s="85"/>
      <c r="X44" s="85"/>
      <c r="Y44" s="85"/>
      <c r="Z44" s="85"/>
    </row>
    <row r="45" customFormat="false" ht="12" hidden="false" customHeight="true" outlineLevel="0" collapsed="false">
      <c r="A45" s="287" t="s">
        <v>430</v>
      </c>
      <c r="B45" s="285" t="s">
        <v>431</v>
      </c>
      <c r="C45" s="288" t="n">
        <v>0.0220838996236347</v>
      </c>
      <c r="D45" s="288" t="n">
        <f aca="false">$B$1+E45</f>
        <v>0.070102259890585</v>
      </c>
      <c r="E45" s="288" t="n">
        <v>0.024202259890585</v>
      </c>
      <c r="F45" s="288" t="n">
        <v>0.18</v>
      </c>
      <c r="G45" s="85"/>
      <c r="H45" s="85"/>
      <c r="I45" s="85"/>
      <c r="J45" s="85"/>
      <c r="K45" s="85"/>
      <c r="L45" s="85"/>
      <c r="M45" s="85"/>
      <c r="N45" s="85"/>
      <c r="O45" s="85"/>
      <c r="P45" s="85"/>
      <c r="Q45" s="85"/>
      <c r="R45" s="85"/>
      <c r="S45" s="85"/>
      <c r="T45" s="85"/>
      <c r="U45" s="85"/>
      <c r="V45" s="85"/>
      <c r="W45" s="85"/>
      <c r="X45" s="85"/>
      <c r="Y45" s="85"/>
      <c r="Z45" s="85"/>
    </row>
    <row r="46" customFormat="false" ht="12" hidden="false" customHeight="true" outlineLevel="0" collapsed="false">
      <c r="A46" s="287" t="s">
        <v>432</v>
      </c>
      <c r="B46" s="285" t="s">
        <v>427</v>
      </c>
      <c r="C46" s="288" t="n">
        <v>0.0795658188606044</v>
      </c>
      <c r="D46" s="288" t="n">
        <f aca="false">$B$1+E46</f>
        <v>0.133098033829617</v>
      </c>
      <c r="E46" s="288" t="n">
        <v>0.0871980338296166</v>
      </c>
      <c r="F46" s="288" t="n">
        <v>0.2736</v>
      </c>
      <c r="G46" s="85"/>
      <c r="H46" s="85"/>
      <c r="I46" s="85"/>
      <c r="J46" s="85"/>
      <c r="K46" s="85"/>
      <c r="L46" s="85"/>
      <c r="M46" s="85"/>
      <c r="N46" s="85"/>
      <c r="O46" s="85"/>
      <c r="P46" s="85"/>
      <c r="Q46" s="85"/>
      <c r="R46" s="85"/>
      <c r="S46" s="85"/>
      <c r="T46" s="85"/>
      <c r="U46" s="85"/>
      <c r="V46" s="85"/>
      <c r="W46" s="85"/>
      <c r="X46" s="85"/>
      <c r="Y46" s="85"/>
      <c r="Z46" s="85"/>
    </row>
    <row r="47" customFormat="false" ht="12" hidden="false" customHeight="true" outlineLevel="0" collapsed="false">
      <c r="A47" s="291" t="s">
        <v>433</v>
      </c>
      <c r="B47" s="285" t="s">
        <v>434</v>
      </c>
      <c r="C47" s="288" t="n">
        <v>0.0106034608301206</v>
      </c>
      <c r="D47" s="288" t="n">
        <f aca="false">$B$1+E47</f>
        <v>0.0575205796586563</v>
      </c>
      <c r="E47" s="288" t="n">
        <v>0.0116205796586563</v>
      </c>
      <c r="F47" s="288" t="n">
        <v>0.22</v>
      </c>
      <c r="G47" s="85"/>
      <c r="H47" s="85"/>
      <c r="I47" s="85"/>
      <c r="J47" s="85"/>
      <c r="K47" s="85"/>
      <c r="L47" s="85"/>
      <c r="M47" s="85"/>
      <c r="N47" s="85"/>
      <c r="O47" s="85"/>
      <c r="P47" s="85"/>
      <c r="Q47" s="85"/>
      <c r="R47" s="85"/>
      <c r="S47" s="85"/>
      <c r="T47" s="85"/>
      <c r="U47" s="85"/>
      <c r="V47" s="85"/>
      <c r="W47" s="85"/>
      <c r="X47" s="85"/>
      <c r="Y47" s="85"/>
      <c r="Z47" s="85"/>
    </row>
    <row r="48" customFormat="false" ht="12" hidden="false" customHeight="true" outlineLevel="0" collapsed="false">
      <c r="A48" s="287" t="s">
        <v>435</v>
      </c>
      <c r="B48" s="285" t="s">
        <v>393</v>
      </c>
      <c r="C48" s="288" t="n">
        <v>0.0265485147100013</v>
      </c>
      <c r="D48" s="288" t="n">
        <f aca="false">$B$1+E48</f>
        <v>0.074995135536335</v>
      </c>
      <c r="E48" s="288" t="n">
        <v>0.029095135536335</v>
      </c>
      <c r="F48" s="288" t="n">
        <v>0.125</v>
      </c>
      <c r="G48" s="85"/>
      <c r="H48" s="85"/>
      <c r="I48" s="85"/>
      <c r="J48" s="85"/>
      <c r="K48" s="85"/>
      <c r="L48" s="85"/>
      <c r="M48" s="85"/>
      <c r="N48" s="85"/>
      <c r="O48" s="85"/>
      <c r="P48" s="85"/>
      <c r="Q48" s="85"/>
      <c r="R48" s="85"/>
      <c r="S48" s="85"/>
      <c r="T48" s="85"/>
      <c r="U48" s="85"/>
      <c r="V48" s="85"/>
      <c r="W48" s="85"/>
      <c r="X48" s="85"/>
      <c r="Y48" s="85"/>
      <c r="Z48" s="85"/>
    </row>
    <row r="49" customFormat="false" ht="12" hidden="false" customHeight="true" outlineLevel="0" collapsed="false">
      <c r="A49" s="287" t="s">
        <v>436</v>
      </c>
      <c r="B49" s="285" t="s">
        <v>402</v>
      </c>
      <c r="C49" s="288" t="n">
        <v>0.00534159304976002</v>
      </c>
      <c r="D49" s="288" t="n">
        <f aca="false">$B$1+E49</f>
        <v>0.0517539762190224</v>
      </c>
      <c r="E49" s="288" t="n">
        <v>0.00585397621902236</v>
      </c>
      <c r="F49" s="288" t="n">
        <v>0.19</v>
      </c>
      <c r="G49" s="85"/>
      <c r="H49" s="85"/>
      <c r="I49" s="85"/>
      <c r="J49" s="85"/>
      <c r="K49" s="85"/>
      <c r="L49" s="85"/>
      <c r="M49" s="85"/>
      <c r="N49" s="85"/>
      <c r="O49" s="85"/>
      <c r="P49" s="85"/>
      <c r="Q49" s="85"/>
      <c r="R49" s="85"/>
      <c r="S49" s="85"/>
      <c r="T49" s="85"/>
      <c r="U49" s="85"/>
      <c r="V49" s="85"/>
      <c r="W49" s="85"/>
      <c r="X49" s="85"/>
      <c r="Y49" s="85"/>
      <c r="Z49" s="85"/>
    </row>
    <row r="50" customFormat="false" ht="12" hidden="false" customHeight="true" outlineLevel="0" collapsed="false">
      <c r="A50" s="287" t="s">
        <v>437</v>
      </c>
      <c r="B50" s="285" t="s">
        <v>389</v>
      </c>
      <c r="C50" s="288" t="n">
        <v>0</v>
      </c>
      <c r="D50" s="288" t="n">
        <f aca="false">$B$1+E50</f>
        <v>0.0459</v>
      </c>
      <c r="E50" s="288" t="n">
        <v>0</v>
      </c>
      <c r="F50" s="288" t="n">
        <v>0.22</v>
      </c>
      <c r="G50" s="85"/>
      <c r="H50" s="85"/>
      <c r="I50" s="85"/>
      <c r="J50" s="85"/>
      <c r="K50" s="85"/>
      <c r="L50" s="85"/>
      <c r="M50" s="85"/>
      <c r="N50" s="85"/>
      <c r="O50" s="85"/>
      <c r="P50" s="85"/>
      <c r="Q50" s="85"/>
      <c r="R50" s="85"/>
      <c r="S50" s="85"/>
      <c r="T50" s="85"/>
      <c r="U50" s="85"/>
      <c r="V50" s="85"/>
      <c r="W50" s="85"/>
      <c r="X50" s="85"/>
      <c r="Y50" s="85"/>
      <c r="Z50" s="85"/>
    </row>
    <row r="51" customFormat="false" ht="12" hidden="false" customHeight="true" outlineLevel="0" collapsed="false">
      <c r="A51" s="287" t="s">
        <v>438</v>
      </c>
      <c r="B51" s="285" t="s">
        <v>385</v>
      </c>
      <c r="C51" s="288" t="n">
        <v>0.0318103824903619</v>
      </c>
      <c r="D51" s="288" t="n">
        <f aca="false">$B$1+E51</f>
        <v>0.080761738975969</v>
      </c>
      <c r="E51" s="288" t="n">
        <v>0.034861738975969</v>
      </c>
      <c r="F51" s="288" t="n">
        <v>0.27</v>
      </c>
      <c r="G51" s="85"/>
      <c r="H51" s="85"/>
      <c r="I51" s="85"/>
      <c r="J51" s="85"/>
      <c r="K51" s="85"/>
      <c r="L51" s="85"/>
      <c r="M51" s="85"/>
      <c r="N51" s="85"/>
      <c r="O51" s="85"/>
      <c r="P51" s="85"/>
      <c r="Q51" s="85"/>
      <c r="R51" s="85"/>
      <c r="S51" s="85"/>
      <c r="T51" s="85"/>
      <c r="U51" s="85"/>
      <c r="V51" s="85"/>
      <c r="W51" s="85"/>
      <c r="X51" s="85"/>
      <c r="Y51" s="85"/>
      <c r="Z51" s="85"/>
    </row>
    <row r="52" customFormat="false" ht="12" hidden="false" customHeight="true" outlineLevel="0" collapsed="false">
      <c r="A52" s="287" t="s">
        <v>439</v>
      </c>
      <c r="B52" s="285" t="s">
        <v>404</v>
      </c>
      <c r="C52" s="288" t="n">
        <v>0.0883355984945388</v>
      </c>
      <c r="D52" s="288" t="n">
        <f aca="false">$B$1+E52</f>
        <v>0.14270903956234</v>
      </c>
      <c r="E52" s="288" t="n">
        <v>0.0968090395623399</v>
      </c>
      <c r="F52" s="288" t="n">
        <v>0.25</v>
      </c>
      <c r="G52" s="85"/>
      <c r="H52" s="85"/>
      <c r="I52" s="85"/>
      <c r="J52" s="85"/>
      <c r="K52" s="85"/>
      <c r="L52" s="85"/>
      <c r="M52" s="85"/>
      <c r="N52" s="85"/>
      <c r="O52" s="85"/>
      <c r="P52" s="85"/>
      <c r="Q52" s="85"/>
      <c r="R52" s="85"/>
      <c r="S52" s="85"/>
      <c r="T52" s="85"/>
      <c r="U52" s="85"/>
      <c r="V52" s="85"/>
      <c r="W52" s="85"/>
      <c r="X52" s="85"/>
      <c r="Y52" s="85"/>
      <c r="Z52" s="85"/>
    </row>
    <row r="53" customFormat="false" ht="12" hidden="false" customHeight="true" outlineLevel="0" collapsed="false">
      <c r="A53" s="287" t="s">
        <v>440</v>
      </c>
      <c r="B53" s="285" t="s">
        <v>396</v>
      </c>
      <c r="C53" s="288" t="n">
        <v>0.048632414333636</v>
      </c>
      <c r="D53" s="288" t="n">
        <f aca="false">$B$1+E53</f>
        <v>0.09919739542692</v>
      </c>
      <c r="E53" s="288" t="n">
        <v>0.05329739542692</v>
      </c>
      <c r="F53" s="288" t="n">
        <v>0.225</v>
      </c>
      <c r="G53" s="85"/>
      <c r="H53" s="85"/>
      <c r="I53" s="85"/>
      <c r="J53" s="85"/>
      <c r="K53" s="85"/>
      <c r="L53" s="85"/>
      <c r="M53" s="85"/>
      <c r="N53" s="85"/>
      <c r="O53" s="85"/>
      <c r="P53" s="85"/>
      <c r="Q53" s="85"/>
      <c r="R53" s="85"/>
      <c r="S53" s="85"/>
      <c r="T53" s="85"/>
      <c r="U53" s="85"/>
      <c r="V53" s="85"/>
      <c r="W53" s="85"/>
      <c r="X53" s="85"/>
      <c r="Y53" s="85"/>
      <c r="Z53" s="85"/>
    </row>
    <row r="54" customFormat="false" ht="12" hidden="false" customHeight="true" outlineLevel="0" collapsed="false">
      <c r="A54" s="287" t="s">
        <v>441</v>
      </c>
      <c r="B54" s="285" t="s">
        <v>400</v>
      </c>
      <c r="C54" s="288" t="n">
        <v>0.0574819192369697</v>
      </c>
      <c r="D54" s="288" t="n">
        <f aca="false">$B$1+E54</f>
        <v>0.108895773939032</v>
      </c>
      <c r="E54" s="288" t="n">
        <v>0.0629957739390316</v>
      </c>
      <c r="F54" s="288" t="n">
        <v>0.3</v>
      </c>
      <c r="G54" s="85"/>
      <c r="H54" s="85"/>
      <c r="I54" s="85"/>
      <c r="J54" s="85"/>
      <c r="K54" s="85"/>
      <c r="L54" s="85"/>
      <c r="M54" s="85"/>
      <c r="N54" s="85"/>
      <c r="O54" s="85"/>
      <c r="P54" s="85"/>
      <c r="Q54" s="85"/>
      <c r="R54" s="85"/>
      <c r="S54" s="85"/>
      <c r="T54" s="85"/>
      <c r="U54" s="85"/>
      <c r="V54" s="85"/>
      <c r="W54" s="85"/>
      <c r="X54" s="85"/>
      <c r="Y54" s="85"/>
      <c r="Z54" s="85"/>
    </row>
    <row r="55" customFormat="false" ht="12" hidden="false" customHeight="true" outlineLevel="0" collapsed="false">
      <c r="A55" s="287" t="s">
        <v>442</v>
      </c>
      <c r="B55" s="285" t="s">
        <v>421</v>
      </c>
      <c r="C55" s="288" t="n">
        <v>0.00621857101315345</v>
      </c>
      <c r="D55" s="288" t="n">
        <f aca="false">$B$1+E55</f>
        <v>0.0527150767922947</v>
      </c>
      <c r="E55" s="288" t="n">
        <v>0.00681507679229468</v>
      </c>
      <c r="F55" s="288" t="n">
        <v>0.2</v>
      </c>
      <c r="G55" s="85"/>
      <c r="H55" s="85"/>
      <c r="I55" s="85"/>
      <c r="J55" s="85"/>
      <c r="K55" s="85"/>
      <c r="L55" s="85"/>
      <c r="M55" s="85"/>
      <c r="N55" s="85"/>
      <c r="O55" s="85"/>
      <c r="P55" s="85"/>
      <c r="Q55" s="85"/>
      <c r="R55" s="85"/>
      <c r="S55" s="85"/>
      <c r="T55" s="85"/>
      <c r="U55" s="85"/>
      <c r="V55" s="85"/>
      <c r="W55" s="85"/>
      <c r="X55" s="85"/>
      <c r="Y55" s="85"/>
      <c r="Z55" s="85"/>
    </row>
    <row r="56" customFormat="false" ht="12" hidden="false" customHeight="true" outlineLevel="0" collapsed="false">
      <c r="A56" s="287" t="s">
        <v>443</v>
      </c>
      <c r="B56" s="285" t="s">
        <v>396</v>
      </c>
      <c r="C56" s="288" t="n">
        <v>0.048632414333636</v>
      </c>
      <c r="D56" s="288" t="n">
        <f aca="false">$B$1+E56</f>
        <v>0.09919739542692</v>
      </c>
      <c r="E56" s="288" t="n">
        <v>0.05329739542692</v>
      </c>
      <c r="F56" s="288" t="n">
        <v>0.3</v>
      </c>
      <c r="G56" s="85"/>
      <c r="H56" s="85"/>
      <c r="I56" s="85"/>
      <c r="J56" s="85"/>
      <c r="K56" s="85"/>
      <c r="L56" s="85"/>
      <c r="M56" s="85"/>
      <c r="N56" s="85"/>
      <c r="O56" s="85"/>
      <c r="P56" s="85"/>
      <c r="Q56" s="85"/>
      <c r="R56" s="85"/>
      <c r="S56" s="85"/>
      <c r="T56" s="85"/>
      <c r="U56" s="85"/>
      <c r="V56" s="85"/>
      <c r="W56" s="85"/>
      <c r="X56" s="85"/>
      <c r="Y56" s="85"/>
      <c r="Z56" s="85"/>
    </row>
    <row r="57" customFormat="false" ht="12" hidden="false" customHeight="true" outlineLevel="0" collapsed="false">
      <c r="A57" s="287" t="s">
        <v>444</v>
      </c>
      <c r="B57" s="285" t="s">
        <v>385</v>
      </c>
      <c r="C57" s="288" t="n">
        <v>0.0318103824903619</v>
      </c>
      <c r="D57" s="288" t="n">
        <f aca="false">$B$1+E57</f>
        <v>0.080761738975969</v>
      </c>
      <c r="E57" s="288" t="n">
        <v>0.034861738975969</v>
      </c>
      <c r="F57" s="288" t="n">
        <v>0.2</v>
      </c>
      <c r="G57" s="85"/>
      <c r="H57" s="85"/>
      <c r="I57" s="85"/>
      <c r="J57" s="85"/>
      <c r="K57" s="85"/>
      <c r="L57" s="85"/>
      <c r="M57" s="85"/>
      <c r="N57" s="85"/>
      <c r="O57" s="85"/>
      <c r="P57" s="85"/>
      <c r="Q57" s="85"/>
      <c r="R57" s="85"/>
      <c r="S57" s="85"/>
      <c r="T57" s="85"/>
      <c r="U57" s="85"/>
      <c r="V57" s="85"/>
      <c r="W57" s="85"/>
      <c r="X57" s="85"/>
      <c r="Y57" s="85"/>
      <c r="Z57" s="85"/>
    </row>
    <row r="58" customFormat="false" ht="12" hidden="false" customHeight="true" outlineLevel="0" collapsed="false">
      <c r="A58" s="287" t="s">
        <v>445</v>
      </c>
      <c r="B58" s="285" t="s">
        <v>391</v>
      </c>
      <c r="C58" s="288" t="n">
        <v>0.00350791185357374</v>
      </c>
      <c r="D58" s="288" t="n">
        <f aca="false">$B$1+E58</f>
        <v>0.0497444022930893</v>
      </c>
      <c r="E58" s="288" t="n">
        <v>0.00384440229308931</v>
      </c>
      <c r="F58" s="288" t="n">
        <v>0.2</v>
      </c>
      <c r="G58" s="85"/>
      <c r="H58" s="85"/>
      <c r="I58" s="85"/>
      <c r="J58" s="85"/>
      <c r="K58" s="85"/>
      <c r="L58" s="85"/>
      <c r="M58" s="85"/>
      <c r="N58" s="85"/>
      <c r="O58" s="85"/>
      <c r="P58" s="85"/>
      <c r="Q58" s="85"/>
      <c r="R58" s="85"/>
      <c r="S58" s="85"/>
      <c r="T58" s="85"/>
      <c r="U58" s="85"/>
      <c r="V58" s="85"/>
      <c r="W58" s="85"/>
      <c r="X58" s="85"/>
      <c r="Y58" s="85"/>
      <c r="Z58" s="85"/>
    </row>
    <row r="59" customFormat="false" ht="12" hidden="false" customHeight="true" outlineLevel="0" collapsed="false">
      <c r="A59" s="287" t="s">
        <v>446</v>
      </c>
      <c r="B59" s="285" t="s">
        <v>374</v>
      </c>
      <c r="C59" s="288" t="n">
        <v>0.00438488981696718</v>
      </c>
      <c r="D59" s="288" t="n">
        <f aca="false">$B$1+E59</f>
        <v>0.0507055028663616</v>
      </c>
      <c r="E59" s="288" t="n">
        <v>0.00480550286636164</v>
      </c>
      <c r="F59" s="288" t="n">
        <v>0.28</v>
      </c>
      <c r="G59" s="85"/>
      <c r="H59" s="85"/>
      <c r="I59" s="85"/>
      <c r="J59" s="85"/>
      <c r="K59" s="85"/>
      <c r="L59" s="85"/>
      <c r="M59" s="85"/>
      <c r="N59" s="85"/>
      <c r="O59" s="85"/>
      <c r="P59" s="85"/>
      <c r="Q59" s="85"/>
      <c r="R59" s="85"/>
      <c r="S59" s="85"/>
      <c r="T59" s="85"/>
      <c r="U59" s="85"/>
      <c r="V59" s="85"/>
      <c r="W59" s="85"/>
      <c r="X59" s="85"/>
      <c r="Y59" s="85"/>
      <c r="Z59" s="85"/>
    </row>
    <row r="60" customFormat="false" ht="12" hidden="false" customHeight="true" outlineLevel="0" collapsed="false">
      <c r="A60" s="287" t="s">
        <v>447</v>
      </c>
      <c r="B60" s="285" t="s">
        <v>380</v>
      </c>
      <c r="C60" s="288" t="n">
        <v>0.0662516988709041</v>
      </c>
      <c r="D60" s="288" t="n">
        <f aca="false">$B$1+E60</f>
        <v>0.118506779671755</v>
      </c>
      <c r="E60" s="288" t="n">
        <v>0.0726067796717549</v>
      </c>
      <c r="F60" s="288" t="n">
        <v>0.3</v>
      </c>
      <c r="G60" s="85"/>
      <c r="H60" s="85"/>
      <c r="I60" s="85"/>
      <c r="J60" s="85"/>
      <c r="K60" s="85"/>
      <c r="L60" s="85"/>
      <c r="M60" s="85"/>
      <c r="N60" s="85"/>
      <c r="O60" s="85"/>
      <c r="P60" s="85"/>
      <c r="Q60" s="85"/>
      <c r="R60" s="85"/>
      <c r="S60" s="85"/>
      <c r="T60" s="85"/>
      <c r="U60" s="85"/>
      <c r="V60" s="85"/>
      <c r="W60" s="85"/>
      <c r="X60" s="85"/>
      <c r="Y60" s="85"/>
      <c r="Z60" s="85"/>
    </row>
    <row r="61" customFormat="false" ht="12" hidden="false" customHeight="true" outlineLevel="0" collapsed="false">
      <c r="A61" s="289" t="s">
        <v>448</v>
      </c>
      <c r="B61" s="285" t="s">
        <v>378</v>
      </c>
      <c r="C61" s="116" t="n">
        <v>0.0574819192369697</v>
      </c>
      <c r="D61" s="288" t="n">
        <f aca="false">$B$1+E61</f>
        <v>0.108895773939032</v>
      </c>
      <c r="E61" s="290" t="n">
        <v>0.0629957739390316</v>
      </c>
      <c r="F61" s="290" t="n">
        <v>0.31</v>
      </c>
      <c r="G61" s="85"/>
      <c r="H61" s="85"/>
      <c r="I61" s="85"/>
      <c r="J61" s="85"/>
      <c r="K61" s="85"/>
      <c r="L61" s="85"/>
      <c r="M61" s="85"/>
      <c r="N61" s="85"/>
      <c r="O61" s="85"/>
      <c r="P61" s="85"/>
      <c r="Q61" s="85"/>
      <c r="R61" s="85"/>
      <c r="S61" s="85"/>
      <c r="T61" s="85"/>
      <c r="U61" s="85"/>
      <c r="V61" s="85"/>
      <c r="W61" s="85"/>
      <c r="X61" s="85"/>
      <c r="Y61" s="85"/>
      <c r="Z61" s="85"/>
    </row>
    <row r="62" customFormat="false" ht="12" hidden="false" customHeight="true" outlineLevel="0" collapsed="false">
      <c r="A62" s="287" t="s">
        <v>449</v>
      </c>
      <c r="B62" s="285" t="s">
        <v>393</v>
      </c>
      <c r="C62" s="288" t="n">
        <v>0.0265485147100013</v>
      </c>
      <c r="D62" s="288" t="n">
        <f aca="false">$B$1+E62</f>
        <v>0.074995135536335</v>
      </c>
      <c r="E62" s="288" t="n">
        <v>0.029095135536335</v>
      </c>
      <c r="F62" s="288" t="n">
        <v>0.15</v>
      </c>
      <c r="G62" s="85"/>
      <c r="H62" s="85"/>
      <c r="I62" s="85"/>
      <c r="J62" s="85"/>
      <c r="K62" s="85"/>
      <c r="L62" s="85"/>
      <c r="M62" s="85"/>
      <c r="N62" s="85"/>
      <c r="O62" s="85"/>
      <c r="P62" s="85"/>
      <c r="Q62" s="85"/>
      <c r="R62" s="85"/>
      <c r="S62" s="85"/>
      <c r="T62" s="85"/>
      <c r="U62" s="85"/>
      <c r="V62" s="85"/>
      <c r="W62" s="85"/>
      <c r="X62" s="85"/>
      <c r="Y62" s="85"/>
      <c r="Z62" s="85"/>
    </row>
    <row r="63" customFormat="false" ht="12" hidden="false" customHeight="true" outlineLevel="0" collapsed="false">
      <c r="A63" s="287" t="s">
        <v>450</v>
      </c>
      <c r="B63" s="285" t="s">
        <v>389</v>
      </c>
      <c r="C63" s="288" t="n">
        <v>0</v>
      </c>
      <c r="D63" s="288" t="n">
        <f aca="false">$B$1+E63</f>
        <v>0.0459</v>
      </c>
      <c r="E63" s="288" t="n">
        <v>0</v>
      </c>
      <c r="F63" s="288" t="n">
        <v>0.3</v>
      </c>
      <c r="G63" s="85"/>
      <c r="H63" s="85"/>
      <c r="I63" s="85"/>
      <c r="J63" s="85"/>
      <c r="K63" s="85"/>
      <c r="L63" s="85"/>
      <c r="M63" s="85"/>
      <c r="N63" s="85"/>
      <c r="O63" s="85"/>
      <c r="P63" s="85"/>
      <c r="Q63" s="85"/>
      <c r="R63" s="85"/>
      <c r="S63" s="85"/>
      <c r="T63" s="85"/>
      <c r="U63" s="85"/>
      <c r="V63" s="85"/>
      <c r="W63" s="85"/>
      <c r="X63" s="85"/>
      <c r="Y63" s="85"/>
      <c r="Z63" s="85"/>
    </row>
    <row r="64" customFormat="false" ht="12" hidden="false" customHeight="true" outlineLevel="0" collapsed="false">
      <c r="A64" s="287" t="s">
        <v>451</v>
      </c>
      <c r="B64" s="285" t="s">
        <v>400</v>
      </c>
      <c r="C64" s="288" t="n">
        <v>0.0574819192369697</v>
      </c>
      <c r="D64" s="288" t="n">
        <f aca="false">$B$1+E64</f>
        <v>0.108895773939032</v>
      </c>
      <c r="E64" s="288" t="n">
        <v>0.0629957739390316</v>
      </c>
      <c r="F64" s="288" t="n">
        <v>0.25</v>
      </c>
      <c r="G64" s="85"/>
      <c r="H64" s="85"/>
      <c r="I64" s="85"/>
      <c r="J64" s="85"/>
      <c r="K64" s="85"/>
      <c r="L64" s="85"/>
      <c r="M64" s="85"/>
      <c r="N64" s="85"/>
      <c r="O64" s="85"/>
      <c r="P64" s="85"/>
      <c r="Q64" s="85"/>
      <c r="R64" s="85"/>
      <c r="S64" s="85"/>
      <c r="T64" s="85"/>
      <c r="U64" s="85"/>
      <c r="V64" s="85"/>
      <c r="W64" s="85"/>
      <c r="X64" s="85"/>
      <c r="Y64" s="85"/>
      <c r="Z64" s="85"/>
    </row>
    <row r="65" customFormat="false" ht="12" hidden="false" customHeight="true" outlineLevel="0" collapsed="false">
      <c r="A65" s="287" t="s">
        <v>452</v>
      </c>
      <c r="B65" s="285" t="s">
        <v>385</v>
      </c>
      <c r="C65" s="288" t="n">
        <v>0.0318103824903619</v>
      </c>
      <c r="D65" s="288" t="n">
        <f aca="false">$B$1+E65</f>
        <v>0.080761738975969</v>
      </c>
      <c r="E65" s="288" t="n">
        <v>0.034861738975969</v>
      </c>
      <c r="F65" s="288" t="n">
        <v>0.24</v>
      </c>
      <c r="G65" s="85"/>
      <c r="H65" s="85"/>
      <c r="I65" s="85"/>
      <c r="J65" s="85"/>
      <c r="K65" s="85"/>
      <c r="L65" s="85"/>
      <c r="M65" s="85"/>
      <c r="N65" s="85"/>
      <c r="O65" s="85"/>
      <c r="P65" s="85"/>
      <c r="Q65" s="85"/>
      <c r="R65" s="85"/>
      <c r="S65" s="85"/>
      <c r="T65" s="85"/>
      <c r="U65" s="85"/>
      <c r="V65" s="85"/>
      <c r="W65" s="85"/>
      <c r="X65" s="85"/>
      <c r="Y65" s="85"/>
      <c r="Z65" s="85"/>
    </row>
    <row r="66" customFormat="false" ht="12" hidden="false" customHeight="true" outlineLevel="0" collapsed="false">
      <c r="A66" s="287" t="s">
        <v>453</v>
      </c>
      <c r="B66" s="285" t="s">
        <v>431</v>
      </c>
      <c r="C66" s="288" t="n">
        <v>0.0220838996236347</v>
      </c>
      <c r="D66" s="288" t="n">
        <f aca="false">$B$1+E66</f>
        <v>0.070102259890585</v>
      </c>
      <c r="E66" s="288" t="n">
        <v>0.024202259890585</v>
      </c>
      <c r="F66" s="288" t="n">
        <v>0.25</v>
      </c>
      <c r="G66" s="85"/>
      <c r="H66" s="85"/>
      <c r="I66" s="85"/>
      <c r="J66" s="85"/>
      <c r="K66" s="85"/>
      <c r="L66" s="85"/>
      <c r="M66" s="85"/>
      <c r="N66" s="85"/>
      <c r="O66" s="85"/>
      <c r="P66" s="85"/>
      <c r="Q66" s="85"/>
      <c r="R66" s="85"/>
      <c r="S66" s="85"/>
      <c r="T66" s="85"/>
      <c r="U66" s="85"/>
      <c r="V66" s="85"/>
      <c r="W66" s="85"/>
      <c r="X66" s="85"/>
      <c r="Y66" s="85"/>
      <c r="Z66" s="85"/>
    </row>
    <row r="67" customFormat="false" ht="12" hidden="false" customHeight="true" outlineLevel="0" collapsed="false">
      <c r="A67" s="287" t="s">
        <v>454</v>
      </c>
      <c r="B67" s="285" t="s">
        <v>389</v>
      </c>
      <c r="C67" s="288" t="n">
        <v>0</v>
      </c>
      <c r="D67" s="288" t="n">
        <f aca="false">$B$1+E67</f>
        <v>0.0459</v>
      </c>
      <c r="E67" s="288" t="n">
        <v>0</v>
      </c>
      <c r="F67" s="288" t="n">
        <v>0</v>
      </c>
      <c r="G67" s="85"/>
      <c r="H67" s="85"/>
      <c r="I67" s="85"/>
      <c r="J67" s="85"/>
      <c r="K67" s="85"/>
      <c r="L67" s="85"/>
      <c r="M67" s="85"/>
      <c r="N67" s="85"/>
      <c r="O67" s="85"/>
      <c r="P67" s="85"/>
      <c r="Q67" s="85"/>
      <c r="R67" s="85"/>
      <c r="S67" s="85"/>
      <c r="T67" s="85"/>
      <c r="U67" s="85"/>
      <c r="V67" s="85"/>
      <c r="W67" s="85"/>
      <c r="X67" s="85"/>
      <c r="Y67" s="85"/>
      <c r="Z67" s="85"/>
    </row>
    <row r="68" customFormat="false" ht="12" hidden="false" customHeight="true" outlineLevel="0" collapsed="false">
      <c r="A68" s="289" t="s">
        <v>455</v>
      </c>
      <c r="B68" s="285" t="s">
        <v>378</v>
      </c>
      <c r="C68" s="116" t="n">
        <v>0.106034608301206</v>
      </c>
      <c r="D68" s="288" t="n">
        <f aca="false">$B$1+E68</f>
        <v>0.162105796586563</v>
      </c>
      <c r="E68" s="290" t="n">
        <v>0.116205796586563</v>
      </c>
      <c r="F68" s="290" t="n">
        <v>0.2825</v>
      </c>
      <c r="G68" s="85"/>
      <c r="H68" s="85"/>
      <c r="I68" s="85"/>
      <c r="J68" s="85"/>
      <c r="K68" s="85"/>
      <c r="L68" s="85"/>
      <c r="M68" s="85"/>
      <c r="N68" s="85"/>
      <c r="O68" s="85"/>
      <c r="P68" s="85"/>
      <c r="Q68" s="85"/>
      <c r="R68" s="85"/>
      <c r="S68" s="85"/>
      <c r="T68" s="85"/>
      <c r="U68" s="85"/>
      <c r="V68" s="85"/>
      <c r="W68" s="85"/>
      <c r="X68" s="85"/>
      <c r="Y68" s="85"/>
      <c r="Z68" s="85"/>
    </row>
    <row r="69" customFormat="false" ht="12" hidden="false" customHeight="true" outlineLevel="0" collapsed="false">
      <c r="A69" s="289" t="s">
        <v>456</v>
      </c>
      <c r="B69" s="285" t="s">
        <v>378</v>
      </c>
      <c r="C69" s="116" t="n">
        <v>0.0662516988709041</v>
      </c>
      <c r="D69" s="288" t="n">
        <f aca="false">$B$1+E69</f>
        <v>0.118506779671755</v>
      </c>
      <c r="E69" s="290" t="n">
        <v>0.0726067796717549</v>
      </c>
      <c r="F69" s="290" t="n">
        <v>0.2825</v>
      </c>
      <c r="G69" s="85"/>
      <c r="H69" s="85"/>
      <c r="I69" s="85"/>
      <c r="J69" s="85"/>
      <c r="K69" s="85"/>
      <c r="L69" s="85"/>
      <c r="M69" s="85"/>
      <c r="N69" s="85"/>
      <c r="O69" s="85"/>
      <c r="P69" s="85"/>
      <c r="Q69" s="85"/>
      <c r="R69" s="85"/>
      <c r="S69" s="85"/>
      <c r="T69" s="85"/>
      <c r="U69" s="85"/>
      <c r="V69" s="85"/>
      <c r="W69" s="85"/>
      <c r="X69" s="85"/>
      <c r="Y69" s="85"/>
      <c r="Z69" s="85"/>
    </row>
    <row r="70" customFormat="false" ht="12" hidden="false" customHeight="true" outlineLevel="0" collapsed="false">
      <c r="A70" s="289" t="s">
        <v>457</v>
      </c>
      <c r="B70" s="285" t="s">
        <v>378</v>
      </c>
      <c r="C70" s="116" t="n">
        <v>0.048632414333636</v>
      </c>
      <c r="D70" s="288" t="n">
        <f aca="false">$B$1+E70</f>
        <v>0.09919739542692</v>
      </c>
      <c r="E70" s="290" t="n">
        <v>0.05329739542692</v>
      </c>
      <c r="F70" s="290" t="n">
        <v>0.2736</v>
      </c>
      <c r="G70" s="85"/>
      <c r="H70" s="85"/>
      <c r="I70" s="85"/>
      <c r="J70" s="85"/>
      <c r="K70" s="85"/>
      <c r="L70" s="85"/>
      <c r="M70" s="85"/>
      <c r="N70" s="85"/>
      <c r="O70" s="85"/>
      <c r="P70" s="85"/>
      <c r="Q70" s="85"/>
      <c r="R70" s="85"/>
      <c r="S70" s="85"/>
      <c r="T70" s="85"/>
      <c r="U70" s="85"/>
      <c r="V70" s="85"/>
      <c r="W70" s="85"/>
      <c r="X70" s="85"/>
      <c r="Y70" s="85"/>
      <c r="Z70" s="85"/>
    </row>
    <row r="71" customFormat="false" ht="12" hidden="false" customHeight="true" outlineLevel="0" collapsed="false">
      <c r="A71" s="289" t="s">
        <v>458</v>
      </c>
      <c r="B71" s="285" t="s">
        <v>378</v>
      </c>
      <c r="C71" s="116" t="n">
        <v>0.106034608301206</v>
      </c>
      <c r="D71" s="288" t="n">
        <f aca="false">$B$1+E71</f>
        <v>0.162105796586563</v>
      </c>
      <c r="E71" s="290" t="n">
        <v>0.116205796586563</v>
      </c>
      <c r="F71" s="290" t="n">
        <v>0.2736</v>
      </c>
      <c r="G71" s="85"/>
      <c r="H71" s="85"/>
      <c r="I71" s="85"/>
      <c r="J71" s="85"/>
      <c r="K71" s="85"/>
      <c r="L71" s="85"/>
      <c r="M71" s="85"/>
      <c r="N71" s="85"/>
      <c r="O71" s="85"/>
      <c r="P71" s="85"/>
      <c r="Q71" s="85"/>
      <c r="R71" s="85"/>
      <c r="S71" s="85"/>
      <c r="T71" s="85"/>
      <c r="U71" s="85"/>
      <c r="V71" s="85"/>
      <c r="W71" s="85"/>
      <c r="X71" s="85"/>
      <c r="Y71" s="85"/>
      <c r="Z71" s="85"/>
    </row>
    <row r="72" customFormat="false" ht="12" hidden="false" customHeight="true" outlineLevel="0" collapsed="false">
      <c r="A72" s="287" t="s">
        <v>459</v>
      </c>
      <c r="B72" s="285" t="s">
        <v>376</v>
      </c>
      <c r="C72" s="288" t="n">
        <v>0.0397829094303022</v>
      </c>
      <c r="D72" s="288" t="n">
        <f aca="false">$B$1+E72</f>
        <v>0.0894990169148083</v>
      </c>
      <c r="E72" s="288" t="n">
        <v>0.0435990169148083</v>
      </c>
      <c r="F72" s="288" t="n">
        <v>0.25</v>
      </c>
      <c r="G72" s="85"/>
      <c r="H72" s="85"/>
      <c r="I72" s="85"/>
      <c r="J72" s="85"/>
      <c r="K72" s="85"/>
      <c r="L72" s="85"/>
      <c r="M72" s="85"/>
      <c r="N72" s="85"/>
      <c r="O72" s="85"/>
      <c r="P72" s="85"/>
      <c r="Q72" s="85"/>
      <c r="R72" s="85"/>
      <c r="S72" s="85"/>
      <c r="T72" s="85"/>
      <c r="U72" s="85"/>
      <c r="V72" s="85"/>
      <c r="W72" s="85"/>
      <c r="X72" s="85"/>
      <c r="Y72" s="85"/>
      <c r="Z72" s="85"/>
    </row>
    <row r="73" customFormat="false" ht="12" hidden="false" customHeight="true" outlineLevel="0" collapsed="false">
      <c r="A73" s="287" t="s">
        <v>460</v>
      </c>
      <c r="B73" s="285" t="s">
        <v>402</v>
      </c>
      <c r="C73" s="288" t="n">
        <v>0.00534159304976002</v>
      </c>
      <c r="D73" s="288" t="n">
        <f aca="false">$B$1+E73</f>
        <v>0.0517539762190224</v>
      </c>
      <c r="E73" s="288" t="n">
        <v>0.00585397621902236</v>
      </c>
      <c r="F73" s="288" t="n">
        <v>0.165</v>
      </c>
      <c r="G73" s="85"/>
      <c r="H73" s="85"/>
      <c r="I73" s="85"/>
      <c r="J73" s="85"/>
      <c r="K73" s="85"/>
      <c r="L73" s="85"/>
      <c r="M73" s="85"/>
      <c r="N73" s="85"/>
      <c r="O73" s="85"/>
      <c r="P73" s="85"/>
      <c r="Q73" s="85"/>
      <c r="R73" s="85"/>
      <c r="S73" s="85"/>
      <c r="T73" s="85"/>
      <c r="U73" s="85"/>
      <c r="V73" s="85"/>
      <c r="W73" s="85"/>
      <c r="X73" s="85"/>
      <c r="Y73" s="85"/>
      <c r="Z73" s="85"/>
    </row>
    <row r="74" customFormat="false" ht="12" hidden="false" customHeight="true" outlineLevel="0" collapsed="false">
      <c r="A74" s="287" t="s">
        <v>461</v>
      </c>
      <c r="B74" s="285" t="s">
        <v>462</v>
      </c>
      <c r="C74" s="288" t="n">
        <v>0.0194529657334544</v>
      </c>
      <c r="D74" s="288" t="n">
        <f aca="false">$B$1+E74</f>
        <v>0.067218958170768</v>
      </c>
      <c r="E74" s="288" t="n">
        <v>0.021318958170768</v>
      </c>
      <c r="F74" s="288" t="n">
        <v>0.09</v>
      </c>
      <c r="G74" s="85"/>
      <c r="H74" s="85"/>
      <c r="I74" s="85"/>
      <c r="J74" s="85"/>
      <c r="K74" s="85"/>
      <c r="L74" s="85"/>
      <c r="M74" s="85"/>
      <c r="N74" s="85"/>
      <c r="O74" s="85"/>
      <c r="P74" s="85"/>
      <c r="Q74" s="85"/>
      <c r="R74" s="85"/>
      <c r="S74" s="85"/>
      <c r="T74" s="85"/>
      <c r="U74" s="85"/>
      <c r="V74" s="85"/>
      <c r="W74" s="85"/>
      <c r="X74" s="85"/>
      <c r="Y74" s="85"/>
      <c r="Z74" s="85"/>
    </row>
    <row r="75" customFormat="false" ht="12" hidden="false" customHeight="true" outlineLevel="0" collapsed="false">
      <c r="A75" s="287" t="s">
        <v>463</v>
      </c>
      <c r="B75" s="285" t="s">
        <v>407</v>
      </c>
      <c r="C75" s="288" t="n">
        <v>0.0074941753235439</v>
      </c>
      <c r="D75" s="288" t="n">
        <f aca="false">$B$1+E75</f>
        <v>0.054113041262509</v>
      </c>
      <c r="E75" s="288" t="n">
        <v>0.00821304126250898</v>
      </c>
      <c r="F75" s="288" t="n">
        <v>0.2</v>
      </c>
      <c r="G75" s="85"/>
      <c r="H75" s="85"/>
      <c r="I75" s="85"/>
      <c r="J75" s="85"/>
      <c r="K75" s="85"/>
      <c r="L75" s="85"/>
      <c r="M75" s="85"/>
      <c r="N75" s="85"/>
      <c r="O75" s="85"/>
      <c r="P75" s="85"/>
      <c r="Q75" s="85"/>
      <c r="R75" s="85"/>
      <c r="S75" s="85"/>
      <c r="T75" s="85"/>
      <c r="U75" s="85"/>
      <c r="V75" s="85"/>
      <c r="W75" s="85"/>
      <c r="X75" s="85"/>
      <c r="Y75" s="85"/>
      <c r="Z75" s="85"/>
    </row>
    <row r="76" customFormat="false" ht="12" hidden="false" customHeight="true" outlineLevel="0" collapsed="false">
      <c r="A76" s="287" t="s">
        <v>464</v>
      </c>
      <c r="B76" s="285" t="s">
        <v>462</v>
      </c>
      <c r="C76" s="288" t="n">
        <v>0.0194529657334544</v>
      </c>
      <c r="D76" s="288" t="n">
        <f aca="false">$B$1+E76</f>
        <v>0.067218958170768</v>
      </c>
      <c r="E76" s="288" t="n">
        <v>0.021318958170768</v>
      </c>
      <c r="F76" s="288" t="n">
        <v>0.3</v>
      </c>
      <c r="G76" s="85"/>
      <c r="H76" s="85"/>
      <c r="I76" s="85"/>
      <c r="J76" s="85"/>
      <c r="K76" s="85"/>
      <c r="L76" s="85"/>
      <c r="M76" s="85"/>
      <c r="N76" s="85"/>
      <c r="O76" s="85"/>
      <c r="P76" s="85"/>
      <c r="Q76" s="85"/>
      <c r="R76" s="85"/>
      <c r="S76" s="85"/>
      <c r="T76" s="85"/>
      <c r="U76" s="85"/>
      <c r="V76" s="85"/>
      <c r="W76" s="85"/>
      <c r="X76" s="85"/>
      <c r="Y76" s="85"/>
      <c r="Z76" s="85"/>
    </row>
    <row r="77" customFormat="false" ht="12" hidden="false" customHeight="true" outlineLevel="0" collapsed="false">
      <c r="A77" s="287" t="s">
        <v>465</v>
      </c>
      <c r="B77" s="285" t="s">
        <v>424</v>
      </c>
      <c r="C77" s="288" t="n">
        <v>0.0168220318432741</v>
      </c>
      <c r="D77" s="288" t="n">
        <f aca="false">$B$1+E77</f>
        <v>0.064335656450951</v>
      </c>
      <c r="E77" s="288" t="n">
        <v>0.018435656450951</v>
      </c>
      <c r="F77" s="288" t="n">
        <v>0.15</v>
      </c>
      <c r="G77" s="85"/>
      <c r="H77" s="85"/>
      <c r="I77" s="85"/>
      <c r="J77" s="85"/>
      <c r="K77" s="85"/>
      <c r="L77" s="85"/>
      <c r="M77" s="85"/>
      <c r="N77" s="85"/>
      <c r="O77" s="85"/>
      <c r="P77" s="85"/>
      <c r="Q77" s="85"/>
      <c r="R77" s="85"/>
      <c r="S77" s="85"/>
      <c r="T77" s="85"/>
      <c r="U77" s="85"/>
      <c r="V77" s="85"/>
      <c r="W77" s="85"/>
      <c r="X77" s="85"/>
      <c r="Y77" s="85"/>
      <c r="Z77" s="85"/>
    </row>
    <row r="78" customFormat="false" ht="12" hidden="false" customHeight="true" outlineLevel="0" collapsed="false">
      <c r="A78" s="289" t="s">
        <v>466</v>
      </c>
      <c r="B78" s="285" t="s">
        <v>378</v>
      </c>
      <c r="C78" s="116" t="n">
        <v>0.0795658188606044</v>
      </c>
      <c r="D78" s="288" t="n">
        <f aca="false">$B$1+E78</f>
        <v>0.133098033829617</v>
      </c>
      <c r="E78" s="290" t="n">
        <v>0.0871980338296166</v>
      </c>
      <c r="F78" s="290" t="n">
        <v>0.2113</v>
      </c>
      <c r="G78" s="85"/>
      <c r="H78" s="85"/>
      <c r="I78" s="85"/>
      <c r="J78" s="85"/>
      <c r="K78" s="85"/>
      <c r="L78" s="85"/>
      <c r="M78" s="85"/>
      <c r="N78" s="85"/>
      <c r="O78" s="85"/>
      <c r="P78" s="85"/>
      <c r="Q78" s="85"/>
      <c r="R78" s="85"/>
      <c r="S78" s="85"/>
      <c r="T78" s="85"/>
      <c r="U78" s="85"/>
      <c r="V78" s="85"/>
      <c r="W78" s="85"/>
      <c r="X78" s="85"/>
      <c r="Y78" s="85"/>
      <c r="Z78" s="85"/>
    </row>
    <row r="79" customFormat="false" ht="12" hidden="false" customHeight="true" outlineLevel="0" collapsed="false">
      <c r="A79" s="287" t="s">
        <v>467</v>
      </c>
      <c r="B79" s="285" t="s">
        <v>380</v>
      </c>
      <c r="C79" s="288" t="n">
        <v>0.0662516988709041</v>
      </c>
      <c r="D79" s="288" t="n">
        <f aca="false">$B$1+E79</f>
        <v>0.118506779671755</v>
      </c>
      <c r="E79" s="288" t="n">
        <v>0.0726067796717549</v>
      </c>
      <c r="F79" s="288" t="n">
        <v>0.15</v>
      </c>
      <c r="G79" s="85"/>
      <c r="H79" s="85"/>
      <c r="I79" s="85"/>
      <c r="J79" s="85"/>
      <c r="K79" s="85"/>
      <c r="L79" s="85"/>
      <c r="M79" s="85"/>
      <c r="N79" s="85"/>
      <c r="O79" s="85"/>
      <c r="P79" s="85"/>
      <c r="Q79" s="85"/>
      <c r="R79" s="85"/>
      <c r="S79" s="85"/>
      <c r="T79" s="85"/>
      <c r="U79" s="85"/>
      <c r="V79" s="85"/>
      <c r="W79" s="85"/>
      <c r="X79" s="85"/>
      <c r="Y79" s="85"/>
      <c r="Z79" s="85"/>
    </row>
    <row r="80" customFormat="false" ht="12" hidden="false" customHeight="true" outlineLevel="0" collapsed="false">
      <c r="A80" s="287" t="s">
        <v>468</v>
      </c>
      <c r="B80" s="285" t="s">
        <v>407</v>
      </c>
      <c r="C80" s="288" t="n">
        <v>0.0074941753235439</v>
      </c>
      <c r="D80" s="288" t="n">
        <f aca="false">$B$1+E80</f>
        <v>0.054113041262509</v>
      </c>
      <c r="E80" s="288" t="n">
        <v>0.00821304126250898</v>
      </c>
      <c r="F80" s="288" t="n">
        <v>0.125</v>
      </c>
      <c r="G80" s="85"/>
      <c r="H80" s="85"/>
      <c r="I80" s="85"/>
      <c r="J80" s="85"/>
      <c r="K80" s="85"/>
      <c r="L80" s="85"/>
      <c r="M80" s="85"/>
      <c r="N80" s="85"/>
      <c r="O80" s="85"/>
      <c r="P80" s="85"/>
      <c r="Q80" s="85"/>
      <c r="R80" s="85"/>
      <c r="S80" s="85"/>
      <c r="T80" s="85"/>
      <c r="U80" s="85"/>
      <c r="V80" s="85"/>
      <c r="W80" s="85"/>
      <c r="X80" s="85"/>
      <c r="Y80" s="85"/>
      <c r="Z80" s="85"/>
    </row>
    <row r="81" customFormat="false" ht="12" hidden="false" customHeight="true" outlineLevel="0" collapsed="false">
      <c r="A81" s="287" t="s">
        <v>469</v>
      </c>
      <c r="B81" s="285" t="s">
        <v>402</v>
      </c>
      <c r="C81" s="288" t="n">
        <v>0.00534159304976002</v>
      </c>
      <c r="D81" s="288" t="n">
        <f aca="false">$B$1+E81</f>
        <v>0.0517539762190224</v>
      </c>
      <c r="E81" s="288" t="n">
        <v>0.00585397621902236</v>
      </c>
      <c r="F81" s="288" t="n">
        <v>0</v>
      </c>
      <c r="G81" s="85"/>
      <c r="H81" s="85"/>
      <c r="I81" s="85"/>
      <c r="J81" s="85"/>
      <c r="K81" s="85"/>
      <c r="L81" s="85"/>
      <c r="M81" s="85"/>
      <c r="N81" s="85"/>
      <c r="O81" s="85"/>
      <c r="P81" s="85"/>
      <c r="Q81" s="85"/>
      <c r="R81" s="85"/>
      <c r="S81" s="85"/>
      <c r="T81" s="85"/>
      <c r="U81" s="85"/>
      <c r="V81" s="85"/>
      <c r="W81" s="85"/>
      <c r="X81" s="85"/>
      <c r="Y81" s="85"/>
      <c r="Z81" s="85"/>
    </row>
    <row r="82" customFormat="false" ht="12" hidden="false" customHeight="true" outlineLevel="0" collapsed="false">
      <c r="A82" s="287" t="s">
        <v>470</v>
      </c>
      <c r="B82" s="285" t="s">
        <v>421</v>
      </c>
      <c r="C82" s="288" t="n">
        <v>0.00621857101315345</v>
      </c>
      <c r="D82" s="288" t="n">
        <f aca="false">$B$1+E82</f>
        <v>0.0527150767922947</v>
      </c>
      <c r="E82" s="288" t="n">
        <v>0.00681507679229468</v>
      </c>
      <c r="F82" s="288" t="n">
        <v>0.23</v>
      </c>
      <c r="G82" s="85"/>
      <c r="H82" s="85"/>
      <c r="I82" s="85"/>
      <c r="J82" s="85"/>
      <c r="K82" s="85"/>
      <c r="L82" s="85"/>
      <c r="M82" s="85"/>
      <c r="N82" s="85"/>
      <c r="O82" s="85"/>
      <c r="P82" s="85"/>
      <c r="Q82" s="85"/>
      <c r="R82" s="85"/>
      <c r="S82" s="85"/>
      <c r="T82" s="85"/>
      <c r="U82" s="85"/>
      <c r="V82" s="85"/>
      <c r="W82" s="85"/>
      <c r="X82" s="85"/>
      <c r="Y82" s="85"/>
      <c r="Z82" s="85"/>
    </row>
    <row r="83" customFormat="false" ht="12" hidden="false" customHeight="true" outlineLevel="0" collapsed="false">
      <c r="A83" s="287" t="s">
        <v>471</v>
      </c>
      <c r="B83" s="285" t="s">
        <v>462</v>
      </c>
      <c r="C83" s="288" t="n">
        <v>0.0194529657334544</v>
      </c>
      <c r="D83" s="288" t="n">
        <f aca="false">$B$1+E83</f>
        <v>0.067218958170768</v>
      </c>
      <c r="E83" s="288" t="n">
        <v>0.021318958170768</v>
      </c>
      <c r="F83" s="288" t="n">
        <v>0.24</v>
      </c>
      <c r="G83" s="85"/>
      <c r="H83" s="85"/>
      <c r="I83" s="85"/>
      <c r="J83" s="85"/>
      <c r="K83" s="85"/>
      <c r="L83" s="85"/>
      <c r="M83" s="85"/>
      <c r="N83" s="85"/>
      <c r="O83" s="85"/>
      <c r="P83" s="85"/>
      <c r="Q83" s="85"/>
      <c r="R83" s="85"/>
      <c r="S83" s="85"/>
      <c r="T83" s="85"/>
      <c r="U83" s="85"/>
      <c r="V83" s="85"/>
      <c r="W83" s="85"/>
      <c r="X83" s="85"/>
      <c r="Y83" s="85"/>
      <c r="Z83" s="85"/>
    </row>
    <row r="84" customFormat="false" ht="12" hidden="false" customHeight="true" outlineLevel="0" collapsed="false">
      <c r="A84" s="291" t="s">
        <v>472</v>
      </c>
      <c r="B84" s="285" t="s">
        <v>385</v>
      </c>
      <c r="C84" s="288" t="n">
        <v>0.0318103824903619</v>
      </c>
      <c r="D84" s="288" t="n">
        <f aca="false">$B$1+E84</f>
        <v>0.080761738975969</v>
      </c>
      <c r="E84" s="288" t="n">
        <v>0.034861738975969</v>
      </c>
      <c r="F84" s="288" t="n">
        <v>0.25</v>
      </c>
      <c r="G84" s="85"/>
      <c r="H84" s="85"/>
      <c r="I84" s="85"/>
      <c r="J84" s="85"/>
      <c r="K84" s="85"/>
      <c r="L84" s="85"/>
      <c r="M84" s="85"/>
      <c r="N84" s="85"/>
      <c r="O84" s="85"/>
      <c r="P84" s="85"/>
      <c r="Q84" s="85"/>
      <c r="R84" s="85"/>
      <c r="S84" s="85"/>
      <c r="T84" s="85"/>
      <c r="U84" s="85"/>
      <c r="V84" s="85"/>
      <c r="W84" s="85"/>
      <c r="X84" s="85"/>
      <c r="Y84" s="85"/>
      <c r="Z84" s="85"/>
    </row>
    <row r="85" customFormat="false" ht="12" hidden="false" customHeight="true" outlineLevel="0" collapsed="false">
      <c r="A85" s="287" t="s">
        <v>473</v>
      </c>
      <c r="B85" s="285" t="s">
        <v>396</v>
      </c>
      <c r="C85" s="288" t="n">
        <v>0.048632414333636</v>
      </c>
      <c r="D85" s="288" t="n">
        <f aca="false">$B$1+E85</f>
        <v>0.09919739542692</v>
      </c>
      <c r="E85" s="288" t="n">
        <v>0.05329739542692</v>
      </c>
      <c r="F85" s="288" t="n">
        <v>0.25</v>
      </c>
      <c r="G85" s="85"/>
      <c r="H85" s="85"/>
      <c r="I85" s="85"/>
      <c r="J85" s="85"/>
      <c r="K85" s="85"/>
      <c r="L85" s="85"/>
      <c r="M85" s="85"/>
      <c r="N85" s="85"/>
      <c r="O85" s="85"/>
      <c r="P85" s="85"/>
      <c r="Q85" s="85"/>
      <c r="R85" s="85"/>
      <c r="S85" s="85"/>
      <c r="T85" s="85"/>
      <c r="U85" s="85"/>
      <c r="V85" s="85"/>
      <c r="W85" s="85"/>
      <c r="X85" s="85"/>
      <c r="Y85" s="85"/>
      <c r="Z85" s="85"/>
    </row>
    <row r="86" customFormat="false" ht="12" hidden="false" customHeight="true" outlineLevel="0" collapsed="false">
      <c r="A86" s="287" t="s">
        <v>270</v>
      </c>
      <c r="B86" s="285" t="s">
        <v>421</v>
      </c>
      <c r="C86" s="288" t="n">
        <v>0.00621857101315345</v>
      </c>
      <c r="D86" s="288" t="n">
        <f aca="false">$B$1+E86</f>
        <v>0.0527150767922947</v>
      </c>
      <c r="E86" s="288" t="n">
        <v>0.00681507679229468</v>
      </c>
      <c r="F86" s="288" t="n">
        <v>0.3062</v>
      </c>
      <c r="G86" s="85"/>
      <c r="H86" s="85"/>
      <c r="I86" s="85"/>
      <c r="J86" s="85"/>
      <c r="K86" s="85"/>
      <c r="L86" s="85"/>
      <c r="M86" s="85"/>
      <c r="N86" s="85"/>
      <c r="O86" s="85"/>
      <c r="P86" s="85"/>
      <c r="Q86" s="85"/>
      <c r="R86" s="85"/>
      <c r="S86" s="85"/>
      <c r="T86" s="85"/>
      <c r="U86" s="85"/>
      <c r="V86" s="85"/>
      <c r="W86" s="85"/>
      <c r="X86" s="85"/>
      <c r="Y86" s="85"/>
      <c r="Z86" s="85"/>
    </row>
    <row r="87" customFormat="false" ht="12" hidden="false" customHeight="true" outlineLevel="0" collapsed="false">
      <c r="A87" s="287" t="s">
        <v>474</v>
      </c>
      <c r="B87" s="285" t="s">
        <v>389</v>
      </c>
      <c r="C87" s="288" t="n">
        <v>0</v>
      </c>
      <c r="D87" s="288" t="n">
        <f aca="false">$B$1+E87</f>
        <v>0.0459</v>
      </c>
      <c r="E87" s="288" t="n">
        <v>0</v>
      </c>
      <c r="F87" s="288" t="n">
        <v>0</v>
      </c>
      <c r="G87" s="85"/>
      <c r="H87" s="85"/>
      <c r="I87" s="85"/>
      <c r="J87" s="85"/>
      <c r="K87" s="85"/>
      <c r="L87" s="85"/>
      <c r="M87" s="85"/>
      <c r="N87" s="85"/>
      <c r="O87" s="85"/>
      <c r="P87" s="85"/>
      <c r="Q87" s="85"/>
      <c r="R87" s="85"/>
      <c r="S87" s="85"/>
      <c r="T87" s="85"/>
      <c r="U87" s="85"/>
      <c r="V87" s="85"/>
      <c r="W87" s="85"/>
      <c r="X87" s="85"/>
      <c r="Y87" s="85"/>
      <c r="Z87" s="85"/>
    </row>
    <row r="88" customFormat="false" ht="12" hidden="false" customHeight="true" outlineLevel="0" collapsed="false">
      <c r="A88" s="287" t="s">
        <v>475</v>
      </c>
      <c r="B88" s="285" t="s">
        <v>376</v>
      </c>
      <c r="C88" s="288" t="n">
        <v>0.0397829094303022</v>
      </c>
      <c r="D88" s="288" t="n">
        <f aca="false">$B$1+E88</f>
        <v>0.0894990169148083</v>
      </c>
      <c r="E88" s="288" t="n">
        <v>0.0435990169148083</v>
      </c>
      <c r="F88" s="288" t="n">
        <v>0.2</v>
      </c>
      <c r="G88" s="85"/>
      <c r="H88" s="85"/>
      <c r="I88" s="85"/>
      <c r="J88" s="85"/>
      <c r="K88" s="85"/>
      <c r="L88" s="85"/>
      <c r="M88" s="85"/>
      <c r="N88" s="85"/>
      <c r="O88" s="85"/>
      <c r="P88" s="85"/>
      <c r="Q88" s="85"/>
      <c r="R88" s="85"/>
      <c r="S88" s="85"/>
      <c r="T88" s="85"/>
      <c r="U88" s="85"/>
      <c r="V88" s="85"/>
      <c r="W88" s="85"/>
      <c r="X88" s="85"/>
      <c r="Y88" s="85"/>
      <c r="Z88" s="85"/>
    </row>
    <row r="89" customFormat="false" ht="12" hidden="false" customHeight="true" outlineLevel="0" collapsed="false">
      <c r="A89" s="287" t="s">
        <v>476</v>
      </c>
      <c r="B89" s="285" t="s">
        <v>462</v>
      </c>
      <c r="C89" s="288" t="n">
        <v>0.0194529657334544</v>
      </c>
      <c r="D89" s="288" t="n">
        <f aca="false">$B$1+E89</f>
        <v>0.067218958170768</v>
      </c>
      <c r="E89" s="288" t="n">
        <v>0.021318958170768</v>
      </c>
      <c r="F89" s="288" t="n">
        <v>0.2</v>
      </c>
      <c r="G89" s="85"/>
      <c r="H89" s="85"/>
      <c r="I89" s="85"/>
      <c r="J89" s="85"/>
      <c r="K89" s="85"/>
      <c r="L89" s="85"/>
      <c r="M89" s="85"/>
      <c r="N89" s="85"/>
      <c r="O89" s="85"/>
      <c r="P89" s="85"/>
      <c r="Q89" s="85"/>
      <c r="R89" s="85"/>
      <c r="S89" s="85"/>
      <c r="T89" s="85"/>
      <c r="U89" s="85"/>
      <c r="V89" s="85"/>
      <c r="W89" s="85"/>
      <c r="X89" s="85"/>
      <c r="Y89" s="85"/>
      <c r="Z89" s="85"/>
    </row>
    <row r="90" customFormat="false" ht="12" hidden="false" customHeight="true" outlineLevel="0" collapsed="false">
      <c r="A90" s="287" t="s">
        <v>477</v>
      </c>
      <c r="B90" s="285" t="s">
        <v>396</v>
      </c>
      <c r="C90" s="288" t="n">
        <v>0.048632414333636</v>
      </c>
      <c r="D90" s="288" t="n">
        <f aca="false">$B$1+E90</f>
        <v>0.09919739542692</v>
      </c>
      <c r="E90" s="288" t="n">
        <v>0.05329739542692</v>
      </c>
      <c r="F90" s="288" t="n">
        <v>0.3</v>
      </c>
      <c r="G90" s="85"/>
      <c r="H90" s="85"/>
      <c r="I90" s="85"/>
      <c r="J90" s="85"/>
      <c r="K90" s="85"/>
      <c r="L90" s="85"/>
      <c r="M90" s="85"/>
      <c r="N90" s="85"/>
      <c r="O90" s="85"/>
      <c r="P90" s="85"/>
      <c r="Q90" s="85"/>
      <c r="R90" s="85"/>
      <c r="S90" s="85"/>
      <c r="T90" s="85"/>
      <c r="U90" s="85"/>
      <c r="V90" s="85"/>
      <c r="W90" s="85"/>
      <c r="X90" s="85"/>
      <c r="Y90" s="85"/>
      <c r="Z90" s="85"/>
    </row>
    <row r="91" customFormat="false" ht="12" hidden="false" customHeight="true" outlineLevel="0" collapsed="false">
      <c r="A91" s="289" t="s">
        <v>478</v>
      </c>
      <c r="B91" s="285" t="s">
        <v>378</v>
      </c>
      <c r="C91" s="116" t="n">
        <v>0.106034608301206</v>
      </c>
      <c r="D91" s="288" t="n">
        <f aca="false">$B$1+E91</f>
        <v>0.162105796586563</v>
      </c>
      <c r="E91" s="290" t="n">
        <v>0.116205796586563</v>
      </c>
      <c r="F91" s="290" t="n">
        <v>0.2113</v>
      </c>
      <c r="G91" s="85"/>
      <c r="H91" s="85"/>
      <c r="I91" s="85"/>
      <c r="J91" s="85"/>
      <c r="K91" s="85"/>
      <c r="L91" s="85"/>
      <c r="M91" s="85"/>
      <c r="N91" s="85"/>
      <c r="O91" s="85"/>
      <c r="P91" s="85"/>
      <c r="Q91" s="85"/>
      <c r="R91" s="85"/>
      <c r="S91" s="85"/>
      <c r="T91" s="85"/>
      <c r="U91" s="85"/>
      <c r="V91" s="85"/>
      <c r="W91" s="85"/>
      <c r="X91" s="85"/>
      <c r="Y91" s="85"/>
      <c r="Z91" s="85"/>
    </row>
    <row r="92" customFormat="false" ht="12" hidden="false" customHeight="true" outlineLevel="0" collapsed="false">
      <c r="A92" s="287" t="s">
        <v>479</v>
      </c>
      <c r="B92" s="285" t="s">
        <v>421</v>
      </c>
      <c r="C92" s="288" t="n">
        <v>0.00621857101315345</v>
      </c>
      <c r="D92" s="288" t="n">
        <f aca="false">$B$1+E92</f>
        <v>0.0527150767922947</v>
      </c>
      <c r="E92" s="288" t="n">
        <v>0.00681507679229468</v>
      </c>
      <c r="F92" s="288" t="n">
        <v>0.15</v>
      </c>
      <c r="G92" s="85"/>
      <c r="H92" s="85"/>
      <c r="I92" s="85"/>
      <c r="J92" s="85"/>
      <c r="K92" s="85"/>
      <c r="L92" s="85"/>
      <c r="M92" s="85"/>
      <c r="N92" s="85"/>
      <c r="O92" s="85"/>
      <c r="P92" s="85"/>
      <c r="Q92" s="85"/>
      <c r="R92" s="85"/>
      <c r="S92" s="85"/>
      <c r="T92" s="85"/>
      <c r="U92" s="85"/>
      <c r="V92" s="85"/>
      <c r="W92" s="85"/>
      <c r="X92" s="85"/>
      <c r="Y92" s="85"/>
      <c r="Z92" s="85"/>
    </row>
    <row r="93" customFormat="false" ht="12" hidden="false" customHeight="true" outlineLevel="0" collapsed="false">
      <c r="A93" s="287" t="s">
        <v>480</v>
      </c>
      <c r="B93" s="285" t="s">
        <v>396</v>
      </c>
      <c r="C93" s="288" t="n">
        <v>0.048632414333636</v>
      </c>
      <c r="D93" s="288" t="n">
        <f aca="false">$B$1+E93</f>
        <v>0.09919739542692</v>
      </c>
      <c r="E93" s="288" t="n">
        <v>0.05329739542692</v>
      </c>
      <c r="F93" s="288" t="n">
        <v>0.1</v>
      </c>
      <c r="G93" s="85"/>
      <c r="H93" s="85"/>
      <c r="I93" s="85"/>
      <c r="J93" s="85"/>
      <c r="K93" s="85"/>
      <c r="L93" s="85"/>
      <c r="M93" s="85"/>
      <c r="N93" s="85"/>
      <c r="O93" s="85"/>
      <c r="P93" s="85"/>
      <c r="Q93" s="85"/>
      <c r="R93" s="85"/>
      <c r="S93" s="85"/>
      <c r="T93" s="85"/>
      <c r="U93" s="85"/>
      <c r="V93" s="85"/>
      <c r="W93" s="85"/>
      <c r="X93" s="85"/>
      <c r="Y93" s="85"/>
      <c r="Z93" s="85"/>
    </row>
    <row r="94" customFormat="false" ht="12" hidden="false" customHeight="true" outlineLevel="0" collapsed="false">
      <c r="A94" s="291" t="s">
        <v>481</v>
      </c>
      <c r="B94" s="285" t="s">
        <v>427</v>
      </c>
      <c r="C94" s="288" t="n">
        <v>0.0106034608301206</v>
      </c>
      <c r="D94" s="288" t="n">
        <f aca="false">$B$1+E94</f>
        <v>0.0575205796586563</v>
      </c>
      <c r="E94" s="288" t="n">
        <v>0.0116205796586563</v>
      </c>
      <c r="F94" s="288" t="n">
        <v>0.2113</v>
      </c>
      <c r="G94" s="85"/>
      <c r="H94" s="85"/>
      <c r="I94" s="85"/>
      <c r="J94" s="85"/>
      <c r="K94" s="85"/>
      <c r="L94" s="85"/>
      <c r="M94" s="85"/>
      <c r="N94" s="85"/>
      <c r="O94" s="85"/>
      <c r="P94" s="85"/>
      <c r="Q94" s="85"/>
      <c r="R94" s="85"/>
      <c r="S94" s="85"/>
      <c r="T94" s="85"/>
      <c r="U94" s="85"/>
      <c r="V94" s="85"/>
      <c r="W94" s="85"/>
      <c r="X94" s="85"/>
      <c r="Y94" s="85"/>
      <c r="Z94" s="85"/>
    </row>
    <row r="95" customFormat="false" ht="12" hidden="false" customHeight="true" outlineLevel="0" collapsed="false">
      <c r="A95" s="287" t="s">
        <v>482</v>
      </c>
      <c r="B95" s="285" t="s">
        <v>434</v>
      </c>
      <c r="C95" s="288" t="n">
        <v>0.0106034608301206</v>
      </c>
      <c r="D95" s="288" t="n">
        <f aca="false">$B$1+E95</f>
        <v>0.0575205796586563</v>
      </c>
      <c r="E95" s="288" t="n">
        <v>0.0116205796586563</v>
      </c>
      <c r="F95" s="288" t="n">
        <v>0.2</v>
      </c>
      <c r="G95" s="85"/>
      <c r="H95" s="85"/>
      <c r="I95" s="85"/>
      <c r="J95" s="85"/>
      <c r="K95" s="85"/>
      <c r="L95" s="85"/>
      <c r="M95" s="85"/>
      <c r="N95" s="85"/>
      <c r="O95" s="85"/>
      <c r="P95" s="85"/>
      <c r="Q95" s="85"/>
      <c r="R95" s="85"/>
      <c r="S95" s="85"/>
      <c r="T95" s="85"/>
      <c r="U95" s="85"/>
      <c r="V95" s="85"/>
      <c r="W95" s="85"/>
      <c r="X95" s="85"/>
      <c r="Y95" s="85"/>
      <c r="Z95" s="85"/>
    </row>
    <row r="96" customFormat="false" ht="12" hidden="false" customHeight="true" outlineLevel="0" collapsed="false">
      <c r="A96" s="287" t="s">
        <v>483</v>
      </c>
      <c r="B96" s="285" t="s">
        <v>484</v>
      </c>
      <c r="C96" s="288" t="n">
        <v>0.175</v>
      </c>
      <c r="D96" s="288" t="n">
        <f aca="false">$B$1+E96</f>
        <v>0.237686575425273</v>
      </c>
      <c r="E96" s="288" t="n">
        <v>0.191786575425273</v>
      </c>
      <c r="F96" s="288" t="n">
        <v>0.17</v>
      </c>
      <c r="G96" s="85"/>
      <c r="H96" s="85"/>
      <c r="I96" s="85"/>
      <c r="J96" s="85"/>
      <c r="K96" s="85"/>
      <c r="L96" s="85"/>
      <c r="M96" s="85"/>
      <c r="N96" s="85"/>
      <c r="O96" s="85"/>
      <c r="P96" s="85"/>
      <c r="Q96" s="85"/>
      <c r="R96" s="85"/>
      <c r="S96" s="85"/>
      <c r="T96" s="85"/>
      <c r="U96" s="85"/>
      <c r="V96" s="85"/>
      <c r="W96" s="85"/>
      <c r="X96" s="85"/>
      <c r="Y96" s="85"/>
      <c r="Z96" s="85"/>
    </row>
    <row r="97" customFormat="false" ht="12" hidden="false" customHeight="true" outlineLevel="0" collapsed="false">
      <c r="A97" s="289" t="s">
        <v>485</v>
      </c>
      <c r="B97" s="285" t="s">
        <v>378</v>
      </c>
      <c r="C97" s="116" t="n">
        <v>0.106034608301206</v>
      </c>
      <c r="D97" s="288" t="n">
        <f aca="false">$B$1+E97</f>
        <v>0.162105796586563</v>
      </c>
      <c r="E97" s="290" t="n">
        <v>0.116205796586563</v>
      </c>
      <c r="F97" s="290" t="n">
        <v>0.2825</v>
      </c>
      <c r="G97" s="85"/>
      <c r="H97" s="85"/>
      <c r="I97" s="85"/>
      <c r="J97" s="85"/>
      <c r="K97" s="85"/>
      <c r="L97" s="85"/>
      <c r="M97" s="85"/>
      <c r="N97" s="85"/>
      <c r="O97" s="85"/>
      <c r="P97" s="85"/>
      <c r="Q97" s="85"/>
      <c r="R97" s="85"/>
      <c r="S97" s="85"/>
      <c r="T97" s="85"/>
      <c r="U97" s="85"/>
      <c r="V97" s="85"/>
      <c r="W97" s="85"/>
      <c r="X97" s="85"/>
      <c r="Y97" s="85"/>
      <c r="Z97" s="85"/>
    </row>
    <row r="98" customFormat="false" ht="12" hidden="false" customHeight="true" outlineLevel="0" collapsed="false">
      <c r="A98" s="289" t="s">
        <v>486</v>
      </c>
      <c r="B98" s="285" t="s">
        <v>378</v>
      </c>
      <c r="C98" s="116" t="n">
        <v>0.0795658188606044</v>
      </c>
      <c r="D98" s="288" t="n">
        <f aca="false">$B$1+E98</f>
        <v>0.133098033829617</v>
      </c>
      <c r="E98" s="290" t="n">
        <v>0.0871980338296166</v>
      </c>
      <c r="F98" s="290" t="n">
        <v>0.2</v>
      </c>
      <c r="G98" s="85"/>
      <c r="H98" s="85"/>
      <c r="I98" s="85"/>
      <c r="J98" s="85"/>
      <c r="K98" s="85"/>
      <c r="L98" s="85"/>
      <c r="M98" s="85"/>
      <c r="N98" s="85"/>
      <c r="O98" s="85"/>
      <c r="P98" s="85"/>
      <c r="Q98" s="85"/>
      <c r="R98" s="85"/>
      <c r="S98" s="85"/>
      <c r="T98" s="85"/>
      <c r="U98" s="85"/>
      <c r="V98" s="85"/>
      <c r="W98" s="85"/>
      <c r="X98" s="85"/>
      <c r="Y98" s="85"/>
      <c r="Z98" s="85"/>
    </row>
    <row r="99" customFormat="false" ht="12" hidden="false" customHeight="true" outlineLevel="0" collapsed="false">
      <c r="A99" s="287" t="s">
        <v>487</v>
      </c>
      <c r="B99" s="285" t="s">
        <v>389</v>
      </c>
      <c r="C99" s="288" t="n">
        <v>0</v>
      </c>
      <c r="D99" s="288" t="n">
        <f aca="false">$B$1+E99</f>
        <v>0.0459</v>
      </c>
      <c r="E99" s="288" t="n">
        <v>0</v>
      </c>
      <c r="F99" s="288" t="n">
        <v>0.125</v>
      </c>
      <c r="G99" s="85"/>
      <c r="H99" s="85"/>
      <c r="I99" s="85"/>
      <c r="J99" s="85"/>
      <c r="K99" s="85"/>
      <c r="L99" s="85"/>
      <c r="M99" s="85"/>
      <c r="N99" s="85"/>
      <c r="O99" s="85"/>
      <c r="P99" s="85"/>
      <c r="Q99" s="85"/>
      <c r="R99" s="85"/>
      <c r="S99" s="85"/>
      <c r="T99" s="85"/>
      <c r="U99" s="85"/>
      <c r="V99" s="85"/>
      <c r="W99" s="85"/>
      <c r="X99" s="85"/>
      <c r="Y99" s="85"/>
      <c r="Z99" s="85"/>
    </row>
    <row r="100" customFormat="false" ht="12" hidden="false" customHeight="true" outlineLevel="0" collapsed="false">
      <c r="A100" s="287" t="s">
        <v>488</v>
      </c>
      <c r="B100" s="285" t="s">
        <v>434</v>
      </c>
      <c r="C100" s="288" t="n">
        <v>0.0106034608301206</v>
      </c>
      <c r="D100" s="288" t="n">
        <f aca="false">$B$1+E100</f>
        <v>0.0575205796586563</v>
      </c>
      <c r="E100" s="288" t="n">
        <v>0.0116205796586563</v>
      </c>
      <c r="F100" s="288" t="n">
        <v>0.15</v>
      </c>
      <c r="G100" s="85"/>
      <c r="H100" s="85"/>
      <c r="I100" s="85"/>
      <c r="J100" s="85"/>
      <c r="K100" s="85"/>
      <c r="L100" s="85"/>
      <c r="M100" s="85"/>
      <c r="N100" s="85"/>
      <c r="O100" s="85"/>
      <c r="P100" s="85"/>
      <c r="Q100" s="85"/>
      <c r="R100" s="85"/>
      <c r="S100" s="85"/>
      <c r="T100" s="85"/>
      <c r="U100" s="85"/>
      <c r="V100" s="85"/>
      <c r="W100" s="85"/>
      <c r="X100" s="85"/>
      <c r="Y100" s="85"/>
      <c r="Z100" s="85"/>
    </row>
    <row r="101" customFormat="false" ht="12" hidden="false" customHeight="true" outlineLevel="0" collapsed="false">
      <c r="A101" s="287" t="s">
        <v>489</v>
      </c>
      <c r="B101" s="285" t="s">
        <v>389</v>
      </c>
      <c r="C101" s="288" t="n">
        <v>0</v>
      </c>
      <c r="D101" s="288" t="n">
        <f aca="false">$B$1+E101</f>
        <v>0.0459</v>
      </c>
      <c r="E101" s="288" t="n">
        <v>0</v>
      </c>
      <c r="F101" s="288" t="n">
        <v>0.2494</v>
      </c>
      <c r="G101" s="85"/>
      <c r="H101" s="85"/>
      <c r="I101" s="85"/>
      <c r="J101" s="85"/>
      <c r="K101" s="85"/>
      <c r="L101" s="85"/>
      <c r="M101" s="85"/>
      <c r="N101" s="85"/>
      <c r="O101" s="85"/>
      <c r="P101" s="85"/>
      <c r="Q101" s="85"/>
      <c r="R101" s="85"/>
      <c r="S101" s="85"/>
      <c r="T101" s="85"/>
      <c r="U101" s="85"/>
      <c r="V101" s="85"/>
      <c r="W101" s="85"/>
      <c r="X101" s="85"/>
      <c r="Y101" s="85"/>
      <c r="Z101" s="85"/>
    </row>
    <row r="102" customFormat="false" ht="12" hidden="false" customHeight="true" outlineLevel="0" collapsed="false">
      <c r="A102" s="287" t="s">
        <v>490</v>
      </c>
      <c r="B102" s="285" t="s">
        <v>402</v>
      </c>
      <c r="C102" s="288" t="n">
        <v>0.00534159304976002</v>
      </c>
      <c r="D102" s="288" t="n">
        <f aca="false">$B$1+E102</f>
        <v>0.0517539762190224</v>
      </c>
      <c r="E102" s="288" t="n">
        <v>0.00585397621902236</v>
      </c>
      <c r="F102" s="288" t="n">
        <v>0.12</v>
      </c>
      <c r="G102" s="85"/>
      <c r="H102" s="85"/>
      <c r="I102" s="85"/>
      <c r="J102" s="85"/>
      <c r="K102" s="85"/>
      <c r="L102" s="85"/>
      <c r="M102" s="85"/>
      <c r="N102" s="85"/>
      <c r="O102" s="85"/>
      <c r="P102" s="85"/>
      <c r="Q102" s="85"/>
      <c r="R102" s="85"/>
      <c r="S102" s="85"/>
      <c r="T102" s="85"/>
      <c r="U102" s="85"/>
      <c r="V102" s="85"/>
      <c r="W102" s="85"/>
      <c r="X102" s="85"/>
      <c r="Y102" s="85"/>
      <c r="Z102" s="85"/>
    </row>
    <row r="103" customFormat="false" ht="12" hidden="false" customHeight="true" outlineLevel="0" collapsed="false">
      <c r="A103" s="287" t="s">
        <v>491</v>
      </c>
      <c r="B103" s="285" t="s">
        <v>385</v>
      </c>
      <c r="C103" s="288" t="n">
        <v>0.0318103824903619</v>
      </c>
      <c r="D103" s="288" t="n">
        <f aca="false">$B$1+E103</f>
        <v>0.080761738975969</v>
      </c>
      <c r="E103" s="288" t="n">
        <v>0.034861738975969</v>
      </c>
      <c r="F103" s="288" t="n">
        <v>0.1</v>
      </c>
      <c r="G103" s="85"/>
      <c r="H103" s="85"/>
      <c r="I103" s="85"/>
      <c r="J103" s="85"/>
      <c r="K103" s="85"/>
      <c r="L103" s="85"/>
      <c r="M103" s="85"/>
      <c r="N103" s="85"/>
      <c r="O103" s="85"/>
      <c r="P103" s="85"/>
      <c r="Q103" s="85"/>
      <c r="R103" s="85"/>
      <c r="S103" s="85"/>
      <c r="T103" s="85"/>
      <c r="U103" s="85"/>
      <c r="V103" s="85"/>
      <c r="W103" s="85"/>
      <c r="X103" s="85"/>
      <c r="Y103" s="85"/>
      <c r="Z103" s="85"/>
    </row>
    <row r="104" customFormat="false" ht="12" hidden="false" customHeight="true" outlineLevel="0" collapsed="false">
      <c r="A104" s="289" t="s">
        <v>492</v>
      </c>
      <c r="B104" s="285" t="s">
        <v>378</v>
      </c>
      <c r="C104" s="116" t="n">
        <v>0.0574819192369697</v>
      </c>
      <c r="D104" s="288" t="n">
        <f aca="false">$B$1+E104</f>
        <v>0.108895773939032</v>
      </c>
      <c r="E104" s="290" t="n">
        <v>0.0629957739390316</v>
      </c>
      <c r="F104" s="290" t="n">
        <v>0.2</v>
      </c>
      <c r="G104" s="85"/>
      <c r="H104" s="85"/>
      <c r="I104" s="85"/>
      <c r="J104" s="85"/>
      <c r="K104" s="85"/>
      <c r="L104" s="85"/>
      <c r="M104" s="85"/>
      <c r="N104" s="85"/>
      <c r="O104" s="85"/>
      <c r="P104" s="85"/>
      <c r="Q104" s="85"/>
      <c r="R104" s="85"/>
      <c r="S104" s="85"/>
      <c r="T104" s="85"/>
      <c r="U104" s="85"/>
      <c r="V104" s="85"/>
      <c r="W104" s="85"/>
      <c r="X104" s="85"/>
      <c r="Y104" s="85"/>
      <c r="Z104" s="85"/>
    </row>
    <row r="105" customFormat="false" ht="12" hidden="false" customHeight="true" outlineLevel="0" collapsed="false">
      <c r="A105" s="289" t="s">
        <v>493</v>
      </c>
      <c r="B105" s="285" t="s">
        <v>378</v>
      </c>
      <c r="C105" s="116" t="n">
        <v>0.0795658188606044</v>
      </c>
      <c r="D105" s="288" t="n">
        <f aca="false">$B$1+E105</f>
        <v>0.133098033829617</v>
      </c>
      <c r="E105" s="290" t="n">
        <v>0.0871980338296166</v>
      </c>
      <c r="F105" s="290" t="n">
        <v>0.3</v>
      </c>
      <c r="G105" s="85"/>
      <c r="H105" s="85"/>
      <c r="I105" s="85"/>
      <c r="J105" s="85"/>
      <c r="K105" s="85"/>
      <c r="L105" s="85"/>
      <c r="M105" s="85"/>
      <c r="N105" s="85"/>
      <c r="O105" s="85"/>
      <c r="P105" s="85"/>
      <c r="Q105" s="85"/>
      <c r="R105" s="85"/>
      <c r="S105" s="85"/>
      <c r="T105" s="85"/>
      <c r="U105" s="85"/>
      <c r="V105" s="85"/>
      <c r="W105" s="85"/>
      <c r="X105" s="85"/>
      <c r="Y105" s="85"/>
      <c r="Z105" s="85"/>
    </row>
    <row r="106" customFormat="false" ht="12" hidden="false" customHeight="true" outlineLevel="0" collapsed="false">
      <c r="A106" s="287" t="s">
        <v>494</v>
      </c>
      <c r="B106" s="285" t="s">
        <v>434</v>
      </c>
      <c r="C106" s="288" t="n">
        <v>0.0106034608301206</v>
      </c>
      <c r="D106" s="288" t="n">
        <f aca="false">$B$1+E106</f>
        <v>0.0575205796586563</v>
      </c>
      <c r="E106" s="288" t="n">
        <v>0.0116205796586563</v>
      </c>
      <c r="F106" s="288" t="n">
        <v>0.24</v>
      </c>
      <c r="G106" s="85"/>
      <c r="H106" s="85"/>
      <c r="I106" s="85"/>
      <c r="J106" s="85"/>
      <c r="K106" s="85"/>
      <c r="L106" s="85"/>
      <c r="M106" s="85"/>
      <c r="N106" s="85"/>
      <c r="O106" s="85"/>
      <c r="P106" s="85"/>
      <c r="Q106" s="85"/>
      <c r="R106" s="85"/>
      <c r="S106" s="85"/>
      <c r="T106" s="85"/>
      <c r="U106" s="85"/>
      <c r="V106" s="85"/>
      <c r="W106" s="85"/>
      <c r="X106" s="85"/>
      <c r="Y106" s="85"/>
      <c r="Z106" s="85"/>
    </row>
    <row r="107" customFormat="false" ht="12" hidden="false" customHeight="true" outlineLevel="0" collapsed="false">
      <c r="A107" s="287" t="s">
        <v>495</v>
      </c>
      <c r="B107" s="285" t="s">
        <v>380</v>
      </c>
      <c r="C107" s="288" t="n">
        <v>0.0662516988709041</v>
      </c>
      <c r="D107" s="288" t="n">
        <f aca="false">$B$1+E107</f>
        <v>0.118506779671755</v>
      </c>
      <c r="E107" s="288" t="n">
        <v>0.0726067796717549</v>
      </c>
      <c r="F107" s="288" t="n">
        <v>0.2825</v>
      </c>
      <c r="G107" s="85"/>
      <c r="H107" s="85"/>
      <c r="I107" s="85"/>
      <c r="J107" s="85"/>
      <c r="K107" s="85"/>
      <c r="L107" s="85"/>
      <c r="M107" s="85"/>
      <c r="N107" s="85"/>
      <c r="O107" s="85"/>
      <c r="P107" s="85"/>
      <c r="Q107" s="85"/>
      <c r="R107" s="85"/>
      <c r="S107" s="85"/>
      <c r="T107" s="85"/>
      <c r="U107" s="85"/>
      <c r="V107" s="85"/>
      <c r="W107" s="85"/>
      <c r="X107" s="85"/>
      <c r="Y107" s="85"/>
      <c r="Z107" s="85"/>
    </row>
    <row r="108" customFormat="false" ht="12" hidden="false" customHeight="true" outlineLevel="0" collapsed="false">
      <c r="A108" s="287" t="s">
        <v>496</v>
      </c>
      <c r="B108" s="285" t="s">
        <v>407</v>
      </c>
      <c r="C108" s="288" t="n">
        <v>0.0074941753235439</v>
      </c>
      <c r="D108" s="288" t="n">
        <f aca="false">$B$1+E108</f>
        <v>0.054113041262509</v>
      </c>
      <c r="E108" s="288" t="n">
        <v>0.00821304126250898</v>
      </c>
      <c r="F108" s="288" t="n">
        <v>0.35</v>
      </c>
      <c r="G108" s="85"/>
      <c r="H108" s="85"/>
      <c r="I108" s="85"/>
      <c r="J108" s="85"/>
      <c r="K108" s="85"/>
      <c r="L108" s="85"/>
      <c r="M108" s="85"/>
      <c r="N108" s="85"/>
      <c r="O108" s="85"/>
      <c r="P108" s="85"/>
      <c r="Q108" s="85"/>
      <c r="R108" s="85"/>
      <c r="S108" s="85"/>
      <c r="T108" s="85"/>
      <c r="U108" s="85"/>
      <c r="V108" s="85"/>
      <c r="W108" s="85"/>
      <c r="X108" s="85"/>
      <c r="Y108" s="85"/>
      <c r="Z108" s="85"/>
    </row>
    <row r="109" customFormat="false" ht="12" hidden="false" customHeight="true" outlineLevel="0" collapsed="false">
      <c r="A109" s="287" t="s">
        <v>497</v>
      </c>
      <c r="B109" s="285" t="s">
        <v>387</v>
      </c>
      <c r="C109" s="288" t="n">
        <v>0.0141113726836944</v>
      </c>
      <c r="D109" s="288" t="n">
        <f aca="false">$B$1+E109</f>
        <v>0.0613649819517456</v>
      </c>
      <c r="E109" s="288" t="n">
        <v>0.0154649819517456</v>
      </c>
      <c r="F109" s="288" t="n">
        <v>0.15</v>
      </c>
      <c r="G109" s="85"/>
      <c r="H109" s="85"/>
      <c r="I109" s="85"/>
      <c r="J109" s="85"/>
      <c r="K109" s="85"/>
      <c r="L109" s="85"/>
      <c r="M109" s="85"/>
      <c r="N109" s="85"/>
      <c r="O109" s="85"/>
      <c r="P109" s="85"/>
      <c r="Q109" s="85"/>
      <c r="R109" s="85"/>
      <c r="S109" s="85"/>
      <c r="T109" s="85"/>
      <c r="U109" s="85"/>
      <c r="V109" s="85"/>
      <c r="W109" s="85"/>
      <c r="X109" s="85"/>
      <c r="Y109" s="85"/>
      <c r="Z109" s="85"/>
    </row>
    <row r="110" customFormat="false" ht="12" hidden="false" customHeight="true" outlineLevel="0" collapsed="false">
      <c r="A110" s="287" t="s">
        <v>498</v>
      </c>
      <c r="B110" s="285" t="s">
        <v>387</v>
      </c>
      <c r="C110" s="288" t="n">
        <v>0.0141113726836944</v>
      </c>
      <c r="D110" s="288" t="n">
        <f aca="false">$B$1+E110</f>
        <v>0.0613649819517456</v>
      </c>
      <c r="E110" s="288" t="n">
        <v>0.0154649819517456</v>
      </c>
      <c r="F110" s="288" t="n">
        <v>0.3</v>
      </c>
      <c r="G110" s="85"/>
      <c r="H110" s="85"/>
      <c r="I110" s="85"/>
      <c r="J110" s="85"/>
      <c r="K110" s="85"/>
      <c r="L110" s="85"/>
      <c r="M110" s="85"/>
      <c r="N110" s="85"/>
      <c r="O110" s="85"/>
      <c r="P110" s="85"/>
      <c r="Q110" s="85"/>
      <c r="R110" s="85"/>
      <c r="S110" s="85"/>
      <c r="T110" s="85"/>
      <c r="U110" s="85"/>
      <c r="V110" s="85"/>
      <c r="W110" s="85"/>
      <c r="X110" s="85"/>
      <c r="Y110" s="85"/>
      <c r="Z110" s="85"/>
    </row>
    <row r="111" customFormat="false" ht="12" hidden="false" customHeight="true" outlineLevel="0" collapsed="false">
      <c r="A111" s="287" t="s">
        <v>499</v>
      </c>
      <c r="B111" s="285" t="s">
        <v>400</v>
      </c>
      <c r="C111" s="288" t="n">
        <v>0.0574819192369697</v>
      </c>
      <c r="D111" s="288" t="n">
        <f aca="false">$B$1+E111</f>
        <v>0.108895773939032</v>
      </c>
      <c r="E111" s="288" t="n">
        <v>0.0629957739390316</v>
      </c>
      <c r="F111" s="288" t="n">
        <v>0.12</v>
      </c>
      <c r="G111" s="85"/>
      <c r="H111" s="85"/>
      <c r="I111" s="85"/>
      <c r="J111" s="85"/>
      <c r="K111" s="85"/>
      <c r="L111" s="85"/>
      <c r="M111" s="85"/>
      <c r="N111" s="85"/>
      <c r="O111" s="85"/>
      <c r="P111" s="85"/>
      <c r="Q111" s="85"/>
      <c r="R111" s="85"/>
      <c r="S111" s="85"/>
      <c r="T111" s="85"/>
      <c r="U111" s="85"/>
      <c r="V111" s="85"/>
      <c r="W111" s="85"/>
      <c r="X111" s="85"/>
      <c r="Y111" s="85"/>
      <c r="Z111" s="85"/>
    </row>
    <row r="112" customFormat="false" ht="12" hidden="false" customHeight="true" outlineLevel="0" collapsed="false">
      <c r="A112" s="287" t="s">
        <v>500</v>
      </c>
      <c r="B112" s="285" t="s">
        <v>400</v>
      </c>
      <c r="C112" s="288" t="n">
        <v>0.0574819192369697</v>
      </c>
      <c r="D112" s="288" t="n">
        <f aca="false">$B$1+E112</f>
        <v>0.108895773939032</v>
      </c>
      <c r="E112" s="288" t="n">
        <v>0.0629957739390316</v>
      </c>
      <c r="F112" s="288" t="n">
        <v>0.25</v>
      </c>
      <c r="G112" s="85"/>
      <c r="H112" s="85"/>
      <c r="I112" s="85"/>
      <c r="J112" s="85"/>
      <c r="K112" s="85"/>
      <c r="L112" s="85"/>
      <c r="M112" s="85"/>
      <c r="N112" s="85"/>
      <c r="O112" s="85"/>
      <c r="P112" s="85"/>
      <c r="Q112" s="85"/>
      <c r="R112" s="85"/>
      <c r="S112" s="85"/>
      <c r="T112" s="85"/>
      <c r="U112" s="85"/>
      <c r="V112" s="85"/>
      <c r="W112" s="85"/>
      <c r="X112" s="85"/>
      <c r="Y112" s="85"/>
      <c r="Z112" s="85"/>
    </row>
    <row r="113" customFormat="false" ht="12" hidden="false" customHeight="true" outlineLevel="0" collapsed="false">
      <c r="A113" s="287" t="s">
        <v>501</v>
      </c>
      <c r="B113" s="285" t="s">
        <v>376</v>
      </c>
      <c r="C113" s="288" t="n">
        <v>0.0397829094303022</v>
      </c>
      <c r="D113" s="288" t="n">
        <f aca="false">$B$1+E113</f>
        <v>0.0894990169148083</v>
      </c>
      <c r="E113" s="288" t="n">
        <v>0.0435990169148083</v>
      </c>
      <c r="F113" s="288" t="n">
        <v>0.09</v>
      </c>
      <c r="G113" s="85"/>
      <c r="H113" s="85"/>
      <c r="I113" s="85"/>
      <c r="J113" s="85"/>
      <c r="K113" s="85"/>
      <c r="L113" s="85"/>
      <c r="M113" s="85"/>
      <c r="N113" s="85"/>
      <c r="O113" s="85"/>
      <c r="P113" s="85"/>
      <c r="Q113" s="85"/>
      <c r="R113" s="85"/>
      <c r="S113" s="85"/>
      <c r="T113" s="85"/>
      <c r="U113" s="85"/>
      <c r="V113" s="85"/>
      <c r="W113" s="85"/>
      <c r="X113" s="85"/>
      <c r="Y113" s="85"/>
      <c r="Z113" s="85"/>
    </row>
    <row r="114" customFormat="false" ht="12" hidden="false" customHeight="true" outlineLevel="0" collapsed="false">
      <c r="A114" s="287" t="s">
        <v>502</v>
      </c>
      <c r="B114" s="285" t="s">
        <v>462</v>
      </c>
      <c r="C114" s="288" t="n">
        <v>0.0194529657334544</v>
      </c>
      <c r="D114" s="288" t="n">
        <f aca="false">$B$1+E114</f>
        <v>0.067218958170768</v>
      </c>
      <c r="E114" s="288" t="n">
        <v>0.021318958170768</v>
      </c>
      <c r="F114" s="288" t="n">
        <v>0.2113</v>
      </c>
      <c r="G114" s="85"/>
      <c r="H114" s="85"/>
      <c r="I114" s="85"/>
      <c r="J114" s="85"/>
      <c r="K114" s="85"/>
      <c r="L114" s="85"/>
      <c r="M114" s="85"/>
      <c r="N114" s="85"/>
      <c r="O114" s="85"/>
      <c r="P114" s="85"/>
      <c r="Q114" s="85"/>
      <c r="R114" s="85"/>
      <c r="S114" s="85"/>
      <c r="T114" s="85"/>
      <c r="U114" s="85"/>
      <c r="V114" s="85"/>
      <c r="W114" s="85"/>
      <c r="X114" s="85"/>
      <c r="Y114" s="85"/>
      <c r="Z114" s="85"/>
    </row>
    <row r="115" customFormat="false" ht="12" hidden="false" customHeight="true" outlineLevel="0" collapsed="false">
      <c r="A115" s="287" t="s">
        <v>503</v>
      </c>
      <c r="B115" s="285" t="s">
        <v>431</v>
      </c>
      <c r="C115" s="288" t="n">
        <v>0.0220838996236347</v>
      </c>
      <c r="D115" s="288" t="n">
        <f aca="false">$B$1+E115</f>
        <v>0.070102259890585</v>
      </c>
      <c r="E115" s="288" t="n">
        <v>0.024202259890585</v>
      </c>
      <c r="F115" s="288" t="n">
        <v>0.31</v>
      </c>
      <c r="G115" s="85"/>
      <c r="H115" s="85"/>
      <c r="I115" s="85"/>
      <c r="J115" s="85"/>
      <c r="K115" s="85"/>
      <c r="L115" s="85"/>
      <c r="M115" s="85"/>
      <c r="N115" s="85"/>
      <c r="O115" s="85"/>
      <c r="P115" s="85"/>
      <c r="Q115" s="85"/>
      <c r="R115" s="85"/>
      <c r="S115" s="85"/>
      <c r="T115" s="85"/>
      <c r="U115" s="85"/>
      <c r="V115" s="85"/>
      <c r="W115" s="85"/>
      <c r="X115" s="85"/>
      <c r="Y115" s="85"/>
      <c r="Z115" s="85"/>
    </row>
    <row r="116" customFormat="false" ht="12" hidden="false" customHeight="true" outlineLevel="0" collapsed="false">
      <c r="A116" s="287" t="s">
        <v>504</v>
      </c>
      <c r="B116" s="285" t="s">
        <v>427</v>
      </c>
      <c r="C116" s="288" t="n">
        <v>0.0795658188606044</v>
      </c>
      <c r="D116" s="288" t="n">
        <f aca="false">$B$1+E116</f>
        <v>0.133098033829617</v>
      </c>
      <c r="E116" s="288" t="n">
        <v>0.0871980338296166</v>
      </c>
      <c r="F116" s="288" t="n">
        <v>0.32</v>
      </c>
      <c r="G116" s="85"/>
      <c r="H116" s="85"/>
      <c r="I116" s="85"/>
      <c r="J116" s="85"/>
      <c r="K116" s="85"/>
      <c r="L116" s="85"/>
      <c r="M116" s="85"/>
      <c r="N116" s="85"/>
      <c r="O116" s="85"/>
      <c r="P116" s="85"/>
      <c r="Q116" s="85"/>
      <c r="R116" s="85"/>
      <c r="S116" s="85"/>
      <c r="T116" s="85"/>
      <c r="U116" s="85"/>
      <c r="V116" s="85"/>
      <c r="W116" s="85"/>
      <c r="X116" s="85"/>
      <c r="Y116" s="85"/>
      <c r="Z116" s="85"/>
    </row>
    <row r="117" customFormat="false" ht="12" hidden="false" customHeight="true" outlineLevel="0" collapsed="false">
      <c r="A117" s="289" t="s">
        <v>505</v>
      </c>
      <c r="B117" s="285" t="s">
        <v>378</v>
      </c>
      <c r="C117" s="116" t="n">
        <v>0.0574819192369697</v>
      </c>
      <c r="D117" s="288" t="n">
        <f aca="false">$B$1+E117</f>
        <v>0.108895773939032</v>
      </c>
      <c r="E117" s="290" t="n">
        <v>0.0629957739390316</v>
      </c>
      <c r="F117" s="290" t="n">
        <v>0.25</v>
      </c>
      <c r="G117" s="85"/>
      <c r="H117" s="85"/>
      <c r="I117" s="85"/>
      <c r="J117" s="85"/>
      <c r="K117" s="85"/>
      <c r="L117" s="85"/>
      <c r="M117" s="85"/>
      <c r="N117" s="85"/>
      <c r="O117" s="85"/>
      <c r="P117" s="85"/>
      <c r="Q117" s="85"/>
      <c r="R117" s="85"/>
      <c r="S117" s="85"/>
      <c r="T117" s="85"/>
      <c r="U117" s="85"/>
      <c r="V117" s="85"/>
      <c r="W117" s="85"/>
      <c r="X117" s="85"/>
      <c r="Y117" s="85"/>
      <c r="Z117" s="85"/>
    </row>
    <row r="118" customFormat="false" ht="12" hidden="false" customHeight="true" outlineLevel="0" collapsed="false">
      <c r="A118" s="287" t="s">
        <v>506</v>
      </c>
      <c r="B118" s="285" t="s">
        <v>385</v>
      </c>
      <c r="C118" s="288" t="n">
        <v>0.0318103824903619</v>
      </c>
      <c r="D118" s="288" t="n">
        <f aca="false">$B$1+E118</f>
        <v>0.080761738975969</v>
      </c>
      <c r="E118" s="288" t="n">
        <v>0.034861738975969</v>
      </c>
      <c r="F118" s="288" t="n">
        <v>0.32</v>
      </c>
      <c r="G118" s="85"/>
      <c r="H118" s="85"/>
      <c r="I118" s="85"/>
      <c r="J118" s="85"/>
      <c r="K118" s="85"/>
      <c r="L118" s="85"/>
      <c r="M118" s="85"/>
      <c r="N118" s="85"/>
      <c r="O118" s="85"/>
      <c r="P118" s="85"/>
      <c r="Q118" s="85"/>
      <c r="R118" s="85"/>
      <c r="S118" s="85"/>
      <c r="T118" s="85"/>
      <c r="U118" s="85"/>
      <c r="V118" s="85"/>
      <c r="W118" s="85"/>
      <c r="X118" s="85"/>
      <c r="Y118" s="85"/>
      <c r="Z118" s="85"/>
    </row>
    <row r="119" customFormat="false" ht="12" hidden="false" customHeight="true" outlineLevel="0" collapsed="false">
      <c r="A119" s="287" t="s">
        <v>507</v>
      </c>
      <c r="B119" s="285" t="s">
        <v>389</v>
      </c>
      <c r="C119" s="288" t="n">
        <v>0</v>
      </c>
      <c r="D119" s="288" t="n">
        <f aca="false">$B$1+E119</f>
        <v>0.0459</v>
      </c>
      <c r="E119" s="288" t="n">
        <v>0</v>
      </c>
      <c r="F119" s="288" t="n">
        <v>0.25</v>
      </c>
      <c r="G119" s="85"/>
      <c r="H119" s="85"/>
      <c r="I119" s="85"/>
      <c r="J119" s="85"/>
      <c r="K119" s="85"/>
      <c r="L119" s="85"/>
      <c r="M119" s="85"/>
      <c r="N119" s="85"/>
      <c r="O119" s="85"/>
      <c r="P119" s="85"/>
      <c r="Q119" s="85"/>
      <c r="R119" s="85"/>
      <c r="S119" s="85"/>
      <c r="T119" s="85"/>
      <c r="U119" s="85"/>
      <c r="V119" s="85"/>
      <c r="W119" s="85"/>
      <c r="X119" s="85"/>
      <c r="Y119" s="85"/>
      <c r="Z119" s="85"/>
    </row>
    <row r="120" customFormat="false" ht="12" hidden="false" customHeight="true" outlineLevel="0" collapsed="false">
      <c r="A120" s="287" t="s">
        <v>508</v>
      </c>
      <c r="B120" s="285" t="s">
        <v>389</v>
      </c>
      <c r="C120" s="288" t="n">
        <v>0</v>
      </c>
      <c r="D120" s="288" t="n">
        <f aca="false">$B$1+E120</f>
        <v>0.0459</v>
      </c>
      <c r="E120" s="288" t="n">
        <v>0</v>
      </c>
      <c r="F120" s="288" t="n">
        <v>0.28</v>
      </c>
      <c r="G120" s="85"/>
      <c r="H120" s="85"/>
      <c r="I120" s="85"/>
      <c r="J120" s="85"/>
      <c r="K120" s="85"/>
      <c r="L120" s="85"/>
      <c r="M120" s="85"/>
      <c r="N120" s="85"/>
      <c r="O120" s="85"/>
      <c r="P120" s="85"/>
      <c r="Q120" s="85"/>
      <c r="R120" s="85"/>
      <c r="S120" s="85"/>
      <c r="T120" s="85"/>
      <c r="U120" s="85"/>
      <c r="V120" s="85"/>
      <c r="W120" s="85"/>
      <c r="X120" s="85"/>
      <c r="Y120" s="85"/>
      <c r="Z120" s="85"/>
    </row>
    <row r="121" customFormat="false" ht="12" hidden="false" customHeight="true" outlineLevel="0" collapsed="false">
      <c r="A121" s="287" t="s">
        <v>509</v>
      </c>
      <c r="B121" s="285" t="s">
        <v>400</v>
      </c>
      <c r="C121" s="288" t="n">
        <v>0.0574819192369697</v>
      </c>
      <c r="D121" s="288" t="n">
        <f aca="false">$B$1+E121</f>
        <v>0.108895773939032</v>
      </c>
      <c r="E121" s="288" t="n">
        <v>0.0629957739390316</v>
      </c>
      <c r="F121" s="288" t="n">
        <v>0.3</v>
      </c>
      <c r="G121" s="85"/>
      <c r="H121" s="85"/>
      <c r="I121" s="85"/>
      <c r="J121" s="85"/>
      <c r="K121" s="85"/>
      <c r="L121" s="85"/>
      <c r="M121" s="85"/>
      <c r="N121" s="85"/>
      <c r="O121" s="85"/>
      <c r="P121" s="85"/>
      <c r="Q121" s="85"/>
      <c r="R121" s="85"/>
      <c r="S121" s="85"/>
      <c r="T121" s="85"/>
      <c r="U121" s="85"/>
      <c r="V121" s="85"/>
      <c r="W121" s="85"/>
      <c r="X121" s="85"/>
      <c r="Y121" s="85"/>
      <c r="Z121" s="85"/>
    </row>
    <row r="122" customFormat="false" ht="12" hidden="false" customHeight="true" outlineLevel="0" collapsed="false">
      <c r="A122" s="287" t="s">
        <v>510</v>
      </c>
      <c r="B122" s="285" t="s">
        <v>400</v>
      </c>
      <c r="C122" s="288" t="n">
        <v>0.0574819192369697</v>
      </c>
      <c r="D122" s="288" t="n">
        <f aca="false">$B$1+E122</f>
        <v>0.108895773939032</v>
      </c>
      <c r="E122" s="288" t="n">
        <v>0.0629957739390316</v>
      </c>
      <c r="F122" s="288" t="n">
        <v>0.2825</v>
      </c>
      <c r="G122" s="85"/>
      <c r="H122" s="85"/>
      <c r="I122" s="85"/>
      <c r="J122" s="85"/>
      <c r="K122" s="85"/>
      <c r="L122" s="85"/>
      <c r="M122" s="85"/>
      <c r="N122" s="85"/>
      <c r="O122" s="85"/>
      <c r="P122" s="85"/>
      <c r="Q122" s="85"/>
      <c r="R122" s="85"/>
      <c r="S122" s="85"/>
      <c r="T122" s="85"/>
      <c r="U122" s="85"/>
      <c r="V122" s="85"/>
      <c r="W122" s="85"/>
      <c r="X122" s="85"/>
      <c r="Y122" s="85"/>
      <c r="Z122" s="85"/>
    </row>
    <row r="123" customFormat="false" ht="12" hidden="false" customHeight="true" outlineLevel="0" collapsed="false">
      <c r="A123" s="287" t="s">
        <v>511</v>
      </c>
      <c r="B123" s="285" t="s">
        <v>396</v>
      </c>
      <c r="C123" s="288" t="n">
        <v>0.048632414333636</v>
      </c>
      <c r="D123" s="288" t="n">
        <f aca="false">$B$1+E123</f>
        <v>0.09919739542692</v>
      </c>
      <c r="E123" s="288" t="n">
        <v>0.05329739542692</v>
      </c>
      <c r="F123" s="288" t="n">
        <v>0.3</v>
      </c>
      <c r="G123" s="85"/>
      <c r="H123" s="85"/>
      <c r="I123" s="85"/>
      <c r="J123" s="85"/>
      <c r="K123" s="85"/>
      <c r="L123" s="85"/>
      <c r="M123" s="85"/>
      <c r="N123" s="85"/>
      <c r="O123" s="85"/>
      <c r="P123" s="85"/>
      <c r="Q123" s="85"/>
      <c r="R123" s="85"/>
      <c r="S123" s="85"/>
      <c r="T123" s="85"/>
      <c r="U123" s="85"/>
      <c r="V123" s="85"/>
      <c r="W123" s="85"/>
      <c r="X123" s="85"/>
      <c r="Y123" s="85"/>
      <c r="Z123" s="85"/>
    </row>
    <row r="124" customFormat="false" ht="12" hidden="false" customHeight="true" outlineLevel="0" collapsed="false">
      <c r="A124" s="287" t="s">
        <v>512</v>
      </c>
      <c r="B124" s="285" t="s">
        <v>389</v>
      </c>
      <c r="C124" s="288" t="n">
        <v>0</v>
      </c>
      <c r="D124" s="288" t="n">
        <f aca="false">$B$1+E124</f>
        <v>0.0459</v>
      </c>
      <c r="E124" s="288" t="n">
        <v>0</v>
      </c>
      <c r="F124" s="288" t="n">
        <v>0.22</v>
      </c>
      <c r="G124" s="85"/>
      <c r="H124" s="85"/>
      <c r="I124" s="85"/>
      <c r="J124" s="85"/>
      <c r="K124" s="85"/>
      <c r="L124" s="85"/>
      <c r="M124" s="85"/>
      <c r="N124" s="85"/>
      <c r="O124" s="85"/>
      <c r="P124" s="85"/>
      <c r="Q124" s="85"/>
      <c r="R124" s="85"/>
      <c r="S124" s="85"/>
      <c r="T124" s="85"/>
      <c r="U124" s="85"/>
      <c r="V124" s="85"/>
      <c r="W124" s="85"/>
      <c r="X124" s="85"/>
      <c r="Y124" s="85"/>
      <c r="Z124" s="85"/>
    </row>
    <row r="125" customFormat="false" ht="12" hidden="false" customHeight="true" outlineLevel="0" collapsed="false">
      <c r="A125" s="287" t="s">
        <v>513</v>
      </c>
      <c r="B125" s="285" t="s">
        <v>385</v>
      </c>
      <c r="C125" s="288" t="n">
        <v>0.0318103824903619</v>
      </c>
      <c r="D125" s="288" t="n">
        <f aca="false">$B$1+E125</f>
        <v>0.080761738975969</v>
      </c>
      <c r="E125" s="288" t="n">
        <v>0.034861738975969</v>
      </c>
      <c r="F125" s="288" t="n">
        <v>0.15</v>
      </c>
      <c r="G125" s="85"/>
      <c r="H125" s="85"/>
      <c r="I125" s="85"/>
      <c r="J125" s="85"/>
      <c r="K125" s="85"/>
      <c r="L125" s="85"/>
      <c r="M125" s="85"/>
      <c r="N125" s="85"/>
      <c r="O125" s="85"/>
      <c r="P125" s="85"/>
      <c r="Q125" s="85"/>
      <c r="R125" s="85"/>
      <c r="S125" s="85"/>
      <c r="T125" s="85"/>
      <c r="U125" s="85"/>
      <c r="V125" s="85"/>
      <c r="W125" s="85"/>
      <c r="X125" s="85"/>
      <c r="Y125" s="85"/>
      <c r="Z125" s="85"/>
    </row>
    <row r="126" customFormat="false" ht="12" hidden="false" customHeight="true" outlineLevel="0" collapsed="false">
      <c r="A126" s="287" t="s">
        <v>514</v>
      </c>
      <c r="B126" s="285" t="s">
        <v>400</v>
      </c>
      <c r="C126" s="288" t="n">
        <v>0.0574819192369697</v>
      </c>
      <c r="D126" s="288" t="n">
        <f aca="false">$B$1+E126</f>
        <v>0.108895773939032</v>
      </c>
      <c r="E126" s="288" t="n">
        <v>0.0629957739390316</v>
      </c>
      <c r="F126" s="288" t="n">
        <v>0.35</v>
      </c>
      <c r="G126" s="85"/>
      <c r="H126" s="85"/>
      <c r="I126" s="85"/>
      <c r="J126" s="85"/>
      <c r="K126" s="85"/>
      <c r="L126" s="85"/>
      <c r="M126" s="85"/>
      <c r="N126" s="85"/>
      <c r="O126" s="85"/>
      <c r="P126" s="85"/>
      <c r="Q126" s="85"/>
      <c r="R126" s="85"/>
      <c r="S126" s="85"/>
      <c r="T126" s="85"/>
      <c r="U126" s="85"/>
      <c r="V126" s="85"/>
      <c r="W126" s="85"/>
      <c r="X126" s="85"/>
      <c r="Y126" s="85"/>
      <c r="Z126" s="85"/>
    </row>
    <row r="127" customFormat="false" ht="12" hidden="false" customHeight="true" outlineLevel="0" collapsed="false">
      <c r="A127" s="287" t="s">
        <v>515</v>
      </c>
      <c r="B127" s="285" t="s">
        <v>387</v>
      </c>
      <c r="C127" s="288" t="n">
        <v>0.0141113726836944</v>
      </c>
      <c r="D127" s="288" t="n">
        <f aca="false">$B$1+E127</f>
        <v>0.0613649819517456</v>
      </c>
      <c r="E127" s="288" t="n">
        <v>0.0154649819517456</v>
      </c>
      <c r="F127" s="288" t="n">
        <v>0.25</v>
      </c>
      <c r="G127" s="85"/>
      <c r="H127" s="85"/>
      <c r="I127" s="85"/>
      <c r="J127" s="85"/>
      <c r="K127" s="85"/>
      <c r="L127" s="85"/>
      <c r="M127" s="85"/>
      <c r="N127" s="85"/>
      <c r="O127" s="85"/>
      <c r="P127" s="85"/>
      <c r="Q127" s="85"/>
      <c r="R127" s="85"/>
      <c r="S127" s="85"/>
      <c r="T127" s="85"/>
      <c r="U127" s="85"/>
      <c r="V127" s="85"/>
      <c r="W127" s="85"/>
      <c r="X127" s="85"/>
      <c r="Y127" s="85"/>
      <c r="Z127" s="85"/>
    </row>
    <row r="128" customFormat="false" ht="12" hidden="false" customHeight="true" outlineLevel="0" collapsed="false">
      <c r="A128" s="287" t="s">
        <v>516</v>
      </c>
      <c r="B128" s="285" t="s">
        <v>396</v>
      </c>
      <c r="C128" s="288" t="n">
        <v>0.048632414333636</v>
      </c>
      <c r="D128" s="288" t="n">
        <f aca="false">$B$1+E128</f>
        <v>0.09919739542692</v>
      </c>
      <c r="E128" s="288" t="n">
        <v>0.05329739542692</v>
      </c>
      <c r="F128" s="288" t="n">
        <v>0.3</v>
      </c>
      <c r="G128" s="85"/>
      <c r="H128" s="85"/>
      <c r="I128" s="85"/>
      <c r="J128" s="85"/>
      <c r="K128" s="85"/>
      <c r="L128" s="85"/>
      <c r="M128" s="85"/>
      <c r="N128" s="85"/>
      <c r="O128" s="85"/>
      <c r="P128" s="85"/>
      <c r="Q128" s="85"/>
      <c r="R128" s="85"/>
      <c r="S128" s="85"/>
      <c r="T128" s="85"/>
      <c r="U128" s="85"/>
      <c r="V128" s="85"/>
      <c r="W128" s="85"/>
      <c r="X128" s="85"/>
      <c r="Y128" s="85"/>
      <c r="Z128" s="85"/>
    </row>
    <row r="129" customFormat="false" ht="12" hidden="false" customHeight="true" outlineLevel="0" collapsed="false">
      <c r="A129" s="287" t="s">
        <v>517</v>
      </c>
      <c r="B129" s="285" t="s">
        <v>431</v>
      </c>
      <c r="C129" s="288" t="n">
        <v>0.0220838996236347</v>
      </c>
      <c r="D129" s="288" t="n">
        <f aca="false">$B$1+E129</f>
        <v>0.070102259890585</v>
      </c>
      <c r="E129" s="288" t="n">
        <v>0.024202259890585</v>
      </c>
      <c r="F129" s="288" t="n">
        <v>0.1</v>
      </c>
      <c r="G129" s="85"/>
      <c r="H129" s="85"/>
      <c r="I129" s="85"/>
      <c r="J129" s="85"/>
      <c r="K129" s="85"/>
      <c r="L129" s="85"/>
      <c r="M129" s="85"/>
      <c r="N129" s="85"/>
      <c r="O129" s="85"/>
      <c r="P129" s="85"/>
      <c r="Q129" s="85"/>
      <c r="R129" s="85"/>
      <c r="S129" s="85"/>
      <c r="T129" s="85"/>
      <c r="U129" s="85"/>
      <c r="V129" s="85"/>
      <c r="W129" s="85"/>
      <c r="X129" s="85"/>
      <c r="Y129" s="85"/>
      <c r="Z129" s="85"/>
    </row>
    <row r="130" customFormat="false" ht="12" hidden="false" customHeight="true" outlineLevel="0" collapsed="false">
      <c r="A130" s="287" t="s">
        <v>518</v>
      </c>
      <c r="B130" s="285" t="s">
        <v>434</v>
      </c>
      <c r="C130" s="288" t="n">
        <v>0.0106034608301206</v>
      </c>
      <c r="D130" s="288" t="n">
        <f aca="false">$B$1+E130</f>
        <v>0.0575205796586563</v>
      </c>
      <c r="E130" s="288" t="n">
        <v>0.0116205796586563</v>
      </c>
      <c r="F130" s="288" t="n">
        <v>0.295</v>
      </c>
      <c r="G130" s="85"/>
      <c r="H130" s="85"/>
      <c r="I130" s="85"/>
      <c r="J130" s="85"/>
      <c r="K130" s="85"/>
      <c r="L130" s="85"/>
      <c r="M130" s="85"/>
      <c r="N130" s="85"/>
      <c r="O130" s="85"/>
      <c r="P130" s="85"/>
      <c r="Q130" s="85"/>
      <c r="R130" s="85"/>
      <c r="S130" s="85"/>
      <c r="T130" s="85"/>
      <c r="U130" s="85"/>
      <c r="V130" s="85"/>
      <c r="W130" s="85"/>
      <c r="X130" s="85"/>
      <c r="Y130" s="85"/>
      <c r="Z130" s="85"/>
    </row>
    <row r="131" customFormat="false" ht="12" hidden="false" customHeight="true" outlineLevel="0" collapsed="false">
      <c r="A131" s="287" t="s">
        <v>519</v>
      </c>
      <c r="B131" s="285" t="s">
        <v>424</v>
      </c>
      <c r="C131" s="288" t="n">
        <v>0.0168220318432741</v>
      </c>
      <c r="D131" s="288" t="n">
        <f aca="false">$B$1+E131</f>
        <v>0.064335656450951</v>
      </c>
      <c r="E131" s="288" t="n">
        <v>0.018435656450951</v>
      </c>
      <c r="F131" s="288" t="n">
        <v>0.3</v>
      </c>
      <c r="G131" s="85"/>
      <c r="H131" s="85"/>
      <c r="I131" s="85"/>
      <c r="J131" s="85"/>
      <c r="K131" s="85"/>
      <c r="L131" s="85"/>
      <c r="M131" s="85"/>
      <c r="N131" s="85"/>
      <c r="O131" s="85"/>
      <c r="P131" s="85"/>
      <c r="Q131" s="85"/>
      <c r="R131" s="85"/>
      <c r="S131" s="85"/>
      <c r="T131" s="85"/>
      <c r="U131" s="85"/>
      <c r="V131" s="85"/>
      <c r="W131" s="85"/>
      <c r="X131" s="85"/>
      <c r="Y131" s="85"/>
      <c r="Z131" s="85"/>
    </row>
    <row r="132" customFormat="false" ht="12" hidden="false" customHeight="true" outlineLevel="0" collapsed="false">
      <c r="A132" s="287" t="s">
        <v>520</v>
      </c>
      <c r="B132" s="285" t="s">
        <v>407</v>
      </c>
      <c r="C132" s="288" t="n">
        <v>0.0074941753235439</v>
      </c>
      <c r="D132" s="288" t="n">
        <f aca="false">$B$1+E132</f>
        <v>0.054113041262509</v>
      </c>
      <c r="E132" s="288" t="n">
        <v>0.00821304126250898</v>
      </c>
      <c r="F132" s="288" t="n">
        <v>0.19</v>
      </c>
      <c r="G132" s="85"/>
      <c r="H132" s="85"/>
      <c r="I132" s="85"/>
      <c r="J132" s="85"/>
      <c r="K132" s="85"/>
      <c r="L132" s="85"/>
      <c r="M132" s="85"/>
      <c r="N132" s="85"/>
      <c r="O132" s="85"/>
      <c r="P132" s="85"/>
      <c r="Q132" s="85"/>
      <c r="R132" s="85"/>
      <c r="S132" s="85"/>
      <c r="T132" s="85"/>
      <c r="U132" s="85"/>
      <c r="V132" s="85"/>
      <c r="W132" s="85"/>
      <c r="X132" s="85"/>
      <c r="Y132" s="85"/>
      <c r="Z132" s="85"/>
    </row>
    <row r="133" customFormat="false" ht="12" hidden="false" customHeight="true" outlineLevel="0" collapsed="false">
      <c r="A133" s="287" t="s">
        <v>521</v>
      </c>
      <c r="B133" s="285" t="s">
        <v>462</v>
      </c>
      <c r="C133" s="288" t="n">
        <v>0.0194529657334544</v>
      </c>
      <c r="D133" s="288" t="n">
        <f aca="false">$B$1+E133</f>
        <v>0.067218958170768</v>
      </c>
      <c r="E133" s="288" t="n">
        <v>0.021318958170768</v>
      </c>
      <c r="F133" s="288" t="n">
        <v>0.21</v>
      </c>
      <c r="G133" s="85"/>
      <c r="H133" s="85"/>
      <c r="I133" s="85"/>
      <c r="J133" s="85"/>
      <c r="K133" s="85"/>
      <c r="L133" s="85"/>
      <c r="M133" s="85"/>
      <c r="N133" s="85"/>
      <c r="O133" s="85"/>
      <c r="P133" s="85"/>
      <c r="Q133" s="85"/>
      <c r="R133" s="85"/>
      <c r="S133" s="85"/>
      <c r="T133" s="85"/>
      <c r="U133" s="85"/>
      <c r="V133" s="85"/>
      <c r="W133" s="85"/>
      <c r="X133" s="85"/>
      <c r="Y133" s="85"/>
      <c r="Z133" s="85"/>
    </row>
    <row r="134" customFormat="false" ht="12" hidden="false" customHeight="true" outlineLevel="0" collapsed="false">
      <c r="A134" s="287" t="s">
        <v>522</v>
      </c>
      <c r="B134" s="285" t="s">
        <v>402</v>
      </c>
      <c r="C134" s="288" t="n">
        <v>0.00534159304976002</v>
      </c>
      <c r="D134" s="288" t="n">
        <f aca="false">$B$1+E134</f>
        <v>0.0517539762190224</v>
      </c>
      <c r="E134" s="288" t="n">
        <v>0.00585397621902236</v>
      </c>
      <c r="F134" s="288" t="n">
        <v>0.1</v>
      </c>
      <c r="G134" s="85"/>
      <c r="H134" s="85"/>
      <c r="I134" s="85"/>
      <c r="J134" s="85"/>
      <c r="K134" s="85"/>
      <c r="L134" s="85"/>
      <c r="M134" s="85"/>
      <c r="N134" s="85"/>
      <c r="O134" s="85"/>
      <c r="P134" s="85"/>
      <c r="Q134" s="85"/>
      <c r="R134" s="85"/>
      <c r="S134" s="85"/>
      <c r="T134" s="85"/>
      <c r="U134" s="85"/>
      <c r="V134" s="85"/>
      <c r="W134" s="85"/>
      <c r="X134" s="85"/>
      <c r="Y134" s="85"/>
      <c r="Z134" s="85"/>
    </row>
    <row r="135" customFormat="false" ht="12" hidden="false" customHeight="true" outlineLevel="0" collapsed="false">
      <c r="A135" s="287" t="s">
        <v>523</v>
      </c>
      <c r="B135" s="285" t="s">
        <v>389</v>
      </c>
      <c r="C135" s="288" t="n">
        <v>0</v>
      </c>
      <c r="D135" s="288" t="n">
        <f aca="false">$B$1+E135</f>
        <v>0.0459</v>
      </c>
      <c r="E135" s="288" t="n">
        <v>0</v>
      </c>
      <c r="F135" s="288" t="n">
        <v>0</v>
      </c>
      <c r="G135" s="85"/>
      <c r="H135" s="85"/>
      <c r="I135" s="85"/>
      <c r="J135" s="85"/>
      <c r="K135" s="85"/>
      <c r="L135" s="85"/>
      <c r="M135" s="85"/>
      <c r="N135" s="85"/>
      <c r="O135" s="85"/>
      <c r="P135" s="85"/>
      <c r="Q135" s="85"/>
      <c r="R135" s="85"/>
      <c r="S135" s="85"/>
      <c r="T135" s="85"/>
      <c r="U135" s="85"/>
      <c r="V135" s="85"/>
      <c r="W135" s="85"/>
      <c r="X135" s="85"/>
      <c r="Y135" s="85"/>
      <c r="Z135" s="85"/>
    </row>
    <row r="136" customFormat="false" ht="12" hidden="false" customHeight="true" outlineLevel="0" collapsed="false">
      <c r="A136" s="287" t="s">
        <v>524</v>
      </c>
      <c r="B136" s="285" t="s">
        <v>462</v>
      </c>
      <c r="C136" s="288" t="n">
        <v>0.0194529657334544</v>
      </c>
      <c r="D136" s="288" t="n">
        <f aca="false">$B$1+E136</f>
        <v>0.067218958170768</v>
      </c>
      <c r="E136" s="288" t="n">
        <v>0.021318958170768</v>
      </c>
      <c r="F136" s="288" t="n">
        <v>0.16</v>
      </c>
      <c r="G136" s="85"/>
      <c r="H136" s="85"/>
      <c r="I136" s="85"/>
      <c r="J136" s="85"/>
      <c r="K136" s="85"/>
      <c r="L136" s="85"/>
      <c r="M136" s="85"/>
      <c r="N136" s="85"/>
      <c r="O136" s="85"/>
      <c r="P136" s="85"/>
      <c r="Q136" s="85"/>
      <c r="R136" s="85"/>
      <c r="S136" s="85"/>
      <c r="T136" s="85"/>
      <c r="U136" s="85"/>
      <c r="V136" s="85"/>
      <c r="W136" s="85"/>
      <c r="X136" s="85"/>
      <c r="Y136" s="85"/>
      <c r="Z136" s="85"/>
    </row>
    <row r="137" customFormat="false" ht="12" hidden="false" customHeight="true" outlineLevel="0" collapsed="false">
      <c r="A137" s="287" t="s">
        <v>525</v>
      </c>
      <c r="B137" s="285" t="s">
        <v>462</v>
      </c>
      <c r="C137" s="288" t="n">
        <v>0.0194529657334544</v>
      </c>
      <c r="D137" s="288" t="n">
        <f aca="false">$B$1+E137</f>
        <v>0.067218958170768</v>
      </c>
      <c r="E137" s="288" t="n">
        <v>0.021318958170768</v>
      </c>
      <c r="F137" s="288" t="n">
        <v>0.2</v>
      </c>
      <c r="G137" s="85"/>
      <c r="H137" s="85"/>
      <c r="I137" s="85"/>
      <c r="J137" s="85"/>
      <c r="K137" s="85"/>
      <c r="L137" s="85"/>
      <c r="M137" s="85"/>
      <c r="N137" s="85"/>
      <c r="O137" s="85"/>
      <c r="P137" s="85"/>
      <c r="Q137" s="85"/>
      <c r="R137" s="85"/>
      <c r="S137" s="85"/>
      <c r="T137" s="85"/>
      <c r="U137" s="85"/>
      <c r="V137" s="85"/>
      <c r="W137" s="85"/>
      <c r="X137" s="85"/>
      <c r="Y137" s="85"/>
      <c r="Z137" s="85"/>
    </row>
    <row r="138" customFormat="false" ht="12" hidden="false" customHeight="true" outlineLevel="0" collapsed="false">
      <c r="A138" s="287" t="s">
        <v>526</v>
      </c>
      <c r="B138" s="285" t="s">
        <v>396</v>
      </c>
      <c r="C138" s="288" t="n">
        <v>0.048632414333636</v>
      </c>
      <c r="D138" s="288" t="n">
        <f aca="false">$B$1+E138</f>
        <v>0.09919739542692</v>
      </c>
      <c r="E138" s="288" t="n">
        <v>0.05329739542692</v>
      </c>
      <c r="F138" s="288" t="n">
        <v>0.3</v>
      </c>
      <c r="G138" s="85"/>
      <c r="H138" s="85"/>
      <c r="I138" s="85"/>
      <c r="J138" s="85"/>
      <c r="K138" s="85"/>
      <c r="L138" s="85"/>
      <c r="M138" s="85"/>
      <c r="N138" s="85"/>
      <c r="O138" s="85"/>
      <c r="P138" s="85"/>
      <c r="Q138" s="85"/>
      <c r="R138" s="85"/>
      <c r="S138" s="85"/>
      <c r="T138" s="85"/>
      <c r="U138" s="85"/>
      <c r="V138" s="85"/>
      <c r="W138" s="85"/>
      <c r="X138" s="85"/>
      <c r="Y138" s="85"/>
      <c r="Z138" s="85"/>
    </row>
    <row r="139" customFormat="false" ht="12" hidden="false" customHeight="true" outlineLevel="0" collapsed="false">
      <c r="A139" s="291" t="s">
        <v>527</v>
      </c>
      <c r="B139" s="285" t="s">
        <v>378</v>
      </c>
      <c r="C139" s="288" t="n">
        <v>0.0302</v>
      </c>
      <c r="D139" s="288" t="n">
        <f aca="false">$B$1+E139</f>
        <v>0.079</v>
      </c>
      <c r="E139" s="288" t="n">
        <v>0.0331</v>
      </c>
      <c r="F139" s="288" t="n">
        <v>0.1698</v>
      </c>
      <c r="G139" s="85"/>
      <c r="H139" s="85"/>
      <c r="I139" s="85"/>
      <c r="J139" s="85"/>
      <c r="K139" s="85"/>
      <c r="L139" s="85"/>
      <c r="M139" s="85"/>
      <c r="N139" s="85"/>
      <c r="O139" s="85"/>
      <c r="P139" s="85"/>
      <c r="Q139" s="85"/>
      <c r="R139" s="85"/>
      <c r="S139" s="85"/>
      <c r="T139" s="85"/>
      <c r="U139" s="85"/>
      <c r="V139" s="85"/>
      <c r="W139" s="85"/>
      <c r="X139" s="85"/>
      <c r="Y139" s="85"/>
      <c r="Z139" s="85"/>
    </row>
    <row r="140" customFormat="false" ht="12" hidden="false" customHeight="true" outlineLevel="0" collapsed="false">
      <c r="A140" s="287" t="s">
        <v>528</v>
      </c>
      <c r="B140" s="285" t="s">
        <v>421</v>
      </c>
      <c r="C140" s="288" t="n">
        <v>0.00621857101315345</v>
      </c>
      <c r="D140" s="288" t="n">
        <f aca="false">$B$1+E140</f>
        <v>0.0527150767922947</v>
      </c>
      <c r="E140" s="288" t="n">
        <v>0.00681507679229468</v>
      </c>
      <c r="F140" s="288" t="n">
        <v>0.2</v>
      </c>
      <c r="G140" s="85"/>
      <c r="H140" s="85"/>
      <c r="I140" s="85"/>
      <c r="J140" s="85"/>
      <c r="K140" s="85"/>
      <c r="L140" s="85"/>
      <c r="M140" s="85"/>
      <c r="N140" s="85"/>
      <c r="O140" s="85"/>
      <c r="P140" s="85"/>
      <c r="Q140" s="85"/>
      <c r="R140" s="85"/>
      <c r="S140" s="85"/>
      <c r="T140" s="85"/>
      <c r="U140" s="85"/>
      <c r="V140" s="85"/>
      <c r="W140" s="85"/>
      <c r="X140" s="85"/>
      <c r="Y140" s="85"/>
      <c r="Z140" s="85"/>
    </row>
    <row r="141" customFormat="false" ht="12" hidden="false" customHeight="true" outlineLevel="0" collapsed="false">
      <c r="A141" s="287" t="s">
        <v>529</v>
      </c>
      <c r="B141" s="285" t="s">
        <v>385</v>
      </c>
      <c r="C141" s="288" t="n">
        <v>0.0318103824903619</v>
      </c>
      <c r="D141" s="288" t="n">
        <f aca="false">$B$1+E141</f>
        <v>0.080761738975969</v>
      </c>
      <c r="E141" s="288" t="n">
        <v>0.034861738975969</v>
      </c>
      <c r="F141" s="288" t="n">
        <v>0.3</v>
      </c>
      <c r="G141" s="85"/>
      <c r="H141" s="85"/>
      <c r="I141" s="85"/>
      <c r="J141" s="85"/>
      <c r="K141" s="85"/>
      <c r="L141" s="85"/>
      <c r="M141" s="85"/>
      <c r="N141" s="85"/>
      <c r="O141" s="85"/>
      <c r="P141" s="85"/>
      <c r="Q141" s="85"/>
      <c r="R141" s="85"/>
      <c r="S141" s="85"/>
      <c r="T141" s="85"/>
      <c r="U141" s="85"/>
      <c r="V141" s="85"/>
      <c r="W141" s="85"/>
      <c r="X141" s="85"/>
      <c r="Y141" s="85"/>
      <c r="Z141" s="85"/>
    </row>
    <row r="142" customFormat="false" ht="12" hidden="false" customHeight="true" outlineLevel="0" collapsed="false">
      <c r="A142" s="287" t="s">
        <v>530</v>
      </c>
      <c r="B142" s="285" t="s">
        <v>385</v>
      </c>
      <c r="C142" s="288" t="n">
        <v>0.0318103824903619</v>
      </c>
      <c r="D142" s="288" t="n">
        <f aca="false">$B$1+E142</f>
        <v>0.080761738975969</v>
      </c>
      <c r="E142" s="288" t="n">
        <v>0.034861738975969</v>
      </c>
      <c r="F142" s="288" t="n">
        <v>0.15</v>
      </c>
      <c r="G142" s="85"/>
      <c r="H142" s="85"/>
      <c r="I142" s="85"/>
      <c r="J142" s="85"/>
      <c r="K142" s="85"/>
      <c r="L142" s="85"/>
      <c r="M142" s="85"/>
      <c r="N142" s="85"/>
      <c r="O142" s="85"/>
      <c r="P142" s="85"/>
      <c r="Q142" s="85"/>
      <c r="R142" s="85"/>
      <c r="S142" s="85"/>
      <c r="T142" s="85"/>
      <c r="U142" s="85"/>
      <c r="V142" s="85"/>
      <c r="W142" s="85"/>
      <c r="X142" s="85"/>
      <c r="Y142" s="85"/>
      <c r="Z142" s="85"/>
    </row>
    <row r="143" customFormat="false" ht="12" hidden="false" customHeight="true" outlineLevel="0" collapsed="false">
      <c r="A143" s="287" t="s">
        <v>531</v>
      </c>
      <c r="B143" s="285" t="s">
        <v>424</v>
      </c>
      <c r="C143" s="288" t="n">
        <v>0.0168220318432741</v>
      </c>
      <c r="D143" s="288" t="n">
        <f aca="false">$B$1+E143</f>
        <v>0.064335656450951</v>
      </c>
      <c r="E143" s="288" t="n">
        <v>0.018435656450951</v>
      </c>
      <c r="F143" s="288" t="n">
        <v>0</v>
      </c>
      <c r="G143" s="85"/>
      <c r="H143" s="85"/>
      <c r="I143" s="85"/>
      <c r="J143" s="85"/>
      <c r="K143" s="85"/>
      <c r="L143" s="85"/>
      <c r="M143" s="85"/>
      <c r="N143" s="85"/>
      <c r="O143" s="85"/>
      <c r="P143" s="85"/>
      <c r="Q143" s="85"/>
      <c r="R143" s="85"/>
      <c r="S143" s="85"/>
      <c r="T143" s="85"/>
      <c r="U143" s="85"/>
      <c r="V143" s="85"/>
      <c r="W143" s="85"/>
      <c r="X143" s="85"/>
      <c r="Y143" s="85"/>
      <c r="Z143" s="85"/>
    </row>
    <row r="144" customFormat="false" ht="12" hidden="false" customHeight="true" outlineLevel="0" collapsed="false">
      <c r="A144" s="289" t="s">
        <v>532</v>
      </c>
      <c r="B144" s="285" t="s">
        <v>378</v>
      </c>
      <c r="C144" s="116" t="n">
        <v>0.0795658188606044</v>
      </c>
      <c r="D144" s="288" t="n">
        <f aca="false">$B$1+E144</f>
        <v>0.133098033829617</v>
      </c>
      <c r="E144" s="290" t="n">
        <v>0.0871980338296166</v>
      </c>
      <c r="F144" s="290" t="n">
        <v>0.3</v>
      </c>
      <c r="G144" s="85"/>
      <c r="H144" s="85"/>
      <c r="I144" s="85"/>
      <c r="J144" s="85"/>
      <c r="K144" s="85"/>
      <c r="L144" s="85"/>
      <c r="M144" s="85"/>
      <c r="N144" s="85"/>
      <c r="O144" s="85"/>
      <c r="P144" s="85"/>
      <c r="Q144" s="85"/>
      <c r="R144" s="85"/>
      <c r="S144" s="85"/>
      <c r="T144" s="85"/>
      <c r="U144" s="85"/>
      <c r="V144" s="85"/>
      <c r="W144" s="85"/>
      <c r="X144" s="85"/>
      <c r="Y144" s="85"/>
      <c r="Z144" s="85"/>
    </row>
    <row r="145" customFormat="false" ht="12" hidden="false" customHeight="true" outlineLevel="0" collapsed="false">
      <c r="A145" s="287" t="s">
        <v>533</v>
      </c>
      <c r="B145" s="285" t="s">
        <v>389</v>
      </c>
      <c r="C145" s="288" t="n">
        <v>0</v>
      </c>
      <c r="D145" s="288" t="n">
        <f aca="false">$B$1+E145</f>
        <v>0.0459</v>
      </c>
      <c r="E145" s="288" t="n">
        <v>0</v>
      </c>
      <c r="F145" s="288" t="n">
        <v>0.17</v>
      </c>
      <c r="G145" s="85"/>
      <c r="H145" s="85"/>
      <c r="I145" s="85"/>
      <c r="J145" s="85"/>
      <c r="K145" s="85"/>
      <c r="L145" s="85"/>
      <c r="M145" s="85"/>
      <c r="N145" s="85"/>
      <c r="O145" s="85"/>
      <c r="P145" s="85"/>
      <c r="Q145" s="85"/>
      <c r="R145" s="85"/>
      <c r="S145" s="85"/>
      <c r="T145" s="85"/>
      <c r="U145" s="85"/>
      <c r="V145" s="85"/>
      <c r="W145" s="85"/>
      <c r="X145" s="85"/>
      <c r="Y145" s="85"/>
      <c r="Z145" s="85"/>
    </row>
    <row r="146" customFormat="false" ht="12" hidden="false" customHeight="true" outlineLevel="0" collapsed="false">
      <c r="A146" s="287" t="s">
        <v>534</v>
      </c>
      <c r="B146" s="285" t="s">
        <v>407</v>
      </c>
      <c r="C146" s="288" t="n">
        <v>0.0074941753235439</v>
      </c>
      <c r="D146" s="288" t="n">
        <f aca="false">$B$1+E146</f>
        <v>0.054113041262509</v>
      </c>
      <c r="E146" s="288" t="n">
        <v>0.00821304126250898</v>
      </c>
      <c r="F146" s="288" t="n">
        <v>0.21</v>
      </c>
      <c r="G146" s="85"/>
      <c r="H146" s="85"/>
      <c r="I146" s="85"/>
      <c r="J146" s="85"/>
      <c r="K146" s="85"/>
      <c r="L146" s="85"/>
      <c r="M146" s="85"/>
      <c r="N146" s="85"/>
      <c r="O146" s="85"/>
      <c r="P146" s="85"/>
      <c r="Q146" s="85"/>
      <c r="R146" s="85"/>
      <c r="S146" s="85"/>
      <c r="T146" s="85"/>
      <c r="U146" s="85"/>
      <c r="V146" s="85"/>
      <c r="W146" s="85"/>
      <c r="X146" s="85"/>
      <c r="Y146" s="85"/>
      <c r="Z146" s="85"/>
    </row>
    <row r="147" customFormat="false" ht="12" hidden="false" customHeight="true" outlineLevel="0" collapsed="false">
      <c r="A147" s="287" t="s">
        <v>535</v>
      </c>
      <c r="B147" s="285" t="s">
        <v>434</v>
      </c>
      <c r="C147" s="288" t="n">
        <v>0.0106034608301206</v>
      </c>
      <c r="D147" s="288" t="n">
        <f aca="false">$B$1+E147</f>
        <v>0.0575205796586563</v>
      </c>
      <c r="E147" s="288" t="n">
        <v>0.0116205796586563</v>
      </c>
      <c r="F147" s="288" t="n">
        <v>0.19</v>
      </c>
      <c r="G147" s="85"/>
      <c r="H147" s="85"/>
      <c r="I147" s="85"/>
      <c r="J147" s="85"/>
      <c r="K147" s="85"/>
      <c r="L147" s="85"/>
      <c r="M147" s="85"/>
      <c r="N147" s="85"/>
      <c r="O147" s="85"/>
      <c r="P147" s="85"/>
      <c r="Q147" s="85"/>
      <c r="R147" s="85"/>
      <c r="S147" s="85"/>
      <c r="T147" s="85"/>
      <c r="U147" s="85"/>
      <c r="V147" s="85"/>
      <c r="W147" s="85"/>
      <c r="X147" s="85"/>
      <c r="Y147" s="85"/>
      <c r="Z147" s="85"/>
    </row>
    <row r="148" customFormat="false" ht="12" hidden="false" customHeight="true" outlineLevel="0" collapsed="false">
      <c r="A148" s="287" t="s">
        <v>536</v>
      </c>
      <c r="B148" s="285" t="s">
        <v>400</v>
      </c>
      <c r="C148" s="288" t="n">
        <v>0.0574819192369697</v>
      </c>
      <c r="D148" s="288" t="n">
        <f aca="false">$B$1+E148</f>
        <v>0.108895773939032</v>
      </c>
      <c r="E148" s="288" t="n">
        <v>0.0629957739390316</v>
      </c>
      <c r="F148" s="288" t="n">
        <v>0.3</v>
      </c>
      <c r="G148" s="85"/>
      <c r="H148" s="85"/>
      <c r="I148" s="85"/>
      <c r="J148" s="85"/>
      <c r="K148" s="85"/>
      <c r="L148" s="85"/>
      <c r="M148" s="85"/>
      <c r="N148" s="85"/>
      <c r="O148" s="85"/>
      <c r="P148" s="85"/>
      <c r="Q148" s="85"/>
      <c r="R148" s="85"/>
      <c r="S148" s="85"/>
      <c r="T148" s="85"/>
      <c r="U148" s="85"/>
      <c r="V148" s="85"/>
      <c r="W148" s="85"/>
      <c r="X148" s="85"/>
      <c r="Y148" s="85"/>
      <c r="Z148" s="85"/>
    </row>
    <row r="149" customFormat="false" ht="12" hidden="false" customHeight="true" outlineLevel="0" collapsed="false">
      <c r="A149" s="289" t="s">
        <v>537</v>
      </c>
      <c r="B149" s="285" t="s">
        <v>378</v>
      </c>
      <c r="C149" s="116" t="n">
        <v>0.106034608301206</v>
      </c>
      <c r="D149" s="288" t="n">
        <f aca="false">$B$1+E149</f>
        <v>0.162105796586563</v>
      </c>
      <c r="E149" s="290" t="n">
        <v>0.116205796586563</v>
      </c>
      <c r="F149" s="290" t="n">
        <v>0.2825</v>
      </c>
      <c r="G149" s="85"/>
      <c r="H149" s="85"/>
      <c r="I149" s="85"/>
      <c r="J149" s="85"/>
      <c r="K149" s="85"/>
      <c r="L149" s="85"/>
      <c r="M149" s="85"/>
      <c r="N149" s="85"/>
      <c r="O149" s="85"/>
      <c r="P149" s="85"/>
      <c r="Q149" s="85"/>
      <c r="R149" s="85"/>
      <c r="S149" s="85"/>
      <c r="T149" s="85"/>
      <c r="U149" s="85"/>
      <c r="V149" s="85"/>
      <c r="W149" s="85"/>
      <c r="X149" s="85"/>
      <c r="Y149" s="85"/>
      <c r="Z149" s="85"/>
    </row>
    <row r="150" customFormat="false" ht="12" hidden="false" customHeight="true" outlineLevel="0" collapsed="false">
      <c r="A150" s="287" t="s">
        <v>538</v>
      </c>
      <c r="B150" s="285" t="s">
        <v>393</v>
      </c>
      <c r="C150" s="288" t="n">
        <v>0.0265485147100013</v>
      </c>
      <c r="D150" s="288" t="n">
        <f aca="false">$B$1+E150</f>
        <v>0.074995135536335</v>
      </c>
      <c r="E150" s="288" t="n">
        <v>0.029095135536335</v>
      </c>
      <c r="F150" s="288" t="n">
        <v>0.28</v>
      </c>
      <c r="G150" s="85"/>
      <c r="H150" s="85"/>
      <c r="I150" s="85"/>
      <c r="J150" s="85"/>
      <c r="K150" s="85"/>
      <c r="L150" s="85"/>
      <c r="M150" s="85"/>
      <c r="N150" s="85"/>
      <c r="O150" s="85"/>
      <c r="P150" s="85"/>
      <c r="Q150" s="85"/>
      <c r="R150" s="85"/>
      <c r="S150" s="85"/>
      <c r="T150" s="85"/>
      <c r="U150" s="85"/>
      <c r="V150" s="85"/>
      <c r="W150" s="85"/>
      <c r="X150" s="85"/>
      <c r="Y150" s="85"/>
      <c r="Z150" s="85"/>
    </row>
    <row r="151" customFormat="false" ht="12" hidden="false" customHeight="true" outlineLevel="0" collapsed="false">
      <c r="A151" s="287" t="s">
        <v>539</v>
      </c>
      <c r="B151" s="285" t="s">
        <v>374</v>
      </c>
      <c r="C151" s="288" t="n">
        <v>0.00438488981696718</v>
      </c>
      <c r="D151" s="288" t="n">
        <f aca="false">$B$1+E151</f>
        <v>0.0507055028663616</v>
      </c>
      <c r="E151" s="288" t="n">
        <v>0.00480550286636164</v>
      </c>
      <c r="F151" s="288" t="n">
        <v>0.25</v>
      </c>
      <c r="G151" s="85"/>
      <c r="H151" s="85"/>
      <c r="I151" s="85"/>
      <c r="J151" s="85"/>
      <c r="K151" s="85"/>
      <c r="L151" s="85"/>
      <c r="M151" s="85"/>
      <c r="N151" s="85"/>
      <c r="O151" s="85"/>
      <c r="P151" s="85"/>
      <c r="Q151" s="85"/>
      <c r="R151" s="85"/>
      <c r="S151" s="85"/>
      <c r="T151" s="85"/>
      <c r="U151" s="85"/>
      <c r="V151" s="85"/>
      <c r="W151" s="85"/>
      <c r="X151" s="85"/>
      <c r="Y151" s="85"/>
      <c r="Z151" s="85"/>
    </row>
    <row r="152" customFormat="false" ht="12" hidden="false" customHeight="true" outlineLevel="0" collapsed="false">
      <c r="A152" s="287" t="s">
        <v>540</v>
      </c>
      <c r="B152" s="285" t="s">
        <v>387</v>
      </c>
      <c r="C152" s="288" t="n">
        <v>0.0141113726836944</v>
      </c>
      <c r="D152" s="288" t="n">
        <f aca="false">$B$1+E152</f>
        <v>0.0613649819517456</v>
      </c>
      <c r="E152" s="288" t="n">
        <v>0.0154649819517456</v>
      </c>
      <c r="F152" s="288" t="n">
        <v>0.25</v>
      </c>
      <c r="G152" s="85"/>
      <c r="H152" s="85"/>
      <c r="I152" s="85"/>
      <c r="J152" s="85"/>
      <c r="K152" s="85"/>
      <c r="L152" s="85"/>
      <c r="M152" s="85"/>
      <c r="N152" s="85"/>
      <c r="O152" s="85"/>
      <c r="P152" s="85"/>
      <c r="Q152" s="85"/>
      <c r="R152" s="85"/>
      <c r="S152" s="85"/>
      <c r="T152" s="85"/>
      <c r="U152" s="85"/>
      <c r="V152" s="85"/>
      <c r="W152" s="85"/>
      <c r="X152" s="85"/>
      <c r="Y152" s="85"/>
      <c r="Z152" s="85"/>
    </row>
    <row r="153" customFormat="false" ht="12" hidden="false" customHeight="true" outlineLevel="0" collapsed="false">
      <c r="A153" s="287" t="s">
        <v>541</v>
      </c>
      <c r="B153" s="285" t="s">
        <v>380</v>
      </c>
      <c r="C153" s="288" t="n">
        <v>0.0662516988709041</v>
      </c>
      <c r="D153" s="288" t="n">
        <f aca="false">$B$1+E153</f>
        <v>0.118506779671755</v>
      </c>
      <c r="E153" s="288" t="n">
        <v>0.0726067796717549</v>
      </c>
      <c r="F153" s="288" t="n">
        <v>0.28</v>
      </c>
      <c r="G153" s="85"/>
      <c r="H153" s="85"/>
      <c r="I153" s="85"/>
      <c r="J153" s="85"/>
      <c r="K153" s="85"/>
      <c r="L153" s="85"/>
      <c r="M153" s="85"/>
      <c r="N153" s="85"/>
      <c r="O153" s="85"/>
      <c r="P153" s="85"/>
      <c r="Q153" s="85"/>
      <c r="R153" s="85"/>
      <c r="S153" s="85"/>
      <c r="T153" s="85"/>
      <c r="U153" s="85"/>
      <c r="V153" s="85"/>
      <c r="W153" s="85"/>
      <c r="X153" s="85"/>
      <c r="Y153" s="85"/>
      <c r="Z153" s="85"/>
    </row>
    <row r="154" customFormat="false" ht="12" hidden="false" customHeight="true" outlineLevel="0" collapsed="false">
      <c r="A154" s="287" t="s">
        <v>542</v>
      </c>
      <c r="B154" s="285" t="s">
        <v>462</v>
      </c>
      <c r="C154" s="288" t="n">
        <v>0.0194529657334544</v>
      </c>
      <c r="D154" s="288" t="n">
        <f aca="false">$B$1+E154</f>
        <v>0.067218958170768</v>
      </c>
      <c r="E154" s="288" t="n">
        <v>0.021318958170768</v>
      </c>
      <c r="F154" s="288" t="n">
        <v>0.2736</v>
      </c>
      <c r="G154" s="85"/>
      <c r="H154" s="85"/>
      <c r="I154" s="85"/>
      <c r="J154" s="85"/>
      <c r="K154" s="85"/>
      <c r="L154" s="85"/>
      <c r="M154" s="85"/>
      <c r="N154" s="85"/>
      <c r="O154" s="85"/>
      <c r="P154" s="85"/>
      <c r="Q154" s="85"/>
      <c r="R154" s="85"/>
      <c r="S154" s="85"/>
      <c r="T154" s="85"/>
      <c r="U154" s="85"/>
      <c r="V154" s="85"/>
      <c r="W154" s="85"/>
      <c r="X154" s="85"/>
      <c r="Y154" s="85"/>
      <c r="Z154" s="85"/>
    </row>
    <row r="155" customFormat="false" ht="12" hidden="false" customHeight="true" outlineLevel="0" collapsed="false">
      <c r="A155" s="287" t="s">
        <v>543</v>
      </c>
      <c r="B155" s="285" t="s">
        <v>400</v>
      </c>
      <c r="C155" s="288" t="n">
        <v>0.0574819192369697</v>
      </c>
      <c r="D155" s="288" t="n">
        <f aca="false">$B$1+E155</f>
        <v>0.108895773939032</v>
      </c>
      <c r="E155" s="288" t="n">
        <v>0.0629957739390316</v>
      </c>
      <c r="F155" s="288" t="n">
        <v>0.2736</v>
      </c>
      <c r="G155" s="85"/>
      <c r="H155" s="85"/>
      <c r="I155" s="85"/>
      <c r="J155" s="85"/>
      <c r="K155" s="85"/>
      <c r="L155" s="85"/>
      <c r="M155" s="85"/>
      <c r="N155" s="85"/>
      <c r="O155" s="85"/>
      <c r="P155" s="85"/>
      <c r="Q155" s="85"/>
      <c r="R155" s="85"/>
      <c r="S155" s="85"/>
      <c r="T155" s="85"/>
      <c r="U155" s="85"/>
      <c r="V155" s="85"/>
      <c r="W155" s="85"/>
      <c r="X155" s="85"/>
      <c r="Y155" s="85"/>
      <c r="Z155" s="85"/>
    </row>
    <row r="156" customFormat="false" ht="12" hidden="false" customHeight="true" outlineLevel="0" collapsed="false">
      <c r="A156" s="289" t="s">
        <v>544</v>
      </c>
      <c r="B156" s="285" t="s">
        <v>378</v>
      </c>
      <c r="C156" s="116" t="n">
        <v>0.175</v>
      </c>
      <c r="D156" s="288" t="n">
        <f aca="false">$B$1+E156</f>
        <v>0.237686575425273</v>
      </c>
      <c r="E156" s="290" t="n">
        <v>0.191786575425273</v>
      </c>
      <c r="F156" s="290" t="n">
        <v>0.35</v>
      </c>
      <c r="G156" s="85"/>
      <c r="H156" s="85"/>
      <c r="I156" s="85"/>
      <c r="J156" s="85"/>
      <c r="K156" s="85"/>
      <c r="L156" s="85"/>
      <c r="M156" s="85"/>
      <c r="N156" s="85"/>
      <c r="O156" s="85"/>
      <c r="P156" s="85"/>
      <c r="Q156" s="85"/>
      <c r="R156" s="85"/>
      <c r="S156" s="85"/>
      <c r="T156" s="85"/>
      <c r="U156" s="85"/>
      <c r="V156" s="85"/>
      <c r="W156" s="85"/>
      <c r="X156" s="85"/>
      <c r="Y156" s="85"/>
      <c r="Z156" s="85"/>
    </row>
    <row r="157" customFormat="false" ht="12" hidden="false" customHeight="true" outlineLevel="0" collapsed="false">
      <c r="A157" s="287" t="s">
        <v>545</v>
      </c>
      <c r="B157" s="285" t="s">
        <v>404</v>
      </c>
      <c r="C157" s="288" t="n">
        <v>0.0883355984945388</v>
      </c>
      <c r="D157" s="288" t="n">
        <f aca="false">$B$1+E157</f>
        <v>0.14270903956234</v>
      </c>
      <c r="E157" s="288" t="n">
        <v>0.0968090395623399</v>
      </c>
      <c r="F157" s="288" t="n">
        <v>0.36</v>
      </c>
      <c r="G157" s="85"/>
      <c r="H157" s="85"/>
      <c r="I157" s="85"/>
      <c r="J157" s="85"/>
      <c r="K157" s="85"/>
      <c r="L157" s="85"/>
      <c r="M157" s="85"/>
      <c r="N157" s="85"/>
      <c r="O157" s="85"/>
      <c r="P157" s="85"/>
      <c r="Q157" s="85"/>
      <c r="R157" s="85"/>
      <c r="S157" s="85"/>
      <c r="T157" s="85"/>
      <c r="U157" s="85"/>
      <c r="V157" s="85"/>
      <c r="W157" s="85"/>
      <c r="X157" s="85"/>
      <c r="Y157" s="85"/>
      <c r="Z157" s="85"/>
    </row>
    <row r="158" customFormat="false" ht="12" hidden="false" customHeight="true" outlineLevel="0" collapsed="false">
      <c r="A158" s="287" t="s">
        <v>546</v>
      </c>
      <c r="B158" s="285" t="s">
        <v>400</v>
      </c>
      <c r="C158" s="288" t="n">
        <v>0.0574819192369697</v>
      </c>
      <c r="D158" s="288" t="n">
        <f aca="false">$B$1+E158</f>
        <v>0.108895773939032</v>
      </c>
      <c r="E158" s="288" t="n">
        <v>0.0629957739390316</v>
      </c>
      <c r="F158" s="288" t="n">
        <v>0.275</v>
      </c>
      <c r="G158" s="85"/>
      <c r="H158" s="85"/>
      <c r="I158" s="85"/>
      <c r="J158" s="85"/>
      <c r="K158" s="85"/>
      <c r="L158" s="85"/>
      <c r="M158" s="85"/>
      <c r="N158" s="85"/>
      <c r="O158" s="85"/>
      <c r="P158" s="85"/>
      <c r="Q158" s="85"/>
      <c r="R158" s="85"/>
      <c r="S158" s="85"/>
      <c r="T158" s="85"/>
      <c r="U158" s="85"/>
      <c r="V158" s="85"/>
      <c r="W158" s="85"/>
      <c r="X158" s="85"/>
      <c r="Y158" s="85"/>
      <c r="Z158" s="85"/>
    </row>
    <row r="159" customFormat="false" ht="12" hidden="false" customHeight="true" outlineLevel="0" collapsed="false">
      <c r="A159" s="287" t="s">
        <v>547</v>
      </c>
      <c r="B159" s="285" t="s">
        <v>389</v>
      </c>
      <c r="C159" s="288" t="n">
        <v>0</v>
      </c>
      <c r="D159" s="288" t="n">
        <f aca="false">$B$1+E159</f>
        <v>0.0459</v>
      </c>
      <c r="E159" s="288" t="n">
        <v>0</v>
      </c>
      <c r="F159" s="288" t="n">
        <v>0.214</v>
      </c>
      <c r="G159" s="85"/>
      <c r="H159" s="85"/>
      <c r="I159" s="85"/>
      <c r="J159" s="85"/>
      <c r="K159" s="85"/>
      <c r="L159" s="85"/>
      <c r="M159" s="85"/>
      <c r="N159" s="85"/>
      <c r="O159" s="85"/>
      <c r="P159" s="85"/>
      <c r="Q159" s="85"/>
      <c r="R159" s="85"/>
      <c r="S159" s="85"/>
      <c r="T159" s="85"/>
      <c r="U159" s="85"/>
      <c r="V159" s="85"/>
      <c r="W159" s="85"/>
      <c r="X159" s="85"/>
      <c r="Y159" s="85"/>
      <c r="Z159" s="85"/>
    </row>
    <row r="160" customFormat="false" ht="12" hidden="false" customHeight="true" outlineLevel="0" collapsed="false">
      <c r="A160" s="287" t="s">
        <v>548</v>
      </c>
      <c r="B160" s="285" t="s">
        <v>389</v>
      </c>
      <c r="C160" s="288" t="n">
        <v>0</v>
      </c>
      <c r="D160" s="288" t="n">
        <f aca="false">$B$1+E160</f>
        <v>0.0459</v>
      </c>
      <c r="E160" s="288" t="n">
        <v>0</v>
      </c>
      <c r="F160" s="288" t="n">
        <v>0.1484</v>
      </c>
      <c r="G160" s="85"/>
      <c r="H160" s="85"/>
      <c r="I160" s="85"/>
      <c r="J160" s="85"/>
      <c r="K160" s="85"/>
      <c r="L160" s="85"/>
      <c r="M160" s="85"/>
      <c r="N160" s="85"/>
      <c r="O160" s="85"/>
      <c r="P160" s="85"/>
      <c r="Q160" s="85"/>
      <c r="R160" s="85"/>
      <c r="S160" s="85"/>
      <c r="T160" s="85"/>
      <c r="U160" s="85"/>
      <c r="V160" s="85"/>
      <c r="W160" s="85"/>
      <c r="X160" s="85"/>
      <c r="Y160" s="85"/>
      <c r="Z160" s="85"/>
    </row>
    <row r="161" customFormat="false" ht="12" hidden="false" customHeight="true" outlineLevel="0" collapsed="false">
      <c r="A161" s="289" t="s">
        <v>549</v>
      </c>
      <c r="B161" s="285" t="s">
        <v>378</v>
      </c>
      <c r="C161" s="116" t="n">
        <v>0.175</v>
      </c>
      <c r="D161" s="288" t="n">
        <f aca="false">$B$1+E161</f>
        <v>0.237686575425273</v>
      </c>
      <c r="E161" s="290" t="n">
        <v>0.191786575425273</v>
      </c>
      <c r="F161" s="290" t="n">
        <v>0.28</v>
      </c>
      <c r="G161" s="85"/>
      <c r="H161" s="85"/>
      <c r="I161" s="85"/>
      <c r="J161" s="85"/>
      <c r="K161" s="85"/>
      <c r="L161" s="85"/>
      <c r="M161" s="85"/>
      <c r="N161" s="85"/>
      <c r="O161" s="85"/>
      <c r="P161" s="85"/>
      <c r="Q161" s="85"/>
      <c r="R161" s="85"/>
      <c r="S161" s="85"/>
      <c r="T161" s="85"/>
      <c r="U161" s="85"/>
      <c r="V161" s="85"/>
      <c r="W161" s="85"/>
      <c r="X161" s="85"/>
      <c r="Y161" s="85"/>
      <c r="Z161" s="85"/>
    </row>
    <row r="162" customFormat="false" ht="12" hidden="false" customHeight="true" outlineLevel="0" collapsed="false">
      <c r="A162" s="287" t="s">
        <v>550</v>
      </c>
      <c r="B162" s="285" t="s">
        <v>402</v>
      </c>
      <c r="C162" s="288" t="n">
        <v>0.00534159304976002</v>
      </c>
      <c r="D162" s="288" t="n">
        <f aca="false">$B$1+E162</f>
        <v>0.0517539762190224</v>
      </c>
      <c r="E162" s="288" t="n">
        <v>0.00585397621902236</v>
      </c>
      <c r="F162" s="288" t="n">
        <v>0.2</v>
      </c>
      <c r="G162" s="85"/>
      <c r="H162" s="85"/>
      <c r="I162" s="85"/>
      <c r="J162" s="85"/>
      <c r="K162" s="85"/>
      <c r="L162" s="85"/>
      <c r="M162" s="85"/>
      <c r="N162" s="85"/>
      <c r="O162" s="85"/>
      <c r="P162" s="85"/>
      <c r="Q162" s="85"/>
      <c r="R162" s="85"/>
      <c r="S162" s="85"/>
      <c r="T162" s="85"/>
      <c r="U162" s="85"/>
      <c r="V162" s="85"/>
      <c r="W162" s="85"/>
      <c r="X162" s="85"/>
      <c r="Y162" s="85"/>
      <c r="Z162" s="85"/>
    </row>
    <row r="163" customFormat="false" ht="12" hidden="false" customHeight="true" outlineLevel="0" collapsed="false">
      <c r="A163" s="287" t="s">
        <v>551</v>
      </c>
      <c r="B163" s="285" t="s">
        <v>400</v>
      </c>
      <c r="C163" s="288" t="n">
        <v>0.0574819192369697</v>
      </c>
      <c r="D163" s="288" t="n">
        <f aca="false">$B$1+E163</f>
        <v>0.108895773939032</v>
      </c>
      <c r="E163" s="288" t="n">
        <v>0.0629957739390316</v>
      </c>
      <c r="F163" s="288" t="n">
        <v>0.1912</v>
      </c>
      <c r="G163" s="85"/>
      <c r="H163" s="85"/>
      <c r="I163" s="85"/>
      <c r="J163" s="85"/>
      <c r="K163" s="85"/>
      <c r="L163" s="85"/>
      <c r="M163" s="85"/>
      <c r="N163" s="85"/>
      <c r="O163" s="85"/>
      <c r="P163" s="85"/>
      <c r="Q163" s="85"/>
      <c r="R163" s="85"/>
      <c r="S163" s="85"/>
      <c r="T163" s="85"/>
      <c r="U163" s="85"/>
      <c r="V163" s="85"/>
      <c r="W163" s="85"/>
      <c r="X163" s="85"/>
      <c r="Y163" s="85"/>
      <c r="Z163" s="85"/>
    </row>
    <row r="164" customFormat="false" ht="12" hidden="false" customHeight="true" outlineLevel="0" collapsed="false">
      <c r="A164" s="287" t="s">
        <v>552</v>
      </c>
      <c r="B164" s="285" t="s">
        <v>396</v>
      </c>
      <c r="C164" s="288" t="n">
        <v>0.048632414333636</v>
      </c>
      <c r="D164" s="288" t="n">
        <f aca="false">$B$1+E164</f>
        <v>0.09919739542692</v>
      </c>
      <c r="E164" s="288" t="n">
        <v>0.05329739542692</v>
      </c>
      <c r="F164" s="288" t="n">
        <v>0.3</v>
      </c>
      <c r="G164" s="85"/>
      <c r="H164" s="85"/>
      <c r="I164" s="85"/>
      <c r="J164" s="85"/>
      <c r="K164" s="85"/>
      <c r="L164" s="85"/>
      <c r="M164" s="85"/>
      <c r="N164" s="85"/>
      <c r="O164" s="85"/>
      <c r="P164" s="85"/>
      <c r="Q164" s="85"/>
      <c r="R164" s="85"/>
      <c r="S164" s="85"/>
      <c r="T164" s="85"/>
      <c r="U164" s="85"/>
      <c r="V164" s="85"/>
      <c r="W164" s="85"/>
      <c r="X164" s="85"/>
      <c r="Y164" s="85"/>
      <c r="Z164" s="85"/>
    </row>
    <row r="165" customFormat="false" ht="12" hidden="false" customHeight="true" outlineLevel="0" collapsed="false">
      <c r="A165" s="287" t="s">
        <v>553</v>
      </c>
      <c r="B165" s="285" t="s">
        <v>387</v>
      </c>
      <c r="C165" s="288" t="n">
        <v>0.0141113726836944</v>
      </c>
      <c r="D165" s="288" t="n">
        <f aca="false">$B$1+E165</f>
        <v>0.0613649819517456</v>
      </c>
      <c r="E165" s="288" t="n">
        <v>0.0154649819517456</v>
      </c>
      <c r="F165" s="288" t="n">
        <v>0.2</v>
      </c>
      <c r="G165" s="85"/>
      <c r="H165" s="85"/>
      <c r="I165" s="85"/>
      <c r="J165" s="85"/>
      <c r="K165" s="85"/>
      <c r="L165" s="85"/>
      <c r="M165" s="85"/>
      <c r="N165" s="85"/>
      <c r="O165" s="85"/>
      <c r="P165" s="85"/>
      <c r="Q165" s="85"/>
      <c r="R165" s="85"/>
      <c r="S165" s="85"/>
      <c r="T165" s="85"/>
      <c r="U165" s="85"/>
      <c r="V165" s="85"/>
      <c r="W165" s="85"/>
      <c r="X165" s="85"/>
      <c r="Y165" s="85"/>
      <c r="Z165" s="85"/>
    </row>
    <row r="166" customFormat="false" ht="12" hidden="false" customHeight="true" outlineLevel="0" collapsed="false">
      <c r="A166" s="287" t="s">
        <v>554</v>
      </c>
      <c r="B166" s="285" t="s">
        <v>400</v>
      </c>
      <c r="C166" s="288" t="n">
        <v>0.0574819192369697</v>
      </c>
      <c r="D166" s="288" t="n">
        <f aca="false">$B$1+E166</f>
        <v>0.108895773939032</v>
      </c>
      <c r="E166" s="288" t="n">
        <v>0.0629957739390316</v>
      </c>
      <c r="F166" s="288" t="n">
        <v>0.2825</v>
      </c>
      <c r="G166" s="85"/>
      <c r="H166" s="85"/>
      <c r="I166" s="85"/>
      <c r="J166" s="85"/>
      <c r="K166" s="85"/>
      <c r="L166" s="85"/>
      <c r="M166" s="85"/>
      <c r="N166" s="85"/>
      <c r="O166" s="85"/>
      <c r="P166" s="85"/>
      <c r="Q166" s="85"/>
      <c r="R166" s="85"/>
      <c r="S166" s="85"/>
      <c r="T166" s="85"/>
      <c r="U166" s="85"/>
      <c r="V166" s="85"/>
      <c r="W166" s="85"/>
      <c r="X166" s="85"/>
      <c r="Y166" s="85"/>
      <c r="Z166" s="85"/>
    </row>
    <row r="167" customFormat="false" ht="12" hidden="false" customHeight="true" outlineLevel="0" collapsed="false">
      <c r="A167" s="287" t="s">
        <v>555</v>
      </c>
      <c r="B167" s="285" t="s">
        <v>431</v>
      </c>
      <c r="C167" s="288" t="n">
        <v>0.0220838996236347</v>
      </c>
      <c r="D167" s="288" t="n">
        <f aca="false">$B$1+E167</f>
        <v>0.070102259890585</v>
      </c>
      <c r="E167" s="288" t="n">
        <v>0.024202259890585</v>
      </c>
      <c r="F167" s="288" t="n">
        <v>0.3</v>
      </c>
      <c r="G167" s="85"/>
      <c r="H167" s="85"/>
      <c r="I167" s="85"/>
      <c r="J167" s="85"/>
      <c r="K167" s="85"/>
      <c r="L167" s="85"/>
      <c r="M167" s="85"/>
      <c r="N167" s="85"/>
      <c r="O167" s="85"/>
      <c r="P167" s="85"/>
      <c r="Q167" s="85"/>
      <c r="R167" s="85"/>
      <c r="S167" s="85"/>
      <c r="T167" s="85"/>
      <c r="U167" s="85"/>
      <c r="V167" s="85"/>
      <c r="W167" s="85"/>
      <c r="X167" s="85"/>
      <c r="Y167" s="85"/>
      <c r="Z167" s="85"/>
    </row>
    <row r="168" customFormat="false" ht="12" hidden="false" customHeight="true" outlineLevel="0" collapsed="false">
      <c r="A168" s="287" t="s">
        <v>556</v>
      </c>
      <c r="B168" s="285" t="s">
        <v>396</v>
      </c>
      <c r="C168" s="288" t="n">
        <v>0.048632414333636</v>
      </c>
      <c r="D168" s="288" t="n">
        <f aca="false">$B$1+E168</f>
        <v>0.09919739542692</v>
      </c>
      <c r="E168" s="288" t="n">
        <v>0.05329739542692</v>
      </c>
      <c r="F168" s="288" t="n">
        <v>0.25</v>
      </c>
      <c r="G168" s="85"/>
      <c r="H168" s="85"/>
      <c r="I168" s="85"/>
      <c r="J168" s="85"/>
      <c r="K168" s="85"/>
      <c r="L168" s="85"/>
      <c r="M168" s="85"/>
      <c r="N168" s="85"/>
      <c r="O168" s="85"/>
      <c r="P168" s="85"/>
      <c r="Q168" s="85"/>
      <c r="R168" s="85"/>
      <c r="S168" s="85"/>
      <c r="T168" s="85"/>
      <c r="U168" s="85"/>
      <c r="V168" s="85"/>
      <c r="W168" s="85"/>
      <c r="X168" s="85"/>
      <c r="Y168" s="85"/>
      <c r="Z168" s="85"/>
    </row>
    <row r="169" customFormat="false" ht="12" hidden="false" customHeight="true" outlineLevel="0" collapsed="false">
      <c r="A169" s="287" t="s">
        <v>557</v>
      </c>
      <c r="B169" s="285" t="s">
        <v>396</v>
      </c>
      <c r="C169" s="288" t="n">
        <v>0.048632414333636</v>
      </c>
      <c r="D169" s="288" t="n">
        <f aca="false">$B$1+E169</f>
        <v>0.09919739542692</v>
      </c>
      <c r="E169" s="288" t="n">
        <v>0.05329739542692</v>
      </c>
      <c r="F169" s="288" t="n">
        <v>0.22</v>
      </c>
      <c r="G169" s="85"/>
      <c r="H169" s="85"/>
      <c r="I169" s="85"/>
      <c r="J169" s="85"/>
      <c r="K169" s="85"/>
      <c r="L169" s="85"/>
      <c r="M169" s="85"/>
      <c r="N169" s="85"/>
      <c r="O169" s="85"/>
      <c r="P169" s="85"/>
      <c r="Q169" s="85"/>
      <c r="R169" s="85"/>
      <c r="S169" s="85"/>
      <c r="T169" s="85"/>
      <c r="U169" s="85"/>
      <c r="V169" s="85"/>
      <c r="W169" s="85"/>
      <c r="X169" s="85"/>
      <c r="Y169" s="85"/>
      <c r="Z169" s="85"/>
    </row>
    <row r="170" customFormat="false" ht="12" hidden="false" customHeight="true" outlineLevel="0" collapsed="false">
      <c r="A170" s="287" t="s">
        <v>558</v>
      </c>
      <c r="B170" s="285" t="s">
        <v>387</v>
      </c>
      <c r="C170" s="288" t="n">
        <v>0.0141113726836944</v>
      </c>
      <c r="D170" s="288" t="n">
        <f aca="false">$B$1+E170</f>
        <v>0.0613649819517456</v>
      </c>
      <c r="E170" s="288" t="n">
        <v>0.0154649819517456</v>
      </c>
      <c r="F170" s="288" t="n">
        <v>0</v>
      </c>
      <c r="G170" s="85"/>
      <c r="H170" s="85"/>
      <c r="I170" s="85"/>
      <c r="J170" s="85"/>
      <c r="K170" s="85"/>
      <c r="L170" s="85"/>
      <c r="M170" s="85"/>
      <c r="N170" s="85"/>
      <c r="O170" s="85"/>
      <c r="P170" s="85"/>
      <c r="Q170" s="85"/>
      <c r="R170" s="85"/>
      <c r="S170" s="85"/>
      <c r="T170" s="85"/>
      <c r="U170" s="85"/>
      <c r="V170" s="85"/>
      <c r="W170" s="85"/>
      <c r="X170" s="85"/>
      <c r="Y170" s="85"/>
      <c r="Z170" s="85"/>
    </row>
    <row r="171" customFormat="false" ht="12" hidden="false" customHeight="true" outlineLevel="0" collapsed="false">
      <c r="A171" s="287" t="s">
        <v>559</v>
      </c>
      <c r="B171" s="285" t="s">
        <v>396</v>
      </c>
      <c r="C171" s="288" t="n">
        <v>0.048632414333636</v>
      </c>
      <c r="D171" s="288" t="n">
        <f aca="false">$B$1+E171</f>
        <v>0.09919739542692</v>
      </c>
      <c r="E171" s="288" t="n">
        <v>0.05329739542692</v>
      </c>
      <c r="F171" s="288" t="n">
        <v>0.3</v>
      </c>
      <c r="G171" s="85"/>
      <c r="H171" s="85"/>
      <c r="I171" s="85"/>
      <c r="J171" s="85"/>
      <c r="K171" s="85"/>
      <c r="L171" s="85"/>
      <c r="M171" s="85"/>
      <c r="N171" s="85"/>
      <c r="O171" s="85"/>
      <c r="P171" s="85"/>
      <c r="Q171" s="85"/>
      <c r="R171" s="85"/>
      <c r="S171" s="85"/>
      <c r="T171" s="85"/>
      <c r="U171" s="85"/>
      <c r="V171" s="85"/>
      <c r="W171" s="85"/>
      <c r="X171" s="85"/>
      <c r="Y171" s="85"/>
      <c r="Z171" s="85"/>
    </row>
    <row r="172" customFormat="false" ht="12" hidden="false" customHeight="true" outlineLevel="0" collapsed="false">
      <c r="A172" s="287" t="s">
        <v>560</v>
      </c>
      <c r="B172" s="285" t="s">
        <v>400</v>
      </c>
      <c r="C172" s="288" t="n">
        <v>0.0574819192369697</v>
      </c>
      <c r="D172" s="288" t="n">
        <f aca="false">$B$1+E172</f>
        <v>0.108895773939032</v>
      </c>
      <c r="E172" s="288" t="n">
        <v>0.0629957739390316</v>
      </c>
      <c r="F172" s="288" t="n">
        <v>0.18</v>
      </c>
      <c r="G172" s="85"/>
      <c r="H172" s="85"/>
      <c r="I172" s="85"/>
      <c r="J172" s="85"/>
      <c r="K172" s="85"/>
      <c r="L172" s="85"/>
      <c r="M172" s="85"/>
      <c r="N172" s="85"/>
      <c r="O172" s="85"/>
      <c r="P172" s="85"/>
      <c r="Q172" s="85"/>
      <c r="R172" s="85"/>
      <c r="S172" s="85"/>
      <c r="T172" s="85"/>
      <c r="U172" s="85"/>
      <c r="V172" s="85"/>
      <c r="W172" s="85"/>
      <c r="X172" s="85"/>
      <c r="Y172" s="85"/>
      <c r="Z172" s="85"/>
    </row>
    <row r="173" customFormat="false" ht="12" hidden="false" customHeight="true" outlineLevel="0" collapsed="false">
      <c r="A173" s="287" t="s">
        <v>561</v>
      </c>
      <c r="B173" s="285" t="s">
        <v>374</v>
      </c>
      <c r="C173" s="288" t="n">
        <v>0.00438488981696718</v>
      </c>
      <c r="D173" s="288" t="n">
        <f aca="false">$B$1+E173</f>
        <v>0.0507055028663616</v>
      </c>
      <c r="E173" s="288" t="n">
        <v>0.00480550286636164</v>
      </c>
      <c r="F173" s="288" t="n">
        <v>0.55</v>
      </c>
      <c r="G173" s="85"/>
      <c r="H173" s="85"/>
      <c r="I173" s="85"/>
      <c r="J173" s="85"/>
      <c r="K173" s="85"/>
      <c r="L173" s="85"/>
      <c r="M173" s="85"/>
      <c r="N173" s="85"/>
      <c r="O173" s="85"/>
      <c r="P173" s="85"/>
      <c r="Q173" s="85"/>
      <c r="R173" s="85"/>
      <c r="S173" s="85"/>
      <c r="T173" s="85"/>
      <c r="U173" s="85"/>
      <c r="V173" s="85"/>
      <c r="W173" s="85"/>
      <c r="X173" s="85"/>
      <c r="Y173" s="85"/>
      <c r="Z173" s="85"/>
    </row>
    <row r="174" customFormat="false" ht="12" hidden="false" customHeight="true" outlineLevel="0" collapsed="false">
      <c r="A174" s="287" t="s">
        <v>269</v>
      </c>
      <c r="B174" s="285" t="s">
        <v>402</v>
      </c>
      <c r="C174" s="288" t="n">
        <v>0.00534159304976002</v>
      </c>
      <c r="D174" s="288" t="n">
        <f aca="false">$B$1+E174</f>
        <v>0.0517539762190224</v>
      </c>
      <c r="E174" s="288" t="n">
        <v>0.00585397621902236</v>
      </c>
      <c r="F174" s="288" t="n">
        <v>0.19</v>
      </c>
      <c r="G174" s="85"/>
      <c r="H174" s="85"/>
      <c r="I174" s="85"/>
      <c r="J174" s="85"/>
      <c r="K174" s="85"/>
      <c r="L174" s="85"/>
      <c r="M174" s="85"/>
      <c r="N174" s="85"/>
      <c r="O174" s="85"/>
      <c r="P174" s="85"/>
      <c r="Q174" s="85"/>
      <c r="R174" s="85"/>
      <c r="S174" s="85"/>
      <c r="T174" s="85"/>
      <c r="U174" s="85"/>
      <c r="V174" s="85"/>
      <c r="W174" s="85"/>
      <c r="X174" s="85"/>
      <c r="Y174" s="85"/>
      <c r="Z174" s="85"/>
    </row>
    <row r="175" customFormat="false" ht="12" hidden="false" customHeight="true" outlineLevel="0" collapsed="false">
      <c r="A175" s="287" t="s">
        <v>9</v>
      </c>
      <c r="B175" s="285" t="s">
        <v>389</v>
      </c>
      <c r="C175" s="288" t="n">
        <v>0</v>
      </c>
      <c r="D175" s="288" t="n">
        <f aca="false">$B$1+E175</f>
        <v>0.0459</v>
      </c>
      <c r="E175" s="288" t="n">
        <v>0</v>
      </c>
      <c r="F175" s="288" t="n">
        <v>0.27</v>
      </c>
      <c r="G175" s="85"/>
      <c r="H175" s="85"/>
      <c r="I175" s="85"/>
      <c r="J175" s="85"/>
      <c r="K175" s="85"/>
      <c r="L175" s="85"/>
      <c r="M175" s="85"/>
      <c r="N175" s="85"/>
      <c r="O175" s="85"/>
      <c r="P175" s="85"/>
      <c r="Q175" s="85"/>
      <c r="R175" s="85"/>
      <c r="S175" s="85"/>
      <c r="T175" s="85"/>
      <c r="U175" s="85"/>
      <c r="V175" s="85"/>
      <c r="W175" s="85"/>
      <c r="X175" s="85"/>
      <c r="Y175" s="85"/>
      <c r="Z175" s="85"/>
    </row>
    <row r="176" customFormat="false" ht="12" hidden="false" customHeight="true" outlineLevel="0" collapsed="false">
      <c r="A176" s="287" t="s">
        <v>562</v>
      </c>
      <c r="B176" s="285" t="s">
        <v>376</v>
      </c>
      <c r="C176" s="288" t="n">
        <v>0.0397829094303022</v>
      </c>
      <c r="D176" s="288" t="n">
        <f aca="false">$B$1+E176</f>
        <v>0.0894990169148083</v>
      </c>
      <c r="E176" s="288" t="n">
        <v>0.0435990169148083</v>
      </c>
      <c r="F176" s="288" t="n">
        <v>0.25</v>
      </c>
      <c r="G176" s="85"/>
      <c r="H176" s="85"/>
      <c r="I176" s="85"/>
      <c r="J176" s="85"/>
      <c r="K176" s="85"/>
      <c r="L176" s="85"/>
      <c r="M176" s="85"/>
      <c r="N176" s="85"/>
      <c r="O176" s="85"/>
      <c r="P176" s="85"/>
      <c r="Q176" s="85"/>
      <c r="R176" s="85"/>
      <c r="S176" s="85"/>
      <c r="T176" s="85"/>
      <c r="U176" s="85"/>
      <c r="V176" s="85"/>
      <c r="W176" s="85"/>
      <c r="X176" s="85"/>
      <c r="Y176" s="85"/>
      <c r="Z176" s="85"/>
    </row>
    <row r="177" customFormat="false" ht="12" hidden="false" customHeight="true" outlineLevel="0" collapsed="false">
      <c r="A177" s="287" t="s">
        <v>563</v>
      </c>
      <c r="B177" s="285" t="s">
        <v>484</v>
      </c>
      <c r="C177" s="288" t="n">
        <v>0.175</v>
      </c>
      <c r="D177" s="288" t="n">
        <f aca="false">$B$1+E177</f>
        <v>0.237686575425273</v>
      </c>
      <c r="E177" s="288" t="n">
        <v>0.191786575425273</v>
      </c>
      <c r="F177" s="288" t="n">
        <v>0.34</v>
      </c>
      <c r="G177" s="85"/>
      <c r="H177" s="85"/>
      <c r="I177" s="85"/>
      <c r="J177" s="85"/>
      <c r="K177" s="85"/>
      <c r="L177" s="85"/>
      <c r="M177" s="85"/>
      <c r="N177" s="85"/>
      <c r="O177" s="85"/>
      <c r="P177" s="85"/>
      <c r="Q177" s="85"/>
      <c r="R177" s="85"/>
      <c r="S177" s="85"/>
      <c r="T177" s="85"/>
      <c r="U177" s="85"/>
      <c r="V177" s="85"/>
      <c r="W177" s="85"/>
      <c r="X177" s="85"/>
      <c r="Y177" s="85"/>
      <c r="Z177" s="85"/>
    </row>
    <row r="178" customFormat="false" ht="12" hidden="false" customHeight="true" outlineLevel="0" collapsed="false">
      <c r="A178" s="287" t="s">
        <v>564</v>
      </c>
      <c r="B178" s="285" t="s">
        <v>385</v>
      </c>
      <c r="C178" s="288" t="n">
        <v>0.0318103824903619</v>
      </c>
      <c r="D178" s="288" t="n">
        <f aca="false">$B$1+E178</f>
        <v>0.080761738975969</v>
      </c>
      <c r="E178" s="288" t="n">
        <v>0.034861738975969</v>
      </c>
      <c r="F178" s="288" t="n">
        <v>0.2</v>
      </c>
      <c r="G178" s="85"/>
      <c r="H178" s="85"/>
      <c r="I178" s="85"/>
      <c r="J178" s="85"/>
      <c r="K178" s="85"/>
      <c r="L178" s="85"/>
      <c r="M178" s="85"/>
      <c r="N178" s="85"/>
      <c r="O178" s="85"/>
      <c r="P178" s="85"/>
      <c r="Q178" s="85"/>
      <c r="R178" s="85"/>
      <c r="S178" s="85"/>
      <c r="T178" s="85"/>
      <c r="U178" s="85"/>
      <c r="V178" s="85"/>
      <c r="W178" s="85"/>
      <c r="X178" s="85"/>
      <c r="Y178" s="85"/>
      <c r="Z178" s="85"/>
    </row>
    <row r="179" customFormat="false" ht="12" hidden="false" customHeight="true" outlineLevel="0" collapsed="false">
      <c r="A179" s="289" t="s">
        <v>565</v>
      </c>
      <c r="B179" s="285" t="s">
        <v>378</v>
      </c>
      <c r="C179" s="116" t="n">
        <v>0.175</v>
      </c>
      <c r="D179" s="288" t="n">
        <f aca="false">$B$1+E179</f>
        <v>0.237686575425273</v>
      </c>
      <c r="E179" s="290" t="n">
        <v>0.191786575425273</v>
      </c>
      <c r="F179" s="290" t="n">
        <v>0.2825</v>
      </c>
      <c r="G179" s="85"/>
      <c r="H179" s="85"/>
      <c r="I179" s="85"/>
      <c r="J179" s="85"/>
      <c r="K179" s="85"/>
      <c r="L179" s="85"/>
      <c r="M179" s="85"/>
      <c r="N179" s="85"/>
      <c r="O179" s="85"/>
      <c r="P179" s="85"/>
      <c r="Q179" s="85"/>
      <c r="R179" s="85"/>
      <c r="S179" s="85"/>
      <c r="T179" s="85"/>
      <c r="U179" s="85"/>
      <c r="V179" s="85"/>
      <c r="W179" s="85"/>
      <c r="X179" s="85"/>
      <c r="Y179" s="85"/>
      <c r="Z179" s="85"/>
    </row>
    <row r="180" customFormat="false" ht="12" hidden="false" customHeight="true" outlineLevel="0" collapsed="false">
      <c r="A180" s="287" t="s">
        <v>566</v>
      </c>
      <c r="B180" s="285" t="s">
        <v>383</v>
      </c>
      <c r="C180" s="288" t="n">
        <v>0.106034608301206</v>
      </c>
      <c r="D180" s="288" t="n">
        <f aca="false">$B$1+E180</f>
        <v>0.162105796586563</v>
      </c>
      <c r="E180" s="288" t="n">
        <v>0.116205796586563</v>
      </c>
      <c r="F180" s="288" t="n">
        <v>0.35</v>
      </c>
      <c r="G180" s="85"/>
      <c r="H180" s="85"/>
      <c r="I180" s="85"/>
      <c r="J180" s="85"/>
      <c r="K180" s="85"/>
      <c r="L180" s="85"/>
      <c r="M180" s="85"/>
      <c r="N180" s="85"/>
      <c r="O180" s="85"/>
      <c r="P180" s="85"/>
      <c r="Q180" s="85"/>
      <c r="R180" s="85"/>
      <c r="S180" s="85"/>
      <c r="T180" s="85"/>
      <c r="U180" s="85"/>
      <c r="V180" s="85"/>
      <c r="W180" s="85"/>
      <c r="X180" s="85"/>
      <c r="Y180" s="85"/>
      <c r="Z180" s="85"/>
    </row>
    <row r="181" customFormat="false" ht="12" hidden="false" customHeight="true" outlineLevel="0" collapsed="false">
      <c r="A181" s="289" t="s">
        <v>567</v>
      </c>
      <c r="B181" s="285" t="s">
        <v>378</v>
      </c>
      <c r="C181" s="116" t="n">
        <v>0.106034608301206</v>
      </c>
      <c r="D181" s="288" t="n">
        <f aca="false">$B$1+E181</f>
        <v>0.162105796586563</v>
      </c>
      <c r="E181" s="290" t="n">
        <v>0.116205796586563</v>
      </c>
      <c r="F181" s="290" t="n">
        <v>0.24</v>
      </c>
      <c r="G181" s="85"/>
      <c r="H181" s="85"/>
      <c r="I181" s="85"/>
      <c r="J181" s="85"/>
      <c r="K181" s="85"/>
      <c r="L181" s="85"/>
      <c r="M181" s="85"/>
      <c r="N181" s="85"/>
      <c r="O181" s="85"/>
      <c r="P181" s="85"/>
      <c r="Q181" s="85"/>
      <c r="R181" s="85"/>
      <c r="S181" s="85"/>
      <c r="T181" s="85"/>
      <c r="U181" s="85"/>
      <c r="V181" s="85"/>
      <c r="W181" s="85"/>
      <c r="X181" s="85"/>
      <c r="Y181" s="85"/>
      <c r="Z181" s="85"/>
    </row>
    <row r="182" customFormat="false" ht="12" hidden="false" customHeight="true" outlineLevel="0" collapsed="false">
      <c r="A182" s="283"/>
      <c r="B182" s="283"/>
      <c r="C182" s="283"/>
      <c r="D182" s="283"/>
      <c r="E182" s="283"/>
      <c r="F182" s="85"/>
      <c r="G182" s="85"/>
      <c r="H182" s="85"/>
      <c r="I182" s="85"/>
      <c r="J182" s="85"/>
      <c r="K182" s="85"/>
      <c r="L182" s="85"/>
      <c r="M182" s="85"/>
      <c r="N182" s="85"/>
      <c r="O182" s="85"/>
      <c r="P182" s="85"/>
      <c r="Q182" s="85"/>
      <c r="R182" s="85"/>
      <c r="S182" s="85"/>
      <c r="T182" s="85"/>
      <c r="U182" s="85"/>
      <c r="V182" s="85"/>
      <c r="W182" s="85"/>
      <c r="X182" s="85"/>
      <c r="Y182" s="85"/>
      <c r="Z182" s="85"/>
    </row>
    <row r="183" customFormat="false" ht="12" hidden="false" customHeight="true" outlineLevel="0" collapsed="false">
      <c r="A183" s="283"/>
      <c r="B183" s="283"/>
      <c r="C183" s="283"/>
      <c r="D183" s="283"/>
      <c r="E183" s="283"/>
      <c r="F183" s="85"/>
      <c r="G183" s="85"/>
      <c r="H183" s="85"/>
      <c r="I183" s="85"/>
      <c r="J183" s="85"/>
      <c r="K183" s="85"/>
      <c r="L183" s="85"/>
      <c r="M183" s="85"/>
      <c r="N183" s="85"/>
      <c r="O183" s="85"/>
      <c r="P183" s="85"/>
      <c r="Q183" s="85"/>
      <c r="R183" s="85"/>
      <c r="S183" s="85"/>
      <c r="T183" s="85"/>
      <c r="U183" s="85"/>
      <c r="V183" s="85"/>
      <c r="W183" s="85"/>
      <c r="X183" s="85"/>
      <c r="Y183" s="85"/>
      <c r="Z183" s="85"/>
    </row>
    <row r="184" customFormat="false" ht="12" hidden="false" customHeight="true" outlineLevel="0" collapsed="false">
      <c r="A184" s="283"/>
      <c r="B184" s="292" t="s">
        <v>260</v>
      </c>
      <c r="C184" s="292" t="s">
        <v>568</v>
      </c>
      <c r="D184" s="292" t="s">
        <v>112</v>
      </c>
      <c r="E184" s="292" t="s">
        <v>569</v>
      </c>
      <c r="F184" s="85"/>
      <c r="G184" s="85"/>
      <c r="H184" s="85"/>
      <c r="I184" s="85"/>
      <c r="J184" s="85"/>
      <c r="K184" s="85"/>
      <c r="L184" s="85"/>
      <c r="M184" s="85"/>
      <c r="N184" s="85"/>
      <c r="O184" s="85"/>
      <c r="P184" s="85"/>
      <c r="Q184" s="85"/>
      <c r="R184" s="85"/>
      <c r="S184" s="85"/>
      <c r="T184" s="85"/>
      <c r="U184" s="85"/>
      <c r="V184" s="85"/>
      <c r="W184" s="85"/>
      <c r="X184" s="85"/>
      <c r="Y184" s="85"/>
      <c r="Z184" s="85"/>
    </row>
    <row r="185" customFormat="false" ht="12" hidden="false" customHeight="true" outlineLevel="0" collapsed="false">
      <c r="A185" s="293" t="s">
        <v>570</v>
      </c>
      <c r="B185" s="290" t="n">
        <v>0.0966419473670457</v>
      </c>
      <c r="C185" s="290" t="n">
        <v>0.0451144235202441</v>
      </c>
      <c r="D185" s="290" t="n">
        <v>0.283141944417452</v>
      </c>
      <c r="E185" s="290" t="n">
        <v>0.0494419473670456</v>
      </c>
      <c r="F185" s="85"/>
      <c r="G185" s="85"/>
      <c r="H185" s="85"/>
      <c r="I185" s="85"/>
      <c r="J185" s="85"/>
      <c r="K185" s="85"/>
      <c r="L185" s="85"/>
      <c r="M185" s="85"/>
      <c r="N185" s="85"/>
      <c r="O185" s="85"/>
      <c r="P185" s="85"/>
      <c r="Q185" s="85"/>
      <c r="R185" s="85"/>
      <c r="S185" s="85"/>
      <c r="T185" s="85"/>
      <c r="U185" s="85"/>
      <c r="V185" s="85"/>
      <c r="W185" s="85"/>
      <c r="X185" s="85"/>
      <c r="Y185" s="85"/>
      <c r="Z185" s="85"/>
    </row>
    <row r="186" customFormat="false" ht="12" hidden="false" customHeight="true" outlineLevel="0" collapsed="false">
      <c r="A186" s="293" t="s">
        <v>571</v>
      </c>
      <c r="B186" s="290" t="n">
        <v>0.0574676924426885</v>
      </c>
      <c r="C186" s="290" t="n">
        <v>0.00936900849357519</v>
      </c>
      <c r="D186" s="290" t="n">
        <v>0.256957883420435</v>
      </c>
      <c r="E186" s="290" t="n">
        <v>0.0102676924426885</v>
      </c>
      <c r="F186" s="85"/>
      <c r="G186" s="85"/>
      <c r="H186" s="85"/>
      <c r="I186" s="85"/>
      <c r="J186" s="85"/>
      <c r="K186" s="85"/>
      <c r="L186" s="85"/>
      <c r="M186" s="85"/>
      <c r="N186" s="85"/>
      <c r="O186" s="85"/>
      <c r="P186" s="85"/>
      <c r="Q186" s="85"/>
      <c r="R186" s="85"/>
      <c r="S186" s="85"/>
      <c r="T186" s="85"/>
      <c r="U186" s="85"/>
      <c r="V186" s="85"/>
      <c r="W186" s="85"/>
      <c r="X186" s="85"/>
      <c r="Y186" s="85"/>
      <c r="Z186" s="85"/>
    </row>
    <row r="187" customFormat="false" ht="12" hidden="false" customHeight="true" outlineLevel="0" collapsed="false">
      <c r="A187" s="293" t="s">
        <v>572</v>
      </c>
      <c r="B187" s="290" t="n">
        <v>0.0472326829212255</v>
      </c>
      <c r="C187" s="290" t="n">
        <v>2.9822270937258E-005</v>
      </c>
      <c r="D187" s="290" t="n">
        <v>0.297403273363318</v>
      </c>
      <c r="E187" s="290" t="n">
        <v>3.26829212254935E-005</v>
      </c>
      <c r="F187" s="85"/>
      <c r="G187" s="85"/>
      <c r="H187" s="85"/>
      <c r="I187" s="85"/>
      <c r="J187" s="85"/>
      <c r="K187" s="85"/>
      <c r="L187" s="85"/>
      <c r="M187" s="85"/>
      <c r="N187" s="85"/>
      <c r="O187" s="85"/>
      <c r="P187" s="85"/>
      <c r="Q187" s="85"/>
      <c r="R187" s="85"/>
      <c r="S187" s="85"/>
      <c r="T187" s="85"/>
      <c r="U187" s="85"/>
      <c r="V187" s="85"/>
      <c r="W187" s="85"/>
      <c r="X187" s="85"/>
      <c r="Y187" s="85"/>
      <c r="Z187" s="85"/>
    </row>
    <row r="188" customFormat="false" ht="12" hidden="false" customHeight="true" outlineLevel="0" collapsed="false">
      <c r="A188" s="293" t="s">
        <v>573</v>
      </c>
      <c r="B188" s="290" t="n">
        <v>0.100312574623653</v>
      </c>
      <c r="C188" s="290" t="n">
        <v>0.0484637704100454</v>
      </c>
      <c r="D188" s="290" t="n">
        <v>0.242518464961068</v>
      </c>
      <c r="E188" s="290" t="n">
        <v>0.0531125746236531</v>
      </c>
      <c r="F188" s="85"/>
      <c r="G188" s="85"/>
      <c r="H188" s="85"/>
      <c r="I188" s="85"/>
      <c r="J188" s="85"/>
      <c r="K188" s="85"/>
      <c r="L188" s="85"/>
      <c r="M188" s="85"/>
      <c r="N188" s="85"/>
      <c r="O188" s="85"/>
      <c r="P188" s="85"/>
      <c r="Q188" s="85"/>
      <c r="R188" s="85"/>
      <c r="S188" s="85"/>
      <c r="T188" s="85"/>
      <c r="U188" s="85"/>
      <c r="V188" s="85"/>
      <c r="W188" s="85"/>
      <c r="X188" s="85"/>
      <c r="Y188" s="85"/>
      <c r="Z188" s="85"/>
    </row>
    <row r="189" customFormat="false" ht="12" hidden="false" customHeight="true" outlineLevel="0" collapsed="false">
      <c r="A189" s="293" t="s">
        <v>574</v>
      </c>
      <c r="B189" s="290" t="n">
        <v>0.087100431721071</v>
      </c>
      <c r="C189" s="290" t="n">
        <v>0.0364080516882064</v>
      </c>
      <c r="D189" s="290" t="n">
        <v>0.310394176483229</v>
      </c>
      <c r="E189" s="290" t="n">
        <v>0.039900431721071</v>
      </c>
      <c r="F189" s="85"/>
      <c r="G189" s="85"/>
      <c r="H189" s="85"/>
      <c r="I189" s="85"/>
      <c r="J189" s="85"/>
      <c r="K189" s="85"/>
      <c r="L189" s="85"/>
      <c r="M189" s="85"/>
      <c r="N189" s="85"/>
      <c r="O189" s="85"/>
      <c r="P189" s="85"/>
      <c r="Q189" s="85"/>
      <c r="R189" s="85"/>
      <c r="S189" s="85"/>
      <c r="T189" s="85"/>
      <c r="U189" s="85"/>
      <c r="V189" s="85"/>
      <c r="W189" s="85"/>
      <c r="X189" s="85"/>
      <c r="Y189" s="85"/>
      <c r="Z189" s="85"/>
    </row>
    <row r="190" customFormat="false" ht="12" hidden="false" customHeight="true" outlineLevel="0" collapsed="false">
      <c r="A190" s="293" t="s">
        <v>575</v>
      </c>
      <c r="B190" s="290" t="n">
        <v>0.0679805410836004</v>
      </c>
      <c r="C190" s="290" t="n">
        <v>0.0189616748803517</v>
      </c>
      <c r="D190" s="290" t="n">
        <v>0.183075066464581</v>
      </c>
      <c r="E190" s="290" t="n">
        <v>0.0207805410836004</v>
      </c>
      <c r="F190" s="85"/>
      <c r="G190" s="85"/>
      <c r="H190" s="85"/>
      <c r="I190" s="85"/>
      <c r="J190" s="85"/>
      <c r="K190" s="85"/>
      <c r="L190" s="85"/>
      <c r="M190" s="85"/>
      <c r="N190" s="85"/>
      <c r="O190" s="85"/>
      <c r="P190" s="85"/>
      <c r="Q190" s="85"/>
      <c r="R190" s="85"/>
      <c r="S190" s="85"/>
      <c r="T190" s="85"/>
      <c r="U190" s="85"/>
      <c r="V190" s="85"/>
      <c r="W190" s="85"/>
      <c r="X190" s="85"/>
      <c r="Y190" s="85"/>
      <c r="Z190" s="85"/>
    </row>
    <row r="191" customFormat="false" ht="12" hidden="false" customHeight="true" outlineLevel="0" collapsed="false">
      <c r="A191" s="293" t="s">
        <v>576</v>
      </c>
      <c r="B191" s="290" t="n">
        <v>0.0625017854339721</v>
      </c>
      <c r="C191" s="290" t="n">
        <v>0.013962460328661</v>
      </c>
      <c r="D191" s="290" t="n">
        <v>0.329559327170784</v>
      </c>
      <c r="E191" s="290" t="n">
        <v>0.0153017854339721</v>
      </c>
      <c r="F191" s="85"/>
      <c r="G191" s="85"/>
      <c r="H191" s="85"/>
      <c r="I191" s="85"/>
      <c r="J191" s="85"/>
      <c r="K191" s="85"/>
      <c r="L191" s="85"/>
      <c r="M191" s="85"/>
      <c r="N191" s="85"/>
      <c r="O191" s="85"/>
      <c r="P191" s="85"/>
      <c r="Q191" s="85"/>
      <c r="R191" s="85"/>
      <c r="S191" s="85"/>
      <c r="T191" s="85"/>
      <c r="U191" s="85"/>
      <c r="V191" s="85"/>
      <c r="W191" s="85"/>
      <c r="X191" s="85"/>
      <c r="Y191" s="85"/>
      <c r="Z191" s="85"/>
    </row>
    <row r="192" customFormat="false" ht="12" hidden="false" customHeight="true" outlineLevel="0" collapsed="false">
      <c r="A192" s="293" t="s">
        <v>577</v>
      </c>
      <c r="B192" s="290" t="n">
        <v>0.0472</v>
      </c>
      <c r="C192" s="290" t="n">
        <v>0</v>
      </c>
      <c r="D192" s="290" t="n">
        <v>0.269624331481385</v>
      </c>
      <c r="E192" s="290" t="n">
        <v>0</v>
      </c>
      <c r="F192" s="85"/>
      <c r="G192" s="85"/>
      <c r="H192" s="85"/>
      <c r="I192" s="85"/>
      <c r="J192" s="85"/>
      <c r="K192" s="85"/>
      <c r="L192" s="85"/>
      <c r="M192" s="85"/>
      <c r="N192" s="85"/>
      <c r="O192" s="85"/>
      <c r="P192" s="85"/>
      <c r="Q192" s="85"/>
      <c r="R192" s="85"/>
      <c r="S192" s="85"/>
      <c r="T192" s="85"/>
      <c r="U192" s="85"/>
      <c r="V192" s="85"/>
      <c r="W192" s="85"/>
      <c r="X192" s="85"/>
      <c r="Y192" s="85"/>
      <c r="Z192" s="85"/>
    </row>
    <row r="193" customFormat="false" ht="12" hidden="false" customHeight="true" outlineLevel="0" collapsed="false">
      <c r="A193" s="293" t="s">
        <v>578</v>
      </c>
      <c r="B193" s="290" t="n">
        <v>0.0555974750945077</v>
      </c>
      <c r="C193" s="290" t="n">
        <v>0.00766246614644536</v>
      </c>
      <c r="D193" s="290" t="n">
        <v>0.244065334983207</v>
      </c>
      <c r="E193" s="290" t="n">
        <v>0.00839747509450768</v>
      </c>
      <c r="F193" s="85"/>
      <c r="G193" s="85"/>
      <c r="H193" s="85"/>
      <c r="I193" s="85"/>
      <c r="J193" s="85"/>
      <c r="K193" s="85"/>
      <c r="L193" s="85"/>
      <c r="M193" s="85"/>
      <c r="N193" s="85"/>
      <c r="O193" s="85"/>
      <c r="P193" s="85"/>
      <c r="Q193" s="85"/>
      <c r="R193" s="85"/>
      <c r="S193" s="85"/>
      <c r="T193" s="85"/>
      <c r="U193" s="85"/>
      <c r="V193" s="85"/>
      <c r="W193" s="85"/>
      <c r="X193" s="85"/>
      <c r="Y193" s="85"/>
      <c r="Z193" s="85"/>
    </row>
    <row r="194" customFormat="false" ht="12" hidden="false" customHeight="true" outlineLevel="0" collapsed="false">
      <c r="A194" s="293"/>
      <c r="B194" s="283"/>
      <c r="C194" s="290"/>
      <c r="D194" s="283"/>
      <c r="E194" s="283"/>
      <c r="F194" s="85"/>
      <c r="G194" s="85"/>
      <c r="H194" s="85"/>
      <c r="I194" s="85"/>
      <c r="J194" s="85"/>
      <c r="K194" s="85"/>
      <c r="L194" s="85"/>
      <c r="M194" s="85"/>
      <c r="N194" s="85"/>
      <c r="O194" s="85"/>
      <c r="P194" s="85"/>
      <c r="Q194" s="85"/>
      <c r="R194" s="85"/>
      <c r="S194" s="85"/>
      <c r="T194" s="85"/>
      <c r="U194" s="85"/>
      <c r="V194" s="85"/>
      <c r="W194" s="85"/>
      <c r="X194" s="85"/>
      <c r="Y194" s="85"/>
      <c r="Z194" s="85"/>
    </row>
    <row r="195" customFormat="false" ht="12" hidden="false" customHeight="true" outlineLevel="0" collapsed="false">
      <c r="A195" s="293" t="s">
        <v>579</v>
      </c>
      <c r="B195" s="290" t="n">
        <v>0.0576303232275807</v>
      </c>
      <c r="C195" s="290" t="n">
        <v>0.00951739117054722</v>
      </c>
      <c r="D195" s="290" t="n">
        <v>0.261338986094679</v>
      </c>
      <c r="E195" s="290" t="n">
        <v>0.0104303232275807</v>
      </c>
      <c r="F195" s="85"/>
      <c r="G195" s="85"/>
      <c r="H195" s="85"/>
      <c r="I195" s="85"/>
      <c r="J195" s="85"/>
      <c r="K195" s="85"/>
      <c r="L195" s="85"/>
      <c r="M195" s="85"/>
      <c r="N195" s="85"/>
      <c r="O195" s="85"/>
      <c r="P195" s="85"/>
      <c r="Q195" s="85"/>
      <c r="R195" s="85"/>
      <c r="S195" s="85"/>
      <c r="T195" s="85"/>
      <c r="U195" s="85"/>
      <c r="V195" s="85"/>
      <c r="W195" s="85"/>
      <c r="X195" s="85"/>
      <c r="Y195" s="85"/>
      <c r="Z195" s="85"/>
    </row>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11.xml><?xml version="1.0" encoding="utf-8"?>
<worksheet xmlns="http://schemas.openxmlformats.org/spreadsheetml/2006/main" xmlns:r="http://schemas.openxmlformats.org/officeDocument/2006/relationships">
  <sheetPr filterMode="false">
    <pageSetUpPr fitToPage="false"/>
  </sheetPr>
  <dimension ref="A1:Z5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0" min="1" style="0" width="10.72"/>
    <col collapsed="false" customWidth="true" hidden="false" outlineLevel="0" max="26" min="11" style="0" width="8.72"/>
    <col collapsed="false" customWidth="true" hidden="false" outlineLevel="0" max="1025" min="27" style="0" width="14.43"/>
  </cols>
  <sheetData>
    <row r="1" customFormat="false" ht="12" hidden="false" customHeight="true" outlineLevel="0" collapsed="false">
      <c r="A1" s="197" t="s">
        <v>580</v>
      </c>
    </row>
    <row r="2" customFormat="false" ht="12" hidden="false" customHeight="true" outlineLevel="0" collapsed="false">
      <c r="A2" s="197" t="s">
        <v>581</v>
      </c>
    </row>
    <row r="3" customFormat="false" ht="12" hidden="false" customHeight="true" outlineLevel="0" collapsed="false">
      <c r="A3" s="224" t="s">
        <v>582</v>
      </c>
      <c r="B3" s="294"/>
      <c r="C3" s="294"/>
      <c r="D3" s="294"/>
      <c r="E3" s="294"/>
      <c r="F3" s="294"/>
      <c r="G3" s="294"/>
      <c r="H3" s="294"/>
      <c r="I3" s="294"/>
      <c r="J3" s="294"/>
      <c r="K3" s="294"/>
      <c r="L3" s="294"/>
      <c r="M3" s="294"/>
      <c r="N3" s="294"/>
      <c r="O3" s="294"/>
      <c r="P3" s="294"/>
      <c r="Q3" s="294"/>
      <c r="R3" s="294"/>
      <c r="S3" s="294"/>
      <c r="T3" s="294"/>
      <c r="U3" s="294"/>
      <c r="V3" s="294"/>
      <c r="W3" s="294"/>
      <c r="X3" s="294"/>
      <c r="Y3" s="294"/>
      <c r="Z3" s="294"/>
    </row>
    <row r="4" customFormat="false" ht="12" hidden="false" customHeight="true" outlineLevel="0" collapsed="false">
      <c r="A4" s="179" t="s">
        <v>583</v>
      </c>
      <c r="B4" s="179"/>
      <c r="C4" s="295" t="n">
        <f aca="false">'Cost of capital worksheet'!B24</f>
        <v>1</v>
      </c>
      <c r="D4" s="179"/>
      <c r="E4" s="179"/>
      <c r="F4" s="179"/>
      <c r="G4" s="179"/>
      <c r="H4" s="179"/>
      <c r="I4" s="179"/>
      <c r="J4" s="179"/>
      <c r="K4" s="296"/>
      <c r="L4" s="296"/>
      <c r="M4" s="296"/>
      <c r="N4" s="296"/>
      <c r="O4" s="296"/>
      <c r="P4" s="296"/>
      <c r="Q4" s="296"/>
      <c r="R4" s="296"/>
      <c r="S4" s="296"/>
      <c r="T4" s="296"/>
      <c r="U4" s="296"/>
      <c r="V4" s="296"/>
      <c r="W4" s="296"/>
      <c r="X4" s="296"/>
      <c r="Y4" s="296"/>
      <c r="Z4" s="296"/>
    </row>
    <row r="5" customFormat="false" ht="12" hidden="false" customHeight="true" outlineLevel="0" collapsed="false">
      <c r="A5" s="179" t="s">
        <v>584</v>
      </c>
      <c r="B5" s="179"/>
      <c r="C5" s="179"/>
      <c r="D5" s="179"/>
      <c r="E5" s="179"/>
      <c r="F5" s="199" t="n">
        <f aca="false">IF('Input sheet'!B14="Yes",'Input sheet'!B9+'Operating lease converter'!F32,'Input sheet'!B9)</f>
        <v>78567</v>
      </c>
      <c r="G5" s="179" t="s">
        <v>585</v>
      </c>
      <c r="H5" s="179"/>
      <c r="I5" s="179"/>
      <c r="J5" s="179"/>
      <c r="K5" s="296"/>
      <c r="L5" s="296"/>
      <c r="M5" s="296"/>
      <c r="N5" s="296"/>
      <c r="O5" s="296"/>
      <c r="P5" s="296"/>
      <c r="Q5" s="296"/>
      <c r="R5" s="296"/>
      <c r="S5" s="296"/>
      <c r="T5" s="296"/>
      <c r="U5" s="296"/>
      <c r="V5" s="296"/>
      <c r="W5" s="296"/>
      <c r="X5" s="296"/>
      <c r="Y5" s="296"/>
      <c r="Z5" s="296"/>
    </row>
    <row r="6" customFormat="false" ht="12" hidden="false" customHeight="true" outlineLevel="0" collapsed="false">
      <c r="A6" s="179" t="s">
        <v>586</v>
      </c>
      <c r="B6" s="179"/>
      <c r="C6" s="179"/>
      <c r="D6" s="179"/>
      <c r="E6" s="179"/>
      <c r="F6" s="297" t="n">
        <f aca="false">IF('Input sheet'!B14="Yes",'Cost of capital worksheet'!B19+'Operating lease converter'!C28*'Operating lease converter'!C15,'Cost of capital worksheet'!B19)</f>
        <v>384</v>
      </c>
      <c r="G6" s="179" t="s">
        <v>587</v>
      </c>
      <c r="H6" s="179"/>
      <c r="I6" s="179"/>
      <c r="J6" s="179"/>
      <c r="K6" s="296"/>
      <c r="L6" s="296"/>
      <c r="M6" s="296"/>
      <c r="N6" s="296"/>
      <c r="O6" s="296"/>
      <c r="P6" s="296"/>
      <c r="Q6" s="296"/>
      <c r="R6" s="296"/>
      <c r="S6" s="296"/>
      <c r="T6" s="296"/>
      <c r="U6" s="296"/>
      <c r="V6" s="296"/>
      <c r="W6" s="296"/>
      <c r="X6" s="296"/>
      <c r="Y6" s="296"/>
      <c r="Z6" s="296"/>
    </row>
    <row r="7" customFormat="false" ht="12" hidden="false" customHeight="true" outlineLevel="0" collapsed="false">
      <c r="A7" s="179" t="s">
        <v>588</v>
      </c>
      <c r="B7" s="179"/>
      <c r="C7" s="179"/>
      <c r="D7" s="179"/>
      <c r="E7" s="179"/>
      <c r="F7" s="252" t="n">
        <f aca="false">'Input sheet'!B30</f>
        <v>0.0416</v>
      </c>
      <c r="G7" s="179"/>
      <c r="H7" s="179"/>
      <c r="I7" s="179"/>
      <c r="J7" s="179"/>
      <c r="K7" s="296"/>
      <c r="L7" s="296"/>
      <c r="M7" s="296"/>
      <c r="N7" s="296"/>
      <c r="O7" s="296"/>
      <c r="P7" s="296"/>
      <c r="Q7" s="296"/>
      <c r="R7" s="296"/>
      <c r="S7" s="296"/>
      <c r="T7" s="296"/>
      <c r="U7" s="296"/>
      <c r="V7" s="296"/>
      <c r="W7" s="296"/>
      <c r="X7" s="296"/>
      <c r="Y7" s="296"/>
      <c r="Z7" s="296"/>
    </row>
    <row r="8" customFormat="false" ht="12" hidden="false" customHeight="true" outlineLevel="0" collapsed="false">
      <c r="A8" s="206" t="s">
        <v>310</v>
      </c>
      <c r="B8" s="179"/>
      <c r="C8" s="179"/>
      <c r="D8" s="179"/>
      <c r="E8" s="179"/>
      <c r="F8" s="179"/>
      <c r="G8" s="179"/>
      <c r="H8" s="179"/>
      <c r="I8" s="179"/>
      <c r="J8" s="179"/>
      <c r="K8" s="296"/>
      <c r="L8" s="296"/>
      <c r="M8" s="296"/>
      <c r="N8" s="296"/>
      <c r="O8" s="296"/>
      <c r="P8" s="296"/>
      <c r="Q8" s="296"/>
      <c r="R8" s="296"/>
      <c r="S8" s="296"/>
      <c r="T8" s="296"/>
      <c r="U8" s="296"/>
      <c r="V8" s="296"/>
      <c r="W8" s="296"/>
      <c r="X8" s="296"/>
      <c r="Y8" s="296"/>
      <c r="Z8" s="296"/>
    </row>
    <row r="9" customFormat="false" ht="12" hidden="false" customHeight="true" outlineLevel="0" collapsed="false">
      <c r="A9" s="179" t="s">
        <v>589</v>
      </c>
      <c r="B9" s="179"/>
      <c r="C9" s="179"/>
      <c r="D9" s="298" t="n">
        <f aca="false">IF(F6=0,1000000,IF(F5&lt;0,-100000,F5/F6))</f>
        <v>204.6015625</v>
      </c>
      <c r="E9" s="179"/>
      <c r="F9" s="179"/>
      <c r="G9" s="179"/>
      <c r="H9" s="179"/>
      <c r="I9" s="179"/>
      <c r="J9" s="179"/>
      <c r="K9" s="296"/>
      <c r="L9" s="296"/>
      <c r="M9" s="296"/>
      <c r="N9" s="296"/>
      <c r="O9" s="296"/>
      <c r="P9" s="296"/>
      <c r="Q9" s="296"/>
      <c r="R9" s="296"/>
      <c r="S9" s="296"/>
      <c r="T9" s="296"/>
      <c r="U9" s="296"/>
      <c r="V9" s="296"/>
      <c r="W9" s="296"/>
      <c r="X9" s="296"/>
      <c r="Y9" s="296"/>
      <c r="Z9" s="296"/>
    </row>
    <row r="10" customFormat="false" ht="12" hidden="false" customHeight="true" outlineLevel="0" collapsed="false">
      <c r="A10" s="179" t="s">
        <v>590</v>
      </c>
      <c r="B10" s="296"/>
      <c r="C10" s="296"/>
      <c r="D10" s="299" t="str">
        <f aca="false">IF(C4=1,VLOOKUP(D9,A19:D33,3),(IF(C4=2,VLOOKUP(D9,A38:D52,3),VLOOKUP(D9,F19:I33,3))))</f>
        <v>Aaa/AAA</v>
      </c>
      <c r="E10" s="296"/>
      <c r="F10" s="205" t="s">
        <v>591</v>
      </c>
      <c r="G10" s="296"/>
      <c r="H10" s="296"/>
      <c r="I10" s="296"/>
      <c r="J10" s="296"/>
      <c r="K10" s="296"/>
      <c r="L10" s="296"/>
      <c r="M10" s="296"/>
      <c r="N10" s="296"/>
      <c r="O10" s="296"/>
      <c r="P10" s="296"/>
      <c r="Q10" s="296"/>
      <c r="R10" s="296"/>
      <c r="S10" s="296"/>
      <c r="T10" s="296"/>
      <c r="U10" s="296"/>
      <c r="V10" s="296"/>
      <c r="W10" s="296"/>
      <c r="X10" s="296"/>
      <c r="Y10" s="296"/>
      <c r="Z10" s="296"/>
    </row>
    <row r="11" customFormat="false" ht="12" hidden="false" customHeight="true" outlineLevel="0" collapsed="false">
      <c r="A11" s="179" t="s">
        <v>592</v>
      </c>
      <c r="B11" s="296"/>
      <c r="C11" s="296"/>
      <c r="D11" s="300" t="n">
        <f aca="false">IF(C4=1,VLOOKUP(D9,A19:D33,4),(IF(C4=2,VLOOKUP(D9,A38:D52,4),VLOOKUP(D9,F19:I33,4))))</f>
        <v>0.0076</v>
      </c>
      <c r="E11" s="296"/>
      <c r="F11" s="205" t="s">
        <v>593</v>
      </c>
      <c r="G11" s="296"/>
      <c r="H11" s="296"/>
      <c r="I11" s="296"/>
      <c r="J11" s="296"/>
      <c r="K11" s="296"/>
      <c r="L11" s="296"/>
      <c r="M11" s="296"/>
      <c r="N11" s="296"/>
      <c r="O11" s="296"/>
      <c r="P11" s="296"/>
      <c r="Q11" s="296"/>
      <c r="R11" s="296"/>
      <c r="S11" s="296"/>
      <c r="T11" s="296"/>
      <c r="U11" s="296"/>
      <c r="V11" s="296"/>
      <c r="W11" s="296"/>
      <c r="X11" s="296"/>
      <c r="Y11" s="296"/>
      <c r="Z11" s="296"/>
    </row>
    <row r="12" customFormat="false" ht="12" hidden="false" customHeight="true" outlineLevel="0" collapsed="false">
      <c r="A12" s="179" t="s">
        <v>594</v>
      </c>
      <c r="B12" s="296"/>
      <c r="C12" s="296"/>
      <c r="D12" s="300" t="n">
        <f aca="false">VLOOKUP('Input sheet'!B5,'Country equity risk premiums'!A5:C181,3)</f>
        <v>0</v>
      </c>
      <c r="E12" s="296"/>
      <c r="F12" s="205"/>
      <c r="G12" s="296"/>
      <c r="H12" s="296"/>
      <c r="I12" s="296"/>
      <c r="J12" s="296"/>
      <c r="K12" s="296"/>
      <c r="L12" s="296"/>
      <c r="M12" s="296"/>
      <c r="N12" s="296"/>
      <c r="O12" s="296"/>
      <c r="P12" s="296"/>
      <c r="Q12" s="296"/>
      <c r="R12" s="296"/>
      <c r="S12" s="296"/>
      <c r="T12" s="296"/>
      <c r="U12" s="296"/>
      <c r="V12" s="296"/>
      <c r="W12" s="296"/>
      <c r="X12" s="296"/>
      <c r="Y12" s="296"/>
      <c r="Z12" s="296"/>
    </row>
    <row r="13" customFormat="false" ht="12" hidden="false" customHeight="true" outlineLevel="0" collapsed="false">
      <c r="A13" s="179" t="s">
        <v>595</v>
      </c>
      <c r="B13" s="179"/>
      <c r="C13" s="179"/>
      <c r="D13" s="300" t="n">
        <f aca="false">F7+D11+D12</f>
        <v>0.0492</v>
      </c>
      <c r="E13" s="179"/>
      <c r="F13" s="179"/>
      <c r="G13" s="179"/>
      <c r="H13" s="179"/>
      <c r="I13" s="179"/>
      <c r="J13" s="179"/>
      <c r="K13" s="179"/>
      <c r="L13" s="179"/>
      <c r="M13" s="179"/>
      <c r="N13" s="179"/>
      <c r="O13" s="179"/>
      <c r="P13" s="179"/>
      <c r="Q13" s="179"/>
      <c r="R13" s="179"/>
      <c r="S13" s="179"/>
      <c r="T13" s="179"/>
      <c r="U13" s="179"/>
      <c r="V13" s="179"/>
      <c r="W13" s="179"/>
      <c r="X13" s="179"/>
      <c r="Y13" s="179"/>
      <c r="Z13" s="179"/>
    </row>
    <row r="14" customFormat="false" ht="12" hidden="false" customHeight="true" outlineLevel="0" collapsed="false">
      <c r="A14" s="179"/>
      <c r="B14" s="179"/>
      <c r="C14" s="179"/>
      <c r="D14" s="301"/>
      <c r="E14" s="179"/>
      <c r="F14" s="179"/>
      <c r="G14" s="179"/>
      <c r="H14" s="179"/>
      <c r="I14" s="179"/>
      <c r="J14" s="179"/>
      <c r="K14" s="179"/>
      <c r="L14" s="179"/>
      <c r="M14" s="179"/>
      <c r="N14" s="179"/>
      <c r="O14" s="179"/>
      <c r="P14" s="179"/>
      <c r="Q14" s="179"/>
      <c r="R14" s="179"/>
      <c r="S14" s="179"/>
      <c r="T14" s="179"/>
      <c r="U14" s="179"/>
      <c r="V14" s="179"/>
      <c r="W14" s="179"/>
      <c r="X14" s="179"/>
      <c r="Y14" s="179"/>
      <c r="Z14" s="179"/>
    </row>
    <row r="15" customFormat="false" ht="12" hidden="false" customHeight="true" outlineLevel="0" collapsed="false">
      <c r="A15" s="204" t="s">
        <v>596</v>
      </c>
      <c r="B15" s="204"/>
      <c r="C15" s="204"/>
      <c r="D15" s="302"/>
      <c r="E15" s="204"/>
      <c r="F15" s="204"/>
      <c r="G15" s="204"/>
      <c r="H15" s="204"/>
      <c r="I15" s="204"/>
      <c r="J15" s="204"/>
      <c r="K15" s="204"/>
      <c r="L15" s="204"/>
      <c r="M15" s="204"/>
      <c r="N15" s="204"/>
      <c r="O15" s="204"/>
      <c r="P15" s="204"/>
      <c r="Q15" s="204"/>
      <c r="R15" s="204"/>
      <c r="S15" s="204"/>
      <c r="T15" s="204"/>
      <c r="U15" s="204"/>
      <c r="V15" s="204"/>
      <c r="W15" s="204"/>
      <c r="X15" s="204"/>
      <c r="Y15" s="204"/>
      <c r="Z15" s="204"/>
    </row>
    <row r="16" customFormat="false" ht="12" hidden="false" customHeight="true" outlineLevel="0" collapsed="false">
      <c r="A16" s="206" t="s">
        <v>597</v>
      </c>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row>
    <row r="17" customFormat="false" ht="12" hidden="false" customHeight="true" outlineLevel="0" collapsed="false">
      <c r="A17" s="246" t="s">
        <v>598</v>
      </c>
      <c r="B17" s="246"/>
      <c r="C17" s="303"/>
      <c r="D17" s="303"/>
      <c r="E17" s="296"/>
      <c r="F17" s="296"/>
      <c r="G17" s="296"/>
      <c r="H17" s="296"/>
      <c r="I17" s="296"/>
      <c r="J17" s="296"/>
      <c r="K17" s="296"/>
      <c r="L17" s="296"/>
      <c r="M17" s="296"/>
      <c r="N17" s="296"/>
      <c r="O17" s="296"/>
      <c r="P17" s="296"/>
      <c r="Q17" s="296"/>
      <c r="R17" s="296"/>
      <c r="S17" s="296"/>
      <c r="T17" s="296"/>
      <c r="U17" s="296"/>
      <c r="V17" s="296"/>
      <c r="W17" s="296"/>
      <c r="X17" s="296"/>
      <c r="Y17" s="296"/>
      <c r="Z17" s="296"/>
    </row>
    <row r="18" customFormat="false" ht="12" hidden="false" customHeight="true" outlineLevel="0" collapsed="false">
      <c r="A18" s="246" t="s">
        <v>599</v>
      </c>
      <c r="B18" s="246" t="s">
        <v>600</v>
      </c>
      <c r="C18" s="246" t="s">
        <v>601</v>
      </c>
      <c r="D18" s="246" t="s">
        <v>602</v>
      </c>
      <c r="E18" s="296"/>
      <c r="F18" s="296"/>
      <c r="G18" s="296"/>
      <c r="H18" s="296"/>
      <c r="I18" s="296"/>
      <c r="J18" s="296"/>
      <c r="K18" s="296"/>
      <c r="L18" s="296"/>
      <c r="M18" s="296"/>
      <c r="N18" s="296"/>
      <c r="O18" s="296"/>
      <c r="P18" s="296"/>
      <c r="Q18" s="296"/>
      <c r="R18" s="296"/>
      <c r="S18" s="296"/>
      <c r="T18" s="296"/>
      <c r="U18" s="296"/>
      <c r="V18" s="296"/>
      <c r="W18" s="296"/>
      <c r="X18" s="296"/>
      <c r="Y18" s="296"/>
      <c r="Z18" s="296"/>
    </row>
    <row r="19" customFormat="false" ht="12" hidden="false" customHeight="true" outlineLevel="0" collapsed="false">
      <c r="A19" s="268" t="n">
        <v>-100000</v>
      </c>
      <c r="B19" s="268" t="n">
        <v>0.199999</v>
      </c>
      <c r="C19" s="304" t="s">
        <v>603</v>
      </c>
      <c r="D19" s="305" t="n">
        <v>0.216606951219512</v>
      </c>
      <c r="E19" s="296"/>
      <c r="F19" s="296"/>
      <c r="G19" s="296"/>
      <c r="H19" s="296"/>
      <c r="I19" s="296"/>
      <c r="J19" s="296"/>
      <c r="K19" s="296"/>
      <c r="L19" s="296"/>
      <c r="M19" s="296"/>
      <c r="N19" s="296"/>
      <c r="O19" s="296"/>
      <c r="P19" s="296"/>
      <c r="Q19" s="296"/>
      <c r="R19" s="296"/>
      <c r="S19" s="296"/>
      <c r="T19" s="296"/>
      <c r="U19" s="296"/>
      <c r="V19" s="296"/>
      <c r="W19" s="296"/>
      <c r="X19" s="296"/>
      <c r="Y19" s="296"/>
      <c r="Z19" s="296"/>
    </row>
    <row r="20" customFormat="false" ht="12" hidden="false" customHeight="true" outlineLevel="0" collapsed="false">
      <c r="A20" s="268" t="n">
        <v>0.2</v>
      </c>
      <c r="B20" s="268" t="n">
        <v>0.649999</v>
      </c>
      <c r="C20" s="304" t="s">
        <v>604</v>
      </c>
      <c r="D20" s="305" t="n">
        <v>0.162511097560976</v>
      </c>
      <c r="E20" s="296"/>
      <c r="F20" s="304"/>
      <c r="G20" s="296"/>
      <c r="H20" s="296"/>
      <c r="I20" s="296"/>
      <c r="J20" s="296"/>
      <c r="K20" s="296"/>
      <c r="L20" s="296"/>
      <c r="M20" s="296"/>
      <c r="N20" s="296"/>
      <c r="O20" s="296"/>
      <c r="P20" s="296"/>
      <c r="Q20" s="296"/>
      <c r="R20" s="296"/>
      <c r="S20" s="296"/>
      <c r="T20" s="296"/>
      <c r="U20" s="296"/>
      <c r="V20" s="296"/>
      <c r="W20" s="296"/>
      <c r="X20" s="296"/>
      <c r="Y20" s="296"/>
      <c r="Z20" s="296"/>
    </row>
    <row r="21" customFormat="false" ht="12" hidden="false" customHeight="true" outlineLevel="0" collapsed="false">
      <c r="A21" s="268" t="n">
        <v>0.65</v>
      </c>
      <c r="B21" s="268" t="n">
        <v>0.799999</v>
      </c>
      <c r="C21" s="304" t="s">
        <v>605</v>
      </c>
      <c r="D21" s="305" t="n">
        <v>0.123839268292683</v>
      </c>
      <c r="E21" s="296"/>
      <c r="F21" s="296"/>
      <c r="G21" s="296"/>
      <c r="H21" s="296"/>
      <c r="I21" s="296"/>
      <c r="J21" s="296"/>
      <c r="K21" s="296"/>
      <c r="L21" s="296"/>
      <c r="M21" s="296"/>
      <c r="N21" s="296"/>
      <c r="O21" s="296"/>
      <c r="P21" s="296"/>
      <c r="Q21" s="296"/>
      <c r="R21" s="296"/>
      <c r="S21" s="296"/>
      <c r="T21" s="296"/>
      <c r="U21" s="296"/>
      <c r="V21" s="296"/>
      <c r="W21" s="296"/>
      <c r="X21" s="296"/>
      <c r="Y21" s="296"/>
      <c r="Z21" s="296"/>
    </row>
    <row r="22" customFormat="false" ht="12" hidden="false" customHeight="true" outlineLevel="0" collapsed="false">
      <c r="A22" s="268" t="n">
        <v>0.8</v>
      </c>
      <c r="B22" s="268" t="n">
        <v>1.249999</v>
      </c>
      <c r="C22" s="304" t="s">
        <v>606</v>
      </c>
      <c r="D22" s="305" t="n">
        <v>0.1175</v>
      </c>
      <c r="E22" s="296"/>
      <c r="F22" s="296"/>
      <c r="G22" s="296"/>
      <c r="H22" s="296"/>
      <c r="I22" s="296"/>
      <c r="J22" s="296"/>
      <c r="K22" s="296"/>
      <c r="L22" s="296"/>
      <c r="M22" s="296"/>
      <c r="N22" s="296"/>
      <c r="O22" s="296"/>
      <c r="P22" s="296"/>
      <c r="Q22" s="296"/>
      <c r="R22" s="296"/>
      <c r="S22" s="296"/>
      <c r="T22" s="296"/>
      <c r="U22" s="296"/>
      <c r="V22" s="296"/>
      <c r="W22" s="296"/>
      <c r="X22" s="296"/>
      <c r="Y22" s="296"/>
      <c r="Z22" s="296"/>
    </row>
    <row r="23" customFormat="false" ht="12" hidden="false" customHeight="true" outlineLevel="0" collapsed="false">
      <c r="A23" s="268" t="n">
        <v>1.25</v>
      </c>
      <c r="B23" s="268" t="n">
        <v>1.499999</v>
      </c>
      <c r="C23" s="304" t="s">
        <v>607</v>
      </c>
      <c r="D23" s="305" t="n">
        <v>0.100833333333333</v>
      </c>
      <c r="E23" s="296"/>
      <c r="F23" s="296"/>
      <c r="G23" s="296"/>
      <c r="H23" s="296"/>
      <c r="I23" s="296"/>
      <c r="J23" s="296"/>
      <c r="K23" s="296"/>
      <c r="L23" s="296"/>
      <c r="M23" s="296"/>
      <c r="N23" s="296"/>
      <c r="O23" s="296"/>
      <c r="P23" s="296"/>
      <c r="Q23" s="296"/>
      <c r="R23" s="296"/>
      <c r="S23" s="296"/>
      <c r="T23" s="296"/>
      <c r="U23" s="296"/>
      <c r="V23" s="296"/>
      <c r="W23" s="296"/>
      <c r="X23" s="296"/>
      <c r="Y23" s="296"/>
      <c r="Z23" s="296"/>
    </row>
    <row r="24" customFormat="false" ht="12" hidden="false" customHeight="true" outlineLevel="0" collapsed="false">
      <c r="A24" s="268" t="n">
        <v>1.5</v>
      </c>
      <c r="B24" s="268" t="n">
        <v>1.749999</v>
      </c>
      <c r="C24" s="304" t="s">
        <v>608</v>
      </c>
      <c r="D24" s="305" t="n">
        <v>0.0825</v>
      </c>
      <c r="E24" s="296"/>
      <c r="F24" s="296"/>
      <c r="G24" s="296"/>
      <c r="H24" s="296"/>
      <c r="I24" s="296"/>
      <c r="J24" s="296"/>
      <c r="K24" s="296"/>
      <c r="L24" s="296"/>
      <c r="M24" s="296"/>
      <c r="N24" s="296"/>
      <c r="O24" s="296"/>
      <c r="P24" s="296"/>
      <c r="Q24" s="296"/>
      <c r="R24" s="296"/>
      <c r="S24" s="296"/>
      <c r="T24" s="296"/>
      <c r="U24" s="296"/>
      <c r="V24" s="296"/>
      <c r="W24" s="296"/>
      <c r="X24" s="296"/>
      <c r="Y24" s="296"/>
      <c r="Z24" s="296"/>
    </row>
    <row r="25" customFormat="false" ht="12" hidden="false" customHeight="true" outlineLevel="0" collapsed="false">
      <c r="A25" s="268" t="n">
        <v>1.75</v>
      </c>
      <c r="B25" s="268" t="n">
        <v>1.999999</v>
      </c>
      <c r="C25" s="304" t="s">
        <v>609</v>
      </c>
      <c r="D25" s="305" t="n">
        <v>0.04314375</v>
      </c>
      <c r="E25" s="296"/>
      <c r="F25" s="296"/>
      <c r="G25" s="296"/>
      <c r="H25" s="296"/>
      <c r="I25" s="296"/>
      <c r="J25" s="296"/>
      <c r="K25" s="296"/>
      <c r="L25" s="296"/>
      <c r="M25" s="296"/>
      <c r="N25" s="296"/>
      <c r="O25" s="296"/>
      <c r="P25" s="296"/>
      <c r="Q25" s="296"/>
      <c r="R25" s="296"/>
      <c r="S25" s="296"/>
      <c r="T25" s="296"/>
      <c r="U25" s="296"/>
      <c r="V25" s="296"/>
      <c r="W25" s="296"/>
      <c r="X25" s="296"/>
      <c r="Y25" s="296"/>
      <c r="Z25" s="296"/>
    </row>
    <row r="26" customFormat="false" ht="12" hidden="false" customHeight="true" outlineLevel="0" collapsed="false">
      <c r="A26" s="268" t="n">
        <v>2</v>
      </c>
      <c r="B26" s="268" t="n">
        <v>2.2499999</v>
      </c>
      <c r="C26" s="304" t="s">
        <v>610</v>
      </c>
      <c r="D26" s="305" t="n">
        <v>0.0295</v>
      </c>
      <c r="E26" s="296"/>
      <c r="F26" s="296"/>
      <c r="G26" s="296"/>
      <c r="H26" s="296"/>
      <c r="I26" s="296"/>
      <c r="J26" s="296"/>
      <c r="K26" s="296"/>
      <c r="L26" s="296"/>
      <c r="M26" s="296"/>
      <c r="N26" s="296"/>
      <c r="O26" s="296"/>
      <c r="P26" s="296"/>
      <c r="Q26" s="296"/>
      <c r="R26" s="296"/>
      <c r="S26" s="296"/>
      <c r="T26" s="296"/>
      <c r="U26" s="296"/>
      <c r="V26" s="296"/>
      <c r="W26" s="296"/>
      <c r="X26" s="296"/>
      <c r="Y26" s="296"/>
      <c r="Z26" s="296"/>
    </row>
    <row r="27" customFormat="false" ht="12" hidden="false" customHeight="true" outlineLevel="0" collapsed="false">
      <c r="A27" s="268" t="n">
        <v>2.25</v>
      </c>
      <c r="B27" s="268" t="n">
        <v>2.49999</v>
      </c>
      <c r="C27" s="304" t="s">
        <v>611</v>
      </c>
      <c r="D27" s="305" t="n">
        <v>0.0232051282051282</v>
      </c>
      <c r="E27" s="296"/>
      <c r="F27" s="296"/>
      <c r="G27" s="296"/>
      <c r="H27" s="296"/>
      <c r="I27" s="296"/>
      <c r="J27" s="296"/>
      <c r="K27" s="296"/>
      <c r="L27" s="296"/>
      <c r="M27" s="296"/>
      <c r="N27" s="296"/>
      <c r="O27" s="296"/>
      <c r="P27" s="296"/>
      <c r="Q27" s="296"/>
      <c r="R27" s="296"/>
      <c r="S27" s="296"/>
      <c r="T27" s="296"/>
      <c r="U27" s="296"/>
      <c r="V27" s="296"/>
      <c r="W27" s="296"/>
      <c r="X27" s="296"/>
      <c r="Y27" s="296"/>
      <c r="Z27" s="296"/>
    </row>
    <row r="28" customFormat="false" ht="12" hidden="false" customHeight="true" outlineLevel="0" collapsed="false">
      <c r="A28" s="268" t="n">
        <v>2.5</v>
      </c>
      <c r="B28" s="268" t="n">
        <v>2.999999</v>
      </c>
      <c r="C28" s="304" t="s">
        <v>612</v>
      </c>
      <c r="D28" s="305" t="n">
        <v>0.0181</v>
      </c>
      <c r="E28" s="296"/>
      <c r="F28" s="296"/>
      <c r="G28" s="296"/>
      <c r="H28" s="296"/>
      <c r="I28" s="296"/>
      <c r="J28" s="296"/>
      <c r="K28" s="296"/>
      <c r="L28" s="296"/>
      <c r="M28" s="296"/>
      <c r="N28" s="296"/>
      <c r="O28" s="296"/>
      <c r="P28" s="296"/>
      <c r="Q28" s="296"/>
      <c r="R28" s="296"/>
      <c r="S28" s="296"/>
      <c r="T28" s="296"/>
      <c r="U28" s="296"/>
      <c r="V28" s="296"/>
      <c r="W28" s="296"/>
      <c r="X28" s="296"/>
      <c r="Y28" s="296"/>
      <c r="Z28" s="296"/>
    </row>
    <row r="29" customFormat="false" ht="12" hidden="false" customHeight="true" outlineLevel="0" collapsed="false">
      <c r="A29" s="268" t="n">
        <v>3</v>
      </c>
      <c r="B29" s="268" t="n">
        <v>4.249999</v>
      </c>
      <c r="C29" s="304" t="s">
        <v>613</v>
      </c>
      <c r="D29" s="305" t="n">
        <v>0.013416</v>
      </c>
      <c r="E29" s="296"/>
      <c r="F29" s="296"/>
      <c r="G29" s="296"/>
      <c r="H29" s="296"/>
      <c r="I29" s="296"/>
      <c r="J29" s="296"/>
      <c r="K29" s="296"/>
      <c r="L29" s="296"/>
      <c r="M29" s="296"/>
      <c r="N29" s="296"/>
      <c r="O29" s="296"/>
      <c r="P29" s="296"/>
      <c r="Q29" s="296"/>
      <c r="R29" s="296"/>
      <c r="S29" s="296"/>
      <c r="T29" s="296"/>
      <c r="U29" s="296"/>
      <c r="V29" s="296"/>
      <c r="W29" s="296"/>
      <c r="X29" s="296"/>
      <c r="Y29" s="296"/>
      <c r="Z29" s="296"/>
    </row>
    <row r="30" customFormat="false" ht="12" hidden="false" customHeight="true" outlineLevel="0" collapsed="false">
      <c r="A30" s="268" t="n">
        <v>4.25</v>
      </c>
      <c r="B30" s="268" t="n">
        <v>5.499999</v>
      </c>
      <c r="C30" s="304" t="s">
        <v>614</v>
      </c>
      <c r="D30" s="305" t="n">
        <v>0.011868</v>
      </c>
      <c r="E30" s="296"/>
      <c r="F30" s="296"/>
      <c r="G30" s="296"/>
      <c r="H30" s="296"/>
      <c r="I30" s="296"/>
      <c r="J30" s="296"/>
      <c r="K30" s="296"/>
      <c r="L30" s="296"/>
      <c r="M30" s="296"/>
      <c r="N30" s="296"/>
      <c r="O30" s="296"/>
      <c r="P30" s="296"/>
      <c r="Q30" s="296"/>
      <c r="R30" s="296"/>
      <c r="S30" s="296"/>
      <c r="T30" s="296"/>
      <c r="U30" s="296"/>
      <c r="V30" s="296"/>
      <c r="W30" s="296"/>
      <c r="X30" s="296"/>
      <c r="Y30" s="296"/>
      <c r="Z30" s="296"/>
    </row>
    <row r="31" customFormat="false" ht="12" hidden="false" customHeight="true" outlineLevel="0" collapsed="false">
      <c r="A31" s="268" t="n">
        <v>5.5</v>
      </c>
      <c r="B31" s="268" t="n">
        <v>6.499999</v>
      </c>
      <c r="C31" s="304" t="s">
        <v>615</v>
      </c>
      <c r="D31" s="305" t="n">
        <v>0.01075</v>
      </c>
      <c r="E31" s="296"/>
      <c r="F31" s="296"/>
      <c r="G31" s="296"/>
      <c r="H31" s="296"/>
      <c r="I31" s="296"/>
      <c r="J31" s="296"/>
      <c r="K31" s="296"/>
      <c r="L31" s="296"/>
      <c r="M31" s="296"/>
      <c r="N31" s="296"/>
      <c r="O31" s="296"/>
      <c r="P31" s="296"/>
      <c r="Q31" s="296"/>
      <c r="R31" s="296"/>
      <c r="S31" s="296"/>
      <c r="T31" s="296"/>
      <c r="U31" s="296"/>
      <c r="V31" s="296"/>
      <c r="W31" s="296"/>
      <c r="X31" s="296"/>
      <c r="Y31" s="296"/>
      <c r="Z31" s="296"/>
    </row>
    <row r="32" customFormat="false" ht="12" hidden="false" customHeight="true" outlineLevel="0" collapsed="false">
      <c r="A32" s="268" t="n">
        <v>6.5</v>
      </c>
      <c r="B32" s="268" t="n">
        <v>8.499999</v>
      </c>
      <c r="C32" s="304" t="s">
        <v>292</v>
      </c>
      <c r="D32" s="305" t="n">
        <v>0.0086</v>
      </c>
      <c r="E32" s="296"/>
      <c r="F32" s="296"/>
      <c r="G32" s="296"/>
      <c r="H32" s="296"/>
      <c r="I32" s="296"/>
      <c r="J32" s="296"/>
      <c r="K32" s="296"/>
      <c r="L32" s="296"/>
      <c r="M32" s="296"/>
      <c r="N32" s="296"/>
      <c r="O32" s="296"/>
      <c r="P32" s="296"/>
      <c r="Q32" s="296"/>
      <c r="R32" s="296"/>
      <c r="S32" s="296"/>
      <c r="T32" s="296"/>
      <c r="U32" s="296"/>
      <c r="V32" s="296"/>
      <c r="W32" s="296"/>
      <c r="X32" s="296"/>
      <c r="Y32" s="296"/>
      <c r="Z32" s="296"/>
    </row>
    <row r="33" customFormat="false" ht="12" hidden="false" customHeight="true" outlineLevel="0" collapsed="false">
      <c r="A33" s="306" t="n">
        <v>8.5</v>
      </c>
      <c r="B33" s="268" t="n">
        <v>100000</v>
      </c>
      <c r="C33" s="304" t="s">
        <v>616</v>
      </c>
      <c r="D33" s="305" t="n">
        <v>0.0076</v>
      </c>
      <c r="E33" s="296"/>
      <c r="F33" s="296"/>
      <c r="G33" s="296"/>
      <c r="H33" s="296"/>
      <c r="I33" s="296"/>
      <c r="J33" s="296"/>
      <c r="K33" s="296"/>
      <c r="L33" s="296"/>
      <c r="M33" s="296"/>
      <c r="N33" s="296"/>
      <c r="O33" s="296"/>
      <c r="P33" s="296"/>
      <c r="Q33" s="296"/>
      <c r="R33" s="296"/>
      <c r="S33" s="296"/>
      <c r="T33" s="296"/>
      <c r="U33" s="296"/>
      <c r="V33" s="296"/>
      <c r="W33" s="296"/>
      <c r="X33" s="296"/>
      <c r="Y33" s="296"/>
      <c r="Z33" s="296"/>
    </row>
    <row r="34" customFormat="false" ht="12" hidden="false" customHeight="true" outlineLevel="0" collapsed="false">
      <c r="A34" s="296"/>
      <c r="B34" s="296"/>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row>
    <row r="35" customFormat="false" ht="12" hidden="false" customHeight="true" outlineLevel="0" collapsed="false">
      <c r="A35" s="206" t="s">
        <v>617</v>
      </c>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row>
    <row r="36" customFormat="false" ht="12" hidden="false" customHeight="true" outlineLevel="0" collapsed="false">
      <c r="A36" s="246" t="s">
        <v>598</v>
      </c>
      <c r="B36" s="246"/>
      <c r="C36" s="268"/>
      <c r="D36" s="268"/>
      <c r="E36" s="296"/>
      <c r="F36" s="296"/>
      <c r="G36" s="296"/>
      <c r="H36" s="296"/>
      <c r="I36" s="296"/>
      <c r="J36" s="296"/>
      <c r="K36" s="296"/>
      <c r="L36" s="296"/>
      <c r="M36" s="296"/>
      <c r="N36" s="296"/>
      <c r="O36" s="296"/>
      <c r="P36" s="296"/>
      <c r="Q36" s="296"/>
      <c r="R36" s="296"/>
      <c r="S36" s="296"/>
      <c r="T36" s="296"/>
      <c r="U36" s="296"/>
      <c r="V36" s="296"/>
      <c r="W36" s="296"/>
      <c r="X36" s="296"/>
      <c r="Y36" s="296"/>
      <c r="Z36" s="296"/>
    </row>
    <row r="37" customFormat="false" ht="12" hidden="false" customHeight="true" outlineLevel="0" collapsed="false">
      <c r="A37" s="268" t="s">
        <v>618</v>
      </c>
      <c r="B37" s="268" t="s">
        <v>600</v>
      </c>
      <c r="C37" s="268" t="s">
        <v>601</v>
      </c>
      <c r="D37" s="268" t="s">
        <v>602</v>
      </c>
      <c r="E37" s="296"/>
      <c r="F37" s="296"/>
      <c r="G37" s="296"/>
      <c r="H37" s="296"/>
      <c r="I37" s="296"/>
      <c r="J37" s="296"/>
      <c r="K37" s="296"/>
      <c r="L37" s="296"/>
      <c r="M37" s="296"/>
      <c r="N37" s="296"/>
      <c r="O37" s="296"/>
      <c r="P37" s="296"/>
      <c r="Q37" s="296"/>
      <c r="R37" s="296"/>
      <c r="S37" s="296"/>
      <c r="T37" s="296"/>
      <c r="U37" s="296"/>
      <c r="V37" s="296"/>
      <c r="W37" s="296"/>
      <c r="X37" s="296"/>
      <c r="Y37" s="296"/>
      <c r="Z37" s="296"/>
    </row>
    <row r="38" customFormat="false" ht="12" hidden="false" customHeight="true" outlineLevel="0" collapsed="false">
      <c r="A38" s="268" t="n">
        <v>-100000</v>
      </c>
      <c r="B38" s="268" t="n">
        <v>0.499999</v>
      </c>
      <c r="C38" s="304" t="s">
        <v>603</v>
      </c>
      <c r="D38" s="305" t="n">
        <v>0.216606951219512</v>
      </c>
      <c r="E38" s="296"/>
      <c r="F38" s="296"/>
      <c r="G38" s="246" t="s">
        <v>601</v>
      </c>
      <c r="H38" s="246" t="s">
        <v>619</v>
      </c>
      <c r="I38" s="296"/>
      <c r="J38" s="296"/>
      <c r="K38" s="296"/>
      <c r="L38" s="296"/>
      <c r="M38" s="296"/>
      <c r="N38" s="296"/>
      <c r="O38" s="296"/>
      <c r="P38" s="296"/>
      <c r="Q38" s="296"/>
      <c r="R38" s="296"/>
      <c r="S38" s="296"/>
      <c r="T38" s="296"/>
      <c r="U38" s="296"/>
      <c r="V38" s="296"/>
      <c r="W38" s="296"/>
      <c r="X38" s="296"/>
      <c r="Y38" s="296"/>
      <c r="Z38" s="296"/>
    </row>
    <row r="39" customFormat="false" ht="12" hidden="false" customHeight="true" outlineLevel="0" collapsed="false">
      <c r="A39" s="268" t="n">
        <v>0.5</v>
      </c>
      <c r="B39" s="268" t="n">
        <v>0.799999</v>
      </c>
      <c r="C39" s="304" t="s">
        <v>604</v>
      </c>
      <c r="D39" s="305" t="n">
        <v>0.162511097560976</v>
      </c>
      <c r="E39" s="296"/>
      <c r="F39" s="296"/>
      <c r="G39" s="304" t="s">
        <v>615</v>
      </c>
      <c r="H39" s="305" t="n">
        <v>0.01075</v>
      </c>
      <c r="I39" s="296"/>
      <c r="J39" s="296"/>
      <c r="K39" s="296"/>
      <c r="L39" s="296"/>
      <c r="M39" s="296"/>
      <c r="N39" s="296"/>
      <c r="O39" s="296"/>
      <c r="P39" s="296"/>
      <c r="Q39" s="296"/>
      <c r="R39" s="296"/>
      <c r="S39" s="296"/>
      <c r="T39" s="296"/>
      <c r="U39" s="296"/>
      <c r="V39" s="296"/>
      <c r="W39" s="296"/>
      <c r="X39" s="296"/>
      <c r="Y39" s="296"/>
      <c r="Z39" s="296"/>
    </row>
    <row r="40" customFormat="false" ht="12" hidden="false" customHeight="true" outlineLevel="0" collapsed="false">
      <c r="A40" s="268" t="n">
        <v>0.8</v>
      </c>
      <c r="B40" s="268" t="n">
        <v>1.249999</v>
      </c>
      <c r="C40" s="304" t="s">
        <v>605</v>
      </c>
      <c r="D40" s="305" t="n">
        <v>0.123839268292683</v>
      </c>
      <c r="E40" s="296"/>
      <c r="F40" s="296"/>
      <c r="G40" s="304" t="s">
        <v>614</v>
      </c>
      <c r="H40" s="305" t="n">
        <v>0.011868</v>
      </c>
      <c r="I40" s="296"/>
      <c r="J40" s="296"/>
      <c r="K40" s="296"/>
      <c r="L40" s="296"/>
      <c r="M40" s="296"/>
      <c r="N40" s="296"/>
      <c r="O40" s="296"/>
      <c r="P40" s="296"/>
      <c r="Q40" s="296"/>
      <c r="R40" s="296"/>
      <c r="S40" s="296"/>
      <c r="T40" s="296"/>
      <c r="U40" s="296"/>
      <c r="V40" s="296"/>
      <c r="W40" s="296"/>
      <c r="X40" s="296"/>
      <c r="Y40" s="296"/>
      <c r="Z40" s="296"/>
    </row>
    <row r="41" customFormat="false" ht="12" hidden="false" customHeight="true" outlineLevel="0" collapsed="false">
      <c r="A41" s="268" t="n">
        <v>1.25</v>
      </c>
      <c r="B41" s="268" t="n">
        <v>1.499999</v>
      </c>
      <c r="C41" s="304" t="s">
        <v>606</v>
      </c>
      <c r="D41" s="305" t="n">
        <v>0.1175</v>
      </c>
      <c r="E41" s="296"/>
      <c r="F41" s="296"/>
      <c r="G41" s="304" t="s">
        <v>613</v>
      </c>
      <c r="H41" s="305" t="n">
        <v>0.013416</v>
      </c>
      <c r="I41" s="296"/>
      <c r="J41" s="296"/>
      <c r="K41" s="296"/>
      <c r="L41" s="296"/>
      <c r="M41" s="296"/>
      <c r="N41" s="296"/>
      <c r="O41" s="296"/>
      <c r="P41" s="296"/>
      <c r="Q41" s="296"/>
      <c r="R41" s="296"/>
      <c r="S41" s="296"/>
      <c r="T41" s="296"/>
      <c r="U41" s="296"/>
      <c r="V41" s="296"/>
      <c r="W41" s="296"/>
      <c r="X41" s="296"/>
      <c r="Y41" s="296"/>
      <c r="Z41" s="296"/>
    </row>
    <row r="42" customFormat="false" ht="12" hidden="false" customHeight="true" outlineLevel="0" collapsed="false">
      <c r="A42" s="268" t="n">
        <v>1.5</v>
      </c>
      <c r="B42" s="268" t="n">
        <v>1.999999</v>
      </c>
      <c r="C42" s="304" t="s">
        <v>607</v>
      </c>
      <c r="D42" s="305" t="n">
        <v>0.100833333333333</v>
      </c>
      <c r="E42" s="296"/>
      <c r="F42" s="296"/>
      <c r="G42" s="304" t="s">
        <v>292</v>
      </c>
      <c r="H42" s="305" t="n">
        <v>0.0086</v>
      </c>
      <c r="I42" s="296"/>
      <c r="J42" s="296"/>
      <c r="K42" s="296"/>
      <c r="L42" s="296"/>
      <c r="M42" s="296"/>
      <c r="N42" s="296"/>
      <c r="O42" s="296"/>
      <c r="P42" s="296"/>
      <c r="Q42" s="296"/>
      <c r="R42" s="296"/>
      <c r="S42" s="296"/>
      <c r="T42" s="296"/>
      <c r="U42" s="296"/>
      <c r="V42" s="296"/>
      <c r="W42" s="296"/>
      <c r="X42" s="296"/>
      <c r="Y42" s="296"/>
      <c r="Z42" s="296"/>
    </row>
    <row r="43" customFormat="false" ht="12" hidden="false" customHeight="true" outlineLevel="0" collapsed="false">
      <c r="A43" s="268" t="n">
        <v>2</v>
      </c>
      <c r="B43" s="268" t="n">
        <v>2.499999</v>
      </c>
      <c r="C43" s="304" t="s">
        <v>608</v>
      </c>
      <c r="D43" s="305" t="n">
        <v>0.0825</v>
      </c>
      <c r="E43" s="296"/>
      <c r="F43" s="296"/>
      <c r="G43" s="304" t="s">
        <v>616</v>
      </c>
      <c r="H43" s="305" t="n">
        <v>0.0076</v>
      </c>
      <c r="I43" s="296"/>
      <c r="J43" s="296"/>
      <c r="K43" s="296"/>
      <c r="L43" s="296"/>
      <c r="M43" s="296"/>
      <c r="N43" s="296"/>
      <c r="O43" s="296"/>
      <c r="P43" s="296"/>
      <c r="Q43" s="296"/>
      <c r="R43" s="296"/>
      <c r="S43" s="296"/>
      <c r="T43" s="296"/>
      <c r="U43" s="296"/>
      <c r="V43" s="296"/>
      <c r="W43" s="296"/>
      <c r="X43" s="296"/>
      <c r="Y43" s="296"/>
      <c r="Z43" s="296"/>
    </row>
    <row r="44" customFormat="false" ht="12" hidden="false" customHeight="true" outlineLevel="0" collapsed="false">
      <c r="A44" s="268" t="n">
        <v>2.5</v>
      </c>
      <c r="B44" s="268" t="n">
        <v>2.999999</v>
      </c>
      <c r="C44" s="304" t="s">
        <v>609</v>
      </c>
      <c r="D44" s="305" t="n">
        <v>0.04314375</v>
      </c>
      <c r="E44" s="296"/>
      <c r="F44" s="296"/>
      <c r="G44" s="304" t="s">
        <v>609</v>
      </c>
      <c r="H44" s="305" t="n">
        <v>0.04314375</v>
      </c>
      <c r="I44" s="296"/>
      <c r="J44" s="296"/>
      <c r="K44" s="296"/>
      <c r="L44" s="296"/>
      <c r="M44" s="296"/>
      <c r="N44" s="296"/>
      <c r="O44" s="296"/>
      <c r="P44" s="296"/>
      <c r="Q44" s="296"/>
      <c r="R44" s="296"/>
      <c r="S44" s="296"/>
      <c r="T44" s="296"/>
      <c r="U44" s="296"/>
      <c r="V44" s="296"/>
      <c r="W44" s="296"/>
      <c r="X44" s="296"/>
      <c r="Y44" s="296"/>
      <c r="Z44" s="296"/>
    </row>
    <row r="45" customFormat="false" ht="12" hidden="false" customHeight="true" outlineLevel="0" collapsed="false">
      <c r="A45" s="268" t="n">
        <v>3</v>
      </c>
      <c r="B45" s="268" t="n">
        <v>3.499999</v>
      </c>
      <c r="C45" s="304" t="s">
        <v>610</v>
      </c>
      <c r="D45" s="305" t="n">
        <v>0.0295</v>
      </c>
      <c r="E45" s="296"/>
      <c r="F45" s="296"/>
      <c r="G45" s="304" t="s">
        <v>608</v>
      </c>
      <c r="H45" s="305" t="n">
        <v>0.0825</v>
      </c>
      <c r="I45" s="296"/>
      <c r="J45" s="296"/>
      <c r="K45" s="296"/>
      <c r="L45" s="296"/>
      <c r="M45" s="296"/>
      <c r="N45" s="296"/>
      <c r="O45" s="296"/>
      <c r="P45" s="296"/>
      <c r="Q45" s="296"/>
      <c r="R45" s="296"/>
      <c r="S45" s="296"/>
      <c r="T45" s="296"/>
      <c r="U45" s="296"/>
      <c r="V45" s="296"/>
      <c r="W45" s="296"/>
      <c r="X45" s="296"/>
      <c r="Y45" s="296"/>
      <c r="Z45" s="296"/>
    </row>
    <row r="46" customFormat="false" ht="12" hidden="false" customHeight="true" outlineLevel="0" collapsed="false">
      <c r="A46" s="268" t="n">
        <v>3.5</v>
      </c>
      <c r="B46" s="268" t="n">
        <v>3.9999999</v>
      </c>
      <c r="C46" s="304" t="s">
        <v>611</v>
      </c>
      <c r="D46" s="305" t="n">
        <v>0.0232051282051282</v>
      </c>
      <c r="E46" s="296"/>
      <c r="F46" s="296"/>
      <c r="G46" s="304" t="s">
        <v>607</v>
      </c>
      <c r="H46" s="305" t="n">
        <v>0.100833333333333</v>
      </c>
      <c r="I46" s="296"/>
      <c r="J46" s="296"/>
      <c r="K46" s="296"/>
      <c r="L46" s="296"/>
      <c r="M46" s="296"/>
      <c r="N46" s="296"/>
      <c r="O46" s="296"/>
      <c r="P46" s="296"/>
      <c r="Q46" s="296"/>
      <c r="R46" s="296"/>
      <c r="S46" s="296"/>
      <c r="T46" s="296"/>
      <c r="U46" s="296"/>
      <c r="V46" s="296"/>
      <c r="W46" s="296"/>
      <c r="X46" s="296"/>
      <c r="Y46" s="296"/>
      <c r="Z46" s="296"/>
    </row>
    <row r="47" customFormat="false" ht="12" hidden="false" customHeight="true" outlineLevel="0" collapsed="false">
      <c r="A47" s="268" t="n">
        <v>4</v>
      </c>
      <c r="B47" s="268" t="n">
        <v>4.499999</v>
      </c>
      <c r="C47" s="304" t="s">
        <v>612</v>
      </c>
      <c r="D47" s="305" t="n">
        <v>0.0181</v>
      </c>
      <c r="E47" s="296"/>
      <c r="F47" s="296"/>
      <c r="G47" s="304" t="s">
        <v>611</v>
      </c>
      <c r="H47" s="305" t="n">
        <v>0.0232051282051282</v>
      </c>
      <c r="I47" s="296"/>
      <c r="J47" s="296"/>
      <c r="K47" s="296"/>
      <c r="L47" s="296"/>
      <c r="M47" s="296"/>
      <c r="N47" s="296"/>
      <c r="O47" s="296"/>
      <c r="P47" s="296"/>
      <c r="Q47" s="296"/>
      <c r="R47" s="296"/>
      <c r="S47" s="296"/>
      <c r="T47" s="296"/>
      <c r="U47" s="296"/>
      <c r="V47" s="296"/>
      <c r="W47" s="296"/>
      <c r="X47" s="296"/>
      <c r="Y47" s="296"/>
      <c r="Z47" s="296"/>
    </row>
    <row r="48" customFormat="false" ht="12" hidden="false" customHeight="true" outlineLevel="0" collapsed="false">
      <c r="A48" s="268" t="n">
        <v>4.5</v>
      </c>
      <c r="B48" s="268" t="n">
        <v>5.999999</v>
      </c>
      <c r="C48" s="304" t="s">
        <v>613</v>
      </c>
      <c r="D48" s="305" t="n">
        <v>0.013416</v>
      </c>
      <c r="E48" s="296"/>
      <c r="F48" s="296"/>
      <c r="G48" s="304" t="s">
        <v>610</v>
      </c>
      <c r="H48" s="305" t="n">
        <v>0.0295</v>
      </c>
      <c r="I48" s="296"/>
      <c r="J48" s="296"/>
      <c r="K48" s="296"/>
      <c r="L48" s="296"/>
      <c r="M48" s="296"/>
      <c r="N48" s="296"/>
      <c r="O48" s="296"/>
      <c r="P48" s="296"/>
      <c r="Q48" s="296"/>
      <c r="R48" s="296"/>
      <c r="S48" s="296"/>
      <c r="T48" s="296"/>
      <c r="U48" s="296"/>
      <c r="V48" s="296"/>
      <c r="W48" s="296"/>
      <c r="X48" s="296"/>
      <c r="Y48" s="296"/>
      <c r="Z48" s="296"/>
    </row>
    <row r="49" customFormat="false" ht="12" hidden="false" customHeight="true" outlineLevel="0" collapsed="false">
      <c r="A49" s="268" t="n">
        <v>6</v>
      </c>
      <c r="B49" s="268" t="n">
        <v>7.499999</v>
      </c>
      <c r="C49" s="304" t="s">
        <v>614</v>
      </c>
      <c r="D49" s="305" t="n">
        <v>0.011868</v>
      </c>
      <c r="E49" s="296"/>
      <c r="F49" s="296"/>
      <c r="G49" s="304" t="s">
        <v>612</v>
      </c>
      <c r="H49" s="305" t="n">
        <v>0.0181</v>
      </c>
      <c r="I49" s="296"/>
      <c r="J49" s="296"/>
      <c r="K49" s="296"/>
      <c r="L49" s="296"/>
      <c r="M49" s="296"/>
      <c r="N49" s="296"/>
      <c r="O49" s="296"/>
      <c r="P49" s="296"/>
      <c r="Q49" s="296"/>
      <c r="R49" s="296"/>
      <c r="S49" s="296"/>
      <c r="T49" s="296"/>
      <c r="U49" s="296"/>
      <c r="V49" s="296"/>
      <c r="W49" s="296"/>
      <c r="X49" s="296"/>
      <c r="Y49" s="296"/>
      <c r="Z49" s="296"/>
    </row>
    <row r="50" customFormat="false" ht="12" hidden="false" customHeight="true" outlineLevel="0" collapsed="false">
      <c r="A50" s="268" t="n">
        <v>7.5</v>
      </c>
      <c r="B50" s="268" t="n">
        <v>9.499999</v>
      </c>
      <c r="C50" s="304" t="s">
        <v>615</v>
      </c>
      <c r="D50" s="305" t="n">
        <v>0.01075</v>
      </c>
      <c r="E50" s="296"/>
      <c r="F50" s="296"/>
      <c r="G50" s="304" t="s">
        <v>604</v>
      </c>
      <c r="H50" s="305" t="n">
        <v>0.162511097560976</v>
      </c>
      <c r="I50" s="296"/>
      <c r="J50" s="296"/>
      <c r="K50" s="296"/>
      <c r="L50" s="296"/>
      <c r="M50" s="296"/>
      <c r="N50" s="296"/>
      <c r="O50" s="296"/>
      <c r="P50" s="296"/>
      <c r="Q50" s="296"/>
      <c r="R50" s="296"/>
      <c r="S50" s="296"/>
      <c r="T50" s="296"/>
      <c r="U50" s="296"/>
      <c r="V50" s="296"/>
      <c r="W50" s="296"/>
      <c r="X50" s="296"/>
      <c r="Y50" s="296"/>
      <c r="Z50" s="296"/>
    </row>
    <row r="51" customFormat="false" ht="12" hidden="false" customHeight="true" outlineLevel="0" collapsed="false">
      <c r="A51" s="268" t="n">
        <v>9.5</v>
      </c>
      <c r="B51" s="268" t="n">
        <v>12.499999</v>
      </c>
      <c r="C51" s="304" t="s">
        <v>292</v>
      </c>
      <c r="D51" s="305" t="n">
        <v>0.0086</v>
      </c>
      <c r="F51" s="296"/>
      <c r="G51" s="304" t="s">
        <v>605</v>
      </c>
      <c r="H51" s="305" t="n">
        <v>0.123839268292683</v>
      </c>
      <c r="I51" s="296"/>
      <c r="J51" s="296"/>
    </row>
    <row r="52" customFormat="false" ht="12" hidden="false" customHeight="true" outlineLevel="0" collapsed="false">
      <c r="A52" s="268" t="n">
        <v>12.5</v>
      </c>
      <c r="B52" s="268" t="n">
        <v>100000</v>
      </c>
      <c r="C52" s="304" t="s">
        <v>616</v>
      </c>
      <c r="D52" s="305" t="n">
        <v>0.0076</v>
      </c>
      <c r="G52" s="304" t="s">
        <v>606</v>
      </c>
      <c r="H52" s="305" t="n">
        <v>0.1175</v>
      </c>
    </row>
    <row r="53" customFormat="false" ht="12" hidden="false" customHeight="true" outlineLevel="0" collapsed="false">
      <c r="G53" s="304" t="s">
        <v>603</v>
      </c>
      <c r="H53" s="305" t="n">
        <v>0.216606951219512</v>
      </c>
    </row>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2">
    <mergeCell ref="A17:B17"/>
    <mergeCell ref="A36:B36"/>
  </mergeCells>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12.xml><?xml version="1.0" encoding="utf-8"?>
<worksheet xmlns="http://schemas.openxmlformats.org/spreadsheetml/2006/main" xmlns:r="http://schemas.openxmlformats.org/officeDocument/2006/relationships">
  <sheetPr filterMode="false">
    <pageSetUpPr fitToPage="false"/>
  </sheetPr>
  <dimension ref="A1:AA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2" activeCellId="0" sqref="B2"/>
    </sheetView>
  </sheetViews>
  <sheetFormatPr defaultRowHeight="15" zeroHeight="false" outlineLevelRow="0" outlineLevelCol="0"/>
  <cols>
    <col collapsed="false" customWidth="true" hidden="false" outlineLevel="0" max="1" min="1" style="0" width="20.29"/>
    <col collapsed="false" customWidth="true" hidden="false" outlineLevel="0" max="2" min="2" style="0" width="11.43"/>
    <col collapsed="false" customWidth="true" hidden="false" outlineLevel="0" max="3" min="3" style="0" width="9.42"/>
    <col collapsed="false" customWidth="true" hidden="false" outlineLevel="0" max="4" min="4" style="0" width="11.88"/>
    <col collapsed="false" customWidth="true" hidden="false" outlineLevel="0" max="5" min="5" style="0" width="12.58"/>
    <col collapsed="false" customWidth="true" hidden="false" outlineLevel="0" max="6" min="6" style="0" width="10.43"/>
    <col collapsed="false" customWidth="true" hidden="false" outlineLevel="0" max="7" min="7" style="0" width="11.43"/>
    <col collapsed="false" customWidth="true" hidden="false" outlineLevel="0" max="8" min="8" style="0" width="22.43"/>
    <col collapsed="false" customWidth="true" hidden="false" outlineLevel="0" max="23" min="9" style="0" width="10.87"/>
    <col collapsed="false" customWidth="true" hidden="false" outlineLevel="0" max="27" min="24" style="0" width="11.43"/>
    <col collapsed="false" customWidth="true" hidden="false" outlineLevel="0" max="1025" min="28" style="0" width="14.43"/>
  </cols>
  <sheetData>
    <row r="1" customFormat="false" ht="12" hidden="false" customHeight="true" outlineLevel="0" collapsed="false">
      <c r="A1" s="307" t="s">
        <v>620</v>
      </c>
      <c r="B1" s="308" t="s">
        <v>621</v>
      </c>
      <c r="C1" s="309" t="s">
        <v>622</v>
      </c>
      <c r="D1" s="309" t="s">
        <v>623</v>
      </c>
      <c r="E1" s="309" t="s">
        <v>624</v>
      </c>
      <c r="F1" s="308" t="s">
        <v>625</v>
      </c>
      <c r="G1" s="308" t="s">
        <v>306</v>
      </c>
      <c r="H1" s="308" t="s">
        <v>626</v>
      </c>
      <c r="I1" s="308" t="s">
        <v>627</v>
      </c>
      <c r="J1" s="308" t="s">
        <v>628</v>
      </c>
      <c r="K1" s="308" t="s">
        <v>629</v>
      </c>
      <c r="L1" s="308" t="s">
        <v>630</v>
      </c>
      <c r="M1" s="308" t="s">
        <v>117</v>
      </c>
      <c r="N1" s="310" t="s">
        <v>631</v>
      </c>
      <c r="O1" s="308" t="s">
        <v>304</v>
      </c>
      <c r="P1" s="308" t="s">
        <v>632</v>
      </c>
      <c r="Q1" s="308" t="s">
        <v>633</v>
      </c>
      <c r="R1" s="308" t="s">
        <v>634</v>
      </c>
      <c r="S1" s="308" t="s">
        <v>635</v>
      </c>
      <c r="T1" s="308" t="s">
        <v>636</v>
      </c>
      <c r="U1" s="308" t="s">
        <v>637</v>
      </c>
      <c r="V1" s="308" t="s">
        <v>638</v>
      </c>
      <c r="W1" s="308" t="s">
        <v>639</v>
      </c>
      <c r="X1" s="307" t="s">
        <v>640</v>
      </c>
      <c r="Y1" s="307" t="s">
        <v>641</v>
      </c>
      <c r="Z1" s="307" t="s">
        <v>642</v>
      </c>
      <c r="AA1" s="308" t="s">
        <v>643</v>
      </c>
    </row>
    <row r="2" customFormat="false" ht="12" hidden="false" customHeight="true" outlineLevel="0" collapsed="false">
      <c r="A2" s="6" t="s">
        <v>11</v>
      </c>
      <c r="B2" s="311" t="n">
        <v>61</v>
      </c>
      <c r="C2" s="312" t="n">
        <v>0.083146</v>
      </c>
      <c r="D2" s="312" t="n">
        <v>0.0997898291147154</v>
      </c>
      <c r="E2" s="312" t="n">
        <v>0.515118995170022</v>
      </c>
      <c r="F2" s="312" t="n">
        <v>0.214737546026833</v>
      </c>
      <c r="G2" s="313" t="n">
        <v>0.774409401004097</v>
      </c>
      <c r="H2" s="313" t="n">
        <v>1.07631677477098</v>
      </c>
      <c r="I2" s="312" t="n">
        <v>0.0601021517691905</v>
      </c>
      <c r="J2" s="312" t="n">
        <v>0.577363502634707</v>
      </c>
      <c r="K2" s="312" t="n">
        <v>0.02998</v>
      </c>
      <c r="L2" s="312" t="n">
        <v>0.436623512349556</v>
      </c>
      <c r="M2" s="312" t="n">
        <v>0.0434158193811354</v>
      </c>
      <c r="N2" s="313" t="n">
        <v>5.16893366314677</v>
      </c>
      <c r="O2" s="313" t="n">
        <v>1.82797484639527</v>
      </c>
      <c r="P2" s="313" t="n">
        <v>8.86031415903537</v>
      </c>
      <c r="Q2" s="313" t="n">
        <v>16.0813236743635</v>
      </c>
      <c r="R2" s="313" t="n">
        <v>5.72958175942358</v>
      </c>
      <c r="S2" s="313" t="n">
        <v>45.3752026285115</v>
      </c>
      <c r="T2" s="312" t="n">
        <v>-0.00574585890757993</v>
      </c>
      <c r="U2" s="312" t="n">
        <v>0.0174999693071458</v>
      </c>
      <c r="V2" s="312" t="n">
        <v>-0.0191183596636264</v>
      </c>
      <c r="W2" s="312" t="n">
        <v>-0.316706131549397</v>
      </c>
      <c r="X2" s="312" t="n">
        <v>0.0293327064487816</v>
      </c>
      <c r="Y2" s="312" t="n">
        <v>9.12847446230455</v>
      </c>
      <c r="Z2" s="312" t="n">
        <v>9.12847446230455</v>
      </c>
      <c r="AA2" s="314" t="n">
        <v>0.103122829845361</v>
      </c>
    </row>
    <row r="3" customFormat="false" ht="12" hidden="false" customHeight="true" outlineLevel="0" collapsed="false">
      <c r="A3" s="6" t="s">
        <v>644</v>
      </c>
      <c r="B3" s="311" t="n">
        <v>72</v>
      </c>
      <c r="C3" s="312" t="n">
        <v>0.0528355813953488</v>
      </c>
      <c r="D3" s="312" t="n">
        <v>0.0755582410554264</v>
      </c>
      <c r="E3" s="312" t="n">
        <v>0.191148750130139</v>
      </c>
      <c r="F3" s="312" t="n">
        <v>0.246217424614712</v>
      </c>
      <c r="G3" s="313" t="n">
        <v>0.91241124694589</v>
      </c>
      <c r="H3" s="313" t="n">
        <v>1.06541168009387</v>
      </c>
      <c r="I3" s="312" t="n">
        <v>0.0595874313004309</v>
      </c>
      <c r="J3" s="312" t="n">
        <v>0.348929331678792</v>
      </c>
      <c r="K3" s="312" t="n">
        <v>0.0258</v>
      </c>
      <c r="L3" s="312" t="n">
        <v>0.248398533233692</v>
      </c>
      <c r="M3" s="312" t="n">
        <v>0.0494643387411638</v>
      </c>
      <c r="N3" s="313" t="n">
        <v>2.60598787598221</v>
      </c>
      <c r="O3" s="313" t="n">
        <v>2.01176758524038</v>
      </c>
      <c r="P3" s="313" t="n">
        <v>12.1526531238635</v>
      </c>
      <c r="Q3" s="313" t="n">
        <v>20.310007581594</v>
      </c>
      <c r="R3" s="313" t="n">
        <v>4.4369249163523</v>
      </c>
      <c r="S3" s="313" t="n">
        <v>107.383961770924</v>
      </c>
      <c r="T3" s="312" t="n">
        <v>0.43564008525481</v>
      </c>
      <c r="U3" s="312" t="n">
        <v>0.0276829256625159</v>
      </c>
      <c r="V3" s="312" t="n">
        <v>-0.0133395224577381</v>
      </c>
      <c r="W3" s="312" t="n">
        <v>0.369322427260663</v>
      </c>
      <c r="X3" s="312" t="n">
        <v>0.0854318880375593</v>
      </c>
      <c r="Y3" s="312" t="n">
        <v>1.2055159190772</v>
      </c>
      <c r="Z3" s="312" t="n">
        <v>1.2055159190772</v>
      </c>
      <c r="AA3" s="314" t="n">
        <v>0.0789221212923313</v>
      </c>
    </row>
    <row r="4" customFormat="false" ht="12" hidden="false" customHeight="true" outlineLevel="0" collapsed="false">
      <c r="A4" s="6" t="s">
        <v>645</v>
      </c>
      <c r="B4" s="311" t="n">
        <v>17</v>
      </c>
      <c r="C4" s="312" t="n">
        <v>-0.0682291666666667</v>
      </c>
      <c r="D4" s="312" t="n">
        <v>-0.189906138976913</v>
      </c>
      <c r="E4" s="312" t="n">
        <v>-0.160654226878318</v>
      </c>
      <c r="F4" s="312" t="n">
        <v>0.887577881619938</v>
      </c>
      <c r="G4" s="313" t="n">
        <v>0.919622166928937</v>
      </c>
      <c r="H4" s="313" t="n">
        <v>1.60816370048388</v>
      </c>
      <c r="I4" s="312" t="n">
        <v>0.0852053266628394</v>
      </c>
      <c r="J4" s="312" t="n">
        <v>0.4615078958344</v>
      </c>
      <c r="K4" s="312" t="n">
        <v>0.02998</v>
      </c>
      <c r="L4" s="312" t="n">
        <v>0.617384873799071</v>
      </c>
      <c r="M4" s="312" t="n">
        <v>0.0461125617311359</v>
      </c>
      <c r="N4" s="313" t="n">
        <v>0.88323771450185</v>
      </c>
      <c r="O4" s="313" t="n">
        <v>1.97280157487032</v>
      </c>
      <c r="P4" s="313" t="n">
        <v>34.4254476469649</v>
      </c>
      <c r="Q4" s="315" t="s">
        <v>646</v>
      </c>
      <c r="R4" s="313" t="n">
        <v>3.22414971084737</v>
      </c>
      <c r="S4" s="313" t="n">
        <v>13.4675195392842</v>
      </c>
      <c r="T4" s="312" t="n">
        <v>0.0170444013907259</v>
      </c>
      <c r="U4" s="312" t="n">
        <v>0.118329192054555</v>
      </c>
      <c r="V4" s="312" t="n">
        <v>0.0179900036005787</v>
      </c>
      <c r="W4" s="316" t="s">
        <v>646</v>
      </c>
      <c r="X4" s="312" t="n">
        <v>-0.470268539140454</v>
      </c>
      <c r="Y4" s="312" t="n">
        <v>0.000864253393665159</v>
      </c>
      <c r="Z4" s="312" t="n">
        <v>0.000864253393665138</v>
      </c>
      <c r="AA4" s="314" t="n">
        <v>-0.193518047202186</v>
      </c>
    </row>
    <row r="5" customFormat="false" ht="12" hidden="false" customHeight="true" outlineLevel="0" collapsed="false">
      <c r="A5" s="6" t="s">
        <v>647</v>
      </c>
      <c r="B5" s="311" t="n">
        <v>51</v>
      </c>
      <c r="C5" s="312" t="n">
        <v>-0.0355531034482759</v>
      </c>
      <c r="D5" s="312" t="n">
        <v>0.0548722505594618</v>
      </c>
      <c r="E5" s="312" t="n">
        <v>0.0754225606825751</v>
      </c>
      <c r="F5" s="312" t="n">
        <v>0.314099079351162</v>
      </c>
      <c r="G5" s="313" t="n">
        <v>0.941363290456201</v>
      </c>
      <c r="H5" s="313" t="n">
        <v>1.09821861276589</v>
      </c>
      <c r="I5" s="312" t="n">
        <v>0.0611359185225502</v>
      </c>
      <c r="J5" s="312" t="n">
        <v>0.478435948765742</v>
      </c>
      <c r="K5" s="312" t="n">
        <v>0.02998</v>
      </c>
      <c r="L5" s="312" t="n">
        <v>0.28258363958182</v>
      </c>
      <c r="M5" s="312" t="n">
        <v>0.0500443641429743</v>
      </c>
      <c r="N5" s="313" t="n">
        <v>1.33913070595862</v>
      </c>
      <c r="O5" s="313" t="n">
        <v>2.02584376206924</v>
      </c>
      <c r="P5" s="313" t="n">
        <v>14.6886664444022</v>
      </c>
      <c r="Q5" s="313" t="n">
        <v>33.9762545449259</v>
      </c>
      <c r="R5" s="313" t="n">
        <v>4.11169410141179</v>
      </c>
      <c r="S5" s="313" t="n">
        <v>22.7617502322506</v>
      </c>
      <c r="T5" s="312" t="n">
        <v>0.249622645473663</v>
      </c>
      <c r="U5" s="312" t="n">
        <v>0.0251721426108072</v>
      </c>
      <c r="V5" s="312" t="n">
        <v>0.00155313880635824</v>
      </c>
      <c r="W5" s="312" t="n">
        <v>-1.46722626479217</v>
      </c>
      <c r="X5" s="312" t="n">
        <v>-0.0818809663190799</v>
      </c>
      <c r="Y5" s="312" t="n">
        <v>0.00324526915406323</v>
      </c>
      <c r="Z5" s="312" t="n">
        <v>0.0032452691540632</v>
      </c>
      <c r="AA5" s="314" t="n">
        <v>0.0591385750124537</v>
      </c>
    </row>
    <row r="6" customFormat="false" ht="12" hidden="false" customHeight="true" outlineLevel="0" collapsed="false">
      <c r="A6" s="6" t="s">
        <v>648</v>
      </c>
      <c r="B6" s="311" t="n">
        <v>19</v>
      </c>
      <c r="C6" s="312" t="n">
        <v>0.121916666666667</v>
      </c>
      <c r="D6" s="312" t="n">
        <v>0.0193335086055922</v>
      </c>
      <c r="E6" s="312" t="n">
        <v>0.0117090908220458</v>
      </c>
      <c r="F6" s="312" t="n">
        <v>0.284805676820196</v>
      </c>
      <c r="G6" s="313" t="n">
        <v>1.0499991719428</v>
      </c>
      <c r="H6" s="313" t="n">
        <v>1.28282552830859</v>
      </c>
      <c r="I6" s="312" t="n">
        <v>0.0698493649361656</v>
      </c>
      <c r="J6" s="312" t="n">
        <v>0.452369641868026</v>
      </c>
      <c r="K6" s="312" t="n">
        <v>0.02998</v>
      </c>
      <c r="L6" s="312" t="n">
        <v>0.278840699046143</v>
      </c>
      <c r="M6" s="312" t="n">
        <v>0.0564750594243405</v>
      </c>
      <c r="N6" s="313" t="n">
        <v>0.742704166286936</v>
      </c>
      <c r="O6" s="313" t="n">
        <v>3.58284027960431</v>
      </c>
      <c r="P6" s="313" t="n">
        <v>45.7298952751093</v>
      </c>
      <c r="Q6" s="313" t="n">
        <v>177.760010602895</v>
      </c>
      <c r="R6" s="313" t="n">
        <v>7.5787617041221</v>
      </c>
      <c r="S6" s="313" t="n">
        <v>261.559861567141</v>
      </c>
      <c r="T6" s="312" t="n">
        <v>-0.0693914021029765</v>
      </c>
      <c r="U6" s="312" t="n">
        <v>0.1024439102313</v>
      </c>
      <c r="V6" s="312" t="n">
        <v>0.0461151168755648</v>
      </c>
      <c r="W6" s="312" t="n">
        <v>1.84402716946243</v>
      </c>
      <c r="X6" s="312" t="n">
        <v>0.044885246411493</v>
      </c>
      <c r="Y6" s="312" t="n">
        <v>0.645799343463134</v>
      </c>
      <c r="Z6" s="312" t="n">
        <v>0.645799343463134</v>
      </c>
      <c r="AA6" s="314" t="n">
        <v>0.0173327930356889</v>
      </c>
    </row>
    <row r="7" customFormat="false" ht="12" hidden="false" customHeight="true" outlineLevel="0" collapsed="false">
      <c r="A7" s="6" t="s">
        <v>649</v>
      </c>
      <c r="B7" s="311" t="n">
        <v>52</v>
      </c>
      <c r="C7" s="312" t="n">
        <v>0.0402103571428571</v>
      </c>
      <c r="D7" s="312" t="n">
        <v>0.0400988627621023</v>
      </c>
      <c r="E7" s="312" t="n">
        <v>0.0645865390049282</v>
      </c>
      <c r="F7" s="312" t="n">
        <v>0.326452340561764</v>
      </c>
      <c r="G7" s="313" t="n">
        <v>1.09381113868419</v>
      </c>
      <c r="H7" s="313" t="n">
        <v>1.2034979086361</v>
      </c>
      <c r="I7" s="312" t="n">
        <v>0.066105101287624</v>
      </c>
      <c r="J7" s="312" t="n">
        <v>0.431649271276847</v>
      </c>
      <c r="K7" s="312" t="n">
        <v>0.02998</v>
      </c>
      <c r="L7" s="312" t="n">
        <v>0.195954545496271</v>
      </c>
      <c r="M7" s="312" t="n">
        <v>0.0574400498198268</v>
      </c>
      <c r="N7" s="313" t="n">
        <v>1.82234366468903</v>
      </c>
      <c r="O7" s="313" t="n">
        <v>1.5973947047834</v>
      </c>
      <c r="P7" s="313" t="n">
        <v>10.0697879344621</v>
      </c>
      <c r="Q7" s="313" t="n">
        <v>23.2823970381253</v>
      </c>
      <c r="R7" s="313" t="n">
        <v>4.7756010350026</v>
      </c>
      <c r="S7" s="313" t="n">
        <v>55.5646709516083</v>
      </c>
      <c r="T7" s="312" t="n">
        <v>0.138412283899903</v>
      </c>
      <c r="U7" s="312" t="n">
        <v>0.0371128034506576</v>
      </c>
      <c r="V7" s="312" t="n">
        <v>0.0208745136449032</v>
      </c>
      <c r="W7" s="312" t="n">
        <v>0.300694650770678</v>
      </c>
      <c r="X7" s="312" t="n">
        <v>-0.143106927797667</v>
      </c>
      <c r="Y7" s="312" t="n">
        <v>0.00418224400843276</v>
      </c>
      <c r="Z7" s="312" t="n">
        <v>0.00418224400843281</v>
      </c>
      <c r="AA7" s="314" t="n">
        <v>0.0385070982359854</v>
      </c>
    </row>
    <row r="8" customFormat="false" ht="12" hidden="false" customHeight="true" outlineLevel="0" collapsed="false">
      <c r="A8" s="6" t="s">
        <v>650</v>
      </c>
      <c r="B8" s="311" t="n">
        <v>7</v>
      </c>
      <c r="C8" s="312" t="n">
        <v>-0.00776833333333333</v>
      </c>
      <c r="D8" s="312" t="n">
        <v>0</v>
      </c>
      <c r="E8" s="312" t="n">
        <v>-0.000133078550857084</v>
      </c>
      <c r="F8" s="312" t="n">
        <v>0.140435400869052</v>
      </c>
      <c r="G8" s="313" t="n">
        <v>0.598479290466057</v>
      </c>
      <c r="H8" s="313" t="n">
        <v>0.827707935466485</v>
      </c>
      <c r="I8" s="312" t="n">
        <v>0.0483678145540181</v>
      </c>
      <c r="J8" s="312" t="n">
        <v>0.21588164482906</v>
      </c>
      <c r="K8" s="312" t="n">
        <v>0.0192</v>
      </c>
      <c r="L8" s="312" t="n">
        <v>0.683736898671398</v>
      </c>
      <c r="M8" s="312" t="n">
        <v>0.0248802114071188</v>
      </c>
      <c r="N8" s="313" t="n">
        <v>0.142835256003594</v>
      </c>
      <c r="O8" s="313" t="n">
        <v>5.31698456467639</v>
      </c>
      <c r="P8" s="315" t="s">
        <v>646</v>
      </c>
      <c r="Q8" s="315" t="s">
        <v>646</v>
      </c>
      <c r="R8" s="313" t="n">
        <v>1.0031245608712</v>
      </c>
      <c r="S8" s="313" t="n">
        <v>14.8626799524598</v>
      </c>
      <c r="T8" s="316" t="s">
        <v>646</v>
      </c>
      <c r="U8" s="312" t="n">
        <v>0.010567244136701</v>
      </c>
      <c r="V8" s="312" t="n">
        <v>0.010567244136701</v>
      </c>
      <c r="W8" s="316" t="s">
        <v>646</v>
      </c>
      <c r="X8" s="312" t="n">
        <v>0.0741320864778279</v>
      </c>
      <c r="Y8" s="312" t="n">
        <v>0.46950068703493</v>
      </c>
      <c r="Z8" s="312" t="n">
        <v>0.46950068703493</v>
      </c>
      <c r="AA8" s="314" t="n">
        <v>-0.00111127339462494</v>
      </c>
    </row>
    <row r="9" customFormat="false" ht="12" hidden="false" customHeight="true" outlineLevel="0" collapsed="false">
      <c r="A9" s="6" t="s">
        <v>651</v>
      </c>
      <c r="B9" s="311" t="n">
        <v>598</v>
      </c>
      <c r="C9" s="312" t="n">
        <v>0.0882459718969555</v>
      </c>
      <c r="D9" s="312" t="n">
        <v>0</v>
      </c>
      <c r="E9" s="312" t="n">
        <v>-0.000810559132996194</v>
      </c>
      <c r="F9" s="312" t="n">
        <v>0.189515927383949</v>
      </c>
      <c r="G9" s="313" t="n">
        <v>0.600108594065873</v>
      </c>
      <c r="H9" s="313" t="n">
        <v>0.644874696010726</v>
      </c>
      <c r="I9" s="312" t="n">
        <v>0.0397380856517062</v>
      </c>
      <c r="J9" s="312" t="n">
        <v>0.194833371040951</v>
      </c>
      <c r="K9" s="312" t="n">
        <v>0.0192</v>
      </c>
      <c r="L9" s="312" t="n">
        <v>0.379836375538498</v>
      </c>
      <c r="M9" s="312" t="n">
        <v>0.0299679018664714</v>
      </c>
      <c r="N9" s="313" t="n">
        <v>0.239305409090384</v>
      </c>
      <c r="O9" s="313" t="n">
        <v>4.47271139904511</v>
      </c>
      <c r="P9" s="315" t="s">
        <v>646</v>
      </c>
      <c r="Q9" s="315" t="s">
        <v>646</v>
      </c>
      <c r="R9" s="313" t="n">
        <v>1.07549824331283</v>
      </c>
      <c r="S9" s="313" t="n">
        <v>15.3851939087633</v>
      </c>
      <c r="T9" s="316" t="s">
        <v>646</v>
      </c>
      <c r="U9" s="312" t="n">
        <v>0.0436590400481526</v>
      </c>
      <c r="V9" s="312" t="n">
        <v>0.0200834985139175</v>
      </c>
      <c r="W9" s="316" t="s">
        <v>646</v>
      </c>
      <c r="X9" s="312" t="n">
        <v>0.0821637612403821</v>
      </c>
      <c r="Y9" s="312" t="n">
        <v>0.443522469041932</v>
      </c>
      <c r="Z9" s="312" t="n">
        <v>0.443522469041932</v>
      </c>
      <c r="AA9" s="314" t="n">
        <v>-0.00405254238322159</v>
      </c>
    </row>
    <row r="10" customFormat="false" ht="12" hidden="false" customHeight="true" outlineLevel="0" collapsed="false">
      <c r="A10" s="6" t="s">
        <v>322</v>
      </c>
      <c r="B10" s="311" t="n">
        <v>23</v>
      </c>
      <c r="C10" s="312" t="n">
        <v>0.1439</v>
      </c>
      <c r="D10" s="312" t="n">
        <v>0.238743242867739</v>
      </c>
      <c r="E10" s="312" t="n">
        <v>0.144301506251798</v>
      </c>
      <c r="F10" s="312" t="n">
        <v>0.183564927282739</v>
      </c>
      <c r="G10" s="313" t="n">
        <v>0.676030592832355</v>
      </c>
      <c r="H10" s="313" t="n">
        <v>0.778263875057117</v>
      </c>
      <c r="I10" s="312" t="n">
        <v>0.0460340549026959</v>
      </c>
      <c r="J10" s="312" t="n">
        <v>0.370079915895117</v>
      </c>
      <c r="K10" s="312" t="n">
        <v>0.0258</v>
      </c>
      <c r="L10" s="312" t="n">
        <v>0.189666627026013</v>
      </c>
      <c r="M10" s="312" t="n">
        <v>0.0408751122343792</v>
      </c>
      <c r="N10" s="313" t="n">
        <v>0.639340043044805</v>
      </c>
      <c r="O10" s="313" t="n">
        <v>5.29953195132131</v>
      </c>
      <c r="P10" s="313" t="n">
        <v>17.606214861939</v>
      </c>
      <c r="Q10" s="313" t="n">
        <v>22.2129376201616</v>
      </c>
      <c r="R10" s="313" t="n">
        <v>3.45092335661788</v>
      </c>
      <c r="S10" s="313" t="n">
        <v>32.3896191058676</v>
      </c>
      <c r="T10" s="312" t="n">
        <v>0.15254713694241</v>
      </c>
      <c r="U10" s="312" t="n">
        <v>0.0637922447679651</v>
      </c>
      <c r="V10" s="312" t="n">
        <v>0.0449066024850429</v>
      </c>
      <c r="W10" s="312" t="n">
        <v>0.241096151762536</v>
      </c>
      <c r="X10" s="312" t="n">
        <v>0.101032197266069</v>
      </c>
      <c r="Y10" s="312" t="n">
        <v>0.415798340970307</v>
      </c>
      <c r="Z10" s="312" t="n">
        <v>0.415798340970307</v>
      </c>
      <c r="AA10" s="314" t="n">
        <v>0.238408440265045</v>
      </c>
    </row>
    <row r="11" customFormat="false" ht="12" hidden="false" customHeight="true" outlineLevel="0" collapsed="false">
      <c r="A11" s="6" t="s">
        <v>652</v>
      </c>
      <c r="B11" s="311" t="n">
        <v>41</v>
      </c>
      <c r="C11" s="312" t="n">
        <v>0.27075</v>
      </c>
      <c r="D11" s="312" t="n">
        <v>0.199771314013686</v>
      </c>
      <c r="E11" s="312" t="n">
        <v>0.267362802120575</v>
      </c>
      <c r="F11" s="312" t="n">
        <v>0.186006283899484</v>
      </c>
      <c r="G11" s="313" t="n">
        <v>0.70745452707329</v>
      </c>
      <c r="H11" s="313" t="n">
        <v>0.791260844604352</v>
      </c>
      <c r="I11" s="312" t="n">
        <v>0.0466475118653254</v>
      </c>
      <c r="J11" s="312" t="n">
        <v>0.496950457239507</v>
      </c>
      <c r="K11" s="312" t="n">
        <v>0.02998</v>
      </c>
      <c r="L11" s="312" t="n">
        <v>0.177635885216616</v>
      </c>
      <c r="M11" s="312" t="n">
        <v>0.0422488722042955</v>
      </c>
      <c r="N11" s="313" t="n">
        <v>1.37495838542865</v>
      </c>
      <c r="O11" s="313" t="n">
        <v>5.07506891714797</v>
      </c>
      <c r="P11" s="313" t="n">
        <v>20.7350001173588</v>
      </c>
      <c r="Q11" s="313" t="n">
        <v>25.2225266931989</v>
      </c>
      <c r="R11" s="313" t="n">
        <v>8.49634377343554</v>
      </c>
      <c r="S11" s="313" t="n">
        <v>116.717201990865</v>
      </c>
      <c r="T11" s="312" t="n">
        <v>-0.0954450172302788</v>
      </c>
      <c r="U11" s="312" t="n">
        <v>0.0541647107432939</v>
      </c>
      <c r="V11" s="312" t="n">
        <v>0.0740617118230843</v>
      </c>
      <c r="W11" s="312" t="n">
        <v>0.370088985035128</v>
      </c>
      <c r="X11" s="312" t="n">
        <v>0.288572462667818</v>
      </c>
      <c r="Y11" s="312" t="n">
        <v>0.741929228367031</v>
      </c>
      <c r="Z11" s="312" t="n">
        <v>0.741929228367031</v>
      </c>
      <c r="AA11" s="314" t="n">
        <v>0.201128303793229</v>
      </c>
    </row>
    <row r="12" customFormat="false" ht="12" hidden="false" customHeight="true" outlineLevel="0" collapsed="false">
      <c r="A12" s="6" t="s">
        <v>653</v>
      </c>
      <c r="B12" s="311" t="n">
        <v>29</v>
      </c>
      <c r="C12" s="312" t="n">
        <v>0.057983</v>
      </c>
      <c r="D12" s="312" t="n">
        <v>0.19295059320071</v>
      </c>
      <c r="E12" s="312" t="n">
        <v>0.169217396185806</v>
      </c>
      <c r="F12" s="312" t="n">
        <v>0.231607702603029</v>
      </c>
      <c r="G12" s="313" t="n">
        <v>0.653360936474274</v>
      </c>
      <c r="H12" s="313" t="n">
        <v>1.12903999142005</v>
      </c>
      <c r="I12" s="312" t="n">
        <v>0.0625906875950261</v>
      </c>
      <c r="J12" s="312" t="n">
        <v>0.455576166577322</v>
      </c>
      <c r="K12" s="312" t="n">
        <v>0.02998</v>
      </c>
      <c r="L12" s="312" t="n">
        <v>0.548977544399607</v>
      </c>
      <c r="M12" s="312" t="n">
        <v>0.0402443987670289</v>
      </c>
      <c r="N12" s="313" t="n">
        <v>0.979945998692734</v>
      </c>
      <c r="O12" s="313" t="n">
        <v>2.08080358936967</v>
      </c>
      <c r="P12" s="313" t="n">
        <v>7.84359438143459</v>
      </c>
      <c r="Q12" s="313" t="n">
        <v>10.9311933448497</v>
      </c>
      <c r="R12" s="313" t="n">
        <v>1.58271166374499</v>
      </c>
      <c r="S12" s="313" t="n">
        <v>12.4199360169462</v>
      </c>
      <c r="T12" s="312" t="n">
        <v>0.157117420116368</v>
      </c>
      <c r="U12" s="312" t="n">
        <v>0.0274471713519734</v>
      </c>
      <c r="V12" s="312" t="n">
        <v>-0.0105185970304481</v>
      </c>
      <c r="W12" s="312" t="n">
        <v>1.11056425147429</v>
      </c>
      <c r="X12" s="312" t="n">
        <v>0.00238502064463092</v>
      </c>
      <c r="Y12" s="312" t="n">
        <v>0.0016973796349178</v>
      </c>
      <c r="Z12" s="312" t="n">
        <v>0.00169737963491778</v>
      </c>
      <c r="AA12" s="314" t="n">
        <v>0.190297435268814</v>
      </c>
    </row>
    <row r="13" customFormat="false" ht="12" hidden="false" customHeight="true" outlineLevel="0" collapsed="false">
      <c r="A13" s="6" t="s">
        <v>654</v>
      </c>
      <c r="B13" s="311" t="n">
        <v>39</v>
      </c>
      <c r="C13" s="312" t="n">
        <v>0.0951434782608696</v>
      </c>
      <c r="D13" s="312" t="n">
        <v>0.00421207728151831</v>
      </c>
      <c r="E13" s="312" t="n">
        <v>-2.89299621131333E-005</v>
      </c>
      <c r="F13" s="312" t="n">
        <v>0.221764593436101</v>
      </c>
      <c r="G13" s="313" t="n">
        <v>0.576942016586695</v>
      </c>
      <c r="H13" s="313" t="n">
        <v>1.13183817412801</v>
      </c>
      <c r="I13" s="312" t="n">
        <v>0.0627227618188422</v>
      </c>
      <c r="J13" s="312" t="n">
        <v>0.359027931986595</v>
      </c>
      <c r="K13" s="312" t="n">
        <v>0.0258</v>
      </c>
      <c r="L13" s="312" t="n">
        <v>0.686398973551976</v>
      </c>
      <c r="M13" s="312" t="n">
        <v>0.0325975607559217</v>
      </c>
      <c r="N13" s="313" t="n">
        <v>0.215964890892197</v>
      </c>
      <c r="O13" s="313" t="n">
        <v>4.9306724537537</v>
      </c>
      <c r="P13" s="315" t="s">
        <v>646</v>
      </c>
      <c r="Q13" s="315" t="s">
        <v>646</v>
      </c>
      <c r="R13" s="313" t="n">
        <v>1.5165540056877</v>
      </c>
      <c r="S13" s="313" t="n">
        <v>82.1983554242335</v>
      </c>
      <c r="T13" s="316" t="s">
        <v>646</v>
      </c>
      <c r="U13" s="312" t="n">
        <v>0.0523927684884025</v>
      </c>
      <c r="V13" s="312" t="n">
        <v>0.0274482270567699</v>
      </c>
      <c r="W13" s="316" t="s">
        <v>646</v>
      </c>
      <c r="X13" s="312" t="n">
        <v>0.120760929745141</v>
      </c>
      <c r="Y13" s="312" t="n">
        <v>0.208418947322782</v>
      </c>
      <c r="Z13" s="312" t="n">
        <v>0.208418947322782</v>
      </c>
      <c r="AA13" s="314" t="n">
        <v>-0.000149719584654624</v>
      </c>
    </row>
    <row r="14" customFormat="false" ht="12" hidden="false" customHeight="true" outlineLevel="0" collapsed="false">
      <c r="A14" s="6" t="s">
        <v>655</v>
      </c>
      <c r="B14" s="311" t="n">
        <v>42</v>
      </c>
      <c r="C14" s="312" t="n">
        <v>0.0747327586206897</v>
      </c>
      <c r="D14" s="312" t="n">
        <v>0.108039497304578</v>
      </c>
      <c r="E14" s="312" t="n">
        <v>0.241656943938918</v>
      </c>
      <c r="F14" s="312" t="n">
        <v>0.262598272718278</v>
      </c>
      <c r="G14" s="313" t="n">
        <v>0.970355176034661</v>
      </c>
      <c r="H14" s="313" t="n">
        <v>1.08849007294837</v>
      </c>
      <c r="I14" s="312" t="n">
        <v>0.060676731443163</v>
      </c>
      <c r="J14" s="312" t="n">
        <v>0.339932071045947</v>
      </c>
      <c r="K14" s="312" t="n">
        <v>0.0258</v>
      </c>
      <c r="L14" s="312" t="n">
        <v>0.208163818811878</v>
      </c>
      <c r="M14" s="312" t="n">
        <v>0.0519665886764344</v>
      </c>
      <c r="N14" s="313" t="n">
        <v>2.59245727880895</v>
      </c>
      <c r="O14" s="313" t="n">
        <v>1.99531510101849</v>
      </c>
      <c r="P14" s="313" t="n">
        <v>13.2711072574631</v>
      </c>
      <c r="Q14" s="313" t="n">
        <v>18.1670589353517</v>
      </c>
      <c r="R14" s="313" t="n">
        <v>4.97699061123013</v>
      </c>
      <c r="S14" s="313" t="n">
        <v>25.6340971202788</v>
      </c>
      <c r="T14" s="312" t="n">
        <v>0.154534199840601</v>
      </c>
      <c r="U14" s="312" t="n">
        <v>0.0244336103534448</v>
      </c>
      <c r="V14" s="312" t="n">
        <v>0.00452788824630381</v>
      </c>
      <c r="W14" s="312" t="n">
        <v>-0.0246136413954627</v>
      </c>
      <c r="X14" s="312" t="n">
        <v>0.205385212596375</v>
      </c>
      <c r="Y14" s="312" t="n">
        <v>0.214880402273258</v>
      </c>
      <c r="Z14" s="312" t="n">
        <v>0.214880402273258</v>
      </c>
      <c r="AA14" s="314" t="n">
        <v>0.109831071469001</v>
      </c>
    </row>
    <row r="15" customFormat="false" ht="12" hidden="false" customHeight="true" outlineLevel="0" collapsed="false">
      <c r="A15" s="6" t="s">
        <v>656</v>
      </c>
      <c r="B15" s="311" t="n">
        <v>169</v>
      </c>
      <c r="C15" s="312" t="n">
        <v>0.0753336486486486</v>
      </c>
      <c r="D15" s="312" t="n">
        <v>0.0887941494676111</v>
      </c>
      <c r="E15" s="312" t="n">
        <v>0.183299325808419</v>
      </c>
      <c r="F15" s="312" t="n">
        <v>0.23839807268309</v>
      </c>
      <c r="G15" s="313" t="n">
        <v>0.830020918687781</v>
      </c>
      <c r="H15" s="313" t="n">
        <v>0.926793236123805</v>
      </c>
      <c r="I15" s="312" t="n">
        <v>0.0530446407450436</v>
      </c>
      <c r="J15" s="312" t="n">
        <v>0.456453531446695</v>
      </c>
      <c r="K15" s="312" t="n">
        <v>0.02998</v>
      </c>
      <c r="L15" s="312" t="n">
        <v>0.19818858549972</v>
      </c>
      <c r="M15" s="312" t="n">
        <v>0.0468692348965381</v>
      </c>
      <c r="N15" s="313" t="n">
        <v>2.15716323901029</v>
      </c>
      <c r="O15" s="313" t="n">
        <v>2.96566537191333</v>
      </c>
      <c r="P15" s="313" t="n">
        <v>17.3969624501016</v>
      </c>
      <c r="Q15" s="313" t="n">
        <v>31.2072645666052</v>
      </c>
      <c r="R15" s="313" t="n">
        <v>5.84945781301196</v>
      </c>
      <c r="S15" s="313" t="n">
        <v>44.2206166078159</v>
      </c>
      <c r="T15" s="312" t="n">
        <v>0.138367788115918</v>
      </c>
      <c r="U15" s="312" t="n">
        <v>0.0313651899242899</v>
      </c>
      <c r="V15" s="312" t="n">
        <v>0.00344509030208205</v>
      </c>
      <c r="W15" s="312" t="n">
        <v>-0.11507975896192</v>
      </c>
      <c r="X15" s="312" t="n">
        <v>0.0680907273506252</v>
      </c>
      <c r="Y15" s="312" t="n">
        <v>0.658691649425565</v>
      </c>
      <c r="Z15" s="312" t="n">
        <v>0.658691649425565</v>
      </c>
      <c r="AA15" s="314" t="n">
        <v>0.0917539466639848</v>
      </c>
    </row>
    <row r="16" customFormat="false" ht="12" hidden="false" customHeight="true" outlineLevel="0" collapsed="false">
      <c r="A16" s="6" t="s">
        <v>657</v>
      </c>
      <c r="B16" s="311" t="n">
        <v>13</v>
      </c>
      <c r="C16" s="312" t="n">
        <v>0.0669875</v>
      </c>
      <c r="D16" s="312" t="n">
        <v>0.181518255847198</v>
      </c>
      <c r="E16" s="312" t="n">
        <v>0.110869556644306</v>
      </c>
      <c r="F16" s="312" t="n">
        <v>0.223274953647508</v>
      </c>
      <c r="G16" s="313" t="n">
        <v>0.700508969598195</v>
      </c>
      <c r="H16" s="313" t="n">
        <v>0.942965909401569</v>
      </c>
      <c r="I16" s="312" t="n">
        <v>0.0538079909237541</v>
      </c>
      <c r="J16" s="312" t="n">
        <v>0.32015889451442</v>
      </c>
      <c r="K16" s="312" t="n">
        <v>0.0258</v>
      </c>
      <c r="L16" s="312" t="n">
        <v>0.341947043073279</v>
      </c>
      <c r="M16" s="312" t="n">
        <v>0.0418487381429047</v>
      </c>
      <c r="N16" s="313" t="n">
        <v>0.756996458849086</v>
      </c>
      <c r="O16" s="313" t="n">
        <v>3.85229730779973</v>
      </c>
      <c r="P16" s="313" t="n">
        <v>11.1106603526998</v>
      </c>
      <c r="Q16" s="313" t="n">
        <v>20.197523407169</v>
      </c>
      <c r="R16" s="313" t="n">
        <v>3.12675559324447</v>
      </c>
      <c r="S16" s="313" t="n">
        <v>63.6766581402262</v>
      </c>
      <c r="T16" s="312" t="n">
        <v>-0.0134786588313213</v>
      </c>
      <c r="U16" s="312" t="n">
        <v>0.109440944889988</v>
      </c>
      <c r="V16" s="312" t="n">
        <v>-0.0174479403422238</v>
      </c>
      <c r="W16" s="312" t="n">
        <v>-0.150092728732032</v>
      </c>
      <c r="X16" s="312" t="n">
        <v>0.11465857561739</v>
      </c>
      <c r="Y16" s="312" t="n">
        <v>0.262046935404831</v>
      </c>
      <c r="Z16" s="312" t="n">
        <v>0.262046935404831</v>
      </c>
      <c r="AA16" s="314" t="n">
        <v>0.18074278023464</v>
      </c>
    </row>
    <row r="17" customFormat="false" ht="12" hidden="false" customHeight="true" outlineLevel="0" collapsed="false">
      <c r="A17" s="6" t="s">
        <v>658</v>
      </c>
      <c r="B17" s="311" t="n">
        <v>48</v>
      </c>
      <c r="C17" s="312" t="n">
        <v>0.225072608695652</v>
      </c>
      <c r="D17" s="312" t="n">
        <v>0.0721257998495455</v>
      </c>
      <c r="E17" s="312" t="n">
        <v>0.0952612705872688</v>
      </c>
      <c r="F17" s="312" t="n">
        <v>0.0911707592257123</v>
      </c>
      <c r="G17" s="313" t="n">
        <v>0.761774803351668</v>
      </c>
      <c r="H17" s="313" t="n">
        <v>0.993477610104158</v>
      </c>
      <c r="I17" s="312" t="n">
        <v>0.0561921431969163</v>
      </c>
      <c r="J17" s="312" t="n">
        <v>0.48059008560792</v>
      </c>
      <c r="K17" s="312" t="n">
        <v>0.02998</v>
      </c>
      <c r="L17" s="312" t="n">
        <v>0.355327542822194</v>
      </c>
      <c r="M17" s="312" t="n">
        <v>0.044002012434524</v>
      </c>
      <c r="N17" s="313" t="n">
        <v>1.34957440996973</v>
      </c>
      <c r="O17" s="313" t="n">
        <v>1.51741207964956</v>
      </c>
      <c r="P17" s="313" t="n">
        <v>10.0098000176127</v>
      </c>
      <c r="Q17" s="313" t="n">
        <v>20.7024630011489</v>
      </c>
      <c r="R17" s="313" t="n">
        <v>2.96134669415216</v>
      </c>
      <c r="S17" s="313" t="n">
        <v>45.8638766760034</v>
      </c>
      <c r="T17" s="312" t="n">
        <v>0.157816853607646</v>
      </c>
      <c r="U17" s="312" t="n">
        <v>0.0632938035493028</v>
      </c>
      <c r="V17" s="312" t="n">
        <v>0.0316442563428479</v>
      </c>
      <c r="W17" s="312" t="n">
        <v>0.182401813830693</v>
      </c>
      <c r="X17" s="312" t="n">
        <v>-0.018172614575979</v>
      </c>
      <c r="Y17" s="312" t="n">
        <v>0.00439148371860712</v>
      </c>
      <c r="Z17" s="312" t="n">
        <v>0.00439148371860709</v>
      </c>
      <c r="AA17" s="314" t="n">
        <v>0.0727597699601162</v>
      </c>
    </row>
    <row r="18" customFormat="false" ht="12" hidden="false" customHeight="true" outlineLevel="0" collapsed="false">
      <c r="A18" s="6" t="s">
        <v>659</v>
      </c>
      <c r="B18" s="311" t="n">
        <v>5</v>
      </c>
      <c r="C18" s="312" t="n">
        <v>0.28994</v>
      </c>
      <c r="D18" s="312" t="n">
        <v>0.0581270068972196</v>
      </c>
      <c r="E18" s="312" t="n">
        <v>0.0592580283733231</v>
      </c>
      <c r="F18" s="312" t="n">
        <v>0.0570409982174688</v>
      </c>
      <c r="G18" s="313" t="n">
        <v>1.03606799575108</v>
      </c>
      <c r="H18" s="313" t="n">
        <v>1.36272287378004</v>
      </c>
      <c r="I18" s="312" t="n">
        <v>0.0736205196424178</v>
      </c>
      <c r="J18" s="312" t="n">
        <v>0.361612474143605</v>
      </c>
      <c r="K18" s="312" t="n">
        <v>0.0258</v>
      </c>
      <c r="L18" s="312" t="n">
        <v>0.367488411443723</v>
      </c>
      <c r="M18" s="312" t="n">
        <v>0.0534871085704954</v>
      </c>
      <c r="N18" s="313" t="n">
        <v>1.03193096094797</v>
      </c>
      <c r="O18" s="313" t="n">
        <v>1.71935086137622</v>
      </c>
      <c r="P18" s="313" t="n">
        <v>13.3813412931772</v>
      </c>
      <c r="Q18" s="313" t="n">
        <v>29.2505669298348</v>
      </c>
      <c r="R18" s="313" t="n">
        <v>2.1784653458417</v>
      </c>
      <c r="S18" s="313" t="n">
        <v>17.1860644801009</v>
      </c>
      <c r="T18" s="312" t="n">
        <v>0.176760193247242</v>
      </c>
      <c r="U18" s="312" t="n">
        <v>0.050743138340854</v>
      </c>
      <c r="V18" s="312" t="n">
        <v>0.0239198441593553</v>
      </c>
      <c r="W18" s="312" t="n">
        <v>-0.687907494211765</v>
      </c>
      <c r="X18" s="312" t="n">
        <v>0.132534875943917</v>
      </c>
      <c r="Y18" s="312" t="n">
        <v>0.518443571221284</v>
      </c>
      <c r="Z18" s="312" t="n">
        <v>0.518443571221284</v>
      </c>
      <c r="AA18" s="314" t="n">
        <v>0.0581557157531318</v>
      </c>
    </row>
    <row r="19" customFormat="false" ht="12" hidden="false" customHeight="true" outlineLevel="0" collapsed="false">
      <c r="A19" s="6" t="s">
        <v>660</v>
      </c>
      <c r="B19" s="311" t="n">
        <v>97</v>
      </c>
      <c r="C19" s="312" t="n">
        <v>0.0593541818181818</v>
      </c>
      <c r="D19" s="312" t="n">
        <v>0.120654838313921</v>
      </c>
      <c r="E19" s="312" t="n">
        <v>0.118413924182794</v>
      </c>
      <c r="F19" s="312" t="n">
        <v>0.181689037320293</v>
      </c>
      <c r="G19" s="313" t="n">
        <v>0.818212396306923</v>
      </c>
      <c r="H19" s="313" t="n">
        <v>0.926592008827718</v>
      </c>
      <c r="I19" s="312" t="n">
        <v>0.0530351428166683</v>
      </c>
      <c r="J19" s="312" t="n">
        <v>0.385412687795699</v>
      </c>
      <c r="K19" s="312" t="n">
        <v>0.0258</v>
      </c>
      <c r="L19" s="312" t="n">
        <v>0.202251621511761</v>
      </c>
      <c r="M19" s="312" t="n">
        <v>0.0461179062244418</v>
      </c>
      <c r="N19" s="313" t="n">
        <v>1.03915096793754</v>
      </c>
      <c r="O19" s="313" t="n">
        <v>3.27348697881494</v>
      </c>
      <c r="P19" s="313" t="n">
        <v>15.5578565247213</v>
      </c>
      <c r="Q19" s="313" t="n">
        <v>26.5325496410163</v>
      </c>
      <c r="R19" s="313" t="n">
        <v>3.09721117159969</v>
      </c>
      <c r="S19" s="313" t="n">
        <v>58.8645921056293</v>
      </c>
      <c r="T19" s="312" t="n">
        <v>0.21288350405516</v>
      </c>
      <c r="U19" s="312" t="n">
        <v>0.0637164849579617</v>
      </c>
      <c r="V19" s="312" t="n">
        <v>0.0230849969582361</v>
      </c>
      <c r="W19" s="312" t="n">
        <v>0.104856622622834</v>
      </c>
      <c r="X19" s="312" t="n">
        <v>0.0249999672689438</v>
      </c>
      <c r="Y19" s="312" t="n">
        <v>1.63689065436147</v>
      </c>
      <c r="Z19" s="312" t="n">
        <v>1.63689065436147</v>
      </c>
      <c r="AA19" s="314" t="n">
        <v>0.12183987826366</v>
      </c>
    </row>
    <row r="20" customFormat="false" ht="12" hidden="false" customHeight="true" outlineLevel="0" collapsed="false">
      <c r="A20" s="6" t="s">
        <v>661</v>
      </c>
      <c r="B20" s="311" t="n">
        <v>29</v>
      </c>
      <c r="C20" s="312" t="n">
        <v>-0.141845454545455</v>
      </c>
      <c r="D20" s="312" t="n">
        <v>-0.087021433686583</v>
      </c>
      <c r="E20" s="312" t="n">
        <v>-0.0749637423383422</v>
      </c>
      <c r="F20" s="312" t="n">
        <v>0</v>
      </c>
      <c r="G20" s="313" t="n">
        <v>0.562176517329386</v>
      </c>
      <c r="H20" s="313" t="n">
        <v>0.827670545109632</v>
      </c>
      <c r="I20" s="312" t="n">
        <v>0.0483660497291746</v>
      </c>
      <c r="J20" s="312" t="n">
        <v>0.422740278380762</v>
      </c>
      <c r="K20" s="312" t="n">
        <v>0.02998</v>
      </c>
      <c r="L20" s="312" t="n">
        <v>0.4862032396037</v>
      </c>
      <c r="M20" s="312" t="n">
        <v>0.0354910720440391</v>
      </c>
      <c r="N20" s="313" t="n">
        <v>0.870192347525095</v>
      </c>
      <c r="O20" s="313" t="n">
        <v>1.08293492018647</v>
      </c>
      <c r="P20" s="313" t="n">
        <v>5.78522955379452</v>
      </c>
      <c r="Q20" s="315" t="s">
        <v>646</v>
      </c>
      <c r="R20" s="313" t="n">
        <v>1.35789380551853</v>
      </c>
      <c r="S20" s="313" t="n">
        <v>37.6803802366588</v>
      </c>
      <c r="T20" s="312" t="n">
        <v>0.0774552701554928</v>
      </c>
      <c r="U20" s="312" t="n">
        <v>0.112869316131611</v>
      </c>
      <c r="V20" s="312" t="n">
        <v>-0.0718780039636499</v>
      </c>
      <c r="W20" s="316" t="s">
        <v>646</v>
      </c>
      <c r="X20" s="312" t="n">
        <v>-0.416638465712926</v>
      </c>
      <c r="Y20" s="312" t="n">
        <v>0.0223758308815517</v>
      </c>
      <c r="Z20" s="312" t="n">
        <v>0.0223758308815517</v>
      </c>
      <c r="AA20" s="314" t="n">
        <v>-0.086146175097432</v>
      </c>
    </row>
    <row r="21" customFormat="false" ht="12" hidden="false" customHeight="true" outlineLevel="0" collapsed="false">
      <c r="A21" s="6" t="s">
        <v>662</v>
      </c>
      <c r="B21" s="311" t="n">
        <v>116</v>
      </c>
      <c r="C21" s="312" t="n">
        <v>0.09404</v>
      </c>
      <c r="D21" s="312" t="n">
        <v>0.0757877739033888</v>
      </c>
      <c r="E21" s="312" t="n">
        <v>0.229802221985863</v>
      </c>
      <c r="F21" s="312" t="n">
        <v>0.12935124662396</v>
      </c>
      <c r="G21" s="313" t="n">
        <v>0.940194465845905</v>
      </c>
      <c r="H21" s="313" t="n">
        <v>1.11725330642314</v>
      </c>
      <c r="I21" s="312" t="n">
        <v>0.0620343560631724</v>
      </c>
      <c r="J21" s="312" t="n">
        <v>0.458908608902944</v>
      </c>
      <c r="K21" s="312" t="n">
        <v>0.02998</v>
      </c>
      <c r="L21" s="312" t="n">
        <v>0.284416498126494</v>
      </c>
      <c r="M21" s="312" t="n">
        <v>0.0506153305762505</v>
      </c>
      <c r="N21" s="313" t="n">
        <v>3.02983357859502</v>
      </c>
      <c r="O21" s="313" t="n">
        <v>1.43232822432649</v>
      </c>
      <c r="P21" s="313" t="n">
        <v>10.7032944176458</v>
      </c>
      <c r="Q21" s="313" t="n">
        <v>17.9553578669818</v>
      </c>
      <c r="R21" s="313" t="n">
        <v>4.00098199395105</v>
      </c>
      <c r="S21" s="313" t="n">
        <v>27.8602847291881</v>
      </c>
      <c r="T21" s="312" t="n">
        <v>0.120856953780676</v>
      </c>
      <c r="U21" s="312" t="n">
        <v>0.0180505295002916</v>
      </c>
      <c r="V21" s="312" t="n">
        <v>-0.00133984343765087</v>
      </c>
      <c r="W21" s="312" t="n">
        <v>-0.165770628673752</v>
      </c>
      <c r="X21" s="312" t="n">
        <v>0.134996168935105</v>
      </c>
      <c r="Y21" s="312" t="n">
        <v>0.755715755184985</v>
      </c>
      <c r="Z21" s="312" t="n">
        <v>0.755715755184985</v>
      </c>
      <c r="AA21" s="314" t="n">
        <v>0.080215230749699</v>
      </c>
    </row>
    <row r="22" customFormat="false" ht="12" hidden="false" customHeight="true" outlineLevel="0" collapsed="false">
      <c r="A22" s="6" t="s">
        <v>663</v>
      </c>
      <c r="B22" s="311" t="n">
        <v>52</v>
      </c>
      <c r="C22" s="312" t="n">
        <v>0.04061</v>
      </c>
      <c r="D22" s="312" t="n">
        <v>0.155520392507021</v>
      </c>
      <c r="E22" s="312" t="n">
        <v>0.278169374154195</v>
      </c>
      <c r="F22" s="312" t="n">
        <v>0.141733911305114</v>
      </c>
      <c r="G22" s="313" t="n">
        <v>1.13941940941002</v>
      </c>
      <c r="H22" s="313" t="n">
        <v>1.18407443329922</v>
      </c>
      <c r="I22" s="312" t="n">
        <v>0.0651883132517232</v>
      </c>
      <c r="J22" s="312" t="n">
        <v>0.428664455735024</v>
      </c>
      <c r="K22" s="312" t="n">
        <v>0.02998</v>
      </c>
      <c r="L22" s="312" t="n">
        <v>0.0855483435311996</v>
      </c>
      <c r="M22" s="312" t="n">
        <v>0.061483820752963</v>
      </c>
      <c r="N22" s="313" t="n">
        <v>1.80635097467017</v>
      </c>
      <c r="O22" s="313" t="n">
        <v>5.14063976543469</v>
      </c>
      <c r="P22" s="313" t="n">
        <v>24.7634180442507</v>
      </c>
      <c r="Q22" s="313" t="n">
        <v>32.891802691132</v>
      </c>
      <c r="R22" s="313" t="n">
        <v>22.895969862405</v>
      </c>
      <c r="S22" s="313" t="n">
        <v>27.2546435810459</v>
      </c>
      <c r="T22" s="312" t="n">
        <v>-0.0908311585126619</v>
      </c>
      <c r="U22" s="312" t="n">
        <v>0.0271589677736691</v>
      </c>
      <c r="V22" s="312" t="n">
        <v>0.00170437998152788</v>
      </c>
      <c r="W22" s="312" t="n">
        <v>-0.00244325747789066</v>
      </c>
      <c r="X22" s="312" t="n">
        <v>0.505307000765914</v>
      </c>
      <c r="Y22" s="312" t="n">
        <v>0.268323009787092</v>
      </c>
      <c r="Z22" s="312" t="n">
        <v>0.268323009787092</v>
      </c>
      <c r="AA22" s="314" t="n">
        <v>0.159761040705165</v>
      </c>
    </row>
    <row r="23" customFormat="false" ht="12" hidden="false" customHeight="true" outlineLevel="0" collapsed="false">
      <c r="A23" s="6" t="s">
        <v>664</v>
      </c>
      <c r="B23" s="311" t="n">
        <v>46</v>
      </c>
      <c r="C23" s="312" t="n">
        <v>0.0350244444444444</v>
      </c>
      <c r="D23" s="312" t="n">
        <v>0.0941104470877461</v>
      </c>
      <c r="E23" s="312" t="n">
        <v>0.0993276182401694</v>
      </c>
      <c r="F23" s="312" t="n">
        <v>0.229868530361425</v>
      </c>
      <c r="G23" s="313" t="n">
        <v>0.872215125589385</v>
      </c>
      <c r="H23" s="313" t="n">
        <v>1.02109543727275</v>
      </c>
      <c r="I23" s="312" t="n">
        <v>0.0574957046392739</v>
      </c>
      <c r="J23" s="312" t="n">
        <v>0.333908235105502</v>
      </c>
      <c r="K23" s="312" t="n">
        <v>0.0258</v>
      </c>
      <c r="L23" s="312" t="n">
        <v>0.258047889146616</v>
      </c>
      <c r="M23" s="312" t="n">
        <v>0.0475191333662993</v>
      </c>
      <c r="N23" s="313" t="n">
        <v>1.20677626716692</v>
      </c>
      <c r="O23" s="313" t="n">
        <v>2.26533104766952</v>
      </c>
      <c r="P23" s="313" t="n">
        <v>15.2337539210754</v>
      </c>
      <c r="Q23" s="313" t="n">
        <v>23.4704841021101</v>
      </c>
      <c r="R23" s="313" t="n">
        <v>3.82022236654141</v>
      </c>
      <c r="S23" s="313" t="n">
        <v>108.397093208463</v>
      </c>
      <c r="T23" s="312" t="n">
        <v>0.172307488200306</v>
      </c>
      <c r="U23" s="312" t="n">
        <v>0.0521314284787643</v>
      </c>
      <c r="V23" s="312" t="n">
        <v>0.0196323885499499</v>
      </c>
      <c r="W23" s="312" t="n">
        <v>-0.0825777415748102</v>
      </c>
      <c r="X23" s="312" t="n">
        <v>0.132036523191989</v>
      </c>
      <c r="Y23" s="312" t="n">
        <v>0.498459763110745</v>
      </c>
      <c r="Z23" s="312" t="n">
        <v>0.498459763110745</v>
      </c>
      <c r="AA23" s="314" t="n">
        <v>0.0924782087096952</v>
      </c>
    </row>
    <row r="24" customFormat="false" ht="12" hidden="false" customHeight="true" outlineLevel="0" collapsed="false">
      <c r="A24" s="6" t="s">
        <v>665</v>
      </c>
      <c r="B24" s="311" t="n">
        <v>29</v>
      </c>
      <c r="C24" s="312" t="n">
        <v>0.00507636363636364</v>
      </c>
      <c r="D24" s="312" t="n">
        <v>0.180641925374112</v>
      </c>
      <c r="E24" s="312" t="n">
        <v>0.134447218766059</v>
      </c>
      <c r="F24" s="312" t="n">
        <v>0.207596428592297</v>
      </c>
      <c r="G24" s="313" t="n">
        <v>0.892923671242056</v>
      </c>
      <c r="H24" s="313" t="n">
        <v>1.02480228702651</v>
      </c>
      <c r="I24" s="312" t="n">
        <v>0.0576706679476515</v>
      </c>
      <c r="J24" s="312" t="n">
        <v>0.299373824259345</v>
      </c>
      <c r="K24" s="312" t="n">
        <v>0.0258</v>
      </c>
      <c r="L24" s="312" t="n">
        <v>0.229213787528816</v>
      </c>
      <c r="M24" s="312" t="n">
        <v>0.0487687681923713</v>
      </c>
      <c r="N24" s="313" t="n">
        <v>0.792749240956407</v>
      </c>
      <c r="O24" s="313" t="n">
        <v>2.79734656632518</v>
      </c>
      <c r="P24" s="313" t="n">
        <v>11.3735628776176</v>
      </c>
      <c r="Q24" s="313" t="n">
        <v>15.1209131657508</v>
      </c>
      <c r="R24" s="313" t="n">
        <v>1.85718259414149</v>
      </c>
      <c r="S24" s="313" t="n">
        <v>27.9836425847887</v>
      </c>
      <c r="T24" s="312" t="n">
        <v>0.0148349144557478</v>
      </c>
      <c r="U24" s="312" t="n">
        <v>0.05077390536724</v>
      </c>
      <c r="V24" s="312" t="n">
        <v>0.0296953920392968</v>
      </c>
      <c r="W24" s="312" t="n">
        <v>0.204857677307484</v>
      </c>
      <c r="X24" s="312" t="n">
        <v>0.106207551869821</v>
      </c>
      <c r="Y24" s="312" t="n">
        <v>0.143213758717634</v>
      </c>
      <c r="Z24" s="312" t="n">
        <v>0.143213758717634</v>
      </c>
      <c r="AA24" s="314" t="n">
        <v>0.181427915630425</v>
      </c>
    </row>
    <row r="25" customFormat="false" ht="12" hidden="false" customHeight="true" outlineLevel="0" collapsed="false">
      <c r="A25" s="6" t="s">
        <v>666</v>
      </c>
      <c r="B25" s="311" t="n">
        <v>547</v>
      </c>
      <c r="C25" s="312" t="n">
        <v>0.326398571428572</v>
      </c>
      <c r="D25" s="312" t="n">
        <v>0.0954413540777072</v>
      </c>
      <c r="E25" s="312" t="n">
        <v>0.062191687311969</v>
      </c>
      <c r="F25" s="312" t="n">
        <v>0.119511011901067</v>
      </c>
      <c r="G25" s="313" t="n">
        <v>0.851496182762902</v>
      </c>
      <c r="H25" s="313" t="n">
        <v>0.88621166971942</v>
      </c>
      <c r="I25" s="312" t="n">
        <v>0.0511291908107566</v>
      </c>
      <c r="J25" s="312" t="n">
        <v>0.501020020931708</v>
      </c>
      <c r="K25" s="312" t="n">
        <v>0.02998</v>
      </c>
      <c r="L25" s="312" t="n">
        <v>0.134197253684299</v>
      </c>
      <c r="M25" s="312" t="n">
        <v>0.0472047543966349</v>
      </c>
      <c r="N25" s="313" t="n">
        <v>0.483364743385978</v>
      </c>
      <c r="O25" s="313" t="n">
        <v>8.73444058836297</v>
      </c>
      <c r="P25" s="313" t="n">
        <v>14.3954562679581</v>
      </c>
      <c r="Q25" s="313" t="n">
        <v>57.6280318325869</v>
      </c>
      <c r="R25" s="313" t="n">
        <v>7.18063272400451</v>
      </c>
      <c r="S25" s="313" t="n">
        <v>480.184316973992</v>
      </c>
      <c r="T25" s="312" t="n">
        <v>0.131361729459024</v>
      </c>
      <c r="U25" s="312" t="n">
        <v>0.0356296354566888</v>
      </c>
      <c r="V25" s="312" t="n">
        <v>0.376488975696907</v>
      </c>
      <c r="W25" s="312" t="n">
        <v>7.21548671000999</v>
      </c>
      <c r="X25" s="312" t="n">
        <v>-0.0118784037857747</v>
      </c>
      <c r="Y25" s="312" t="n">
        <v>0.00125844345265387</v>
      </c>
      <c r="Z25" s="312" t="n">
        <v>0.00125844345265391</v>
      </c>
      <c r="AA25" s="314" t="n">
        <v>0.129152214977966</v>
      </c>
    </row>
    <row r="26" customFormat="false" ht="12" hidden="false" customHeight="true" outlineLevel="0" collapsed="false">
      <c r="A26" s="6" t="s">
        <v>667</v>
      </c>
      <c r="B26" s="311" t="n">
        <v>287</v>
      </c>
      <c r="C26" s="312" t="n">
        <v>0.32655375</v>
      </c>
      <c r="D26" s="312" t="n">
        <v>0.24020052440609</v>
      </c>
      <c r="E26" s="312" t="n">
        <v>0.203108721488404</v>
      </c>
      <c r="F26" s="312" t="n">
        <v>0.162981833146538</v>
      </c>
      <c r="G26" s="313" t="n">
        <v>0.837278502717976</v>
      </c>
      <c r="H26" s="313" t="n">
        <v>0.908218403664789</v>
      </c>
      <c r="I26" s="312" t="n">
        <v>0.052167908652978</v>
      </c>
      <c r="J26" s="312" t="n">
        <v>0.554523755557415</v>
      </c>
      <c r="K26" s="312" t="n">
        <v>0.02998</v>
      </c>
      <c r="L26" s="312" t="n">
        <v>0.153838417771665</v>
      </c>
      <c r="M26" s="312" t="n">
        <v>0.0475092954356471</v>
      </c>
      <c r="N26" s="313" t="n">
        <v>0.81486263323107</v>
      </c>
      <c r="O26" s="313" t="n">
        <v>5.55459832920036</v>
      </c>
      <c r="P26" s="313" t="n">
        <v>14.3203615854868</v>
      </c>
      <c r="Q26" s="313" t="n">
        <v>22.2677162928834</v>
      </c>
      <c r="R26" s="313" t="n">
        <v>5.04233722515457</v>
      </c>
      <c r="S26" s="313" t="n">
        <v>34.5420580491644</v>
      </c>
      <c r="T26" s="312" t="n">
        <v>0.262256227652109</v>
      </c>
      <c r="U26" s="312" t="n">
        <v>0.0500538331695279</v>
      </c>
      <c r="V26" s="312" t="n">
        <v>0.0973906129719695</v>
      </c>
      <c r="W26" s="312" t="n">
        <v>0.489170717975695</v>
      </c>
      <c r="X26" s="312" t="n">
        <v>0.189789250358616</v>
      </c>
      <c r="Y26" s="312" t="n">
        <v>0.6085526782221</v>
      </c>
      <c r="Z26" s="312" t="n">
        <v>0.6085526782221</v>
      </c>
      <c r="AA26" s="314" t="n">
        <v>0.253769798819573</v>
      </c>
    </row>
    <row r="27" customFormat="false" ht="12" hidden="false" customHeight="true" outlineLevel="0" collapsed="false">
      <c r="A27" s="6" t="s">
        <v>668</v>
      </c>
      <c r="B27" s="311" t="n">
        <v>38</v>
      </c>
      <c r="C27" s="312" t="n">
        <v>0.0100888888888889</v>
      </c>
      <c r="D27" s="312" t="n">
        <v>0.0926134689669355</v>
      </c>
      <c r="E27" s="312" t="n">
        <v>0.098891680964604</v>
      </c>
      <c r="F27" s="312" t="n">
        <v>0.166546180487288</v>
      </c>
      <c r="G27" s="313" t="n">
        <v>1.07062437378688</v>
      </c>
      <c r="H27" s="313" t="n">
        <v>1.14768098036155</v>
      </c>
      <c r="I27" s="312" t="n">
        <v>0.0634705422730652</v>
      </c>
      <c r="J27" s="312" t="n">
        <v>0.557267449576751</v>
      </c>
      <c r="K27" s="312" t="n">
        <v>0.02998</v>
      </c>
      <c r="L27" s="312" t="n">
        <v>0.195704146958869</v>
      </c>
      <c r="M27" s="312" t="n">
        <v>0.0553321574783518</v>
      </c>
      <c r="N27" s="313" t="n">
        <v>1.16687846521118</v>
      </c>
      <c r="O27" s="313" t="n">
        <v>2.80634779981638</v>
      </c>
      <c r="P27" s="313" t="n">
        <v>14.4279418474306</v>
      </c>
      <c r="Q27" s="313" t="n">
        <v>31.2058985199943</v>
      </c>
      <c r="R27" s="313" t="n">
        <v>2.91743506417111</v>
      </c>
      <c r="S27" s="313" t="n">
        <v>26.6313297375374</v>
      </c>
      <c r="T27" s="312" t="n">
        <v>0.0747145259354035</v>
      </c>
      <c r="U27" s="312" t="n">
        <v>0.0387543475496631</v>
      </c>
      <c r="V27" s="312" t="n">
        <v>0.0269576456910017</v>
      </c>
      <c r="W27" s="312" t="n">
        <v>0.614076239086715</v>
      </c>
      <c r="X27" s="312" t="n">
        <v>-0.0566281309930092</v>
      </c>
      <c r="Y27" s="312" t="n">
        <v>0.000587531048775817</v>
      </c>
      <c r="Z27" s="312" t="n">
        <v>0.000587531048775847</v>
      </c>
      <c r="AA27" s="314" t="n">
        <v>0.0882498335954815</v>
      </c>
    </row>
    <row r="28" customFormat="false" ht="12" hidden="false" customHeight="true" outlineLevel="0" collapsed="false">
      <c r="A28" s="6" t="s">
        <v>669</v>
      </c>
      <c r="B28" s="311" t="n">
        <v>122</v>
      </c>
      <c r="C28" s="312" t="n">
        <v>0.0421161111111111</v>
      </c>
      <c r="D28" s="312" t="n">
        <v>0.126019609013832</v>
      </c>
      <c r="E28" s="312" t="n">
        <v>0.221215272493201</v>
      </c>
      <c r="F28" s="312" t="n">
        <v>0.172126594157072</v>
      </c>
      <c r="G28" s="313" t="n">
        <v>1.00135585955522</v>
      </c>
      <c r="H28" s="313" t="n">
        <v>1.05903620367199</v>
      </c>
      <c r="I28" s="312" t="n">
        <v>0.0592865088133178</v>
      </c>
      <c r="J28" s="312" t="n">
        <v>0.551194244554125</v>
      </c>
      <c r="K28" s="312" t="n">
        <v>0.02998</v>
      </c>
      <c r="L28" s="312" t="n">
        <v>0.133074214836378</v>
      </c>
      <c r="M28" s="312" t="n">
        <v>0.0543093856239756</v>
      </c>
      <c r="N28" s="313" t="n">
        <v>1.80338033661791</v>
      </c>
      <c r="O28" s="313" t="n">
        <v>3.65555869626121</v>
      </c>
      <c r="P28" s="313" t="n">
        <v>15.9575744547862</v>
      </c>
      <c r="Q28" s="313" t="n">
        <v>22.8282656767188</v>
      </c>
      <c r="R28" s="313" t="n">
        <v>6.27509000293512</v>
      </c>
      <c r="S28" s="313" t="n">
        <v>106.018598287009</v>
      </c>
      <c r="T28" s="312" t="n">
        <v>0.209956634827446</v>
      </c>
      <c r="U28" s="312" t="n">
        <v>0.0378667367991529</v>
      </c>
      <c r="V28" s="312" t="n">
        <v>0.0449204610429546</v>
      </c>
      <c r="W28" s="312" t="n">
        <v>0.365219536979191</v>
      </c>
      <c r="X28" s="312" t="n">
        <v>0.176672137071669</v>
      </c>
      <c r="Y28" s="312" t="n">
        <v>0.435470641757236</v>
      </c>
      <c r="Z28" s="312" t="n">
        <v>0.435470641757236</v>
      </c>
      <c r="AA28" s="314" t="n">
        <v>0.128361556497209</v>
      </c>
    </row>
    <row r="29" customFormat="false" ht="12" hidden="false" customHeight="true" outlineLevel="0" collapsed="false">
      <c r="A29" s="6" t="s">
        <v>670</v>
      </c>
      <c r="B29" s="311" t="n">
        <v>22</v>
      </c>
      <c r="C29" s="312" t="n">
        <v>0.0169416666666667</v>
      </c>
      <c r="D29" s="312" t="n">
        <v>0.0199043484126802</v>
      </c>
      <c r="E29" s="312" t="n">
        <v>0.0466074923855845</v>
      </c>
      <c r="F29" s="312" t="n">
        <v>0.112805587892899</v>
      </c>
      <c r="G29" s="313" t="n">
        <v>1.0108246814096</v>
      </c>
      <c r="H29" s="313" t="n">
        <v>0.955352661363077</v>
      </c>
      <c r="I29" s="312" t="n">
        <v>0.0543926456163373</v>
      </c>
      <c r="J29" s="312" t="n">
        <v>0.549089075674876</v>
      </c>
      <c r="K29" s="312" t="n">
        <v>0.02998</v>
      </c>
      <c r="L29" s="312" t="n">
        <v>0.0867834836228485</v>
      </c>
      <c r="M29" s="312" t="n">
        <v>0.0515715535987679</v>
      </c>
      <c r="N29" s="313" t="n">
        <v>1.82015533127223</v>
      </c>
      <c r="O29" s="313" t="n">
        <v>1.31662888496537</v>
      </c>
      <c r="P29" s="313" t="n">
        <v>18.9611471206873</v>
      </c>
      <c r="Q29" s="313" t="n">
        <v>59.5184185300003</v>
      </c>
      <c r="R29" s="313" t="n">
        <v>4.26303654576756</v>
      </c>
      <c r="S29" s="313" t="n">
        <v>14.6215023224579</v>
      </c>
      <c r="T29" s="312" t="n">
        <v>0.132551003400497</v>
      </c>
      <c r="U29" s="312" t="n">
        <v>0.0167560661980754</v>
      </c>
      <c r="V29" s="312" t="n">
        <v>0.00974314644160193</v>
      </c>
      <c r="W29" s="312" t="n">
        <v>-1.12445503922728</v>
      </c>
      <c r="X29" s="312" t="n">
        <v>-0.048857210527874</v>
      </c>
      <c r="Y29" s="312" t="n">
        <v>0</v>
      </c>
      <c r="Z29" s="312" t="n">
        <v>0</v>
      </c>
      <c r="AA29" s="314" t="n">
        <v>0.0258206122186174</v>
      </c>
    </row>
    <row r="30" customFormat="false" ht="12" hidden="false" customHeight="true" outlineLevel="0" collapsed="false">
      <c r="A30" s="6" t="s">
        <v>671</v>
      </c>
      <c r="B30" s="311" t="n">
        <v>157</v>
      </c>
      <c r="C30" s="312" t="n">
        <v>0.0287723913043478</v>
      </c>
      <c r="D30" s="312" t="n">
        <v>0.0746721553288885</v>
      </c>
      <c r="E30" s="312" t="n">
        <v>0.110846132849151</v>
      </c>
      <c r="F30" s="312" t="n">
        <v>0.198494719178758</v>
      </c>
      <c r="G30" s="313" t="n">
        <v>0.858211100496672</v>
      </c>
      <c r="H30" s="313" t="n">
        <v>0.88526715421533</v>
      </c>
      <c r="I30" s="312" t="n">
        <v>0.0510846096789636</v>
      </c>
      <c r="J30" s="312" t="n">
        <v>0.438650675763167</v>
      </c>
      <c r="K30" s="312" t="n">
        <v>0.02998</v>
      </c>
      <c r="L30" s="312" t="n">
        <v>0.118813171280221</v>
      </c>
      <c r="M30" s="312" t="n">
        <v>0.0476153589781298</v>
      </c>
      <c r="N30" s="313" t="n">
        <v>1.48976974487431</v>
      </c>
      <c r="O30" s="313" t="n">
        <v>2.54366803813641</v>
      </c>
      <c r="P30" s="313" t="n">
        <v>17.51783625413</v>
      </c>
      <c r="Q30" s="313" t="n">
        <v>32.1207671253855</v>
      </c>
      <c r="R30" s="313" t="n">
        <v>4.14108439612295</v>
      </c>
      <c r="S30" s="313" t="n">
        <v>69.7619368500422</v>
      </c>
      <c r="T30" s="312" t="n">
        <v>0.205150999036015</v>
      </c>
      <c r="U30" s="312" t="n">
        <v>0.041946689777722</v>
      </c>
      <c r="V30" s="312" t="n">
        <v>0.0424506411377583</v>
      </c>
      <c r="W30" s="312" t="n">
        <v>0.599644770037141</v>
      </c>
      <c r="X30" s="312" t="n">
        <v>0.0666852037297395</v>
      </c>
      <c r="Y30" s="312" t="n">
        <v>0.414804119234963</v>
      </c>
      <c r="Z30" s="312" t="n">
        <v>0.414804119234963</v>
      </c>
      <c r="AA30" s="314" t="n">
        <v>0.0790347273336632</v>
      </c>
    </row>
    <row r="31" customFormat="false" ht="12" hidden="false" customHeight="true" outlineLevel="0" collapsed="false">
      <c r="A31" s="6" t="s">
        <v>672</v>
      </c>
      <c r="B31" s="311" t="n">
        <v>61</v>
      </c>
      <c r="C31" s="312" t="n">
        <v>0.0357003448275862</v>
      </c>
      <c r="D31" s="312" t="n">
        <v>0.0410326778301069</v>
      </c>
      <c r="E31" s="312" t="n">
        <v>0.148500433397094</v>
      </c>
      <c r="F31" s="312" t="n">
        <v>0.218949830149707</v>
      </c>
      <c r="G31" s="313" t="n">
        <v>0.955632846564565</v>
      </c>
      <c r="H31" s="313" t="n">
        <v>1.05641998246156</v>
      </c>
      <c r="I31" s="312" t="n">
        <v>0.0591630231721858</v>
      </c>
      <c r="J31" s="312" t="n">
        <v>0.420426117882627</v>
      </c>
      <c r="K31" s="312" t="n">
        <v>0.02998</v>
      </c>
      <c r="L31" s="312" t="n">
        <v>0.220186911568175</v>
      </c>
      <c r="M31" s="312" t="n">
        <v>0.0509549784553</v>
      </c>
      <c r="N31" s="313" t="n">
        <v>3.79645832744775</v>
      </c>
      <c r="O31" s="313" t="n">
        <v>0.89947264014578</v>
      </c>
      <c r="P31" s="313" t="n">
        <v>10.8530996297225</v>
      </c>
      <c r="Q31" s="313" t="n">
        <v>19.7954868588185</v>
      </c>
      <c r="R31" s="313" t="n">
        <v>2.31822448830024</v>
      </c>
      <c r="S31" s="313" t="n">
        <v>34.5248996097732</v>
      </c>
      <c r="T31" s="312" t="n">
        <v>0.179393831879259</v>
      </c>
      <c r="U31" s="312" t="n">
        <v>0.0169562162882955</v>
      </c>
      <c r="V31" s="312" t="n">
        <v>0.103192453573842</v>
      </c>
      <c r="W31" s="312" t="n">
        <v>2.83751453556224</v>
      </c>
      <c r="X31" s="312" t="n">
        <v>0.025369098163714</v>
      </c>
      <c r="Y31" s="312" t="n">
        <v>0.527882367715455</v>
      </c>
      <c r="Z31" s="312" t="n">
        <v>0.527882367715455</v>
      </c>
      <c r="AA31" s="314" t="n">
        <v>0.0431320247385785</v>
      </c>
    </row>
    <row r="32" customFormat="false" ht="12" hidden="false" customHeight="true" outlineLevel="0" collapsed="false">
      <c r="A32" s="6" t="s">
        <v>673</v>
      </c>
      <c r="B32" s="311" t="n">
        <v>118</v>
      </c>
      <c r="C32" s="312" t="n">
        <v>0.063537037037037</v>
      </c>
      <c r="D32" s="312" t="n">
        <v>0.0744080048328129</v>
      </c>
      <c r="E32" s="312" t="n">
        <v>0.0796457859590733</v>
      </c>
      <c r="F32" s="312" t="n">
        <v>0.067312790687965</v>
      </c>
      <c r="G32" s="313" t="n">
        <v>0.838756430494931</v>
      </c>
      <c r="H32" s="313" t="n">
        <v>0.882817190191093</v>
      </c>
      <c r="I32" s="312" t="n">
        <v>0.0509689713770196</v>
      </c>
      <c r="J32" s="312" t="n">
        <v>0.68062179370134</v>
      </c>
      <c r="K32" s="312" t="n">
        <v>0.040925</v>
      </c>
      <c r="L32" s="312" t="n">
        <v>0.131912428790766</v>
      </c>
      <c r="M32" s="312" t="n">
        <v>0.0481864473579412</v>
      </c>
      <c r="N32" s="313" t="n">
        <v>1.06630387108047</v>
      </c>
      <c r="O32" s="313" t="n">
        <v>6.80899564507894</v>
      </c>
      <c r="P32" s="313" t="n">
        <v>36.2567798485691</v>
      </c>
      <c r="Q32" s="313" t="n">
        <v>89.2414749162914</v>
      </c>
      <c r="R32" s="313" t="n">
        <v>5.48912159716091</v>
      </c>
      <c r="S32" s="313" t="n">
        <v>1157.13195252747</v>
      </c>
      <c r="T32" s="312" t="n">
        <v>0.00651298685985294</v>
      </c>
      <c r="U32" s="312" t="n">
        <v>0.0518128631816021</v>
      </c>
      <c r="V32" s="312" t="n">
        <v>0.00280059827976961</v>
      </c>
      <c r="W32" s="312" t="n">
        <v>0.166812304163708</v>
      </c>
      <c r="X32" s="312" t="n">
        <v>-0.0286680306441766</v>
      </c>
      <c r="Y32" s="312" t="n">
        <v>0.0011191861766307</v>
      </c>
      <c r="Z32" s="312" t="n">
        <v>0.00111918617663065</v>
      </c>
      <c r="AA32" s="314" t="n">
        <v>0.0750623952152204</v>
      </c>
    </row>
    <row r="33" customFormat="false" ht="12" hidden="false" customHeight="true" outlineLevel="0" collapsed="false">
      <c r="A33" s="6" t="s">
        <v>674</v>
      </c>
      <c r="B33" s="311" t="n">
        <v>86</v>
      </c>
      <c r="C33" s="312" t="n">
        <v>0.078791724137931</v>
      </c>
      <c r="D33" s="312" t="n">
        <v>0.119172425313502</v>
      </c>
      <c r="E33" s="312" t="n">
        <v>0.191895753922522</v>
      </c>
      <c r="F33" s="312" t="n">
        <v>0.206768526220662</v>
      </c>
      <c r="G33" s="313" t="n">
        <v>0.821935359166219</v>
      </c>
      <c r="H33" s="313" t="n">
        <v>0.95440765499167</v>
      </c>
      <c r="I33" s="312" t="n">
        <v>0.0543480413156069</v>
      </c>
      <c r="J33" s="312" t="n">
        <v>0.504307583595725</v>
      </c>
      <c r="K33" s="312" t="n">
        <v>0.02998</v>
      </c>
      <c r="L33" s="312" t="n">
        <v>0.201266853252984</v>
      </c>
      <c r="M33" s="312" t="n">
        <v>0.0478143876497343</v>
      </c>
      <c r="N33" s="313" t="n">
        <v>1.63027703775294</v>
      </c>
      <c r="O33" s="313" t="n">
        <v>3.34083689699069</v>
      </c>
      <c r="P33" s="313" t="n">
        <v>14.9784490529486</v>
      </c>
      <c r="Q33" s="313" t="n">
        <v>27.4187175809111</v>
      </c>
      <c r="R33" s="313" t="n">
        <v>4.68076059957083</v>
      </c>
      <c r="S33" s="313" t="n">
        <v>549.579079036898</v>
      </c>
      <c r="T33" s="312" t="n">
        <v>0.0955603028871641</v>
      </c>
      <c r="U33" s="312" t="n">
        <v>0.0748874492373683</v>
      </c>
      <c r="V33" s="312" t="n">
        <v>0.0282593285438574</v>
      </c>
      <c r="W33" s="312" t="n">
        <v>0.224953914184715</v>
      </c>
      <c r="X33" s="312" t="n">
        <v>0.0621017928615452</v>
      </c>
      <c r="Y33" s="312" t="n">
        <v>0.94762650024469</v>
      </c>
      <c r="Z33" s="312" t="n">
        <v>0.94762650024469</v>
      </c>
      <c r="AA33" s="314" t="n">
        <v>0.120962471247888</v>
      </c>
    </row>
    <row r="34" customFormat="false" ht="12" hidden="false" customHeight="true" outlineLevel="0" collapsed="false">
      <c r="A34" s="6" t="s">
        <v>675</v>
      </c>
      <c r="B34" s="311" t="n">
        <v>32</v>
      </c>
      <c r="C34" s="312" t="n">
        <v>-0.007699375</v>
      </c>
      <c r="D34" s="312" t="n">
        <v>0.0655486634422821</v>
      </c>
      <c r="E34" s="312" t="n">
        <v>0.0912457936496613</v>
      </c>
      <c r="F34" s="312" t="n">
        <v>0.218684983819573</v>
      </c>
      <c r="G34" s="313" t="n">
        <v>0.686111545518138</v>
      </c>
      <c r="H34" s="313" t="n">
        <v>0.874699228434978</v>
      </c>
      <c r="I34" s="312" t="n">
        <v>0.050585803582131</v>
      </c>
      <c r="J34" s="312" t="n">
        <v>0.452992558069549</v>
      </c>
      <c r="K34" s="312" t="n">
        <v>0.02998</v>
      </c>
      <c r="L34" s="312" t="n">
        <v>0.310601084517407</v>
      </c>
      <c r="M34" s="312" t="n">
        <v>0.0416714271034338</v>
      </c>
      <c r="N34" s="313" t="n">
        <v>1.4758582162442</v>
      </c>
      <c r="O34" s="313" t="n">
        <v>1.35161621584255</v>
      </c>
      <c r="P34" s="313" t="n">
        <v>14.7078921154485</v>
      </c>
      <c r="Q34" s="313" t="n">
        <v>20.1291939951511</v>
      </c>
      <c r="R34" s="313" t="n">
        <v>3.20904752486425</v>
      </c>
      <c r="S34" s="313" t="n">
        <v>23.8193227819687</v>
      </c>
      <c r="T34" s="312" t="n">
        <v>0.129996197154471</v>
      </c>
      <c r="U34" s="312" t="n">
        <v>0.0306153034250915</v>
      </c>
      <c r="V34" s="312" t="n">
        <v>0.0134504825922255</v>
      </c>
      <c r="W34" s="312" t="n">
        <v>0.387264731584022</v>
      </c>
      <c r="X34" s="312" t="n">
        <v>0.140292083461601</v>
      </c>
      <c r="Y34" s="312" t="n">
        <v>0.389321960617183</v>
      </c>
      <c r="Z34" s="312" t="n">
        <v>0.389321960617182</v>
      </c>
      <c r="AA34" s="314" t="n">
        <v>0.0661317356812811</v>
      </c>
    </row>
    <row r="35" customFormat="false" ht="12" hidden="false" customHeight="true" outlineLevel="0" collapsed="false">
      <c r="A35" s="6" t="s">
        <v>676</v>
      </c>
      <c r="B35" s="311" t="n">
        <v>235</v>
      </c>
      <c r="C35" s="312" t="n">
        <v>0.0908278169014085</v>
      </c>
      <c r="D35" s="312" t="n">
        <v>0.123165510324677</v>
      </c>
      <c r="E35" s="312" t="n">
        <v>0.00398699871663487</v>
      </c>
      <c r="F35" s="312" t="n">
        <v>0.192127387565843</v>
      </c>
      <c r="G35" s="313" t="n">
        <v>0.109105250703696</v>
      </c>
      <c r="H35" s="313" t="n">
        <v>0.797100719599284</v>
      </c>
      <c r="I35" s="312" t="n">
        <v>0.0469231539650862</v>
      </c>
      <c r="J35" s="312" t="n">
        <v>0.277386312586639</v>
      </c>
      <c r="K35" s="312" t="n">
        <v>0.0258</v>
      </c>
      <c r="L35" s="312" t="n">
        <v>0.899587109713035</v>
      </c>
      <c r="M35" s="312" t="n">
        <v>0.0216545131353499</v>
      </c>
      <c r="N35" s="313" t="n">
        <v>0.0374110457086741</v>
      </c>
      <c r="O35" s="313" t="n">
        <v>31.4863346171805</v>
      </c>
      <c r="P35" s="315" t="s">
        <v>646</v>
      </c>
      <c r="Q35" s="315" t="s">
        <v>646</v>
      </c>
      <c r="R35" s="313" t="n">
        <v>2.22992873855924</v>
      </c>
      <c r="S35" s="313" t="n">
        <v>21.864515213008</v>
      </c>
      <c r="T35" s="316" t="s">
        <v>646</v>
      </c>
      <c r="U35" s="312" t="n">
        <v>0.0699067598164099</v>
      </c>
      <c r="V35" s="312" t="n">
        <v>0.131979585432586</v>
      </c>
      <c r="W35" s="312" t="n">
        <v>1.22624828873113</v>
      </c>
      <c r="X35" s="312" t="n">
        <v>0.642825167064304</v>
      </c>
      <c r="Y35" s="312" t="n">
        <v>0.238596547991192</v>
      </c>
      <c r="Z35" s="312" t="n">
        <v>0.238596547991192</v>
      </c>
      <c r="AA35" s="314" t="n">
        <v>0.122321223128997</v>
      </c>
    </row>
    <row r="36" customFormat="false" ht="12" hidden="false" customHeight="true" outlineLevel="0" collapsed="false">
      <c r="A36" s="6" t="s">
        <v>677</v>
      </c>
      <c r="B36" s="311" t="n">
        <v>101</v>
      </c>
      <c r="C36" s="312" t="n">
        <v>0.0684884090909091</v>
      </c>
      <c r="D36" s="312" t="n">
        <v>0.127988538369191</v>
      </c>
      <c r="E36" s="312" t="n">
        <v>0.175309385331474</v>
      </c>
      <c r="F36" s="312" t="n">
        <v>0.250200900786664</v>
      </c>
      <c r="G36" s="313" t="n">
        <v>0.532117428178121</v>
      </c>
      <c r="H36" s="313" t="n">
        <v>0.636326508154191</v>
      </c>
      <c r="I36" s="312" t="n">
        <v>0.0393346111848778</v>
      </c>
      <c r="J36" s="312" t="n">
        <v>0.325571645667033</v>
      </c>
      <c r="K36" s="312" t="n">
        <v>0.0258</v>
      </c>
      <c r="L36" s="312" t="n">
        <v>0.248190537754494</v>
      </c>
      <c r="M36" s="312" t="n">
        <v>0.0342465534706072</v>
      </c>
      <c r="N36" s="313" t="n">
        <v>1.48011620170992</v>
      </c>
      <c r="O36" s="313" t="n">
        <v>2.19358943521754</v>
      </c>
      <c r="P36" s="313" t="n">
        <v>12.8830895421342</v>
      </c>
      <c r="Q36" s="313" t="n">
        <v>16.8264684434479</v>
      </c>
      <c r="R36" s="313" t="n">
        <v>2.56671035073147</v>
      </c>
      <c r="S36" s="313" t="n">
        <v>375.194918318684</v>
      </c>
      <c r="T36" s="312" t="n">
        <v>0.0526541721419507</v>
      </c>
      <c r="U36" s="312" t="n">
        <v>0.0321303575524983</v>
      </c>
      <c r="V36" s="312" t="n">
        <v>0.020938027507653</v>
      </c>
      <c r="W36" s="312" t="n">
        <v>0.151239132324045</v>
      </c>
      <c r="X36" s="312" t="n">
        <v>0.10117860572097</v>
      </c>
      <c r="Y36" s="312" t="n">
        <v>0.609762983643376</v>
      </c>
      <c r="Z36" s="312" t="n">
        <v>0.609762983643376</v>
      </c>
      <c r="AA36" s="314" t="n">
        <v>0.129528056297214</v>
      </c>
    </row>
    <row r="37" customFormat="false" ht="12" hidden="false" customHeight="true" outlineLevel="0" collapsed="false">
      <c r="A37" s="6" t="s">
        <v>678</v>
      </c>
      <c r="B37" s="311" t="n">
        <v>18</v>
      </c>
      <c r="C37" s="312" t="n">
        <v>0.120125</v>
      </c>
      <c r="D37" s="312" t="n">
        <v>0.0155849130605914</v>
      </c>
      <c r="E37" s="312" t="n">
        <v>0.0888599775064089</v>
      </c>
      <c r="F37" s="312" t="n">
        <v>0.0387201735357918</v>
      </c>
      <c r="G37" s="313" t="n">
        <v>0.806676195987034</v>
      </c>
      <c r="H37" s="313" t="n">
        <v>1.034623862052</v>
      </c>
      <c r="I37" s="312" t="n">
        <v>0.0581342462888543</v>
      </c>
      <c r="J37" s="312" t="n">
        <v>0.580329195270917</v>
      </c>
      <c r="K37" s="312" t="n">
        <v>0.02998</v>
      </c>
      <c r="L37" s="312" t="n">
        <v>0.359047245595971</v>
      </c>
      <c r="M37" s="312" t="n">
        <v>0.0451191978728094</v>
      </c>
      <c r="N37" s="313" t="n">
        <v>5.81660038763435</v>
      </c>
      <c r="O37" s="313" t="n">
        <v>0.543616154455933</v>
      </c>
      <c r="P37" s="313" t="n">
        <v>15.8719545473776</v>
      </c>
      <c r="Q37" s="313" t="n">
        <v>35.361015975895</v>
      </c>
      <c r="R37" s="313" t="n">
        <v>5.01741078629805</v>
      </c>
      <c r="S37" s="313" t="n">
        <v>8.6352957442396</v>
      </c>
      <c r="T37" s="312" t="n">
        <v>0.0538160945939146</v>
      </c>
      <c r="U37" s="312" t="n">
        <v>0.0101548239021398</v>
      </c>
      <c r="V37" s="312" t="n">
        <v>0.026125454156994</v>
      </c>
      <c r="W37" s="312" t="n">
        <v>0.875557243266907</v>
      </c>
      <c r="X37" s="312" t="n">
        <v>-0.0502567525422357</v>
      </c>
      <c r="Y37" s="312" t="n">
        <v>0.00199421965317919</v>
      </c>
      <c r="Z37" s="312" t="n">
        <v>0.00199421965317914</v>
      </c>
      <c r="AA37" s="314" t="n">
        <v>0.0153567016953849</v>
      </c>
    </row>
    <row r="38" customFormat="false" ht="12" hidden="false" customHeight="true" outlineLevel="0" collapsed="false">
      <c r="A38" s="6" t="s">
        <v>679</v>
      </c>
      <c r="B38" s="311" t="n">
        <v>40</v>
      </c>
      <c r="C38" s="312" t="n">
        <v>0.0508444444444444</v>
      </c>
      <c r="D38" s="312" t="n">
        <v>0.0797926451752031</v>
      </c>
      <c r="E38" s="312" t="n">
        <v>0.145940632780543</v>
      </c>
      <c r="F38" s="312" t="n">
        <v>0.189165367860933</v>
      </c>
      <c r="G38" s="313" t="n">
        <v>0.779488314698562</v>
      </c>
      <c r="H38" s="313" t="n">
        <v>0.88324544941408</v>
      </c>
      <c r="I38" s="312" t="n">
        <v>0.0509891852123446</v>
      </c>
      <c r="J38" s="312" t="n">
        <v>0.405229348875381</v>
      </c>
      <c r="K38" s="312" t="n">
        <v>0.02998</v>
      </c>
      <c r="L38" s="312" t="n">
        <v>0.254058173326967</v>
      </c>
      <c r="M38" s="312" t="n">
        <v>0.0435951307043959</v>
      </c>
      <c r="N38" s="313" t="n">
        <v>1.87871107886952</v>
      </c>
      <c r="O38" s="313" t="n">
        <v>1.31084489708474</v>
      </c>
      <c r="P38" s="313" t="n">
        <v>9.73342391783075</v>
      </c>
      <c r="Q38" s="313" t="n">
        <v>15.8164253270363</v>
      </c>
      <c r="R38" s="313" t="n">
        <v>2.68118477803639</v>
      </c>
      <c r="S38" s="313" t="n">
        <v>125.498431538373</v>
      </c>
      <c r="T38" s="312" t="n">
        <v>0.106044259274789</v>
      </c>
      <c r="U38" s="312" t="n">
        <v>0.0274221130210892</v>
      </c>
      <c r="V38" s="312" t="n">
        <v>0.0137225073501542</v>
      </c>
      <c r="W38" s="312" t="n">
        <v>-0.268315983961284</v>
      </c>
      <c r="X38" s="312" t="n">
        <v>0.133701537279161</v>
      </c>
      <c r="Y38" s="312" t="n">
        <v>0.271741602139875</v>
      </c>
      <c r="Z38" s="312" t="n">
        <v>0.271741602139875</v>
      </c>
      <c r="AA38" s="314" t="n">
        <v>0.0815821394056101</v>
      </c>
    </row>
    <row r="39" customFormat="false" ht="12" hidden="false" customHeight="true" outlineLevel="0" collapsed="false">
      <c r="A39" s="6" t="s">
        <v>680</v>
      </c>
      <c r="B39" s="311" t="n">
        <v>25</v>
      </c>
      <c r="C39" s="312" t="n">
        <v>-0.000899999999999999</v>
      </c>
      <c r="D39" s="312" t="n">
        <v>0.261192845605989</v>
      </c>
      <c r="E39" s="312" t="n">
        <v>0.06893357173638</v>
      </c>
      <c r="F39" s="312" t="n">
        <v>0.430342815463166</v>
      </c>
      <c r="G39" s="313" t="n">
        <v>0.678763715219823</v>
      </c>
      <c r="H39" s="313" t="n">
        <v>0.981850241942098</v>
      </c>
      <c r="I39" s="312" t="n">
        <v>0.055643331419667</v>
      </c>
      <c r="J39" s="312" t="n">
        <v>0.560416957048952</v>
      </c>
      <c r="K39" s="312" t="n">
        <v>0.02998</v>
      </c>
      <c r="L39" s="312" t="n">
        <v>0.390473337077388</v>
      </c>
      <c r="M39" s="312" t="n">
        <v>0.0424617592854</v>
      </c>
      <c r="N39" s="313" t="n">
        <v>0.27102832816881</v>
      </c>
      <c r="O39" s="313" t="n">
        <v>13.1527483249679</v>
      </c>
      <c r="P39" s="313" t="n">
        <v>22.9404396209418</v>
      </c>
      <c r="Q39" s="313" t="n">
        <v>50.762789375212</v>
      </c>
      <c r="R39" s="313" t="n">
        <v>1.68016219318472</v>
      </c>
      <c r="S39" s="313" t="n">
        <v>40.6725980737609</v>
      </c>
      <c r="T39" s="312" t="n">
        <v>-1.58245818881318</v>
      </c>
      <c r="U39" s="312" t="n">
        <v>0.356871492385357</v>
      </c>
      <c r="V39" s="312" t="n">
        <v>0.258198033940044</v>
      </c>
      <c r="W39" s="312" t="n">
        <v>1.10113537794516</v>
      </c>
      <c r="X39" s="312" t="n">
        <v>-0.205888971937952</v>
      </c>
      <c r="Y39" s="312" t="n">
        <v>0.00145348837209302</v>
      </c>
      <c r="Z39" s="312" t="n">
        <v>0.00145348837209303</v>
      </c>
      <c r="AA39" s="314" t="n">
        <v>0.258825292182095</v>
      </c>
    </row>
    <row r="40" customFormat="false" ht="12" hidden="false" customHeight="true" outlineLevel="0" collapsed="false">
      <c r="A40" s="6" t="s">
        <v>681</v>
      </c>
      <c r="B40" s="311" t="n">
        <v>265</v>
      </c>
      <c r="C40" s="312" t="n">
        <v>0.139000563380282</v>
      </c>
      <c r="D40" s="312" t="n">
        <v>0.142363291649303</v>
      </c>
      <c r="E40" s="312" t="n">
        <v>0.132184138235542</v>
      </c>
      <c r="F40" s="312" t="n">
        <v>0.136415225373283</v>
      </c>
      <c r="G40" s="313" t="n">
        <v>0.800892423477989</v>
      </c>
      <c r="H40" s="313" t="n">
        <v>0.833584082448911</v>
      </c>
      <c r="I40" s="312" t="n">
        <v>0.0486451686915886</v>
      </c>
      <c r="J40" s="312" t="n">
        <v>0.461894598880883</v>
      </c>
      <c r="K40" s="312" t="n">
        <v>0.02998</v>
      </c>
      <c r="L40" s="312" t="n">
        <v>0.0965571127984224</v>
      </c>
      <c r="M40" s="312" t="n">
        <v>0.0460613226875752</v>
      </c>
      <c r="N40" s="313" t="n">
        <v>0.963176898461064</v>
      </c>
      <c r="O40" s="313" t="n">
        <v>7.41886096455247</v>
      </c>
      <c r="P40" s="313" t="n">
        <v>28.5288761153346</v>
      </c>
      <c r="Q40" s="313" t="n">
        <v>49.2488450887397</v>
      </c>
      <c r="R40" s="313" t="n">
        <v>5.77454288876315</v>
      </c>
      <c r="S40" s="313" t="n">
        <v>317.981478965745</v>
      </c>
      <c r="T40" s="312" t="n">
        <v>0.251628482887184</v>
      </c>
      <c r="U40" s="312" t="n">
        <v>0.0515319542559452</v>
      </c>
      <c r="V40" s="312" t="n">
        <v>0.11832959057934</v>
      </c>
      <c r="W40" s="312" t="n">
        <v>1.13464294446836</v>
      </c>
      <c r="X40" s="312" t="n">
        <v>0.105491291434298</v>
      </c>
      <c r="Y40" s="312" t="n">
        <v>0.301072032483564</v>
      </c>
      <c r="Z40" s="312" t="n">
        <v>0.301072032483564</v>
      </c>
      <c r="AA40" s="314" t="n">
        <v>0.140906134619663</v>
      </c>
    </row>
    <row r="41" customFormat="false" ht="12" hidden="false" customHeight="true" outlineLevel="0" collapsed="false">
      <c r="A41" s="6" t="s">
        <v>682</v>
      </c>
      <c r="B41" s="311" t="n">
        <v>129</v>
      </c>
      <c r="C41" s="312" t="n">
        <v>0.175438596491228</v>
      </c>
      <c r="D41" s="312" t="n">
        <v>0.0496888016252225</v>
      </c>
      <c r="E41" s="312" t="n">
        <v>0.352717824497646</v>
      </c>
      <c r="F41" s="312" t="n">
        <v>0.240536921237159</v>
      </c>
      <c r="G41" s="313" t="n">
        <v>0.738808245257151</v>
      </c>
      <c r="H41" s="313" t="n">
        <v>0.850774493252392</v>
      </c>
      <c r="I41" s="312" t="n">
        <v>0.0494565560815129</v>
      </c>
      <c r="J41" s="312" t="n">
        <v>0.44491607317893</v>
      </c>
      <c r="K41" s="312" t="n">
        <v>0.02998</v>
      </c>
      <c r="L41" s="312" t="n">
        <v>0.240723452296365</v>
      </c>
      <c r="M41" s="312" t="n">
        <v>0.0428195322057692</v>
      </c>
      <c r="N41" s="313" t="n">
        <v>7.71543406024453</v>
      </c>
      <c r="O41" s="313" t="n">
        <v>0.682084420395306</v>
      </c>
      <c r="P41" s="313" t="n">
        <v>10.360969964205</v>
      </c>
      <c r="Q41" s="313" t="n">
        <v>13.6284438059692</v>
      </c>
      <c r="R41" s="313" t="n">
        <v>2.90887318885254</v>
      </c>
      <c r="S41" s="313" t="n">
        <v>104.17605537136</v>
      </c>
      <c r="T41" s="312" t="n">
        <v>-0.0533130385452931</v>
      </c>
      <c r="U41" s="312" t="n">
        <v>0.00740917549819544</v>
      </c>
      <c r="V41" s="312" t="n">
        <v>0.00684623451974433</v>
      </c>
      <c r="W41" s="312" t="n">
        <v>0.195717317022015</v>
      </c>
      <c r="X41" s="312" t="n">
        <v>0.165983181235554</v>
      </c>
      <c r="Y41" s="312" t="n">
        <v>0.256272741939524</v>
      </c>
      <c r="Z41" s="312" t="n">
        <v>0.256272741939524</v>
      </c>
      <c r="AA41" s="314" t="n">
        <v>0.0484477240904708</v>
      </c>
    </row>
    <row r="42" customFormat="false" ht="12" hidden="false" customHeight="true" outlineLevel="0" collapsed="false">
      <c r="A42" s="6" t="s">
        <v>683</v>
      </c>
      <c r="B42" s="311" t="n">
        <v>139</v>
      </c>
      <c r="C42" s="312" t="n">
        <v>0.150238928571429</v>
      </c>
      <c r="D42" s="312" t="n">
        <v>0.131400348082533</v>
      </c>
      <c r="E42" s="312" t="n">
        <v>0.163522191035622</v>
      </c>
      <c r="F42" s="312" t="n">
        <v>0.164274480397631</v>
      </c>
      <c r="G42" s="313" t="n">
        <v>0.753504411821122</v>
      </c>
      <c r="H42" s="313" t="n">
        <v>0.790902890787208</v>
      </c>
      <c r="I42" s="312" t="n">
        <v>0.0466306164451562</v>
      </c>
      <c r="J42" s="312" t="n">
        <v>0.424486026249754</v>
      </c>
      <c r="K42" s="312" t="n">
        <v>0.02998</v>
      </c>
      <c r="L42" s="312" t="n">
        <v>0.107937716599123</v>
      </c>
      <c r="M42" s="312" t="n">
        <v>0.043959674285315</v>
      </c>
      <c r="N42" s="313" t="n">
        <v>1.2445291896621</v>
      </c>
      <c r="O42" s="313" t="n">
        <v>7.33387458565224</v>
      </c>
      <c r="P42" s="313" t="n">
        <v>29.3166791720393</v>
      </c>
      <c r="Q42" s="313" t="n">
        <v>50.4876879698026</v>
      </c>
      <c r="R42" s="313" t="n">
        <v>7.11965738789216</v>
      </c>
      <c r="S42" s="313" t="n">
        <v>162.960689063517</v>
      </c>
      <c r="T42" s="312" t="n">
        <v>0.230695661728999</v>
      </c>
      <c r="U42" s="312" t="n">
        <v>0.0382416089778354</v>
      </c>
      <c r="V42" s="312" t="n">
        <v>0.000724692237617602</v>
      </c>
      <c r="W42" s="312" t="n">
        <v>0.102832287312589</v>
      </c>
      <c r="X42" s="312" t="n">
        <v>0.141101137033757</v>
      </c>
      <c r="Y42" s="312" t="n">
        <v>0.105540384449893</v>
      </c>
      <c r="Z42" s="312" t="n">
        <v>0.105540384449893</v>
      </c>
      <c r="AA42" s="314" t="n">
        <v>0.136881086584323</v>
      </c>
    </row>
    <row r="43" customFormat="false" ht="12" hidden="false" customHeight="true" outlineLevel="0" collapsed="false">
      <c r="A43" s="6" t="s">
        <v>684</v>
      </c>
      <c r="B43" s="311" t="n">
        <v>30</v>
      </c>
      <c r="C43" s="312" t="n">
        <v>0.135221739130435</v>
      </c>
      <c r="D43" s="312" t="n">
        <v>0.118117934172759</v>
      </c>
      <c r="E43" s="312" t="n">
        <v>0.135765652623528</v>
      </c>
      <c r="F43" s="312" t="n">
        <v>0.203043517463544</v>
      </c>
      <c r="G43" s="313" t="n">
        <v>1.3290311296483</v>
      </c>
      <c r="H43" s="313" t="n">
        <v>1.45895383727803</v>
      </c>
      <c r="I43" s="312" t="n">
        <v>0.0781626211195231</v>
      </c>
      <c r="J43" s="312" t="n">
        <v>0.365572540843541</v>
      </c>
      <c r="K43" s="312" t="n">
        <v>0.0258</v>
      </c>
      <c r="L43" s="312" t="n">
        <v>0.24657713832421</v>
      </c>
      <c r="M43" s="312" t="n">
        <v>0.0635335395031498</v>
      </c>
      <c r="N43" s="313" t="n">
        <v>1.36576135922798</v>
      </c>
      <c r="O43" s="313" t="n">
        <v>1.20919542712359</v>
      </c>
      <c r="P43" s="313" t="n">
        <v>9.54493098881128</v>
      </c>
      <c r="Q43" s="313" t="n">
        <v>10.2267690990495</v>
      </c>
      <c r="R43" s="313" t="n">
        <v>1.7506787743935</v>
      </c>
      <c r="S43" s="313" t="n">
        <v>17.3421117196521</v>
      </c>
      <c r="T43" s="312" t="n">
        <v>0.660963674990422</v>
      </c>
      <c r="U43" s="312" t="n">
        <v>0.00735337864297042</v>
      </c>
      <c r="V43" s="312" t="n">
        <v>0.00631101064954856</v>
      </c>
      <c r="W43" s="312" t="n">
        <v>-0.10147826243567</v>
      </c>
      <c r="X43" s="312" t="n">
        <v>0.177019800780501</v>
      </c>
      <c r="Y43" s="312" t="n">
        <v>0.0758221918669935</v>
      </c>
      <c r="Z43" s="312" t="n">
        <v>0.0758221918669935</v>
      </c>
      <c r="AA43" s="314" t="n">
        <v>0.118208993417788</v>
      </c>
    </row>
    <row r="44" customFormat="false" ht="12" hidden="false" customHeight="true" outlineLevel="0" collapsed="false">
      <c r="A44" s="6" t="s">
        <v>685</v>
      </c>
      <c r="B44" s="311" t="n">
        <v>32</v>
      </c>
      <c r="C44" s="312" t="n">
        <v>0.0423654545454546</v>
      </c>
      <c r="D44" s="312" t="n">
        <v>0.101950665352227</v>
      </c>
      <c r="E44" s="312" t="n">
        <v>0.131759701324596</v>
      </c>
      <c r="F44" s="312" t="n">
        <v>0.203154253646501</v>
      </c>
      <c r="G44" s="313" t="n">
        <v>0.80772483291603</v>
      </c>
      <c r="H44" s="313" t="n">
        <v>1.2831022322022</v>
      </c>
      <c r="I44" s="312" t="n">
        <v>0.0698624253599437</v>
      </c>
      <c r="J44" s="312" t="n">
        <v>0.492114487056928</v>
      </c>
      <c r="K44" s="312" t="n">
        <v>0.02998</v>
      </c>
      <c r="L44" s="312" t="n">
        <v>0.498502028347713</v>
      </c>
      <c r="M44" s="312" t="n">
        <v>0.0459457809039221</v>
      </c>
      <c r="N44" s="313" t="n">
        <v>1.51240864259969</v>
      </c>
      <c r="O44" s="313" t="n">
        <v>1.5355178116126</v>
      </c>
      <c r="P44" s="313" t="n">
        <v>8.96546324706813</v>
      </c>
      <c r="Q44" s="313" t="n">
        <v>16.1831617995113</v>
      </c>
      <c r="R44" s="313" t="n">
        <v>5.77990178287307</v>
      </c>
      <c r="S44" s="313" t="n">
        <v>44.6067022223566</v>
      </c>
      <c r="T44" s="312" t="n">
        <v>0.0337262712061314</v>
      </c>
      <c r="U44" s="312" t="n">
        <v>0.0591865741247855</v>
      </c>
      <c r="V44" s="312" t="n">
        <v>0.0139276842290445</v>
      </c>
      <c r="W44" s="312" t="n">
        <v>-0.260960851432053</v>
      </c>
      <c r="X44" s="312" t="n">
        <v>0.706385377665926</v>
      </c>
      <c r="Y44" s="312" t="n">
        <v>0.109113481028501</v>
      </c>
      <c r="Z44" s="312" t="n">
        <v>0.109113481028501</v>
      </c>
      <c r="AA44" s="314" t="n">
        <v>0.0948578376223792</v>
      </c>
    </row>
    <row r="45" customFormat="false" ht="12" hidden="false" customHeight="true" outlineLevel="0" collapsed="false">
      <c r="A45" s="6" t="s">
        <v>686</v>
      </c>
      <c r="B45" s="311" t="n">
        <v>66</v>
      </c>
      <c r="C45" s="312" t="n">
        <v>-0.00379594594594595</v>
      </c>
      <c r="D45" s="312" t="n">
        <v>-0.103380540153188</v>
      </c>
      <c r="E45" s="312" t="n">
        <v>-0.0523660690497349</v>
      </c>
      <c r="F45" s="312" t="n">
        <v>0.233404223072424</v>
      </c>
      <c r="G45" s="313" t="n">
        <v>1.18982529602728</v>
      </c>
      <c r="H45" s="313" t="n">
        <v>1.56468392285972</v>
      </c>
      <c r="I45" s="312" t="n">
        <v>0.0831530811589788</v>
      </c>
      <c r="J45" s="312" t="n">
        <v>0.436942052637361</v>
      </c>
      <c r="K45" s="312" t="n">
        <v>0.02998</v>
      </c>
      <c r="L45" s="312" t="n">
        <v>0.364012741767828</v>
      </c>
      <c r="M45" s="312" t="n">
        <v>0.0608508645585418</v>
      </c>
      <c r="N45" s="313" t="n">
        <v>0.38180384510982</v>
      </c>
      <c r="O45" s="313" t="n">
        <v>8.07825715258595</v>
      </c>
      <c r="P45" s="313" t="n">
        <v>38.3247604026184</v>
      </c>
      <c r="Q45" s="315" t="s">
        <v>646</v>
      </c>
      <c r="R45" s="313" t="n">
        <v>6.09657393158988</v>
      </c>
      <c r="S45" s="313" t="n">
        <v>64.1717309413886</v>
      </c>
      <c r="T45" s="312" t="n">
        <v>0.156699439415549</v>
      </c>
      <c r="U45" s="312" t="n">
        <v>0.185140109517515</v>
      </c>
      <c r="V45" s="312" t="n">
        <v>0.129963427994268</v>
      </c>
      <c r="W45" s="316" t="s">
        <v>646</v>
      </c>
      <c r="X45" s="312" t="n">
        <v>-0.304042276867342</v>
      </c>
      <c r="Y45" s="312" t="n">
        <v>0.00500763642693295</v>
      </c>
      <c r="Z45" s="312" t="n">
        <v>0.00500763642693292</v>
      </c>
      <c r="AA45" s="314" t="n">
        <v>-0.140132037950271</v>
      </c>
    </row>
    <row r="46" customFormat="false" ht="12" hidden="false" customHeight="true" outlineLevel="0" collapsed="false">
      <c r="A46" s="6" t="s">
        <v>687</v>
      </c>
      <c r="B46" s="311" t="n">
        <v>140</v>
      </c>
      <c r="C46" s="312" t="n">
        <v>0.1417682</v>
      </c>
      <c r="D46" s="312" t="n">
        <v>0.181966774441322</v>
      </c>
      <c r="E46" s="312" t="n">
        <v>0.349908180702404</v>
      </c>
      <c r="F46" s="312" t="n">
        <v>0.202368928749565</v>
      </c>
      <c r="G46" s="313" t="n">
        <v>0.683784871977479</v>
      </c>
      <c r="H46" s="313" t="n">
        <v>0.730004225820038</v>
      </c>
      <c r="I46" s="312" t="n">
        <v>0.0437561994587058</v>
      </c>
      <c r="J46" s="312" t="n">
        <v>0.546566826533168</v>
      </c>
      <c r="K46" s="312" t="n">
        <v>0.02998</v>
      </c>
      <c r="L46" s="312" t="n">
        <v>0.129285089291498</v>
      </c>
      <c r="M46" s="312" t="n">
        <v>0.0409286311978106</v>
      </c>
      <c r="N46" s="313" t="n">
        <v>2.01703176601924</v>
      </c>
      <c r="O46" s="313" t="n">
        <v>4.09342085730204</v>
      </c>
      <c r="P46" s="313" t="n">
        <v>17.5997717770969</v>
      </c>
      <c r="Q46" s="313" t="n">
        <v>22.3269197483467</v>
      </c>
      <c r="R46" s="313" t="n">
        <v>9.0587700371027</v>
      </c>
      <c r="S46" s="313" t="n">
        <v>36.2920038010216</v>
      </c>
      <c r="T46" s="312" t="n">
        <v>0.0885296028692331</v>
      </c>
      <c r="U46" s="312" t="n">
        <v>0.036469456611976</v>
      </c>
      <c r="V46" s="312" t="n">
        <v>0.0127043444477334</v>
      </c>
      <c r="W46" s="312" t="n">
        <v>-0.0257483754863405</v>
      </c>
      <c r="X46" s="312" t="n">
        <v>0.315965738136175</v>
      </c>
      <c r="Y46" s="312" t="n">
        <v>0.608526708455038</v>
      </c>
      <c r="Z46" s="312" t="n">
        <v>0.608526708455038</v>
      </c>
      <c r="AA46" s="314" t="n">
        <v>0.182715685038373</v>
      </c>
    </row>
    <row r="47" customFormat="false" ht="12" hidden="false" customHeight="true" outlineLevel="0" collapsed="false">
      <c r="A47" s="6" t="s">
        <v>688</v>
      </c>
      <c r="B47" s="311" t="n">
        <v>77</v>
      </c>
      <c r="C47" s="312" t="n">
        <v>0.121920540540541</v>
      </c>
      <c r="D47" s="312" t="n">
        <v>0.233952076223381</v>
      </c>
      <c r="E47" s="312" t="n">
        <v>0.243352171419402</v>
      </c>
      <c r="F47" s="312" t="n">
        <v>0.203463850000503</v>
      </c>
      <c r="G47" s="313" t="n">
        <v>0.974619127015034</v>
      </c>
      <c r="H47" s="313" t="n">
        <v>1.00991962601493</v>
      </c>
      <c r="I47" s="312" t="n">
        <v>0.0569682063479045</v>
      </c>
      <c r="J47" s="312" t="n">
        <v>0.423733432394101</v>
      </c>
      <c r="K47" s="312" t="n">
        <v>0.02998</v>
      </c>
      <c r="L47" s="312" t="n">
        <v>0.0856475307154102</v>
      </c>
      <c r="M47" s="312" t="n">
        <v>0.0539634506136396</v>
      </c>
      <c r="N47" s="313" t="n">
        <v>1.14154972634391</v>
      </c>
      <c r="O47" s="313" t="n">
        <v>10.5436431788137</v>
      </c>
      <c r="P47" s="313" t="n">
        <v>31.7026391692893</v>
      </c>
      <c r="Q47" s="313" t="n">
        <v>44.480181369409</v>
      </c>
      <c r="R47" s="313" t="n">
        <v>8.38305857995494</v>
      </c>
      <c r="S47" s="313" t="n">
        <v>71.1299903273056</v>
      </c>
      <c r="T47" s="312" t="n">
        <v>0.0679031703841867</v>
      </c>
      <c r="U47" s="312" t="n">
        <v>0.0307393375585181</v>
      </c>
      <c r="V47" s="312" t="n">
        <v>-0.00146835665133789</v>
      </c>
      <c r="W47" s="312" t="n">
        <v>-0.0707527365520488</v>
      </c>
      <c r="X47" s="312" t="n">
        <v>0.143469076196021</v>
      </c>
      <c r="Y47" s="312" t="n">
        <v>0.324138987927348</v>
      </c>
      <c r="Z47" s="312" t="n">
        <v>0.324138987927348</v>
      </c>
      <c r="AA47" s="314" t="n">
        <v>0.236107474957424</v>
      </c>
    </row>
    <row r="48" customFormat="false" ht="12" hidden="false" customHeight="true" outlineLevel="0" collapsed="false">
      <c r="A48" s="6" t="s">
        <v>689</v>
      </c>
      <c r="B48" s="311" t="n">
        <v>21</v>
      </c>
      <c r="C48" s="312" t="n">
        <v>0.0551221428571429</v>
      </c>
      <c r="D48" s="312" t="n">
        <v>0.128312899993349</v>
      </c>
      <c r="E48" s="312" t="n">
        <v>0.0925595116313582</v>
      </c>
      <c r="F48" s="312" t="n">
        <v>0.192992941049111</v>
      </c>
      <c r="G48" s="313" t="n">
        <v>0.558785275287594</v>
      </c>
      <c r="H48" s="313" t="n">
        <v>0.68233757937039</v>
      </c>
      <c r="I48" s="312" t="n">
        <v>0.0415063337462824</v>
      </c>
      <c r="J48" s="312" t="n">
        <v>0.301220405173558</v>
      </c>
      <c r="K48" s="312" t="n">
        <v>0.0258</v>
      </c>
      <c r="L48" s="312" t="n">
        <v>0.289837366521624</v>
      </c>
      <c r="M48" s="312" t="n">
        <v>0.0349350442403606</v>
      </c>
      <c r="N48" s="313" t="n">
        <v>0.819385935103708</v>
      </c>
      <c r="O48" s="313" t="n">
        <v>1.97274361278342</v>
      </c>
      <c r="P48" s="313" t="n">
        <v>9.98611664048919</v>
      </c>
      <c r="Q48" s="313" t="n">
        <v>15.0081675709818</v>
      </c>
      <c r="R48" s="313" t="n">
        <v>1.44876011465015</v>
      </c>
      <c r="S48" s="313" t="n">
        <v>50.362847538359</v>
      </c>
      <c r="T48" s="312" t="n">
        <v>-0.154391878376726</v>
      </c>
      <c r="U48" s="312" t="n">
        <v>0.00775087087415213</v>
      </c>
      <c r="V48" s="312" t="n">
        <v>-0.0316501807453307</v>
      </c>
      <c r="W48" s="312" t="n">
        <v>-0.444706663645344</v>
      </c>
      <c r="X48" s="312" t="n">
        <v>0.0148800811443984</v>
      </c>
      <c r="Y48" s="312" t="n">
        <v>1.92787818874775</v>
      </c>
      <c r="Z48" s="312" t="n">
        <v>1.92787818874775</v>
      </c>
      <c r="AA48" s="314" t="n">
        <v>0.12922179742689</v>
      </c>
    </row>
    <row r="49" customFormat="false" ht="12" hidden="false" customHeight="true" outlineLevel="0" collapsed="false">
      <c r="A49" s="6" t="s">
        <v>690</v>
      </c>
      <c r="B49" s="311" t="n">
        <v>26</v>
      </c>
      <c r="C49" s="312" t="n">
        <v>0.0334505</v>
      </c>
      <c r="D49" s="312" t="n">
        <v>0.0847794699205142</v>
      </c>
      <c r="E49" s="312" t="n">
        <v>0.0433319795975658</v>
      </c>
      <c r="F49" s="312" t="n">
        <v>0.130035501256814</v>
      </c>
      <c r="G49" s="313" t="n">
        <v>0.644479732024922</v>
      </c>
      <c r="H49" s="313" t="n">
        <v>0.976416632494054</v>
      </c>
      <c r="I49" s="312" t="n">
        <v>0.0553868650537193</v>
      </c>
      <c r="J49" s="312" t="n">
        <v>0.306764746756935</v>
      </c>
      <c r="K49" s="312" t="n">
        <v>0.0258</v>
      </c>
      <c r="L49" s="312" t="n">
        <v>0.545341356524641</v>
      </c>
      <c r="M49" s="312" t="n">
        <v>0.0354530760404619</v>
      </c>
      <c r="N49" s="313" t="n">
        <v>0.602094090739255</v>
      </c>
      <c r="O49" s="313" t="n">
        <v>1.31062362149506</v>
      </c>
      <c r="P49" s="313" t="n">
        <v>12.5091148462358</v>
      </c>
      <c r="Q49" s="313" t="n">
        <v>15.0044589953611</v>
      </c>
      <c r="R49" s="313" t="n">
        <v>0.590880416479072</v>
      </c>
      <c r="S49" s="313" t="n">
        <v>28.9859996462768</v>
      </c>
      <c r="T49" s="312" t="n">
        <v>0.0134644199315128</v>
      </c>
      <c r="U49" s="312" t="n">
        <v>0.00162369428657292</v>
      </c>
      <c r="V49" s="312" t="n">
        <v>-0.00386063626711021</v>
      </c>
      <c r="W49" s="312" t="n">
        <v>0.0263748191236712</v>
      </c>
      <c r="X49" s="312" t="n">
        <v>0.0560580350533544</v>
      </c>
      <c r="Y49" s="312" t="n">
        <v>0.379547984722899</v>
      </c>
      <c r="Z49" s="312" t="n">
        <v>0.3795479847229</v>
      </c>
      <c r="AA49" s="314" t="n">
        <v>0.0847902419508322</v>
      </c>
    </row>
    <row r="50" customFormat="false" ht="12" hidden="false" customHeight="true" outlineLevel="0" collapsed="false">
      <c r="A50" s="6" t="s">
        <v>691</v>
      </c>
      <c r="B50" s="311" t="n">
        <v>55</v>
      </c>
      <c r="C50" s="312" t="n">
        <v>0.0308551111111111</v>
      </c>
      <c r="D50" s="312" t="n">
        <v>0.108474216752245</v>
      </c>
      <c r="E50" s="312" t="n">
        <v>0.107373242636253</v>
      </c>
      <c r="F50" s="312" t="n">
        <v>0.194597297722391</v>
      </c>
      <c r="G50" s="313" t="n">
        <v>0.578196261166536</v>
      </c>
      <c r="H50" s="313" t="n">
        <v>0.643217419831051</v>
      </c>
      <c r="I50" s="312" t="n">
        <v>0.0396598622160256</v>
      </c>
      <c r="J50" s="312" t="n">
        <v>0.229340833773021</v>
      </c>
      <c r="K50" s="312" t="n">
        <v>0.0192</v>
      </c>
      <c r="L50" s="312" t="n">
        <v>0.200360300116636</v>
      </c>
      <c r="M50" s="312" t="n">
        <v>0.034521850286273</v>
      </c>
      <c r="N50" s="313" t="n">
        <v>1.10570660185255</v>
      </c>
      <c r="O50" s="313" t="n">
        <v>1.44421666893097</v>
      </c>
      <c r="P50" s="313" t="n">
        <v>9.68582782094577</v>
      </c>
      <c r="Q50" s="313" t="n">
        <v>12.3318721335256</v>
      </c>
      <c r="R50" s="313" t="n">
        <v>1.54324688495069</v>
      </c>
      <c r="S50" s="313" t="n">
        <v>22.1233125202813</v>
      </c>
      <c r="T50" s="312" t="n">
        <v>-0.528045726967863</v>
      </c>
      <c r="U50" s="312" t="n">
        <v>0.0106375884261806</v>
      </c>
      <c r="V50" s="312" t="n">
        <v>0.00365076691574282</v>
      </c>
      <c r="W50" s="312" t="n">
        <v>0.134654408946023</v>
      </c>
      <c r="X50" s="312" t="n">
        <v>0.091936527340318</v>
      </c>
      <c r="Y50" s="312" t="n">
        <v>0.38393406234625</v>
      </c>
      <c r="Z50" s="312" t="n">
        <v>0.38393406234625</v>
      </c>
      <c r="AA50" s="314" t="n">
        <v>0.108941285413497</v>
      </c>
    </row>
    <row r="51" customFormat="false" ht="12" hidden="false" customHeight="true" outlineLevel="0" collapsed="false">
      <c r="A51" s="6" t="s">
        <v>692</v>
      </c>
      <c r="B51" s="311" t="n">
        <v>348</v>
      </c>
      <c r="C51" s="312" t="n">
        <v>0.00650322033898305</v>
      </c>
      <c r="D51" s="312" t="n">
        <v>0.169491318481151</v>
      </c>
      <c r="E51" s="312" t="n">
        <v>0.0723545831648802</v>
      </c>
      <c r="F51" s="312" t="n">
        <v>0.185224017283084</v>
      </c>
      <c r="G51" s="313" t="n">
        <v>0.78493309091987</v>
      </c>
      <c r="H51" s="313" t="n">
        <v>0.929236807771928</v>
      </c>
      <c r="I51" s="312" t="n">
        <v>0.053159977326835</v>
      </c>
      <c r="J51" s="312" t="n">
        <v>0.288549528481318</v>
      </c>
      <c r="K51" s="312" t="n">
        <v>0.0258</v>
      </c>
      <c r="L51" s="312" t="n">
        <v>0.311390241123556</v>
      </c>
      <c r="M51" s="312" t="n">
        <v>0.0424712029702301</v>
      </c>
      <c r="N51" s="313" t="n">
        <v>0.453070812180548</v>
      </c>
      <c r="O51" s="313" t="n">
        <v>5.87151632236579</v>
      </c>
      <c r="P51" s="313" t="n">
        <v>26.1716743549639</v>
      </c>
      <c r="Q51" s="313" t="n">
        <v>30.597103347514</v>
      </c>
      <c r="R51" s="313" t="n">
        <v>2.05015542215295</v>
      </c>
      <c r="S51" s="313" t="n">
        <v>625.406199667053</v>
      </c>
      <c r="T51" s="316" t="s">
        <v>646</v>
      </c>
      <c r="U51" s="312" t="n">
        <v>0.0291591325519686</v>
      </c>
      <c r="V51" s="312" t="n">
        <v>0.0530704084221958</v>
      </c>
      <c r="W51" s="312" t="n">
        <v>0.462277697087848</v>
      </c>
      <c r="X51" s="312" t="n">
        <v>0.12346905522547</v>
      </c>
      <c r="Y51" s="312" t="n">
        <v>0.526965622529462</v>
      </c>
      <c r="Z51" s="312" t="n">
        <v>0.526965622529462</v>
      </c>
      <c r="AA51" s="314" t="n">
        <v>0.167446927841571</v>
      </c>
    </row>
    <row r="52" customFormat="false" ht="12" hidden="false" customHeight="true" outlineLevel="0" collapsed="false">
      <c r="A52" s="6" t="s">
        <v>693</v>
      </c>
      <c r="B52" s="311" t="n">
        <v>125</v>
      </c>
      <c r="C52" s="312" t="n">
        <v>0.0343967105263158</v>
      </c>
      <c r="D52" s="312" t="n">
        <v>0.130748437093462</v>
      </c>
      <c r="E52" s="312" t="n">
        <v>0.214218670337815</v>
      </c>
      <c r="F52" s="312" t="n">
        <v>0.210310366351384</v>
      </c>
      <c r="G52" s="313" t="n">
        <v>0.957648550950647</v>
      </c>
      <c r="H52" s="313" t="n">
        <v>1.04793588476918</v>
      </c>
      <c r="I52" s="312" t="n">
        <v>0.0587625737611054</v>
      </c>
      <c r="J52" s="312" t="n">
        <v>0.342805534403098</v>
      </c>
      <c r="K52" s="312" t="n">
        <v>0.0258</v>
      </c>
      <c r="L52" s="312" t="n">
        <v>0.164242589435437</v>
      </c>
      <c r="M52" s="312" t="n">
        <v>0.0522046014141176</v>
      </c>
      <c r="N52" s="313" t="n">
        <v>1.77868590345564</v>
      </c>
      <c r="O52" s="313" t="n">
        <v>3.06352390415212</v>
      </c>
      <c r="P52" s="313" t="n">
        <v>16.7023759223837</v>
      </c>
      <c r="Q52" s="313" t="n">
        <v>23.0822326161208</v>
      </c>
      <c r="R52" s="313" t="n">
        <v>4.54671637264012</v>
      </c>
      <c r="S52" s="313" t="n">
        <v>46.0868551880003</v>
      </c>
      <c r="T52" s="312" t="n">
        <v>0.233070385501912</v>
      </c>
      <c r="U52" s="312" t="n">
        <v>0.0243721146701428</v>
      </c>
      <c r="V52" s="312" t="n">
        <v>0.0399401324620242</v>
      </c>
      <c r="W52" s="312" t="n">
        <v>0.206248065602475</v>
      </c>
      <c r="X52" s="312" t="n">
        <v>0.126480743592359</v>
      </c>
      <c r="Y52" s="312" t="n">
        <v>0.453744114091528</v>
      </c>
      <c r="Z52" s="312" t="n">
        <v>0.453744114091528</v>
      </c>
      <c r="AA52" s="314" t="n">
        <v>0.132115543071498</v>
      </c>
    </row>
    <row r="53" customFormat="false" ht="12" hidden="false" customHeight="true" outlineLevel="0" collapsed="false">
      <c r="A53" s="6" t="s">
        <v>694</v>
      </c>
      <c r="B53" s="311" t="n">
        <v>86</v>
      </c>
      <c r="C53" s="312" t="n">
        <v>0.0401991666666667</v>
      </c>
      <c r="D53" s="312" t="n">
        <v>0.114650998875376</v>
      </c>
      <c r="E53" s="312" t="n">
        <v>0.107496153667537</v>
      </c>
      <c r="F53" s="312" t="n">
        <v>0.519838739346373</v>
      </c>
      <c r="G53" s="313" t="n">
        <v>0.819145724380141</v>
      </c>
      <c r="H53" s="313" t="n">
        <v>0.9037228265597</v>
      </c>
      <c r="I53" s="312" t="n">
        <v>0.0519557174136179</v>
      </c>
      <c r="J53" s="312" t="n">
        <v>0.678402645114177</v>
      </c>
      <c r="K53" s="312" t="n">
        <v>0.040925</v>
      </c>
      <c r="L53" s="312" t="n">
        <v>0.192618820651646</v>
      </c>
      <c r="M53" s="312" t="n">
        <v>0.0477026038209697</v>
      </c>
      <c r="N53" s="313" t="n">
        <v>0.970984696901528</v>
      </c>
      <c r="O53" s="313" t="n">
        <v>2.99618860995674</v>
      </c>
      <c r="P53" s="313" t="n">
        <v>13.9011987910891</v>
      </c>
      <c r="Q53" s="313" t="n">
        <v>25.9201749380458</v>
      </c>
      <c r="R53" s="313" t="n">
        <v>3.28650788853472</v>
      </c>
      <c r="S53" s="313" t="n">
        <v>44.4197327502525</v>
      </c>
      <c r="T53" s="312" t="n">
        <v>0.142953952472477</v>
      </c>
      <c r="U53" s="312" t="n">
        <v>0.0897604092455115</v>
      </c>
      <c r="V53" s="312" t="n">
        <v>0.0103253018736051</v>
      </c>
      <c r="W53" s="312" t="n">
        <v>-0.0746088112115807</v>
      </c>
      <c r="X53" s="312" t="n">
        <v>0.0267374094740555</v>
      </c>
      <c r="Y53" s="312" t="n">
        <v>1.97355347289632</v>
      </c>
      <c r="Z53" s="312" t="n">
        <v>1.97355347289632</v>
      </c>
      <c r="AA53" s="314" t="n">
        <v>0.112624369652506</v>
      </c>
    </row>
    <row r="54" customFormat="false" ht="12" hidden="false" customHeight="true" outlineLevel="0" collapsed="false">
      <c r="A54" s="6" t="s">
        <v>695</v>
      </c>
      <c r="B54" s="311" t="n">
        <v>22</v>
      </c>
      <c r="C54" s="312" t="n">
        <v>0.00783571428571428</v>
      </c>
      <c r="D54" s="312" t="n">
        <v>0.0750059357175592</v>
      </c>
      <c r="E54" s="312" t="n">
        <v>0.128391475422416</v>
      </c>
      <c r="F54" s="312" t="n">
        <v>0.239997283946426</v>
      </c>
      <c r="G54" s="313" t="n">
        <v>0.834309151075036</v>
      </c>
      <c r="H54" s="313" t="n">
        <v>1.0002964815878</v>
      </c>
      <c r="I54" s="312" t="n">
        <v>0.056513993930944</v>
      </c>
      <c r="J54" s="312" t="n">
        <v>0.311115726136824</v>
      </c>
      <c r="K54" s="312" t="n">
        <v>0.0258</v>
      </c>
      <c r="L54" s="312" t="n">
        <v>0.323507173102325</v>
      </c>
      <c r="M54" s="312" t="n">
        <v>0.0443242456118315</v>
      </c>
      <c r="N54" s="313" t="n">
        <v>1.97211371460436</v>
      </c>
      <c r="O54" s="313" t="n">
        <v>1.11942408589435</v>
      </c>
      <c r="P54" s="313" t="n">
        <v>8.82046886071223</v>
      </c>
      <c r="Q54" s="313" t="n">
        <v>14.7734312831612</v>
      </c>
      <c r="R54" s="313" t="n">
        <v>2.60212352673377</v>
      </c>
      <c r="S54" s="313" t="n">
        <v>33.0344582999103</v>
      </c>
      <c r="T54" s="312" t="n">
        <v>0.0665925668251365</v>
      </c>
      <c r="U54" s="312" t="n">
        <v>0.0281214972364403</v>
      </c>
      <c r="V54" s="312" t="n">
        <v>0.00369255743842038</v>
      </c>
      <c r="W54" s="312" t="n">
        <v>-0.106604816317969</v>
      </c>
      <c r="X54" s="312" t="n">
        <v>0.0636276557747881</v>
      </c>
      <c r="Y54" s="312" t="n">
        <v>0.91771209866043</v>
      </c>
      <c r="Z54" s="312" t="n">
        <v>0.91771209866043</v>
      </c>
      <c r="AA54" s="314" t="n">
        <v>0.0751080654816564</v>
      </c>
    </row>
    <row r="55" customFormat="false" ht="12" hidden="false" customHeight="true" outlineLevel="0" collapsed="false">
      <c r="A55" s="6" t="s">
        <v>696</v>
      </c>
      <c r="B55" s="311" t="n">
        <v>3</v>
      </c>
      <c r="C55" s="312" t="n">
        <v>-0.0124</v>
      </c>
      <c r="D55" s="312" t="n">
        <v>-0.042742659174976</v>
      </c>
      <c r="E55" s="312" t="n">
        <v>-0.0233373285662448</v>
      </c>
      <c r="F55" s="312" t="n">
        <v>0.256274131274131</v>
      </c>
      <c r="G55" s="313" t="n">
        <v>0.987813337225918</v>
      </c>
      <c r="H55" s="313" t="n">
        <v>1.26061401350502</v>
      </c>
      <c r="I55" s="312" t="n">
        <v>0.0688009814374368</v>
      </c>
      <c r="J55" s="312" t="n">
        <v>0.263884397589671</v>
      </c>
      <c r="K55" s="312" t="n">
        <v>0.0258</v>
      </c>
      <c r="L55" s="312" t="n">
        <v>0.306010732085602</v>
      </c>
      <c r="M55" s="312" t="n">
        <v>0.0535105488676591</v>
      </c>
      <c r="N55" s="313" t="n">
        <v>0.644972486598901</v>
      </c>
      <c r="O55" s="313" t="n">
        <v>1.53542220046548</v>
      </c>
      <c r="P55" s="313" t="n">
        <v>10.7733543269141</v>
      </c>
      <c r="Q55" s="315" t="s">
        <v>646</v>
      </c>
      <c r="R55" s="313" t="n">
        <v>1.04900478440462</v>
      </c>
      <c r="S55" s="313" t="n">
        <v>52.4963253012048</v>
      </c>
      <c r="T55" s="312" t="n">
        <v>0.0538645054577404</v>
      </c>
      <c r="U55" s="312" t="n">
        <v>0.111033984635155</v>
      </c>
      <c r="V55" s="312" t="n">
        <v>-0.0672501180347757</v>
      </c>
      <c r="W55" s="316" t="s">
        <v>646</v>
      </c>
      <c r="X55" s="312" t="n">
        <v>-0.0618855388981762</v>
      </c>
      <c r="Y55" s="312" t="n">
        <v>0.0447771084337349</v>
      </c>
      <c r="Z55" s="312" t="n">
        <v>0.044777108433735</v>
      </c>
      <c r="AA55" s="314" t="n">
        <v>-0.0395800548275878</v>
      </c>
    </row>
    <row r="56" customFormat="false" ht="12" hidden="false" customHeight="true" outlineLevel="0" collapsed="false">
      <c r="A56" s="6" t="s">
        <v>697</v>
      </c>
      <c r="B56" s="311" t="n">
        <v>278</v>
      </c>
      <c r="C56" s="312" t="n">
        <v>-0.0117097345132743</v>
      </c>
      <c r="D56" s="312" t="n">
        <v>-0.213984957310258</v>
      </c>
      <c r="E56" s="312" t="n">
        <v>-0.06328679112816</v>
      </c>
      <c r="F56" s="312" t="n">
        <v>0.285947133496817</v>
      </c>
      <c r="G56" s="313" t="n">
        <v>0.810794024639704</v>
      </c>
      <c r="H56" s="313" t="n">
        <v>1.18339059554921</v>
      </c>
      <c r="I56" s="312" t="n">
        <v>0.0651560361099228</v>
      </c>
      <c r="J56" s="312" t="n">
        <v>0.562762742469517</v>
      </c>
      <c r="K56" s="312" t="n">
        <v>0.02998</v>
      </c>
      <c r="L56" s="312" t="n">
        <v>0.418864214916213</v>
      </c>
      <c r="M56" s="312" t="n">
        <v>0.0470315150868148</v>
      </c>
      <c r="N56" s="313" t="n">
        <v>0.307838683681086</v>
      </c>
      <c r="O56" s="313" t="n">
        <v>2.90751103928717</v>
      </c>
      <c r="P56" s="313" t="n">
        <v>6.39414658773137</v>
      </c>
      <c r="Q56" s="315" t="s">
        <v>646</v>
      </c>
      <c r="R56" s="313" t="n">
        <v>1.20886833189555</v>
      </c>
      <c r="S56" s="313" t="n">
        <v>26.1343607515619</v>
      </c>
      <c r="T56" s="312" t="n">
        <v>0.0128956752276945</v>
      </c>
      <c r="U56" s="312" t="n">
        <v>0.388222448429506</v>
      </c>
      <c r="V56" s="312" t="n">
        <v>-0.228471649122981</v>
      </c>
      <c r="W56" s="316" t="s">
        <v>646</v>
      </c>
      <c r="X56" s="312" t="n">
        <v>-0.370856366829633</v>
      </c>
      <c r="Y56" s="312" t="n">
        <v>0.0167725958579493</v>
      </c>
      <c r="Z56" s="312" t="n">
        <v>0.0167725958579492</v>
      </c>
      <c r="AA56" s="314" t="n">
        <v>-0.206988457884289</v>
      </c>
    </row>
    <row r="57" customFormat="false" ht="12" hidden="false" customHeight="true" outlineLevel="0" collapsed="false">
      <c r="A57" s="6" t="s">
        <v>698</v>
      </c>
      <c r="B57" s="311" t="n">
        <v>57</v>
      </c>
      <c r="C57" s="312" t="n">
        <v>0.10740717948718</v>
      </c>
      <c r="D57" s="312" t="n">
        <v>0.174321250423704</v>
      </c>
      <c r="E57" s="312" t="n">
        <v>0.0901001445532453</v>
      </c>
      <c r="F57" s="312" t="n">
        <v>0.0874013491568907</v>
      </c>
      <c r="G57" s="313" t="n">
        <v>0.602549550656971</v>
      </c>
      <c r="H57" s="313" t="n">
        <v>1.15693545764682</v>
      </c>
      <c r="I57" s="312" t="n">
        <v>0.0639073536009301</v>
      </c>
      <c r="J57" s="312" t="n">
        <v>0.407778047801528</v>
      </c>
      <c r="K57" s="312" t="n">
        <v>0.02998</v>
      </c>
      <c r="L57" s="312" t="n">
        <v>0.564636650526495</v>
      </c>
      <c r="M57" s="312" t="n">
        <v>0.0401802184711211</v>
      </c>
      <c r="N57" s="313" t="n">
        <v>0.543227454668602</v>
      </c>
      <c r="O57" s="313" t="n">
        <v>2.42486520889237</v>
      </c>
      <c r="P57" s="313" t="n">
        <v>9.1233312166576</v>
      </c>
      <c r="Q57" s="313" t="n">
        <v>13.9456587811756</v>
      </c>
      <c r="R57" s="313" t="n">
        <v>1.24018893184319</v>
      </c>
      <c r="S57" s="313" t="n">
        <v>37.0827799593483</v>
      </c>
      <c r="T57" s="312" t="n">
        <v>0.0697280717431453</v>
      </c>
      <c r="U57" s="312" t="n">
        <v>0.134812865493434</v>
      </c>
      <c r="V57" s="312" t="n">
        <v>0.0501486975652557</v>
      </c>
      <c r="W57" s="312" t="n">
        <v>0.36477100667667</v>
      </c>
      <c r="X57" s="312" t="n">
        <v>0.012807842501367</v>
      </c>
      <c r="Y57" s="312" t="n">
        <v>0.0465929149324101</v>
      </c>
      <c r="Z57" s="312" t="n">
        <v>0.0465929149324101</v>
      </c>
      <c r="AA57" s="314" t="n">
        <v>0.173761783699029</v>
      </c>
    </row>
    <row r="58" customFormat="false" ht="12" hidden="false" customHeight="true" outlineLevel="0" collapsed="false">
      <c r="A58" s="6" t="s">
        <v>699</v>
      </c>
      <c r="B58" s="311" t="n">
        <v>135</v>
      </c>
      <c r="C58" s="312" t="n">
        <v>-0.0685660344827586</v>
      </c>
      <c r="D58" s="312" t="n">
        <v>0.00474018174322196</v>
      </c>
      <c r="E58" s="312" t="n">
        <v>0.0129326440906161</v>
      </c>
      <c r="F58" s="312" t="n">
        <v>0.0436584380189191</v>
      </c>
      <c r="G58" s="313" t="n">
        <v>0.835146995721069</v>
      </c>
      <c r="H58" s="313" t="n">
        <v>1.20773615652602</v>
      </c>
      <c r="I58" s="312" t="n">
        <v>0.0663051465880281</v>
      </c>
      <c r="J58" s="312" t="n">
        <v>0.502674744687283</v>
      </c>
      <c r="K58" s="312" t="n">
        <v>0.02998</v>
      </c>
      <c r="L58" s="312" t="n">
        <v>0.436421076316018</v>
      </c>
      <c r="M58" s="312" t="n">
        <v>0.0469194329723961</v>
      </c>
      <c r="N58" s="313" t="n">
        <v>1.88014092196923</v>
      </c>
      <c r="O58" s="313" t="n">
        <v>0.734257702531346</v>
      </c>
      <c r="P58" s="313" t="n">
        <v>11.3475989665461</v>
      </c>
      <c r="Q58" s="313" t="n">
        <v>95.7750167286098</v>
      </c>
      <c r="R58" s="313" t="n">
        <v>1.30323524172801</v>
      </c>
      <c r="S58" s="313" t="n">
        <v>31.7761499317186</v>
      </c>
      <c r="T58" s="312" t="n">
        <v>0.114067578292337</v>
      </c>
      <c r="U58" s="312" t="n">
        <v>0.041399140362136</v>
      </c>
      <c r="V58" s="312" t="n">
        <v>-0.000793931205913985</v>
      </c>
      <c r="W58" s="312" t="n">
        <v>-0.398253246998395</v>
      </c>
      <c r="X58" s="312" t="n">
        <v>-0.266308625489745</v>
      </c>
      <c r="Y58" s="312" t="n">
        <v>0.00304157598622926</v>
      </c>
      <c r="Z58" s="312" t="n">
        <v>0.00304157598622923</v>
      </c>
      <c r="AA58" s="314" t="n">
        <v>0.00696363982334561</v>
      </c>
    </row>
    <row r="59" customFormat="false" ht="12" hidden="false" customHeight="true" outlineLevel="0" collapsed="false">
      <c r="A59" s="6" t="s">
        <v>700</v>
      </c>
      <c r="B59" s="311" t="n">
        <v>26</v>
      </c>
      <c r="C59" s="312" t="n">
        <v>0.0252242105263158</v>
      </c>
      <c r="D59" s="312" t="n">
        <v>0.0966409862731857</v>
      </c>
      <c r="E59" s="312" t="n">
        <v>0.122487259764159</v>
      </c>
      <c r="F59" s="312" t="n">
        <v>0.253826444066042</v>
      </c>
      <c r="G59" s="313" t="n">
        <v>0.682342881507701</v>
      </c>
      <c r="H59" s="313" t="n">
        <v>0.921621101202044</v>
      </c>
      <c r="I59" s="312" t="n">
        <v>0.0528005159767365</v>
      </c>
      <c r="J59" s="312" t="n">
        <v>0.292154950358749</v>
      </c>
      <c r="K59" s="312" t="n">
        <v>0.0258</v>
      </c>
      <c r="L59" s="312" t="n">
        <v>0.355303897878574</v>
      </c>
      <c r="M59" s="312" t="n">
        <v>0.0407320804528472</v>
      </c>
      <c r="N59" s="313" t="n">
        <v>1.47176934064598</v>
      </c>
      <c r="O59" s="313" t="n">
        <v>1.71698279856437</v>
      </c>
      <c r="P59" s="313" t="n">
        <v>10.3351895342004</v>
      </c>
      <c r="Q59" s="313" t="n">
        <v>17.4785909494577</v>
      </c>
      <c r="R59" s="313" t="n">
        <v>3.75730118506597</v>
      </c>
      <c r="S59" s="313" t="n">
        <v>24.2523172589606</v>
      </c>
      <c r="T59" s="312" t="n">
        <v>0.0723060577606916</v>
      </c>
      <c r="U59" s="312" t="n">
        <v>0.0533904649488703</v>
      </c>
      <c r="V59" s="312" t="n">
        <v>0.0217766481987773</v>
      </c>
      <c r="W59" s="312" t="n">
        <v>0.227658813082451</v>
      </c>
      <c r="X59" s="312" t="n">
        <v>0.0975907679835168</v>
      </c>
      <c r="Y59" s="312" t="n">
        <v>0.649447313645033</v>
      </c>
      <c r="Z59" s="312" t="n">
        <v>0.649447313645033</v>
      </c>
      <c r="AA59" s="314" t="n">
        <v>0.0986075013246251</v>
      </c>
    </row>
    <row r="60" customFormat="false" ht="12" hidden="false" customHeight="true" outlineLevel="0" collapsed="false">
      <c r="A60" s="6" t="s">
        <v>701</v>
      </c>
      <c r="B60" s="311" t="n">
        <v>15</v>
      </c>
      <c r="C60" s="312" t="n">
        <v>0.005061</v>
      </c>
      <c r="D60" s="312" t="n">
        <v>0.0584319230146842</v>
      </c>
      <c r="E60" s="312" t="n">
        <v>0.0837733869080425</v>
      </c>
      <c r="F60" s="312" t="n">
        <v>0.210868147632917</v>
      </c>
      <c r="G60" s="313" t="n">
        <v>0.959187865569222</v>
      </c>
      <c r="H60" s="313" t="n">
        <v>1.13871835127884</v>
      </c>
      <c r="I60" s="312" t="n">
        <v>0.0630475061803611</v>
      </c>
      <c r="J60" s="312" t="n">
        <v>0.35669571939418</v>
      </c>
      <c r="K60" s="312" t="n">
        <v>0.0258</v>
      </c>
      <c r="L60" s="312" t="n">
        <v>0.27285585374763</v>
      </c>
      <c r="M60" s="312" t="n">
        <v>0.0509835922043426</v>
      </c>
      <c r="N60" s="313" t="n">
        <v>1.48210965037476</v>
      </c>
      <c r="O60" s="313" t="n">
        <v>0.943690860499648</v>
      </c>
      <c r="P60" s="313" t="n">
        <v>7.70904153846463</v>
      </c>
      <c r="Q60" s="313" t="n">
        <v>15.6450627698956</v>
      </c>
      <c r="R60" s="313" t="n">
        <v>1.60621318350362</v>
      </c>
      <c r="S60" s="313" t="n">
        <v>20.0468115875961</v>
      </c>
      <c r="T60" s="312" t="n">
        <v>0.154001956700214</v>
      </c>
      <c r="U60" s="312" t="n">
        <v>0.0385103246370529</v>
      </c>
      <c r="V60" s="312" t="n">
        <v>-0.00289659923127514</v>
      </c>
      <c r="W60" s="312" t="n">
        <v>-0.279113232421447</v>
      </c>
      <c r="X60" s="312" t="n">
        <v>0.046945245841262</v>
      </c>
      <c r="Y60" s="312" t="n">
        <v>1.17516687696542</v>
      </c>
      <c r="Z60" s="312" t="n">
        <v>1.17516687696542</v>
      </c>
      <c r="AA60" s="314" t="n">
        <v>0.0600845565021877</v>
      </c>
    </row>
    <row r="61" customFormat="false" ht="12" hidden="false" customHeight="true" outlineLevel="0" collapsed="false">
      <c r="A61" s="6" t="s">
        <v>702</v>
      </c>
      <c r="B61" s="311" t="n">
        <v>55</v>
      </c>
      <c r="C61" s="312" t="n">
        <v>0.0101168085106383</v>
      </c>
      <c r="D61" s="312" t="n">
        <v>0.198204638298098</v>
      </c>
      <c r="E61" s="312" t="n">
        <v>0.0680220903268518</v>
      </c>
      <c r="F61" s="312" t="n">
        <v>0.110225396362</v>
      </c>
      <c r="G61" s="313" t="n">
        <v>0.430898945536313</v>
      </c>
      <c r="H61" s="313" t="n">
        <v>0.666536915884902</v>
      </c>
      <c r="I61" s="312" t="n">
        <v>0.0407605424297674</v>
      </c>
      <c r="J61" s="312" t="n">
        <v>0.198598809843517</v>
      </c>
      <c r="K61" s="312" t="n">
        <v>0.0192</v>
      </c>
      <c r="L61" s="312" t="n">
        <v>0.438460959176709</v>
      </c>
      <c r="M61" s="312" t="n">
        <v>0.0290341047032694</v>
      </c>
      <c r="N61" s="313" t="n">
        <v>0.384990211530357</v>
      </c>
      <c r="O61" s="313" t="n">
        <v>4.36547843489905</v>
      </c>
      <c r="P61" s="313" t="n">
        <v>11.8860123773897</v>
      </c>
      <c r="Q61" s="313" t="n">
        <v>22.2572132098732</v>
      </c>
      <c r="R61" s="313" t="n">
        <v>1.90135026320905</v>
      </c>
      <c r="S61" s="313" t="n">
        <v>21.9535396918156</v>
      </c>
      <c r="T61" s="312" t="n">
        <v>0.02570926791953</v>
      </c>
      <c r="U61" s="312" t="n">
        <v>0.351073356789846</v>
      </c>
      <c r="V61" s="312" t="n">
        <v>0.205547450565134</v>
      </c>
      <c r="W61" s="312" t="n">
        <v>1.19533556060485</v>
      </c>
      <c r="X61" s="312" t="n">
        <v>0.0768681860753764</v>
      </c>
      <c r="Y61" s="312" t="n">
        <v>0.875886124128495</v>
      </c>
      <c r="Z61" s="312" t="n">
        <v>0.875886124128495</v>
      </c>
      <c r="AA61" s="314" t="n">
        <v>0.19611736910156</v>
      </c>
    </row>
    <row r="62" customFormat="false" ht="12" hidden="false" customHeight="true" outlineLevel="0" collapsed="false">
      <c r="A62" s="6" t="s">
        <v>703</v>
      </c>
      <c r="B62" s="311" t="n">
        <v>93</v>
      </c>
      <c r="C62" s="312" t="n">
        <v>0.0316509090909091</v>
      </c>
      <c r="D62" s="312" t="n">
        <v>0.214791038830771</v>
      </c>
      <c r="E62" s="312" t="n">
        <v>0.098743875368423</v>
      </c>
      <c r="F62" s="312" t="n">
        <v>0.181321134177999</v>
      </c>
      <c r="G62" s="313" t="n">
        <v>0.752680891821654</v>
      </c>
      <c r="H62" s="313" t="n">
        <v>0.757222410985226</v>
      </c>
      <c r="I62" s="312" t="n">
        <v>0.0450408977985027</v>
      </c>
      <c r="J62" s="312" t="n">
        <v>0.677634120209905</v>
      </c>
      <c r="K62" s="312" t="n">
        <v>0.040925</v>
      </c>
      <c r="L62" s="312" t="n">
        <v>0.112623488142298</v>
      </c>
      <c r="M62" s="312" t="n">
        <v>0.0433328896434977</v>
      </c>
      <c r="N62" s="313" t="n">
        <v>0.461318270151326</v>
      </c>
      <c r="O62" s="313" t="n">
        <v>4.81661700231209</v>
      </c>
      <c r="P62" s="313" t="n">
        <v>10.2989521038943</v>
      </c>
      <c r="Q62" s="313" t="n">
        <v>21.447009085373</v>
      </c>
      <c r="R62" s="313" t="n">
        <v>2.19162102233276</v>
      </c>
      <c r="S62" s="313" t="n">
        <v>86.4541702015677</v>
      </c>
      <c r="T62" s="312" t="n">
        <v>0.119928664775312</v>
      </c>
      <c r="U62" s="312" t="n">
        <v>0.129976552888259</v>
      </c>
      <c r="V62" s="312" t="n">
        <v>-0.0818646333931635</v>
      </c>
      <c r="W62" s="312" t="n">
        <v>-0.442237744820578</v>
      </c>
      <c r="X62" s="312" t="n">
        <v>0.0826991631990421</v>
      </c>
      <c r="Y62" s="312" t="n">
        <v>0.319080454385126</v>
      </c>
      <c r="Z62" s="312" t="n">
        <v>0.319080454385126</v>
      </c>
      <c r="AA62" s="314" t="n">
        <v>0.216393087053952</v>
      </c>
    </row>
    <row r="63" customFormat="false" ht="12" hidden="false" customHeight="true" outlineLevel="0" collapsed="false">
      <c r="A63" s="6" t="s">
        <v>704</v>
      </c>
      <c r="B63" s="311" t="n">
        <v>29</v>
      </c>
      <c r="C63" s="312" t="n">
        <v>0.00308117647058823</v>
      </c>
      <c r="D63" s="312" t="n">
        <v>0.0564339896862748</v>
      </c>
      <c r="E63" s="312" t="n">
        <v>0.104819112315117</v>
      </c>
      <c r="F63" s="312" t="n">
        <v>0.237931513509759</v>
      </c>
      <c r="G63" s="313" t="n">
        <v>1.10589280868557</v>
      </c>
      <c r="H63" s="313" t="n">
        <v>1.40817074763601</v>
      </c>
      <c r="I63" s="312" t="n">
        <v>0.0757656592884199</v>
      </c>
      <c r="J63" s="312" t="n">
        <v>0.374694578596111</v>
      </c>
      <c r="K63" s="312" t="n">
        <v>0.0258</v>
      </c>
      <c r="L63" s="312" t="n">
        <v>0.350657056757247</v>
      </c>
      <c r="M63" s="312" t="n">
        <v>0.0558021712060362</v>
      </c>
      <c r="N63" s="313" t="n">
        <v>2.09406792201116</v>
      </c>
      <c r="O63" s="313" t="n">
        <v>1.16724145751508</v>
      </c>
      <c r="P63" s="313" t="n">
        <v>9.76858915956195</v>
      </c>
      <c r="Q63" s="313" t="n">
        <v>21.7646320430068</v>
      </c>
      <c r="R63" s="313" t="n">
        <v>2.07282887062021</v>
      </c>
      <c r="S63" s="313" t="n">
        <v>48.9362835637143</v>
      </c>
      <c r="T63" s="312" t="n">
        <v>0.115951794187059</v>
      </c>
      <c r="U63" s="312" t="n">
        <v>0.0269353345366928</v>
      </c>
      <c r="V63" s="312" t="n">
        <v>0.00562880480025055</v>
      </c>
      <c r="W63" s="312" t="n">
        <v>-0.049119547429444</v>
      </c>
      <c r="X63" s="312" t="n">
        <v>-0.14184457993822</v>
      </c>
      <c r="Y63" s="312" t="n">
        <v>0.00542553967500002</v>
      </c>
      <c r="Z63" s="312" t="n">
        <v>0.00542553967500004</v>
      </c>
      <c r="AA63" s="314" t="n">
        <v>0.053133700414145</v>
      </c>
    </row>
    <row r="64" customFormat="false" ht="12" hidden="false" customHeight="true" outlineLevel="0" collapsed="false">
      <c r="A64" s="6" t="s">
        <v>705</v>
      </c>
      <c r="B64" s="311" t="n">
        <v>238</v>
      </c>
      <c r="C64" s="312" t="n">
        <v>0.0680841935483872</v>
      </c>
      <c r="D64" s="312" t="n">
        <v>0.232331807362139</v>
      </c>
      <c r="E64" s="312" t="n">
        <v>0.0204935263975062</v>
      </c>
      <c r="F64" s="312" t="n">
        <v>0.0247422213891</v>
      </c>
      <c r="G64" s="313" t="n">
        <v>0.794341762415621</v>
      </c>
      <c r="H64" s="313" t="n">
        <v>1.20587913949201</v>
      </c>
      <c r="I64" s="312" t="n">
        <v>0.066217495384023</v>
      </c>
      <c r="J64" s="312" t="n">
        <v>0.324046638555667</v>
      </c>
      <c r="K64" s="312" t="n">
        <v>0.0258</v>
      </c>
      <c r="L64" s="312" t="n">
        <v>0.434152281373781</v>
      </c>
      <c r="M64" s="312" t="n">
        <v>0.0456458427635853</v>
      </c>
      <c r="N64" s="313" t="n">
        <v>0.108943014798693</v>
      </c>
      <c r="O64" s="313" t="n">
        <v>12.8534457027027</v>
      </c>
      <c r="P64" s="313" t="n">
        <v>22.7172496728634</v>
      </c>
      <c r="Q64" s="313" t="n">
        <v>61.4297248260634</v>
      </c>
      <c r="R64" s="313" t="n">
        <v>2.11475437486116</v>
      </c>
      <c r="S64" s="313" t="n">
        <v>62.9994286614474</v>
      </c>
      <c r="T64" s="312" t="n">
        <v>0.896501680634328</v>
      </c>
      <c r="U64" s="312" t="n">
        <v>0.0323838195837029</v>
      </c>
      <c r="V64" s="312" t="n">
        <v>-0.153068805117607</v>
      </c>
      <c r="W64" s="312" t="n">
        <v>-0.75125791720008</v>
      </c>
      <c r="X64" s="312" t="n">
        <v>0.0216913769839008</v>
      </c>
      <c r="Y64" s="312" t="n">
        <v>4.30492642549422</v>
      </c>
      <c r="Z64" s="312" t="n">
        <v>4.30492642549422</v>
      </c>
      <c r="AA64" s="314" t="n">
        <v>0.190522058956534</v>
      </c>
    </row>
    <row r="65" customFormat="false" ht="12" hidden="false" customHeight="true" outlineLevel="0" collapsed="false">
      <c r="A65" s="6" t="s">
        <v>706</v>
      </c>
      <c r="B65" s="311" t="n">
        <v>25</v>
      </c>
      <c r="C65" s="312" t="n">
        <v>-0.199248</v>
      </c>
      <c r="D65" s="312" t="n">
        <v>-0.0363844897150349</v>
      </c>
      <c r="E65" s="312" t="n">
        <v>-0.0141333816571841</v>
      </c>
      <c r="F65" s="312" t="n">
        <v>0.273170731707317</v>
      </c>
      <c r="G65" s="313" t="n">
        <v>0.564115847968045</v>
      </c>
      <c r="H65" s="313" t="n">
        <v>0.848546836623257</v>
      </c>
      <c r="I65" s="312" t="n">
        <v>0.0493514106886177</v>
      </c>
      <c r="J65" s="312" t="n">
        <v>0.606958734546114</v>
      </c>
      <c r="K65" s="312" t="n">
        <v>0.02998</v>
      </c>
      <c r="L65" s="312" t="n">
        <v>0.486385680693842</v>
      </c>
      <c r="M65" s="312" t="n">
        <v>0.0359923363838901</v>
      </c>
      <c r="N65" s="313" t="n">
        <v>0.217054288198723</v>
      </c>
      <c r="O65" s="313" t="n">
        <v>5.99743227652498</v>
      </c>
      <c r="P65" s="313" t="n">
        <v>47.5743557215844</v>
      </c>
      <c r="Q65" s="315" t="s">
        <v>646</v>
      </c>
      <c r="R65" s="313" t="n">
        <v>1.18756631711015</v>
      </c>
      <c r="S65" s="313" t="n">
        <v>15.9555921052632</v>
      </c>
      <c r="T65" s="312" t="n">
        <v>-0.0341292170430639</v>
      </c>
      <c r="U65" s="312" t="n">
        <v>0.338268434477848</v>
      </c>
      <c r="V65" s="312" t="n">
        <v>0.216903081457108</v>
      </c>
      <c r="W65" s="316" t="s">
        <v>646</v>
      </c>
      <c r="X65" s="312" t="n">
        <v>-0.00129873799208891</v>
      </c>
      <c r="Y65" s="312" t="n">
        <v>0</v>
      </c>
      <c r="Z65" s="312" t="n">
        <v>0</v>
      </c>
      <c r="AA65" s="314" t="n">
        <v>-0.0670206674745963</v>
      </c>
    </row>
    <row r="66" customFormat="false" ht="12" hidden="false" customHeight="true" outlineLevel="0" collapsed="false">
      <c r="A66" s="6" t="s">
        <v>707</v>
      </c>
      <c r="B66" s="311" t="n">
        <v>11</v>
      </c>
      <c r="C66" s="312" t="n">
        <v>0.0920425</v>
      </c>
      <c r="D66" s="312" t="n">
        <v>0.0693037533137994</v>
      </c>
      <c r="E66" s="312" t="n">
        <v>0.0195592577526876</v>
      </c>
      <c r="F66" s="312" t="n">
        <v>0.185</v>
      </c>
      <c r="G66" s="313" t="n">
        <v>0.75886639235394</v>
      </c>
      <c r="H66" s="313" t="n">
        <v>0.780768473714426</v>
      </c>
      <c r="I66" s="312" t="n">
        <v>0.0461522719593209</v>
      </c>
      <c r="J66" s="312" t="n">
        <v>0.209931793543915</v>
      </c>
      <c r="K66" s="312" t="n">
        <v>0.0192</v>
      </c>
      <c r="L66" s="312" t="n">
        <v>0.226118633744599</v>
      </c>
      <c r="M66" s="312" t="n">
        <v>0.0388856620502344</v>
      </c>
      <c r="N66" s="313" t="n">
        <v>0.3311535928111</v>
      </c>
      <c r="O66" s="313" t="n">
        <v>6.81445727193948</v>
      </c>
      <c r="P66" s="313" t="n">
        <v>25.2541697153639</v>
      </c>
      <c r="Q66" s="313" t="n">
        <v>78.401285959933</v>
      </c>
      <c r="R66" s="313" t="n">
        <v>1.18663214504406</v>
      </c>
      <c r="S66" s="313" t="n">
        <v>52.4130734879147</v>
      </c>
      <c r="T66" s="312" t="n">
        <v>3.01007674061672</v>
      </c>
      <c r="U66" s="312" t="n">
        <v>0.0257304311427375</v>
      </c>
      <c r="V66" s="312" t="n">
        <v>-0.029910701827822</v>
      </c>
      <c r="W66" s="312" t="n">
        <v>4.97443989202988</v>
      </c>
      <c r="X66" s="312" t="n">
        <v>0.020017463435931</v>
      </c>
      <c r="Y66" s="312" t="n">
        <v>0.676117775354416</v>
      </c>
      <c r="Z66" s="312" t="n">
        <v>0.676117775354416</v>
      </c>
      <c r="AA66" s="314" t="n">
        <v>0.0637428416913556</v>
      </c>
    </row>
    <row r="67" customFormat="false" ht="12" hidden="false" customHeight="true" outlineLevel="0" collapsed="false">
      <c r="A67" s="6" t="s">
        <v>708</v>
      </c>
      <c r="B67" s="311" t="n">
        <v>61</v>
      </c>
      <c r="C67" s="312" t="n">
        <v>0.02095125</v>
      </c>
      <c r="D67" s="312" t="n">
        <v>0.041314069988695</v>
      </c>
      <c r="E67" s="312" t="n">
        <v>0.0797113324687725</v>
      </c>
      <c r="F67" s="312" t="n">
        <v>0.10487936387861</v>
      </c>
      <c r="G67" s="313" t="n">
        <v>0.755881499189347</v>
      </c>
      <c r="H67" s="313" t="n">
        <v>0.920892733374823</v>
      </c>
      <c r="I67" s="312" t="n">
        <v>0.0527661370152916</v>
      </c>
      <c r="J67" s="312" t="n">
        <v>0.347216610762751</v>
      </c>
      <c r="K67" s="312" t="n">
        <v>0.0258</v>
      </c>
      <c r="L67" s="312" t="n">
        <v>0.289723785675593</v>
      </c>
      <c r="M67" s="312" t="n">
        <v>0.0429351898231584</v>
      </c>
      <c r="N67" s="313" t="n">
        <v>2.04666943470954</v>
      </c>
      <c r="O67" s="313" t="n">
        <v>1.56205490623428</v>
      </c>
      <c r="P67" s="313" t="n">
        <v>14.8236669445417</v>
      </c>
      <c r="Q67" s="313" t="n">
        <v>32.3080783364738</v>
      </c>
      <c r="R67" s="313" t="n">
        <v>3.21196888551401</v>
      </c>
      <c r="S67" s="313" t="n">
        <v>56.8280677861227</v>
      </c>
      <c r="T67" s="312" t="n">
        <v>0.140077967211306</v>
      </c>
      <c r="U67" s="312" t="n">
        <v>0.0121785734668279</v>
      </c>
      <c r="V67" s="312" t="n">
        <v>-0.00635764617637838</v>
      </c>
      <c r="W67" s="312" t="n">
        <v>-0.936777696365557</v>
      </c>
      <c r="X67" s="312" t="n">
        <v>0.0471332920797708</v>
      </c>
      <c r="Y67" s="312" t="n">
        <v>0.390810182452253</v>
      </c>
      <c r="Z67" s="312" t="n">
        <v>0.390810182452253</v>
      </c>
      <c r="AA67" s="314" t="n">
        <v>0.0407083924064845</v>
      </c>
    </row>
    <row r="68" customFormat="false" ht="12" hidden="false" customHeight="true" outlineLevel="0" collapsed="false">
      <c r="A68" s="6" t="s">
        <v>709</v>
      </c>
      <c r="B68" s="311" t="n">
        <v>69</v>
      </c>
      <c r="C68" s="312" t="n">
        <v>0.0262240625</v>
      </c>
      <c r="D68" s="312" t="n">
        <v>0.0681067344015671</v>
      </c>
      <c r="E68" s="312" t="n">
        <v>0.0865201399312352</v>
      </c>
      <c r="F68" s="312" t="n">
        <v>0.225577402631031</v>
      </c>
      <c r="G68" s="313" t="n">
        <v>0.774219487085345</v>
      </c>
      <c r="H68" s="313" t="n">
        <v>0.86660497958903</v>
      </c>
      <c r="I68" s="312" t="n">
        <v>0.0502037550366022</v>
      </c>
      <c r="J68" s="312" t="n">
        <v>0.563998576391856</v>
      </c>
      <c r="K68" s="312" t="n">
        <v>0.02998</v>
      </c>
      <c r="L68" s="312" t="n">
        <v>0.196780852591016</v>
      </c>
      <c r="M68" s="312" t="n">
        <v>0.0446312449885245</v>
      </c>
      <c r="N68" s="313" t="n">
        <v>1.42457200463504</v>
      </c>
      <c r="O68" s="313" t="n">
        <v>3.73309104048709</v>
      </c>
      <c r="P68" s="313" t="n">
        <v>22.5932359344865</v>
      </c>
      <c r="Q68" s="313" t="n">
        <v>52.057461234949</v>
      </c>
      <c r="R68" s="313" t="n">
        <v>10.3705081377889</v>
      </c>
      <c r="S68" s="313" t="n">
        <v>155.394305802059</v>
      </c>
      <c r="T68" s="312" t="n">
        <v>0.156639856954859</v>
      </c>
      <c r="U68" s="312" t="n">
        <v>0.0456032470790103</v>
      </c>
      <c r="V68" s="312" t="n">
        <v>0.113778424405338</v>
      </c>
      <c r="W68" s="312" t="n">
        <v>2.06779738589411</v>
      </c>
      <c r="X68" s="312" t="n">
        <v>-0.0719202655440449</v>
      </c>
      <c r="Y68" s="312" t="n">
        <v>0.00708309369429064</v>
      </c>
      <c r="Z68" s="312" t="n">
        <v>0.00708309369429061</v>
      </c>
      <c r="AA68" s="314" t="n">
        <v>0.0644244156570904</v>
      </c>
    </row>
    <row r="69" customFormat="false" ht="12" hidden="false" customHeight="true" outlineLevel="0" collapsed="false">
      <c r="A69" s="6" t="s">
        <v>710</v>
      </c>
      <c r="B69" s="311" t="n">
        <v>2</v>
      </c>
      <c r="C69" s="312" t="n">
        <v>0.0911</v>
      </c>
      <c r="D69" s="312" t="n">
        <v>0.0426927806077639</v>
      </c>
      <c r="E69" s="312" t="n">
        <v>0.0374342777583131</v>
      </c>
      <c r="F69" s="312" t="n">
        <v>0.251445086705202</v>
      </c>
      <c r="G69" s="313" t="n">
        <v>1.12879843447324</v>
      </c>
      <c r="H69" s="313" t="n">
        <v>1.16255228409743</v>
      </c>
      <c r="I69" s="312" t="n">
        <v>0.0641724678093988</v>
      </c>
      <c r="J69" s="312" t="n">
        <v>0.252283349677488</v>
      </c>
      <c r="K69" s="312" t="n">
        <v>0.0258</v>
      </c>
      <c r="L69" s="312" t="n">
        <v>0.27807845312561</v>
      </c>
      <c r="M69" s="312" t="n">
        <v>0.051564816813876</v>
      </c>
      <c r="N69" s="313" t="n">
        <v>1.01723731767518</v>
      </c>
      <c r="O69" s="313" t="n">
        <v>0.807497070151121</v>
      </c>
      <c r="P69" s="313" t="n">
        <v>12.9240394162787</v>
      </c>
      <c r="Q69" s="313" t="n">
        <v>19.1841720659663</v>
      </c>
      <c r="R69" s="313" t="n">
        <v>0.749021422124251</v>
      </c>
      <c r="S69" s="313" t="n">
        <v>15.2005791505792</v>
      </c>
      <c r="T69" s="312" t="n">
        <v>-0.0760275777270332</v>
      </c>
      <c r="U69" s="312" t="n">
        <v>0.00292025294220973</v>
      </c>
      <c r="V69" s="312" t="n">
        <v>-0.00982346741612506</v>
      </c>
      <c r="W69" s="312" t="n">
        <v>-0.171422921092474</v>
      </c>
      <c r="X69" s="312" t="n">
        <v>0.0241937068846917</v>
      </c>
      <c r="Y69" s="312" t="n">
        <v>0.361494719740049</v>
      </c>
      <c r="Z69" s="312" t="n">
        <v>0.361494719740049</v>
      </c>
      <c r="AA69" s="314" t="n">
        <v>0.0420918383850227</v>
      </c>
    </row>
    <row r="70" customFormat="false" ht="12" hidden="false" customHeight="true" outlineLevel="0" collapsed="false">
      <c r="A70" s="6" t="s">
        <v>711</v>
      </c>
      <c r="B70" s="311" t="n">
        <v>79</v>
      </c>
      <c r="C70" s="312" t="n">
        <v>0.00836893617021276</v>
      </c>
      <c r="D70" s="312" t="n">
        <v>0.113620527975673</v>
      </c>
      <c r="E70" s="312" t="n">
        <v>0.0724011575147737</v>
      </c>
      <c r="F70" s="312" t="n">
        <v>0.186900615173255</v>
      </c>
      <c r="G70" s="313" t="n">
        <v>1.11093543292685</v>
      </c>
      <c r="H70" s="313" t="n">
        <v>1.34479999809822</v>
      </c>
      <c r="I70" s="312" t="n">
        <v>0.072774559910236</v>
      </c>
      <c r="J70" s="312" t="n">
        <v>0.536255186867511</v>
      </c>
      <c r="K70" s="312" t="n">
        <v>0.02998</v>
      </c>
      <c r="L70" s="312" t="n">
        <v>0.252058626311217</v>
      </c>
      <c r="M70" s="312" t="n">
        <v>0.05994750816913</v>
      </c>
      <c r="N70" s="313" t="n">
        <v>1.14129932659055</v>
      </c>
      <c r="O70" s="313" t="n">
        <v>5.26808850937825</v>
      </c>
      <c r="P70" s="313" t="n">
        <v>23.5316427982402</v>
      </c>
      <c r="Q70" s="313" t="n">
        <v>80.2485509634631</v>
      </c>
      <c r="R70" s="315" t="s">
        <v>646</v>
      </c>
      <c r="S70" s="313" t="n">
        <v>58.9131827767466</v>
      </c>
      <c r="T70" s="312" t="n">
        <v>0.0284498151373232</v>
      </c>
      <c r="U70" s="312" t="n">
        <v>0.0582228419732275</v>
      </c>
      <c r="V70" s="312" t="n">
        <v>0.0247138581382442</v>
      </c>
      <c r="W70" s="312" t="n">
        <v>0.487153211077969</v>
      </c>
      <c r="X70" s="316" t="s">
        <v>646</v>
      </c>
      <c r="Y70" s="312" t="n">
        <v>1.14332384002876</v>
      </c>
      <c r="Z70" s="312" t="n">
        <v>1.14332384002876</v>
      </c>
      <c r="AA70" s="314" t="n">
        <v>0.0655293013098503</v>
      </c>
    </row>
    <row r="71" customFormat="false" ht="12" hidden="false" customHeight="true" outlineLevel="0" collapsed="false">
      <c r="A71" s="6" t="s">
        <v>712</v>
      </c>
      <c r="B71" s="311" t="n">
        <v>30</v>
      </c>
      <c r="C71" s="312" t="n">
        <v>0.03197875</v>
      </c>
      <c r="D71" s="312" t="n">
        <v>0.0642896372105575</v>
      </c>
      <c r="E71" s="312" t="n">
        <v>0.10101677694275</v>
      </c>
      <c r="F71" s="312" t="n">
        <v>0.231820327418628</v>
      </c>
      <c r="G71" s="313" t="n">
        <v>0.989954928369647</v>
      </c>
      <c r="H71" s="313" t="n">
        <v>1.29830033625851</v>
      </c>
      <c r="I71" s="312" t="n">
        <v>0.0705797758714016</v>
      </c>
      <c r="J71" s="312" t="n">
        <v>0.428187693340609</v>
      </c>
      <c r="K71" s="312" t="n">
        <v>0.02998</v>
      </c>
      <c r="L71" s="312" t="n">
        <v>0.332058510293153</v>
      </c>
      <c r="M71" s="312" t="n">
        <v>0.0544103939598892</v>
      </c>
      <c r="N71" s="313" t="n">
        <v>2.08548576426897</v>
      </c>
      <c r="O71" s="313" t="n">
        <v>1.23547137740594</v>
      </c>
      <c r="P71" s="313" t="n">
        <v>11.5629202849207</v>
      </c>
      <c r="Q71" s="313" t="n">
        <v>19.8370166765542</v>
      </c>
      <c r="R71" s="313" t="n">
        <v>5.98788884134195</v>
      </c>
      <c r="S71" s="313" t="n">
        <v>17.520871329776</v>
      </c>
      <c r="T71" s="312" t="n">
        <v>0.10951001226457</v>
      </c>
      <c r="U71" s="312" t="n">
        <v>0.0181022959664222</v>
      </c>
      <c r="V71" s="312" t="n">
        <v>0.0172035593145048</v>
      </c>
      <c r="W71" s="312" t="n">
        <v>-0.231607887173621</v>
      </c>
      <c r="X71" s="312" t="n">
        <v>0.362755576429549</v>
      </c>
      <c r="Y71" s="312" t="n">
        <v>0.0372346260392091</v>
      </c>
      <c r="Z71" s="312" t="n">
        <v>0.0372346260392091</v>
      </c>
      <c r="AA71" s="314" t="n">
        <v>0.0548247626800806</v>
      </c>
    </row>
    <row r="72" customFormat="false" ht="12" hidden="false" customHeight="true" outlineLevel="0" collapsed="false">
      <c r="A72" s="6" t="s">
        <v>713</v>
      </c>
      <c r="B72" s="311" t="n">
        <v>15</v>
      </c>
      <c r="C72" s="312" t="n">
        <v>0.0641691666666667</v>
      </c>
      <c r="D72" s="312" t="n">
        <v>0.127885201675604</v>
      </c>
      <c r="E72" s="312" t="n">
        <v>0.374736663661763</v>
      </c>
      <c r="F72" s="312" t="n">
        <v>0.239360757288335</v>
      </c>
      <c r="G72" s="313" t="n">
        <v>1.43645276932723</v>
      </c>
      <c r="H72" s="313" t="n">
        <v>1.54483192932713</v>
      </c>
      <c r="I72" s="312" t="n">
        <v>0.0822160670642406</v>
      </c>
      <c r="J72" s="312" t="n">
        <v>0.406039068096387</v>
      </c>
      <c r="K72" s="312" t="n">
        <v>0.02998</v>
      </c>
      <c r="L72" s="312" t="n">
        <v>0.153145603220068</v>
      </c>
      <c r="M72" s="312" t="n">
        <v>0.0729766906640184</v>
      </c>
      <c r="N72" s="313" t="n">
        <v>3.46332083224984</v>
      </c>
      <c r="O72" s="313" t="n">
        <v>2.06222772561628</v>
      </c>
      <c r="P72" s="313" t="n">
        <v>12.5878361524965</v>
      </c>
      <c r="Q72" s="313" t="n">
        <v>16.4927778907337</v>
      </c>
      <c r="R72" s="313" t="n">
        <v>40.0670525597667</v>
      </c>
      <c r="S72" s="313" t="n">
        <v>140.109363265402</v>
      </c>
      <c r="T72" s="312" t="n">
        <v>0.0445947753850694</v>
      </c>
      <c r="U72" s="312" t="n">
        <v>0.0206841120576084</v>
      </c>
      <c r="V72" s="312" t="n">
        <v>0.00202277845087028</v>
      </c>
      <c r="W72" s="312" t="n">
        <v>-0.264540731956519</v>
      </c>
      <c r="X72" s="312" t="n">
        <v>0.00268657536303068</v>
      </c>
      <c r="Y72" s="312" t="n">
        <v>0.455055120061556</v>
      </c>
      <c r="Z72" s="312" t="n">
        <v>0.455055120061556</v>
      </c>
      <c r="AA72" s="314" t="n">
        <v>0.125051165058946</v>
      </c>
    </row>
    <row r="73" customFormat="false" ht="12" hidden="false" customHeight="true" outlineLevel="0" collapsed="false">
      <c r="A73" s="6" t="s">
        <v>714</v>
      </c>
      <c r="B73" s="311" t="n">
        <v>85</v>
      </c>
      <c r="C73" s="312" t="n">
        <v>0.0467227083333333</v>
      </c>
      <c r="D73" s="312" t="n">
        <v>0.0769952413191337</v>
      </c>
      <c r="E73" s="312" t="n">
        <v>0.116737948811762</v>
      </c>
      <c r="F73" s="312" t="n">
        <v>0.250204948862572</v>
      </c>
      <c r="G73" s="313" t="n">
        <v>0.754493096255636</v>
      </c>
      <c r="H73" s="313" t="n">
        <v>0.970964251889418</v>
      </c>
      <c r="I73" s="312" t="n">
        <v>0.0551295126891805</v>
      </c>
      <c r="J73" s="312" t="n">
        <v>0.419742605217203</v>
      </c>
      <c r="K73" s="312" t="n">
        <v>0.02998</v>
      </c>
      <c r="L73" s="312" t="n">
        <v>0.31383121292981</v>
      </c>
      <c r="M73" s="312" t="n">
        <v>0.0446964724811597</v>
      </c>
      <c r="N73" s="313" t="n">
        <v>1.68309730492279</v>
      </c>
      <c r="O73" s="313" t="n">
        <v>1.49397260232573</v>
      </c>
      <c r="P73" s="313" t="n">
        <v>13.8761500796825</v>
      </c>
      <c r="Q73" s="313" t="n">
        <v>18.7787518980073</v>
      </c>
      <c r="R73" s="313" t="n">
        <v>3.3874229957444</v>
      </c>
      <c r="S73" s="313" t="n">
        <v>138.444899942842</v>
      </c>
      <c r="T73" s="312" t="n">
        <v>0.155371286900046</v>
      </c>
      <c r="U73" s="312" t="n">
        <v>0.0368183843067783</v>
      </c>
      <c r="V73" s="312" t="n">
        <v>0.0507804773361646</v>
      </c>
      <c r="W73" s="312" t="n">
        <v>0.631138779893307</v>
      </c>
      <c r="X73" s="312" t="n">
        <v>0.0967154492626055</v>
      </c>
      <c r="Y73" s="312" t="n">
        <v>0.523659581472117</v>
      </c>
      <c r="Z73" s="312" t="n">
        <v>0.523659581472117</v>
      </c>
      <c r="AA73" s="314" t="n">
        <v>0.0790074166431329</v>
      </c>
    </row>
    <row r="74" customFormat="false" ht="12" hidden="false" customHeight="true" outlineLevel="0" collapsed="false">
      <c r="A74" s="6" t="s">
        <v>715</v>
      </c>
      <c r="B74" s="311" t="n">
        <v>17</v>
      </c>
      <c r="C74" s="312" t="n">
        <v>0.0241214285714286</v>
      </c>
      <c r="D74" s="312" t="n">
        <v>0.0462957108671849</v>
      </c>
      <c r="E74" s="312" t="n">
        <v>0.146734990481511</v>
      </c>
      <c r="F74" s="312" t="n">
        <v>0.244202493866042</v>
      </c>
      <c r="G74" s="313" t="n">
        <v>0.815816159524954</v>
      </c>
      <c r="H74" s="313" t="n">
        <v>0.898978198677158</v>
      </c>
      <c r="I74" s="312" t="n">
        <v>0.0517317709775619</v>
      </c>
      <c r="J74" s="312" t="n">
        <v>0.389108664221675</v>
      </c>
      <c r="K74" s="312" t="n">
        <v>0.0258</v>
      </c>
      <c r="L74" s="312" t="n">
        <v>0.175894079434418</v>
      </c>
      <c r="M74" s="312" t="n">
        <v>0.0459452478360193</v>
      </c>
      <c r="N74" s="313" t="n">
        <v>4.09728058111285</v>
      </c>
      <c r="O74" s="313" t="n">
        <v>0.934012508169011</v>
      </c>
      <c r="P74" s="313" t="n">
        <v>12.2942822698853</v>
      </c>
      <c r="Q74" s="313" t="n">
        <v>22.8115107295907</v>
      </c>
      <c r="R74" s="313" t="n">
        <v>5.43460857132992</v>
      </c>
      <c r="S74" s="313" t="n">
        <v>22.7017447456994</v>
      </c>
      <c r="T74" s="312" t="n">
        <v>0.000580141484646688</v>
      </c>
      <c r="U74" s="312" t="n">
        <v>0.0200528002780284</v>
      </c>
      <c r="V74" s="312" t="n">
        <v>0.000228703504037476</v>
      </c>
      <c r="W74" s="312" t="n">
        <v>-0.427997787124232</v>
      </c>
      <c r="X74" s="312" t="n">
        <v>0.206406129176829</v>
      </c>
      <c r="Y74" s="312" t="n">
        <v>0.361198717467937</v>
      </c>
      <c r="Z74" s="312" t="n">
        <v>0.361198717467937</v>
      </c>
      <c r="AA74" s="314" t="n">
        <v>0.0409220632663652</v>
      </c>
    </row>
    <row r="75" customFormat="false" ht="12" hidden="false" customHeight="true" outlineLevel="0" collapsed="false">
      <c r="A75" s="6" t="s">
        <v>716</v>
      </c>
      <c r="B75" s="311" t="n">
        <v>14</v>
      </c>
      <c r="C75" s="312" t="n">
        <v>0.0627857142857143</v>
      </c>
      <c r="D75" s="312" t="n">
        <v>0.0347794447088066</v>
      </c>
      <c r="E75" s="312" t="n">
        <v>0.0962799110393977</v>
      </c>
      <c r="F75" s="312" t="n">
        <v>0.234346078627635</v>
      </c>
      <c r="G75" s="313" t="n">
        <v>0.152224864371701</v>
      </c>
      <c r="H75" s="313" t="n">
        <v>0.24210864998202</v>
      </c>
      <c r="I75" s="312" t="n">
        <v>0.0207275282791513</v>
      </c>
      <c r="J75" s="312" t="n">
        <v>0.377189287326462</v>
      </c>
      <c r="K75" s="312" t="n">
        <v>0.0258</v>
      </c>
      <c r="L75" s="312" t="n">
        <v>0.485438318710772</v>
      </c>
      <c r="M75" s="312" t="n">
        <v>0.0198083370948888</v>
      </c>
      <c r="N75" s="313" t="n">
        <v>4.11342682192381</v>
      </c>
      <c r="O75" s="313" t="n">
        <v>0.387767933001358</v>
      </c>
      <c r="P75" s="313" t="n">
        <v>5.74689939604272</v>
      </c>
      <c r="Q75" s="313" t="n">
        <v>14.309495478868</v>
      </c>
      <c r="R75" s="313" t="n">
        <v>2.50568011147736</v>
      </c>
      <c r="S75" s="313" t="n">
        <v>14.413462025266</v>
      </c>
      <c r="T75" s="312" t="n">
        <v>-0.0019838027348916</v>
      </c>
      <c r="U75" s="312" t="n">
        <v>0.0228821995409517</v>
      </c>
      <c r="V75" s="312" t="n">
        <v>0.00110469696957476</v>
      </c>
      <c r="W75" s="312" t="n">
        <v>-0.147165204931039</v>
      </c>
      <c r="X75" s="312" t="n">
        <v>0.306265158732948</v>
      </c>
      <c r="Y75" s="312" t="n">
        <v>0.128486627151425</v>
      </c>
      <c r="Z75" s="312" t="n">
        <v>0.128486627151425</v>
      </c>
      <c r="AA75" s="314" t="n">
        <v>0.0270663632053989</v>
      </c>
    </row>
    <row r="76" customFormat="false" ht="12" hidden="false" customHeight="true" outlineLevel="0" collapsed="false">
      <c r="A76" s="6" t="s">
        <v>717</v>
      </c>
      <c r="B76" s="311" t="n">
        <v>75</v>
      </c>
      <c r="C76" s="312" t="n">
        <v>0.0928341379310345</v>
      </c>
      <c r="D76" s="312" t="n">
        <v>0.0573727593820913</v>
      </c>
      <c r="E76" s="312" t="n">
        <v>0.110417841633962</v>
      </c>
      <c r="F76" s="312" t="n">
        <v>0.161295551634922</v>
      </c>
      <c r="G76" s="313" t="n">
        <v>1.13769053307299</v>
      </c>
      <c r="H76" s="313" t="n">
        <v>1.16412042475052</v>
      </c>
      <c r="I76" s="312" t="n">
        <v>0.0642464840482244</v>
      </c>
      <c r="J76" s="312" t="n">
        <v>0.528659210559218</v>
      </c>
      <c r="K76" s="312" t="n">
        <v>0.02998</v>
      </c>
      <c r="L76" s="312" t="n">
        <v>0.0666889961926316</v>
      </c>
      <c r="M76" s="312" t="n">
        <v>0.0614214658754166</v>
      </c>
      <c r="N76" s="313" t="n">
        <v>1.80079994435682</v>
      </c>
      <c r="O76" s="313" t="n">
        <v>4.70689035799724</v>
      </c>
      <c r="P76" s="313" t="n">
        <v>33.1863325334706</v>
      </c>
      <c r="Q76" s="313" t="n">
        <v>83.8342480011412</v>
      </c>
      <c r="R76" s="313" t="n">
        <v>18.6243756837226</v>
      </c>
      <c r="S76" s="313" t="n">
        <v>131.272914790093</v>
      </c>
      <c r="T76" s="312" t="n">
        <v>-0.0369772652419398</v>
      </c>
      <c r="U76" s="312" t="n">
        <v>0.0772451057530893</v>
      </c>
      <c r="V76" s="312" t="n">
        <v>0.0354514738303887</v>
      </c>
      <c r="W76" s="312" t="n">
        <v>0.553686469194421</v>
      </c>
      <c r="X76" s="312" t="n">
        <v>0.27054629081223</v>
      </c>
      <c r="Y76" s="312" t="n">
        <v>0.0566067173242387</v>
      </c>
      <c r="Z76" s="312" t="n">
        <v>0.0566067173242387</v>
      </c>
      <c r="AA76" s="314" t="n">
        <v>0.0628529359555278</v>
      </c>
    </row>
    <row r="77" customFormat="false" ht="12" hidden="false" customHeight="true" outlineLevel="0" collapsed="false">
      <c r="A77" s="6" t="s">
        <v>718</v>
      </c>
      <c r="B77" s="311" t="n">
        <v>85</v>
      </c>
      <c r="C77" s="312" t="n">
        <v>0.0557057142857143</v>
      </c>
      <c r="D77" s="312" t="n">
        <v>0.0289173388570077</v>
      </c>
      <c r="E77" s="312" t="n">
        <v>0.0528963344136574</v>
      </c>
      <c r="F77" s="312" t="n">
        <v>0.245527218521342</v>
      </c>
      <c r="G77" s="313" t="n">
        <v>1.03685273104052</v>
      </c>
      <c r="H77" s="313" t="n">
        <v>1.28200255415871</v>
      </c>
      <c r="I77" s="312" t="n">
        <v>0.0698105205562911</v>
      </c>
      <c r="J77" s="312" t="n">
        <v>0.490094573047301</v>
      </c>
      <c r="K77" s="312" t="n">
        <v>0.02998</v>
      </c>
      <c r="L77" s="312" t="n">
        <v>0.32550445482922</v>
      </c>
      <c r="M77" s="312" t="n">
        <v>0.054210680316991</v>
      </c>
      <c r="N77" s="313" t="n">
        <v>2.29448268745644</v>
      </c>
      <c r="O77" s="313" t="n">
        <v>1.10054347391527</v>
      </c>
      <c r="P77" s="313" t="n">
        <v>11.3996761756118</v>
      </c>
      <c r="Q77" s="313" t="n">
        <v>43.7530305149349</v>
      </c>
      <c r="R77" s="313" t="n">
        <v>5.51344242118604</v>
      </c>
      <c r="S77" s="313" t="n">
        <v>55.991884110179</v>
      </c>
      <c r="T77" s="312" t="n">
        <v>0.0474944394584872</v>
      </c>
      <c r="U77" s="312" t="n">
        <v>0.0178485999064238</v>
      </c>
      <c r="V77" s="312" t="n">
        <v>0.000504258157449558</v>
      </c>
      <c r="W77" s="312" t="n">
        <v>-1.79339479422744</v>
      </c>
      <c r="X77" s="312" t="n">
        <v>-0.00640358400752759</v>
      </c>
      <c r="Y77" s="312" t="n">
        <v>0.00319608712508544</v>
      </c>
      <c r="Z77" s="312" t="n">
        <v>0.00319608712508546</v>
      </c>
      <c r="AA77" s="314" t="n">
        <v>0.0250649881736182</v>
      </c>
    </row>
    <row r="78" customFormat="false" ht="12" hidden="false" customHeight="true" outlineLevel="0" collapsed="false">
      <c r="A78" s="6" t="s">
        <v>719</v>
      </c>
      <c r="B78" s="311" t="n">
        <v>3</v>
      </c>
      <c r="C78" s="312" t="n">
        <v>-0.0421333333333333</v>
      </c>
      <c r="D78" s="312" t="n">
        <v>-0.00496649583484366</v>
      </c>
      <c r="E78" s="312" t="n">
        <v>0.000103801341344521</v>
      </c>
      <c r="F78" s="312" t="n">
        <v>0.159034591344503</v>
      </c>
      <c r="G78" s="313" t="n">
        <v>0.547996398564682</v>
      </c>
      <c r="H78" s="313" t="n">
        <v>1.0939555482654</v>
      </c>
      <c r="I78" s="312" t="n">
        <v>0.0609347018781268</v>
      </c>
      <c r="J78" s="312" t="n">
        <v>0.438272390104074</v>
      </c>
      <c r="K78" s="312" t="n">
        <v>0.02998</v>
      </c>
      <c r="L78" s="312" t="n">
        <v>0.636234082480176</v>
      </c>
      <c r="M78" s="312" t="n">
        <v>0.0360902051262054</v>
      </c>
      <c r="N78" s="313" t="n">
        <v>1.06834966576527</v>
      </c>
      <c r="O78" s="313" t="n">
        <v>0.740632964550594</v>
      </c>
      <c r="P78" s="313" t="n">
        <v>9.84116819817675</v>
      </c>
      <c r="Q78" s="315" t="s">
        <v>646</v>
      </c>
      <c r="R78" s="313" t="n">
        <v>1.04491765627991</v>
      </c>
      <c r="S78" s="313" t="n">
        <v>24.892802164705</v>
      </c>
      <c r="T78" s="312" t="n">
        <v>0.13627166748967</v>
      </c>
      <c r="U78" s="312" t="n">
        <v>0.0562508165823675</v>
      </c>
      <c r="V78" s="312" t="n">
        <v>-0.00532683060178855</v>
      </c>
      <c r="W78" s="316" t="s">
        <v>646</v>
      </c>
      <c r="X78" s="312" t="n">
        <v>-0.256863611100083</v>
      </c>
      <c r="Y78" s="312" t="n">
        <v>0.000675848814862268</v>
      </c>
      <c r="Z78" s="312" t="n">
        <v>0.000675848814862268</v>
      </c>
      <c r="AA78" s="314" t="n">
        <v>8.471147091679E-005</v>
      </c>
    </row>
    <row r="79" customFormat="false" ht="12" hidden="false" customHeight="true" outlineLevel="0" collapsed="false">
      <c r="A79" s="6" t="s">
        <v>720</v>
      </c>
      <c r="B79" s="311" t="n">
        <v>70</v>
      </c>
      <c r="C79" s="312" t="n">
        <v>0.0377052083333333</v>
      </c>
      <c r="D79" s="312" t="n">
        <v>0.24090189851762</v>
      </c>
      <c r="E79" s="312" t="n">
        <v>0.173906736600889</v>
      </c>
      <c r="F79" s="312" t="n">
        <v>0.107671793689467</v>
      </c>
      <c r="G79" s="313" t="n">
        <v>0.961703270515802</v>
      </c>
      <c r="H79" s="313" t="n">
        <v>1.0019932071355</v>
      </c>
      <c r="I79" s="312" t="n">
        <v>0.0565940793767957</v>
      </c>
      <c r="J79" s="312" t="n">
        <v>0.372552738637985</v>
      </c>
      <c r="K79" s="312" t="n">
        <v>0.0258</v>
      </c>
      <c r="L79" s="312" t="n">
        <v>0.0885122903488958</v>
      </c>
      <c r="M79" s="312" t="n">
        <v>0.0532518482673994</v>
      </c>
      <c r="N79" s="313" t="n">
        <v>0.748002391264344</v>
      </c>
      <c r="O79" s="313" t="n">
        <v>7.15908458707616</v>
      </c>
      <c r="P79" s="313" t="n">
        <v>18.0433779650766</v>
      </c>
      <c r="Q79" s="313" t="n">
        <v>29.3011090864163</v>
      </c>
      <c r="R79" s="313" t="n">
        <v>6.87472479033421</v>
      </c>
      <c r="S79" s="313" t="n">
        <v>726.522196935306</v>
      </c>
      <c r="T79" s="312" t="n">
        <v>0.174354151192847</v>
      </c>
      <c r="U79" s="312" t="n">
        <v>0.127613368366126</v>
      </c>
      <c r="V79" s="312" t="n">
        <v>0.160608027125842</v>
      </c>
      <c r="W79" s="312" t="n">
        <v>0.798328184034845</v>
      </c>
      <c r="X79" s="312" t="n">
        <v>0.221328434361763</v>
      </c>
      <c r="Y79" s="312" t="n">
        <v>0.421018897941966</v>
      </c>
      <c r="Z79" s="312" t="n">
        <v>0.421018897941966</v>
      </c>
      <c r="AA79" s="314" t="n">
        <v>0.24792674895127</v>
      </c>
    </row>
    <row r="80" customFormat="false" ht="12" hidden="false" customHeight="true" outlineLevel="0" collapsed="false">
      <c r="A80" s="6" t="s">
        <v>721</v>
      </c>
      <c r="B80" s="311" t="n">
        <v>40</v>
      </c>
      <c r="C80" s="312" t="n">
        <v>0.084925</v>
      </c>
      <c r="D80" s="312" t="n">
        <v>0.222143839742303</v>
      </c>
      <c r="E80" s="312" t="n">
        <v>0.278925374434673</v>
      </c>
      <c r="F80" s="312" t="n">
        <v>0.128324533728242</v>
      </c>
      <c r="G80" s="313" t="n">
        <v>1.06885010956962</v>
      </c>
      <c r="H80" s="313" t="n">
        <v>1.07038065136154</v>
      </c>
      <c r="I80" s="312" t="n">
        <v>0.0598219667442648</v>
      </c>
      <c r="J80" s="312" t="n">
        <v>0.359055216814275</v>
      </c>
      <c r="K80" s="312" t="n">
        <v>0.0258</v>
      </c>
      <c r="L80" s="312" t="n">
        <v>0.0743576719180653</v>
      </c>
      <c r="M80" s="312" t="n">
        <v>0.0567741969605062</v>
      </c>
      <c r="N80" s="313" t="n">
        <v>1.2955167484419</v>
      </c>
      <c r="O80" s="313" t="n">
        <v>5.14385176889769</v>
      </c>
      <c r="P80" s="313" t="n">
        <v>18.6926544372991</v>
      </c>
      <c r="Q80" s="313" t="n">
        <v>22.856391580514</v>
      </c>
      <c r="R80" s="313" t="n">
        <v>7.87179052464604</v>
      </c>
      <c r="S80" s="313" t="n">
        <v>55.8710071754833</v>
      </c>
      <c r="T80" s="312" t="n">
        <v>0.27818447663763</v>
      </c>
      <c r="U80" s="312" t="n">
        <v>0.0371172312341307</v>
      </c>
      <c r="V80" s="312" t="n">
        <v>0.0116279429921434</v>
      </c>
      <c r="W80" s="312" t="n">
        <v>0.285943864186063</v>
      </c>
      <c r="X80" s="312" t="n">
        <v>0.322347005854461</v>
      </c>
      <c r="Y80" s="312" t="n">
        <v>0.233087499812139</v>
      </c>
      <c r="Z80" s="312" t="n">
        <v>0.233087499812139</v>
      </c>
      <c r="AA80" s="314" t="n">
        <v>0.231831627226387</v>
      </c>
    </row>
    <row r="81" customFormat="false" ht="12" hidden="false" customHeight="true" outlineLevel="0" collapsed="false">
      <c r="A81" s="6" t="s">
        <v>722</v>
      </c>
      <c r="B81" s="311" t="n">
        <v>11</v>
      </c>
      <c r="C81" s="312" t="n">
        <v>0.0310142857142857</v>
      </c>
      <c r="D81" s="312" t="n">
        <v>0.0511134345446202</v>
      </c>
      <c r="E81" s="312" t="n">
        <v>0.0374141093123676</v>
      </c>
      <c r="F81" s="312" t="n">
        <v>0.243916739958956</v>
      </c>
      <c r="G81" s="313" t="n">
        <v>0.744115751997045</v>
      </c>
      <c r="H81" s="313" t="n">
        <v>1.03514885590093</v>
      </c>
      <c r="I81" s="312" t="n">
        <v>0.0581590259985238</v>
      </c>
      <c r="J81" s="312" t="n">
        <v>0.298301962850175</v>
      </c>
      <c r="K81" s="312" t="n">
        <v>0.0258</v>
      </c>
      <c r="L81" s="312" t="n">
        <v>0.383305585363775</v>
      </c>
      <c r="M81" s="312" t="n">
        <v>0.043085523888714</v>
      </c>
      <c r="N81" s="313" t="n">
        <v>0.676178940749805</v>
      </c>
      <c r="O81" s="313" t="n">
        <v>1.73952305172076</v>
      </c>
      <c r="P81" s="313" t="n">
        <v>10.6683204967695</v>
      </c>
      <c r="Q81" s="313" t="n">
        <v>30.6439608618147</v>
      </c>
      <c r="R81" s="313" t="n">
        <v>1.13138884551925</v>
      </c>
      <c r="S81" s="313" t="n">
        <v>49.9871863648207</v>
      </c>
      <c r="T81" s="312" t="n">
        <v>0.0857236575469273</v>
      </c>
      <c r="U81" s="312" t="n">
        <v>0.0972848944756426</v>
      </c>
      <c r="V81" s="312" t="n">
        <v>0.0710074922845712</v>
      </c>
      <c r="W81" s="312" t="n">
        <v>1.24476790875359</v>
      </c>
      <c r="X81" s="312" t="n">
        <v>-0.0569705198409722</v>
      </c>
      <c r="Y81" s="312" t="n">
        <v>0.00156783103168156</v>
      </c>
      <c r="Z81" s="312" t="n">
        <v>0.00156783103168157</v>
      </c>
      <c r="AA81" s="314" t="n">
        <v>0.0566320460247624</v>
      </c>
    </row>
    <row r="82" customFormat="false" ht="12" hidden="false" customHeight="true" outlineLevel="0" collapsed="false">
      <c r="A82" s="6" t="s">
        <v>723</v>
      </c>
      <c r="B82" s="311" t="n">
        <v>11</v>
      </c>
      <c r="C82" s="312" t="n">
        <v>-0.0011125</v>
      </c>
      <c r="D82" s="312" t="n">
        <v>0.0921550656477763</v>
      </c>
      <c r="E82" s="312" t="n">
        <v>0.208959130031723</v>
      </c>
      <c r="F82" s="312" t="n">
        <v>0.134380083070112</v>
      </c>
      <c r="G82" s="313" t="n">
        <v>0.978275005705732</v>
      </c>
      <c r="H82" s="313" t="n">
        <v>0.983209218404002</v>
      </c>
      <c r="I82" s="312" t="n">
        <v>0.0557074751086689</v>
      </c>
      <c r="J82" s="312" t="n">
        <v>0.315049470715997</v>
      </c>
      <c r="K82" s="312" t="n">
        <v>0.0258</v>
      </c>
      <c r="L82" s="312" t="n">
        <v>0.0642930708056147</v>
      </c>
      <c r="M82" s="312" t="n">
        <v>0.0533367661626582</v>
      </c>
      <c r="N82" s="313" t="n">
        <v>2.50471787885057</v>
      </c>
      <c r="O82" s="313" t="n">
        <v>5.04583225461846</v>
      </c>
      <c r="P82" s="313" t="n">
        <v>35.8329253380547</v>
      </c>
      <c r="Q82" s="313" t="n">
        <v>56.4879716931982</v>
      </c>
      <c r="R82" s="313" t="n">
        <v>14.8700087123825</v>
      </c>
      <c r="S82" s="313" t="n">
        <v>46.181287269312</v>
      </c>
      <c r="T82" s="312" t="n">
        <v>0.203827382780431</v>
      </c>
      <c r="U82" s="312" t="n">
        <v>0.00761791207754487</v>
      </c>
      <c r="V82" s="312" t="n">
        <v>-0.0212546242490299</v>
      </c>
      <c r="W82" s="312" t="n">
        <v>-0.306612543453671</v>
      </c>
      <c r="X82" s="312" t="n">
        <v>0.237009946728816</v>
      </c>
      <c r="Y82" s="312" t="n">
        <v>0.482749255544093</v>
      </c>
      <c r="Z82" s="312" t="n">
        <v>0.482749255544093</v>
      </c>
      <c r="AA82" s="314" t="n">
        <v>0.089345350822232</v>
      </c>
    </row>
    <row r="83" customFormat="false" ht="12" hidden="false" customHeight="true" outlineLevel="0" collapsed="false">
      <c r="A83" s="6" t="s">
        <v>724</v>
      </c>
      <c r="B83" s="311" t="n">
        <v>101</v>
      </c>
      <c r="C83" s="312" t="n">
        <v>-0.00412904761904761</v>
      </c>
      <c r="D83" s="312" t="n">
        <v>0.206104361698243</v>
      </c>
      <c r="E83" s="312" t="n">
        <v>0.147335142400624</v>
      </c>
      <c r="F83" s="312" t="n">
        <v>0.120154449772329</v>
      </c>
      <c r="G83" s="313" t="n">
        <v>0.959545025023916</v>
      </c>
      <c r="H83" s="313" t="n">
        <v>0.95869522130184</v>
      </c>
      <c r="I83" s="312" t="n">
        <v>0.0545504144454469</v>
      </c>
      <c r="J83" s="312" t="n">
        <v>0.626140764274445</v>
      </c>
      <c r="K83" s="312" t="n">
        <v>0.02998</v>
      </c>
      <c r="L83" s="312" t="n">
        <v>0.0254921108517998</v>
      </c>
      <c r="M83" s="312" t="n">
        <v>0.0537177142762279</v>
      </c>
      <c r="N83" s="313" t="n">
        <v>0.679622417638566</v>
      </c>
      <c r="O83" s="313" t="n">
        <v>8.16276026342632</v>
      </c>
      <c r="P83" s="313" t="n">
        <v>25.090060525473</v>
      </c>
      <c r="Q83" s="313" t="n">
        <v>38.0428025152743</v>
      </c>
      <c r="R83" s="313" t="n">
        <v>6.23326053224863</v>
      </c>
      <c r="S83" s="313" t="n">
        <v>157.384888066225</v>
      </c>
      <c r="T83" s="312" t="n">
        <v>0.0540582176947956</v>
      </c>
      <c r="U83" s="312" t="n">
        <v>0.140381885237086</v>
      </c>
      <c r="V83" s="312" t="n">
        <v>0.0993650572646581</v>
      </c>
      <c r="W83" s="312" t="n">
        <v>0.677960232521772</v>
      </c>
      <c r="X83" s="312" t="n">
        <v>0.177142370868118</v>
      </c>
      <c r="Y83" s="312" t="n">
        <v>0.00263078250845753</v>
      </c>
      <c r="Z83" s="312" t="n">
        <v>0.0026307825084575</v>
      </c>
      <c r="AA83" s="314" t="n">
        <v>0.217938551319624</v>
      </c>
    </row>
    <row r="84" customFormat="false" ht="12" hidden="false" customHeight="true" outlineLevel="0" collapsed="false">
      <c r="A84" s="6" t="s">
        <v>725</v>
      </c>
      <c r="B84" s="311" t="n">
        <v>36</v>
      </c>
      <c r="C84" s="312" t="n">
        <v>0.19336</v>
      </c>
      <c r="D84" s="312" t="n">
        <v>0.0505943896891585</v>
      </c>
      <c r="E84" s="312" t="n">
        <v>0.066577543017666</v>
      </c>
      <c r="F84" s="312" t="n">
        <v>0.0597139808131767</v>
      </c>
      <c r="G84" s="313" t="n">
        <v>0.748982946381158</v>
      </c>
      <c r="H84" s="313" t="n">
        <v>0.773129781724877</v>
      </c>
      <c r="I84" s="312" t="n">
        <v>0.0457917256974142</v>
      </c>
      <c r="J84" s="312" t="n">
        <v>0.327251307121881</v>
      </c>
      <c r="K84" s="312" t="n">
        <v>0.0258</v>
      </c>
      <c r="L84" s="312" t="n">
        <v>0.0811457048347293</v>
      </c>
      <c r="M84" s="312" t="n">
        <v>0.0436042220449563</v>
      </c>
      <c r="N84" s="313" t="n">
        <v>1.00569697057369</v>
      </c>
      <c r="O84" s="313" t="n">
        <v>15.6705136516519</v>
      </c>
      <c r="P84" s="313" t="n">
        <v>19.2081259723639</v>
      </c>
      <c r="Q84" s="313" t="n">
        <v>95.4389335203651</v>
      </c>
      <c r="R84" s="313" t="n">
        <v>15.187449175203</v>
      </c>
      <c r="S84" s="313" t="n">
        <v>67.8886202018288</v>
      </c>
      <c r="T84" s="312" t="n">
        <v>0.105759862971387</v>
      </c>
      <c r="U84" s="312" t="n">
        <v>0.0789898632521832</v>
      </c>
      <c r="V84" s="312" t="n">
        <v>0.0695019459186252</v>
      </c>
      <c r="W84" s="312" t="n">
        <v>2.17238534768491</v>
      </c>
      <c r="X84" s="312" t="n">
        <v>-0.112285669149588</v>
      </c>
      <c r="Y84" s="312" t="n">
        <v>0.00178117048346056</v>
      </c>
      <c r="Z84" s="312" t="n">
        <v>0.0017811704834606</v>
      </c>
      <c r="AA84" s="314" t="n">
        <v>0.0677842772230509</v>
      </c>
    </row>
    <row r="85" customFormat="false" ht="12" hidden="false" customHeight="true" outlineLevel="0" collapsed="false">
      <c r="A85" s="6" t="s">
        <v>726</v>
      </c>
      <c r="B85" s="311" t="n">
        <v>388</v>
      </c>
      <c r="C85" s="312" t="n">
        <v>0.189275034013605</v>
      </c>
      <c r="D85" s="312" t="n">
        <v>0.233043351848805</v>
      </c>
      <c r="E85" s="312" t="n">
        <v>0.222771395984132</v>
      </c>
      <c r="F85" s="312" t="n">
        <v>0.141352516958651</v>
      </c>
      <c r="G85" s="313" t="n">
        <v>0.894009414778034</v>
      </c>
      <c r="H85" s="313" t="n">
        <v>0.911687212950053</v>
      </c>
      <c r="I85" s="312" t="n">
        <v>0.0523316364512425</v>
      </c>
      <c r="J85" s="312" t="n">
        <v>0.479705900192846</v>
      </c>
      <c r="K85" s="312" t="n">
        <v>0.02998</v>
      </c>
      <c r="L85" s="312" t="n">
        <v>0.0614989608533567</v>
      </c>
      <c r="M85" s="312" t="n">
        <v>0.0504592245475955</v>
      </c>
      <c r="N85" s="313" t="n">
        <v>0.918309812408007</v>
      </c>
      <c r="O85" s="313" t="n">
        <v>11.8234957156357</v>
      </c>
      <c r="P85" s="313" t="n">
        <v>30.4238056816894</v>
      </c>
      <c r="Q85" s="313" t="n">
        <v>43.9349790844803</v>
      </c>
      <c r="R85" s="313" t="n">
        <v>14.0738262226313</v>
      </c>
      <c r="S85" s="313" t="n">
        <v>148.99150403292</v>
      </c>
      <c r="T85" s="312" t="n">
        <v>0.131484615425583</v>
      </c>
      <c r="U85" s="312" t="n">
        <v>0.0680368388336744</v>
      </c>
      <c r="V85" s="312" t="n">
        <v>0.0559870282244549</v>
      </c>
      <c r="W85" s="312" t="n">
        <v>0.336890337451312</v>
      </c>
      <c r="X85" s="312" t="n">
        <v>0.280879775084722</v>
      </c>
      <c r="Y85" s="312" t="n">
        <v>0.293539877920742</v>
      </c>
      <c r="Z85" s="312" t="n">
        <v>0.293539877920742</v>
      </c>
      <c r="AA85" s="314" t="n">
        <v>0.249037810792951</v>
      </c>
    </row>
    <row r="86" customFormat="false" ht="12" hidden="false" customHeight="true" outlineLevel="0" collapsed="false">
      <c r="A86" s="6" t="s">
        <v>727</v>
      </c>
      <c r="B86" s="311" t="n">
        <v>32</v>
      </c>
      <c r="C86" s="312" t="n">
        <v>0.00472318181818182</v>
      </c>
      <c r="D86" s="312" t="n">
        <v>0.0355325963399846</v>
      </c>
      <c r="E86" s="312" t="n">
        <v>0.0581002472483971</v>
      </c>
      <c r="F86" s="312" t="n">
        <v>0.245288344776985</v>
      </c>
      <c r="G86" s="313" t="n">
        <v>0.784840852868343</v>
      </c>
      <c r="H86" s="313" t="n">
        <v>0.952674326623155</v>
      </c>
      <c r="I86" s="312" t="n">
        <v>0.0542662282166129</v>
      </c>
      <c r="J86" s="312" t="n">
        <v>0.393191552298084</v>
      </c>
      <c r="K86" s="312" t="n">
        <v>0.0258</v>
      </c>
      <c r="L86" s="312" t="n">
        <v>0.334402040846783</v>
      </c>
      <c r="M86" s="312" t="n">
        <v>0.0424176187892286</v>
      </c>
      <c r="N86" s="313" t="n">
        <v>1.7027174008564</v>
      </c>
      <c r="O86" s="313" t="n">
        <v>0.934814810734204</v>
      </c>
      <c r="P86" s="313" t="n">
        <v>9.73900318919887</v>
      </c>
      <c r="Q86" s="313" t="n">
        <v>23.0612002170624</v>
      </c>
      <c r="R86" s="313" t="n">
        <v>1.55284794641481</v>
      </c>
      <c r="S86" s="313" t="n">
        <v>35.7260794431059</v>
      </c>
      <c r="T86" s="312" t="n">
        <v>0.216911051233387</v>
      </c>
      <c r="U86" s="312" t="n">
        <v>0.069582397129241</v>
      </c>
      <c r="V86" s="312" t="n">
        <v>0.0557344118067295</v>
      </c>
      <c r="W86" s="312" t="n">
        <v>0.28492571356854</v>
      </c>
      <c r="X86" s="312" t="n">
        <v>-0.0284095044930843</v>
      </c>
      <c r="Y86" s="312" t="n">
        <v>0.00646730078567191</v>
      </c>
      <c r="Z86" s="312" t="n">
        <v>0.00646730078567193</v>
      </c>
      <c r="AA86" s="314" t="n">
        <v>0.0363020279716488</v>
      </c>
    </row>
    <row r="87" customFormat="false" ht="12" hidden="false" customHeight="true" outlineLevel="0" collapsed="false">
      <c r="A87" s="6" t="s">
        <v>728</v>
      </c>
      <c r="B87" s="311" t="n">
        <v>16</v>
      </c>
      <c r="C87" s="312" t="n">
        <v>0.0652742857142857</v>
      </c>
      <c r="D87" s="312" t="n">
        <v>0.124816776477491</v>
      </c>
      <c r="E87" s="312" t="n">
        <v>0.10222796915324</v>
      </c>
      <c r="F87" s="312" t="n">
        <v>0.226455199476782</v>
      </c>
      <c r="G87" s="313" t="n">
        <v>0.39285404261554</v>
      </c>
      <c r="H87" s="313" t="n">
        <v>0.531014282199388</v>
      </c>
      <c r="I87" s="312" t="n">
        <v>0.0343638741198111</v>
      </c>
      <c r="J87" s="312" t="n">
        <v>0.397789138440879</v>
      </c>
      <c r="K87" s="312" t="n">
        <v>0.0258</v>
      </c>
      <c r="L87" s="312" t="n">
        <v>0.353046808751658</v>
      </c>
      <c r="M87" s="312" t="n">
        <v>0.0288811016214968</v>
      </c>
      <c r="N87" s="313" t="n">
        <v>0.837351433012571</v>
      </c>
      <c r="O87" s="313" t="n">
        <v>3.67017153893195</v>
      </c>
      <c r="P87" s="313" t="n">
        <v>10.1411582632254</v>
      </c>
      <c r="Q87" s="313" t="n">
        <v>29.546652439145</v>
      </c>
      <c r="R87" s="313" t="n">
        <v>2.35559396690874</v>
      </c>
      <c r="S87" s="313" t="n">
        <v>24.6831215935271</v>
      </c>
      <c r="T87" s="312" t="n">
        <v>0.10992374328413</v>
      </c>
      <c r="U87" s="312" t="n">
        <v>0.153337201346705</v>
      </c>
      <c r="V87" s="312" t="n">
        <v>0.0351522719716792</v>
      </c>
      <c r="W87" s="312" t="n">
        <v>1.68195294350668</v>
      </c>
      <c r="X87" s="312" t="n">
        <v>0.0891039635457387</v>
      </c>
      <c r="Y87" s="312" t="n">
        <v>0.0303590617052075</v>
      </c>
      <c r="Z87" s="312" t="n">
        <v>0.0303590617052075</v>
      </c>
      <c r="AA87" s="314" t="n">
        <v>0.126518591088184</v>
      </c>
    </row>
    <row r="88" customFormat="false" ht="12" hidden="false" customHeight="true" outlineLevel="0" collapsed="false">
      <c r="A88" s="6" t="s">
        <v>729</v>
      </c>
      <c r="B88" s="311" t="n">
        <v>96</v>
      </c>
      <c r="C88" s="312" t="n">
        <v>0.316474827586207</v>
      </c>
      <c r="D88" s="312" t="n">
        <v>0.18687314795663</v>
      </c>
      <c r="E88" s="312" t="n">
        <v>0.217987785208166</v>
      </c>
      <c r="F88" s="312" t="n">
        <v>0.179024190101535</v>
      </c>
      <c r="G88" s="313" t="n">
        <v>0.832189903242121</v>
      </c>
      <c r="H88" s="313" t="n">
        <v>0.869373652191952</v>
      </c>
      <c r="I88" s="312" t="n">
        <v>0.0503344363834602</v>
      </c>
      <c r="J88" s="312" t="n">
        <v>0.431084801420254</v>
      </c>
      <c r="K88" s="312" t="n">
        <v>0.02998</v>
      </c>
      <c r="L88" s="312" t="n">
        <v>0.128902256717199</v>
      </c>
      <c r="M88" s="312" t="n">
        <v>0.0466672913922024</v>
      </c>
      <c r="N88" s="313" t="n">
        <v>1.20250764563524</v>
      </c>
      <c r="O88" s="313" t="n">
        <v>3.56418289558149</v>
      </c>
      <c r="P88" s="313" t="n">
        <v>13.9221666324166</v>
      </c>
      <c r="Q88" s="313" t="n">
        <v>18.5239923725058</v>
      </c>
      <c r="R88" s="313" t="n">
        <v>4.83998152386504</v>
      </c>
      <c r="S88" s="313" t="n">
        <v>50.6781247444975</v>
      </c>
      <c r="T88" s="312" t="n">
        <v>0.168364712548948</v>
      </c>
      <c r="U88" s="312" t="n">
        <v>0.0294827699473483</v>
      </c>
      <c r="V88" s="312" t="n">
        <v>0.0334733934502617</v>
      </c>
      <c r="W88" s="312" t="n">
        <v>0.11714492463095</v>
      </c>
      <c r="X88" s="312" t="n">
        <v>0.171004034726291</v>
      </c>
      <c r="Y88" s="312" t="n">
        <v>0.647070591605671</v>
      </c>
      <c r="Z88" s="312" t="n">
        <v>0.647070591605671</v>
      </c>
      <c r="AA88" s="314" t="n">
        <v>0.188558332583883</v>
      </c>
    </row>
    <row r="89" customFormat="false" ht="12" hidden="false" customHeight="true" outlineLevel="0" collapsed="false">
      <c r="A89" s="6" t="s">
        <v>730</v>
      </c>
      <c r="B89" s="311" t="n">
        <v>58</v>
      </c>
      <c r="C89" s="312" t="n">
        <v>0.0779095833333333</v>
      </c>
      <c r="D89" s="312" t="n">
        <v>0.194566097267867</v>
      </c>
      <c r="E89" s="312" t="n">
        <v>0.1377779630297</v>
      </c>
      <c r="F89" s="312" t="n">
        <v>0.167074976612428</v>
      </c>
      <c r="G89" s="313" t="n">
        <v>0.421809412983281</v>
      </c>
      <c r="H89" s="313" t="n">
        <v>0.659046344897346</v>
      </c>
      <c r="I89" s="312" t="n">
        <v>0.0404069874791547</v>
      </c>
      <c r="J89" s="312" t="n">
        <v>0.435297453236446</v>
      </c>
      <c r="K89" s="312" t="n">
        <v>0.02998</v>
      </c>
      <c r="L89" s="312" t="n">
        <v>0.453967948393403</v>
      </c>
      <c r="M89" s="312" t="n">
        <v>0.0319987804102539</v>
      </c>
      <c r="N89" s="313" t="n">
        <v>0.751888556005275</v>
      </c>
      <c r="O89" s="313" t="n">
        <v>2.50638512341265</v>
      </c>
      <c r="P89" s="313" t="n">
        <v>6.76123119339733</v>
      </c>
      <c r="Q89" s="313" t="n">
        <v>13.1162220317825</v>
      </c>
      <c r="R89" s="313" t="n">
        <v>1.72882179015559</v>
      </c>
      <c r="S89" s="313" t="n">
        <v>22.2726832291048</v>
      </c>
      <c r="T89" s="312" t="n">
        <v>0.011846303461982</v>
      </c>
      <c r="U89" s="312" t="n">
        <v>0.126272513669135</v>
      </c>
      <c r="V89" s="312" t="n">
        <v>-0.023647204248838</v>
      </c>
      <c r="W89" s="312" t="n">
        <v>-0.0218788375697181</v>
      </c>
      <c r="X89" s="312" t="n">
        <v>0.112683283426874</v>
      </c>
      <c r="Y89" s="312" t="n">
        <v>0.519191593845998</v>
      </c>
      <c r="Z89" s="312" t="n">
        <v>0.519191593845998</v>
      </c>
      <c r="AA89" s="314" t="n">
        <v>0.19073146201563</v>
      </c>
    </row>
    <row r="90" customFormat="false" ht="12" hidden="false" customHeight="true" outlineLevel="0" collapsed="false">
      <c r="A90" s="6" t="s">
        <v>731</v>
      </c>
      <c r="B90" s="311" t="n">
        <v>15</v>
      </c>
      <c r="C90" s="312" t="n">
        <v>0.528233333333333</v>
      </c>
      <c r="D90" s="312" t="n">
        <v>0.427990635332578</v>
      </c>
      <c r="E90" s="312" t="n">
        <v>0.453260650030035</v>
      </c>
      <c r="F90" s="312" t="n">
        <v>0.346661104468968</v>
      </c>
      <c r="G90" s="313" t="n">
        <v>0.612708455179101</v>
      </c>
      <c r="H90" s="313" t="n">
        <v>0.721841145813917</v>
      </c>
      <c r="I90" s="312" t="n">
        <v>0.0433709020824169</v>
      </c>
      <c r="J90" s="312" t="n">
        <v>0.244882335520754</v>
      </c>
      <c r="K90" s="312" t="n">
        <v>0.0192</v>
      </c>
      <c r="L90" s="312" t="n">
        <v>0.232619924166291</v>
      </c>
      <c r="M90" s="312" t="n">
        <v>0.0365423669860962</v>
      </c>
      <c r="N90" s="313" t="n">
        <v>1.15672976288896</v>
      </c>
      <c r="O90" s="313" t="n">
        <v>4.81542921046674</v>
      </c>
      <c r="P90" s="313" t="n">
        <v>10.4828547137887</v>
      </c>
      <c r="Q90" s="313" t="n">
        <v>11.2036813816758</v>
      </c>
      <c r="R90" s="315" t="s">
        <v>646</v>
      </c>
      <c r="S90" s="313" t="n">
        <v>54.6183619615313</v>
      </c>
      <c r="T90" s="312" t="n">
        <v>0.131009604655774</v>
      </c>
      <c r="U90" s="312" t="n">
        <v>0.017543404600606</v>
      </c>
      <c r="V90" s="312" t="n">
        <v>0.0123872182789177</v>
      </c>
      <c r="W90" s="312" t="n">
        <v>0.00687048677532165</v>
      </c>
      <c r="X90" s="312" t="n">
        <v>-0.00231080867745603</v>
      </c>
      <c r="Y90" s="312" t="n">
        <v>1.64952950565836</v>
      </c>
      <c r="Z90" s="312" t="n">
        <v>1.64952950565836</v>
      </c>
      <c r="AA90" s="314" t="n">
        <v>0.429155605212013</v>
      </c>
    </row>
    <row r="91" customFormat="false" ht="12" hidden="false" customHeight="true" outlineLevel="0" collapsed="false">
      <c r="A91" s="6" t="s">
        <v>732</v>
      </c>
      <c r="B91" s="311" t="n">
        <v>21</v>
      </c>
      <c r="C91" s="312" t="n">
        <v>0.0941607692307692</v>
      </c>
      <c r="D91" s="312" t="n">
        <v>0.0627677996112735</v>
      </c>
      <c r="E91" s="312" t="n">
        <v>0.133171237007476</v>
      </c>
      <c r="F91" s="312" t="n">
        <v>0.223658979010106</v>
      </c>
      <c r="G91" s="313" t="n">
        <v>0.786947845976664</v>
      </c>
      <c r="H91" s="313" t="n">
        <v>0.907385385057</v>
      </c>
      <c r="I91" s="312" t="n">
        <v>0.0521285901746904</v>
      </c>
      <c r="J91" s="312" t="n">
        <v>0.286761946774641</v>
      </c>
      <c r="K91" s="312" t="n">
        <v>0.0258</v>
      </c>
      <c r="L91" s="312" t="n">
        <v>0.240664781062115</v>
      </c>
      <c r="M91" s="312" t="n">
        <v>0.0441157549197457</v>
      </c>
      <c r="N91" s="313" t="n">
        <v>2.45157418492786</v>
      </c>
      <c r="O91" s="313" t="n">
        <v>1.55673178970807</v>
      </c>
      <c r="P91" s="313" t="n">
        <v>12.9594920733462</v>
      </c>
      <c r="Q91" s="313" t="n">
        <v>25.6269806512084</v>
      </c>
      <c r="R91" s="313" t="n">
        <v>6.77492922588148</v>
      </c>
      <c r="S91" s="313" t="n">
        <v>48.6059288716459</v>
      </c>
      <c r="T91" s="312" t="n">
        <v>0.0796931367437793</v>
      </c>
      <c r="U91" s="312" t="n">
        <v>0.0588127794421847</v>
      </c>
      <c r="V91" s="312" t="n">
        <v>0.0226287566279302</v>
      </c>
      <c r="W91" s="312" t="n">
        <v>0.683409727922862</v>
      </c>
      <c r="X91" s="312" t="n">
        <v>0.227679140536071</v>
      </c>
      <c r="Y91" s="312" t="n">
        <v>0.55442348356376</v>
      </c>
      <c r="Z91" s="312" t="n">
        <v>0.55442348356376</v>
      </c>
      <c r="AA91" s="314" t="n">
        <v>0.060731915901517</v>
      </c>
    </row>
    <row r="92" customFormat="false" ht="12" hidden="false" customHeight="true" outlineLevel="0" collapsed="false">
      <c r="A92" s="6" t="s">
        <v>733</v>
      </c>
      <c r="B92" s="311" t="n">
        <v>6</v>
      </c>
      <c r="C92" s="312" t="n">
        <v>-0.0147</v>
      </c>
      <c r="D92" s="312" t="n">
        <v>0.391250230607379</v>
      </c>
      <c r="E92" s="312" t="n">
        <v>0.129677635968761</v>
      </c>
      <c r="F92" s="312" t="n">
        <v>0.231159773143905</v>
      </c>
      <c r="G92" s="313" t="n">
        <v>0.741133957362761</v>
      </c>
      <c r="H92" s="313" t="n">
        <v>0.844808496678422</v>
      </c>
      <c r="I92" s="312" t="n">
        <v>0.0491749610432215</v>
      </c>
      <c r="J92" s="312" t="n">
        <v>0.168339977655422</v>
      </c>
      <c r="K92" s="312" t="n">
        <v>0.0192</v>
      </c>
      <c r="L92" s="312" t="n">
        <v>0.183944721150649</v>
      </c>
      <c r="M92" s="312" t="n">
        <v>0.0427076557581796</v>
      </c>
      <c r="N92" s="313" t="n">
        <v>0.397017125864928</v>
      </c>
      <c r="O92" s="313" t="n">
        <v>8.09994442903634</v>
      </c>
      <c r="P92" s="313" t="n">
        <v>15.4580523997854</v>
      </c>
      <c r="Q92" s="313" t="n">
        <v>20.9348538111732</v>
      </c>
      <c r="R92" s="313" t="n">
        <v>5.8229959384546</v>
      </c>
      <c r="S92" s="313" t="n">
        <v>28.5508480561843</v>
      </c>
      <c r="T92" s="312" t="n">
        <v>0.0165360086124558</v>
      </c>
      <c r="U92" s="312" t="n">
        <v>0.163566602913943</v>
      </c>
      <c r="V92" s="312" t="n">
        <v>0.0444704437236261</v>
      </c>
      <c r="W92" s="312" t="n">
        <v>0.128298440706425</v>
      </c>
      <c r="X92" s="312" t="n">
        <v>0.214746263521043</v>
      </c>
      <c r="Y92" s="312" t="n">
        <v>0.410275280637198</v>
      </c>
      <c r="Z92" s="312" t="n">
        <v>0.410275280637198</v>
      </c>
      <c r="AA92" s="314" t="n">
        <v>0.386909107499863</v>
      </c>
    </row>
    <row r="93" customFormat="false" ht="12" hidden="false" customHeight="true" outlineLevel="0" collapsed="false">
      <c r="A93" s="6" t="s">
        <v>734</v>
      </c>
      <c r="B93" s="311" t="n">
        <v>35</v>
      </c>
      <c r="C93" s="312" t="n">
        <v>0.0306421052631579</v>
      </c>
      <c r="D93" s="312" t="n">
        <v>-0.0288224690505895</v>
      </c>
      <c r="E93" s="312" t="n">
        <v>-0.0403565543521348</v>
      </c>
      <c r="F93" s="312" t="n">
        <v>0.216752778562291</v>
      </c>
      <c r="G93" s="313" t="n">
        <v>0.945991134462446</v>
      </c>
      <c r="H93" s="313" t="n">
        <v>1.11178878249815</v>
      </c>
      <c r="I93" s="312" t="n">
        <v>0.0617764305339129</v>
      </c>
      <c r="J93" s="312" t="n">
        <v>0.387837607293968</v>
      </c>
      <c r="K93" s="312" t="n">
        <v>0.0258</v>
      </c>
      <c r="L93" s="312" t="n">
        <v>0.252377672293242</v>
      </c>
      <c r="M93" s="312" t="n">
        <v>0.0509387198731497</v>
      </c>
      <c r="N93" s="313" t="n">
        <v>0.836361276447511</v>
      </c>
      <c r="O93" s="313" t="n">
        <v>2.72923517130071</v>
      </c>
      <c r="P93" s="313" t="n">
        <v>10.064082127941</v>
      </c>
      <c r="Q93" s="315" t="s">
        <v>646</v>
      </c>
      <c r="R93" s="313" t="n">
        <v>4.81172576666989</v>
      </c>
      <c r="S93" s="313" t="n">
        <v>46.7383416220156</v>
      </c>
      <c r="T93" s="312" t="n">
        <v>0.0607238000413397</v>
      </c>
      <c r="U93" s="312" t="n">
        <v>-0.00801257769649277</v>
      </c>
      <c r="V93" s="312" t="n">
        <v>-0.086707710315732</v>
      </c>
      <c r="W93" s="316" t="s">
        <v>646</v>
      </c>
      <c r="X93" s="312" t="n">
        <v>-0.17695648613703</v>
      </c>
      <c r="Y93" s="312" t="n">
        <v>0.00271007448829947</v>
      </c>
      <c r="Z93" s="312" t="n">
        <v>0.00271007448829952</v>
      </c>
      <c r="AA93" s="314" t="n">
        <v>-0.0507321366497247</v>
      </c>
    </row>
    <row r="94" customFormat="false" ht="12" hidden="false" customHeight="true" outlineLevel="0" collapsed="false">
      <c r="A94" s="6" t="s">
        <v>735</v>
      </c>
      <c r="B94" s="311" t="n">
        <v>16</v>
      </c>
      <c r="C94" s="312" t="n">
        <v>0.022685</v>
      </c>
      <c r="D94" s="312" t="n">
        <v>0.204033411541384</v>
      </c>
      <c r="E94" s="312" t="n">
        <v>0.067850905338864</v>
      </c>
      <c r="F94" s="312" t="n">
        <v>0.117171773264289</v>
      </c>
      <c r="G94" s="313" t="n">
        <v>0.485584856062546</v>
      </c>
      <c r="H94" s="313" t="n">
        <v>0.739778458951858</v>
      </c>
      <c r="I94" s="312" t="n">
        <v>0.0442175432625277</v>
      </c>
      <c r="J94" s="312" t="n">
        <v>0.184446528742119</v>
      </c>
      <c r="K94" s="312" t="n">
        <v>0.0192</v>
      </c>
      <c r="L94" s="312" t="n">
        <v>0.42756747620067</v>
      </c>
      <c r="M94" s="312" t="n">
        <v>0.0313043456324034</v>
      </c>
      <c r="N94" s="313" t="n">
        <v>0.373070344672642</v>
      </c>
      <c r="O94" s="313" t="n">
        <v>4.13662175488812</v>
      </c>
      <c r="P94" s="313" t="n">
        <v>12.1518442913848</v>
      </c>
      <c r="Q94" s="313" t="n">
        <v>20.5294743257414</v>
      </c>
      <c r="R94" s="313" t="n">
        <v>1.84043464191693</v>
      </c>
      <c r="S94" s="313" t="n">
        <v>18.7308520595092</v>
      </c>
      <c r="T94" s="312" t="n">
        <v>0.0901345023611752</v>
      </c>
      <c r="U94" s="312" t="n">
        <v>0.31146522285976</v>
      </c>
      <c r="V94" s="312" t="n">
        <v>0.198968417000461</v>
      </c>
      <c r="W94" s="312" t="n">
        <v>1.10395752052761</v>
      </c>
      <c r="X94" s="312" t="n">
        <v>0.0748571242666435</v>
      </c>
      <c r="Y94" s="312" t="n">
        <v>1.00898186243264</v>
      </c>
      <c r="Z94" s="312" t="n">
        <v>1.00898186243264</v>
      </c>
      <c r="AA94" s="314" t="n">
        <v>0.201496720727102</v>
      </c>
    </row>
    <row r="95" customFormat="false" ht="12" hidden="false" customHeight="true" outlineLevel="0" collapsed="false">
      <c r="A95" s="6" t="s">
        <v>736</v>
      </c>
      <c r="B95" s="311" t="n">
        <v>17</v>
      </c>
      <c r="C95" s="312" t="n">
        <v>0.127390909090909</v>
      </c>
      <c r="D95" s="312" t="n">
        <v>0.304628643658144</v>
      </c>
      <c r="E95" s="312" t="n">
        <v>0.0805016886497323</v>
      </c>
      <c r="F95" s="312" t="n">
        <v>0.187484816611814</v>
      </c>
      <c r="G95" s="313" t="n">
        <v>0.572902141553237</v>
      </c>
      <c r="H95" s="313" t="n">
        <v>0.733967747888133</v>
      </c>
      <c r="I95" s="312" t="n">
        <v>0.0439432777003199</v>
      </c>
      <c r="J95" s="312" t="n">
        <v>0.359609265698879</v>
      </c>
      <c r="K95" s="312" t="n">
        <v>0.0258</v>
      </c>
      <c r="L95" s="312" t="n">
        <v>0.288051163370102</v>
      </c>
      <c r="M95" s="312" t="n">
        <v>0.0367105210473598</v>
      </c>
      <c r="N95" s="313" t="n">
        <v>0.298735742084803</v>
      </c>
      <c r="O95" s="313" t="n">
        <v>9.78617541256038</v>
      </c>
      <c r="P95" s="313" t="n">
        <v>20.9248550166925</v>
      </c>
      <c r="Q95" s="313" t="n">
        <v>32.1628087665647</v>
      </c>
      <c r="R95" s="313" t="n">
        <v>3.5073850269273</v>
      </c>
      <c r="S95" s="313" t="n">
        <v>62.3921491943885</v>
      </c>
      <c r="T95" s="312" t="n">
        <v>0.169492238607011</v>
      </c>
      <c r="U95" s="312" t="n">
        <v>0.47276822081539</v>
      </c>
      <c r="V95" s="312" t="n">
        <v>0.966202454875753</v>
      </c>
      <c r="W95" s="312" t="n">
        <v>3.94537574033532</v>
      </c>
      <c r="X95" s="312" t="n">
        <v>0.0824656766791555</v>
      </c>
      <c r="Y95" s="312" t="n">
        <v>0.663664330396365</v>
      </c>
      <c r="Z95" s="312" t="n">
        <v>0.713055674851061</v>
      </c>
      <c r="AA95" s="314" t="n">
        <v>0.302089136579805</v>
      </c>
    </row>
    <row r="96" customFormat="false" ht="12" hidden="false" customHeight="true" outlineLevel="0" collapsed="false">
      <c r="A96" s="6" t="s">
        <v>737</v>
      </c>
      <c r="B96" s="311" t="n">
        <v>7582</v>
      </c>
      <c r="C96" s="312" t="n">
        <v>0.0886044481698801</v>
      </c>
      <c r="D96" s="312" t="n">
        <v>0.0962017048401409</v>
      </c>
      <c r="E96" s="312" t="n">
        <v>0.0605060966853547</v>
      </c>
      <c r="F96" s="312" t="n">
        <v>0.177600578991215</v>
      </c>
      <c r="G96" s="313" t="n">
        <v>0.74815107298589</v>
      </c>
      <c r="H96" s="313" t="n">
        <v>0.941533123891988</v>
      </c>
      <c r="I96" s="312" t="n">
        <v>0.0537403634477018</v>
      </c>
      <c r="J96" s="312" t="n">
        <v>0.412053959252779</v>
      </c>
      <c r="K96" s="312" t="n">
        <v>0.02998</v>
      </c>
      <c r="L96" s="312" t="n">
        <v>0.325807529420813</v>
      </c>
      <c r="M96" s="312" t="n">
        <v>0.0433617765070158</v>
      </c>
      <c r="N96" s="313" t="n">
        <v>0.667470119860662</v>
      </c>
      <c r="O96" s="313" t="n">
        <v>3.64625268866489</v>
      </c>
      <c r="P96" s="313" t="n">
        <v>20.0173227147219</v>
      </c>
      <c r="Q96" s="313" t="n">
        <v>36.4609647454658</v>
      </c>
      <c r="R96" s="313" t="n">
        <v>3.81385398667254</v>
      </c>
      <c r="S96" s="313" t="n">
        <v>103.246082654871</v>
      </c>
      <c r="T96" s="312" t="n">
        <v>-0.361015392179044</v>
      </c>
      <c r="U96" s="312" t="n">
        <v>0.0559670859597175</v>
      </c>
      <c r="V96" s="312" t="n">
        <v>0.0256649885280317</v>
      </c>
      <c r="W96" s="312" t="n">
        <v>0.331597936503691</v>
      </c>
      <c r="X96" s="312" t="n">
        <v>0.0824656766791555</v>
      </c>
      <c r="Y96" s="312" t="n">
        <v>0.713055674851061</v>
      </c>
      <c r="Z96" s="312" t="n">
        <v>0.713055674851061</v>
      </c>
      <c r="AA96" s="314" t="n">
        <v>0.0960703675976723</v>
      </c>
    </row>
    <row r="97" customFormat="false" ht="12" hidden="false" customHeight="true" outlineLevel="0" collapsed="false">
      <c r="A97" s="6" t="s">
        <v>738</v>
      </c>
      <c r="B97" s="311" t="n">
        <v>6253</v>
      </c>
      <c r="C97" s="312" t="n">
        <v>0.0940412043419003</v>
      </c>
      <c r="D97" s="312" t="n">
        <v>0.0993008733939349</v>
      </c>
      <c r="E97" s="312" t="n">
        <v>0.105844363610026</v>
      </c>
      <c r="F97" s="312" t="n">
        <v>0.177433609750995</v>
      </c>
      <c r="G97" s="313" t="n">
        <v>0.861776622232765</v>
      </c>
      <c r="H97" s="313" t="n">
        <v>0.978306009096848</v>
      </c>
      <c r="I97" s="312" t="n">
        <v>0.0554760436293712</v>
      </c>
      <c r="J97" s="312" t="n">
        <v>0.447729605814745</v>
      </c>
      <c r="K97" s="312" t="n">
        <v>0.02998</v>
      </c>
      <c r="L97" s="312" t="n">
        <v>0.200663425415313</v>
      </c>
      <c r="M97" s="312" t="n">
        <v>0.0487356300167965</v>
      </c>
      <c r="N97" s="313" t="n">
        <v>1.11374816003228</v>
      </c>
      <c r="O97" s="313" t="n">
        <v>3.19695911661374</v>
      </c>
      <c r="P97" s="313" t="n">
        <v>16.5209795745631</v>
      </c>
      <c r="Q97" s="313" t="n">
        <v>30.624257438475</v>
      </c>
      <c r="R97" s="313" t="n">
        <v>4.7501075427779</v>
      </c>
      <c r="S97" s="313" t="n">
        <v>87.0772623658505</v>
      </c>
      <c r="T97" s="312" t="n">
        <v>0.0828111928621924</v>
      </c>
      <c r="U97" s="312" t="n">
        <v>0.0591148654940296</v>
      </c>
      <c r="V97" s="312" t="n">
        <v>0.0253902187066481</v>
      </c>
      <c r="W97" s="312" t="n">
        <v>0.293988974535016</v>
      </c>
      <c r="X97" s="312" t="n">
        <v>0.0777509127908738</v>
      </c>
      <c r="Y97" s="312" t="n">
        <v>0.83967509040995</v>
      </c>
      <c r="Z97" s="312" t="n">
        <v>0.83967509040995</v>
      </c>
      <c r="AA97" s="314" t="n">
        <v>0.0992975211691577</v>
      </c>
    </row>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sheetPr filterMode="false">
    <pageSetUpPr fitToPage="false"/>
  </sheetPr>
  <dimension ref="A1:AA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20.29"/>
    <col collapsed="false" customWidth="true" hidden="false" outlineLevel="0" max="2" min="2" style="0" width="11.43"/>
    <col collapsed="false" customWidth="true" hidden="false" outlineLevel="0" max="3" min="3" style="0" width="9.42"/>
    <col collapsed="false" customWidth="true" hidden="false" outlineLevel="0" max="4" min="4" style="0" width="11.88"/>
    <col collapsed="false" customWidth="true" hidden="false" outlineLevel="0" max="5" min="5" style="0" width="12.58"/>
    <col collapsed="false" customWidth="true" hidden="false" outlineLevel="0" max="6" min="6" style="0" width="10.43"/>
    <col collapsed="false" customWidth="true" hidden="false" outlineLevel="0" max="7" min="7" style="0" width="11.43"/>
    <col collapsed="false" customWidth="true" hidden="false" outlineLevel="0" max="8" min="8" style="0" width="22.43"/>
    <col collapsed="false" customWidth="true" hidden="false" outlineLevel="0" max="27" min="9" style="0" width="10.72"/>
    <col collapsed="false" customWidth="true" hidden="false" outlineLevel="0" max="1025" min="28" style="0" width="14.43"/>
  </cols>
  <sheetData>
    <row r="1" customFormat="false" ht="12" hidden="false" customHeight="true" outlineLevel="0" collapsed="false">
      <c r="A1" s="307" t="s">
        <v>620</v>
      </c>
      <c r="B1" s="308" t="s">
        <v>621</v>
      </c>
      <c r="C1" s="309" t="s">
        <v>622</v>
      </c>
      <c r="D1" s="309" t="s">
        <v>623</v>
      </c>
      <c r="E1" s="309" t="s">
        <v>624</v>
      </c>
      <c r="F1" s="308" t="s">
        <v>625</v>
      </c>
      <c r="G1" s="308" t="s">
        <v>306</v>
      </c>
      <c r="H1" s="308" t="s">
        <v>626</v>
      </c>
      <c r="I1" s="308" t="s">
        <v>627</v>
      </c>
      <c r="J1" s="308" t="s">
        <v>628</v>
      </c>
      <c r="K1" s="308" t="s">
        <v>629</v>
      </c>
      <c r="L1" s="308" t="s">
        <v>630</v>
      </c>
      <c r="M1" s="308" t="s">
        <v>117</v>
      </c>
      <c r="N1" s="310" t="s">
        <v>631</v>
      </c>
      <c r="O1" s="308" t="s">
        <v>304</v>
      </c>
      <c r="P1" s="308" t="s">
        <v>632</v>
      </c>
      <c r="Q1" s="308" t="s">
        <v>633</v>
      </c>
      <c r="R1" s="308" t="s">
        <v>634</v>
      </c>
      <c r="S1" s="308" t="s">
        <v>635</v>
      </c>
      <c r="T1" s="308" t="s">
        <v>636</v>
      </c>
      <c r="U1" s="308" t="s">
        <v>637</v>
      </c>
      <c r="V1" s="308" t="s">
        <v>638</v>
      </c>
      <c r="W1" s="308" t="s">
        <v>639</v>
      </c>
      <c r="X1" s="307" t="s">
        <v>640</v>
      </c>
      <c r="Y1" s="307" t="s">
        <v>641</v>
      </c>
      <c r="Z1" s="307" t="s">
        <v>642</v>
      </c>
      <c r="AA1" s="308" t="s">
        <v>643</v>
      </c>
    </row>
    <row r="2" customFormat="false" ht="12" hidden="false" customHeight="true" outlineLevel="0" collapsed="false">
      <c r="A2" s="317" t="s">
        <v>11</v>
      </c>
      <c r="B2" s="10" t="n">
        <v>312</v>
      </c>
      <c r="C2" s="41" t="n">
        <v>0.0908532978723404</v>
      </c>
      <c r="D2" s="41" t="n">
        <v>0.0873314144056333</v>
      </c>
      <c r="E2" s="41" t="n">
        <v>0.20101704822719</v>
      </c>
      <c r="F2" s="41" t="n">
        <v>0.268068731558062</v>
      </c>
      <c r="G2" s="318" t="n">
        <v>0.957482305072161</v>
      </c>
      <c r="H2" s="318" t="n">
        <v>1.18396883091326</v>
      </c>
      <c r="I2" s="41" t="n">
        <v>0.0923692737504396</v>
      </c>
      <c r="J2" s="41" t="n">
        <v>0.463852038136777</v>
      </c>
      <c r="K2" s="41" t="n">
        <v>0.045</v>
      </c>
      <c r="L2" s="41" t="n">
        <v>0.330511164560295</v>
      </c>
      <c r="M2" s="41" t="n">
        <v>0.0728908383006665</v>
      </c>
      <c r="N2" s="318" t="n">
        <v>2.64070692404083</v>
      </c>
      <c r="O2" s="318" t="n">
        <v>1.7079673907575</v>
      </c>
      <c r="P2" s="318" t="n">
        <v>11.101104372538</v>
      </c>
      <c r="Q2" s="318" t="n">
        <v>18.3217386720605</v>
      </c>
      <c r="R2" s="318" t="n">
        <v>2.20240832427079</v>
      </c>
      <c r="S2" s="318" t="n">
        <v>66.3211210742578</v>
      </c>
      <c r="T2" s="41" t="n">
        <v>-0.0242898246593927</v>
      </c>
      <c r="U2" s="41" t="n">
        <v>0.0206011994908111</v>
      </c>
      <c r="V2" s="41" t="n">
        <v>0.0309000174581181</v>
      </c>
      <c r="W2" s="41" t="n">
        <v>0.54245284883729</v>
      </c>
      <c r="X2" s="41" t="n">
        <v>0.073274052636677</v>
      </c>
      <c r="Y2" s="41" t="n">
        <v>0.784613551124036</v>
      </c>
      <c r="Z2" s="41" t="n">
        <v>0.784613551124036</v>
      </c>
      <c r="AA2" s="319" t="n">
        <v>0.090882430396514</v>
      </c>
    </row>
    <row r="3" customFormat="false" ht="12" hidden="false" customHeight="true" outlineLevel="0" collapsed="false">
      <c r="A3" s="317" t="s">
        <v>644</v>
      </c>
      <c r="B3" s="10" t="n">
        <v>238</v>
      </c>
      <c r="C3" s="41" t="n">
        <v>0.0804254716981132</v>
      </c>
      <c r="D3" s="41" t="n">
        <v>0.0960126859037396</v>
      </c>
      <c r="E3" s="41" t="n">
        <v>0.216488453974826</v>
      </c>
      <c r="F3" s="41" t="n">
        <v>0.204919671419196</v>
      </c>
      <c r="G3" s="318" t="n">
        <v>1.05342984849879</v>
      </c>
      <c r="H3" s="318" t="n">
        <v>1.18486921748364</v>
      </c>
      <c r="I3" s="41" t="n">
        <v>0.0924249176404887</v>
      </c>
      <c r="J3" s="41" t="n">
        <v>0.370200926582304</v>
      </c>
      <c r="K3" s="41" t="n">
        <v>0.041</v>
      </c>
      <c r="L3" s="41" t="n">
        <v>0.197620763534281</v>
      </c>
      <c r="M3" s="41" t="n">
        <v>0.080179956166327</v>
      </c>
      <c r="N3" s="318" t="n">
        <v>2.48642486233091</v>
      </c>
      <c r="O3" s="318" t="n">
        <v>1.99940630039545</v>
      </c>
      <c r="P3" s="318" t="n">
        <v>14.6882691555391</v>
      </c>
      <c r="Q3" s="318" t="n">
        <v>20.6933792004681</v>
      </c>
      <c r="R3" s="318" t="n">
        <v>5.18996217020423</v>
      </c>
      <c r="S3" s="318" t="n">
        <v>43.8879535641952</v>
      </c>
      <c r="T3" s="41" t="n">
        <v>0.333373060158531</v>
      </c>
      <c r="U3" s="41" t="n">
        <v>0.0327960789994397</v>
      </c>
      <c r="V3" s="41" t="n">
        <v>0.048135674000098</v>
      </c>
      <c r="W3" s="41" t="n">
        <v>1.04788152220523</v>
      </c>
      <c r="X3" s="41" t="n">
        <v>0.220348132128799</v>
      </c>
      <c r="Y3" s="41" t="n">
        <v>0.453396826354201</v>
      </c>
      <c r="Z3" s="41" t="n">
        <v>0.453396826354201</v>
      </c>
      <c r="AA3" s="319" t="n">
        <v>0.0979974511234712</v>
      </c>
    </row>
    <row r="4" customFormat="false" ht="12" hidden="false" customHeight="true" outlineLevel="0" collapsed="false">
      <c r="A4" s="317" t="s">
        <v>645</v>
      </c>
      <c r="B4" s="10" t="n">
        <v>159</v>
      </c>
      <c r="C4" s="41" t="n">
        <v>0.0713752845528455</v>
      </c>
      <c r="D4" s="41" t="n">
        <v>0.0846101949348897</v>
      </c>
      <c r="E4" s="41" t="n">
        <v>0.0664438554790093</v>
      </c>
      <c r="F4" s="41" t="n">
        <v>0.221156005618554</v>
      </c>
      <c r="G4" s="318" t="n">
        <v>0.651567303423612</v>
      </c>
      <c r="H4" s="318" t="n">
        <v>1.09579074293492</v>
      </c>
      <c r="I4" s="41" t="n">
        <v>0.0869198679133783</v>
      </c>
      <c r="J4" s="41" t="n">
        <v>0.306060468343657</v>
      </c>
      <c r="K4" s="41" t="n">
        <v>0.041</v>
      </c>
      <c r="L4" s="41" t="n">
        <v>0.515820910286513</v>
      </c>
      <c r="M4" s="41" t="n">
        <v>0.0577982349143741</v>
      </c>
      <c r="N4" s="318" t="n">
        <v>1.01344107769337</v>
      </c>
      <c r="O4" s="318" t="n">
        <v>1.63600560196386</v>
      </c>
      <c r="P4" s="318" t="n">
        <v>8.15873389603059</v>
      </c>
      <c r="Q4" s="318" t="n">
        <v>20.9078374241507</v>
      </c>
      <c r="R4" s="318" t="n">
        <v>2.00308560224673</v>
      </c>
      <c r="S4" s="318" t="n">
        <v>21.6842012943875</v>
      </c>
      <c r="T4" s="41" t="n">
        <v>-0.0292325551563473</v>
      </c>
      <c r="U4" s="41" t="n">
        <v>0.112226238013737</v>
      </c>
      <c r="V4" s="41" t="n">
        <v>0.0440201723006148</v>
      </c>
      <c r="W4" s="41" t="n">
        <v>0.718666601400424</v>
      </c>
      <c r="X4" s="41" t="n">
        <v>0.11740561510541</v>
      </c>
      <c r="Y4" s="41" t="n">
        <v>0.436187197385912</v>
      </c>
      <c r="Z4" s="41" t="n">
        <v>0.436187197385912</v>
      </c>
      <c r="AA4" s="319" t="n">
        <v>0.0781125294377938</v>
      </c>
    </row>
    <row r="5" customFormat="false" ht="12" hidden="false" customHeight="true" outlineLevel="0" collapsed="false">
      <c r="A5" s="317" t="s">
        <v>647</v>
      </c>
      <c r="B5" s="10" t="n">
        <v>1161</v>
      </c>
      <c r="C5" s="41" t="n">
        <v>0.00899620938628158</v>
      </c>
      <c r="D5" s="41" t="n">
        <v>0.115375374345114</v>
      </c>
      <c r="E5" s="41" t="n">
        <v>0.150891529809152</v>
      </c>
      <c r="F5" s="41" t="n">
        <v>0.251219520507572</v>
      </c>
      <c r="G5" s="318" t="n">
        <v>0.700374971077287</v>
      </c>
      <c r="H5" s="318" t="n">
        <v>0.802376300564528</v>
      </c>
      <c r="I5" s="41" t="n">
        <v>0.0687868553748878</v>
      </c>
      <c r="J5" s="41" t="n">
        <v>0.362992524666394</v>
      </c>
      <c r="K5" s="41" t="n">
        <v>0.041</v>
      </c>
      <c r="L5" s="41" t="n">
        <v>0.216611233927634</v>
      </c>
      <c r="M5" s="41" t="n">
        <v>0.0604854777732692</v>
      </c>
      <c r="N5" s="318" t="n">
        <v>1.48460190692623</v>
      </c>
      <c r="O5" s="318" t="n">
        <v>2.30432682576353</v>
      </c>
      <c r="P5" s="318" t="n">
        <v>12.5775315052624</v>
      </c>
      <c r="Q5" s="318" t="n">
        <v>19.0544211828135</v>
      </c>
      <c r="R5" s="318" t="n">
        <v>3.01065848644433</v>
      </c>
      <c r="S5" s="318" t="n">
        <v>31.9811829007099</v>
      </c>
      <c r="T5" s="41" t="n">
        <v>0.228491756108821</v>
      </c>
      <c r="U5" s="41" t="n">
        <v>0.0432171680607462</v>
      </c>
      <c r="V5" s="41" t="n">
        <v>0.0281519210203079</v>
      </c>
      <c r="W5" s="41" t="n">
        <v>0.573601396119114</v>
      </c>
      <c r="X5" s="41" t="n">
        <v>0.118605404397253</v>
      </c>
      <c r="Y5" s="41" t="n">
        <v>0.531594948669757</v>
      </c>
      <c r="Z5" s="41" t="n">
        <v>0.531594948669757</v>
      </c>
      <c r="AA5" s="319" t="n">
        <v>0.119030782191081</v>
      </c>
    </row>
    <row r="6" customFormat="false" ht="12" hidden="false" customHeight="true" outlineLevel="0" collapsed="false">
      <c r="A6" s="317" t="s">
        <v>648</v>
      </c>
      <c r="B6" s="10" t="n">
        <v>134</v>
      </c>
      <c r="C6" s="41" t="n">
        <v>0.0497351515151515</v>
      </c>
      <c r="D6" s="41" t="n">
        <v>0.0478624162344197</v>
      </c>
      <c r="E6" s="41" t="n">
        <v>0.0459657890588906</v>
      </c>
      <c r="F6" s="41" t="n">
        <v>0.223226225099073</v>
      </c>
      <c r="G6" s="318" t="n">
        <v>0.854058960469805</v>
      </c>
      <c r="H6" s="318" t="n">
        <v>1.37429552301937</v>
      </c>
      <c r="I6" s="41" t="n">
        <v>0.104131463322597</v>
      </c>
      <c r="J6" s="41" t="n">
        <v>0.336241739825819</v>
      </c>
      <c r="K6" s="41" t="n">
        <v>0.041</v>
      </c>
      <c r="L6" s="41" t="n">
        <v>0.534422573102386</v>
      </c>
      <c r="M6" s="41" t="n">
        <v>0.0647613735972361</v>
      </c>
      <c r="N6" s="318" t="n">
        <v>1.05567276654654</v>
      </c>
      <c r="O6" s="318" t="n">
        <v>0.90440478943336</v>
      </c>
      <c r="P6" s="318" t="n">
        <v>9.80859320938618</v>
      </c>
      <c r="Q6" s="318" t="n">
        <v>18.3704872882863</v>
      </c>
      <c r="R6" s="318" t="n">
        <v>1.02996687025481</v>
      </c>
      <c r="S6" s="318" t="n">
        <v>35.2759781834361</v>
      </c>
      <c r="T6" s="41" t="n">
        <v>0.0463057927491594</v>
      </c>
      <c r="U6" s="41" t="n">
        <v>0.0699723805902995</v>
      </c>
      <c r="V6" s="41" t="n">
        <v>0.041323432321643</v>
      </c>
      <c r="W6" s="41" t="n">
        <v>1.32031779606382</v>
      </c>
      <c r="X6" s="41" t="n">
        <v>0.0854578924317473</v>
      </c>
      <c r="Y6" s="41" t="n">
        <v>0.451969543826548</v>
      </c>
      <c r="Z6" s="41" t="n">
        <v>0.451969543826548</v>
      </c>
      <c r="AA6" s="319" t="n">
        <v>0.0500773323145724</v>
      </c>
    </row>
    <row r="7" customFormat="false" ht="12" hidden="false" customHeight="true" outlineLevel="0" collapsed="false">
      <c r="A7" s="317" t="s">
        <v>649</v>
      </c>
      <c r="B7" s="10" t="n">
        <v>682</v>
      </c>
      <c r="C7" s="41" t="n">
        <v>0.0527755252918288</v>
      </c>
      <c r="D7" s="41" t="n">
        <v>0.0533947849850497</v>
      </c>
      <c r="E7" s="41" t="n">
        <v>0.074587928808253</v>
      </c>
      <c r="F7" s="41" t="n">
        <v>0.260330963032287</v>
      </c>
      <c r="G7" s="318" t="n">
        <v>1.11142337769582</v>
      </c>
      <c r="H7" s="318" t="n">
        <v>1.26115798152355</v>
      </c>
      <c r="I7" s="41" t="n">
        <v>0.0971395632581552</v>
      </c>
      <c r="J7" s="41" t="n">
        <v>0.346744718035512</v>
      </c>
      <c r="K7" s="41" t="n">
        <v>0.041</v>
      </c>
      <c r="L7" s="41" t="n">
        <v>0.28105279897077</v>
      </c>
      <c r="M7" s="41" t="n">
        <v>0.0783999285286991</v>
      </c>
      <c r="N7" s="318" t="n">
        <v>1.62470382888997</v>
      </c>
      <c r="O7" s="318" t="n">
        <v>0.751759566940929</v>
      </c>
      <c r="P7" s="318" t="n">
        <v>7.0773599235268</v>
      </c>
      <c r="Q7" s="318" t="n">
        <v>13.608401866439</v>
      </c>
      <c r="R7" s="318" t="n">
        <v>1.2909493102437</v>
      </c>
      <c r="S7" s="318" t="n">
        <v>36.5156496957879</v>
      </c>
      <c r="T7" s="41" t="n">
        <v>0.115375379432092</v>
      </c>
      <c r="U7" s="41" t="n">
        <v>0.061766595028829</v>
      </c>
      <c r="V7" s="41" t="n">
        <v>0.0516716422799738</v>
      </c>
      <c r="W7" s="41" t="n">
        <v>1.43177901471584</v>
      </c>
      <c r="X7" s="41" t="n">
        <v>0.0695872164896207</v>
      </c>
      <c r="Y7" s="41" t="n">
        <v>0.483121632444979</v>
      </c>
      <c r="Z7" s="41" t="n">
        <v>0.483121632444979</v>
      </c>
      <c r="AA7" s="319" t="n">
        <v>0.0553068253800022</v>
      </c>
    </row>
    <row r="8" customFormat="false" ht="12" hidden="false" customHeight="true" outlineLevel="0" collapsed="false">
      <c r="A8" s="317" t="s">
        <v>650</v>
      </c>
      <c r="B8" s="10" t="n">
        <v>595</v>
      </c>
      <c r="C8" s="41" t="n">
        <v>0.16391207293666</v>
      </c>
      <c r="D8" s="41" t="n">
        <v>0.00115393299839691</v>
      </c>
      <c r="E8" s="41" t="n">
        <v>0.000177879231853115</v>
      </c>
      <c r="F8" s="41" t="n">
        <v>0.195718891992786</v>
      </c>
      <c r="G8" s="318" t="n">
        <v>0.401801426603187</v>
      </c>
      <c r="H8" s="318" t="n">
        <v>0.807330990140503</v>
      </c>
      <c r="I8" s="41" t="n">
        <v>0.0690930551906831</v>
      </c>
      <c r="J8" s="41" t="n">
        <v>0.225365883396394</v>
      </c>
      <c r="K8" s="41" t="n">
        <v>0.0355</v>
      </c>
      <c r="L8" s="41" t="n">
        <v>0.711400098878719</v>
      </c>
      <c r="M8" s="41" t="n">
        <v>0.0387044936042729</v>
      </c>
      <c r="N8" s="318" t="n">
        <v>0.138958864889683</v>
      </c>
      <c r="O8" s="318" t="n">
        <v>7.61751942131696</v>
      </c>
      <c r="P8" s="318" t="s">
        <v>646</v>
      </c>
      <c r="Q8" s="318" t="s">
        <v>646</v>
      </c>
      <c r="R8" s="318" t="n">
        <v>0.943141315540909</v>
      </c>
      <c r="S8" s="318" t="n">
        <v>14.3776346696655</v>
      </c>
      <c r="T8" s="41" t="s">
        <v>646</v>
      </c>
      <c r="U8" s="41" t="n">
        <v>0.0361817195807765</v>
      </c>
      <c r="V8" s="41" t="n">
        <v>0.0335806719859132</v>
      </c>
      <c r="W8" s="41" t="n">
        <v>32.400426834374</v>
      </c>
      <c r="X8" s="41" t="n">
        <v>0.109357132544195</v>
      </c>
      <c r="Y8" s="41" t="n">
        <v>0.354487406538231</v>
      </c>
      <c r="Z8" s="41" t="n">
        <v>0.354487406538231</v>
      </c>
      <c r="AA8" s="319" t="n">
        <v>0.00161666355574049</v>
      </c>
    </row>
    <row r="9" customFormat="false" ht="12" hidden="false" customHeight="true" outlineLevel="0" collapsed="false">
      <c r="A9" s="317" t="s">
        <v>651</v>
      </c>
      <c r="B9" s="10" t="n">
        <v>862</v>
      </c>
      <c r="C9" s="41" t="n">
        <v>0.083658398744113</v>
      </c>
      <c r="D9" s="41" t="n">
        <v>-0.000209994926522575</v>
      </c>
      <c r="E9" s="41" t="n">
        <v>-0.000201325457113305</v>
      </c>
      <c r="F9" s="41" t="n">
        <v>0.182766004069713</v>
      </c>
      <c r="G9" s="318" t="n">
        <v>0.464905323946933</v>
      </c>
      <c r="H9" s="318" t="n">
        <v>0.633494839577762</v>
      </c>
      <c r="I9" s="41" t="n">
        <v>0.0583499810859057</v>
      </c>
      <c r="J9" s="41" t="n">
        <v>0.199759644508888</v>
      </c>
      <c r="K9" s="41" t="n">
        <v>0.0355</v>
      </c>
      <c r="L9" s="41" t="n">
        <v>0.609546015904698</v>
      </c>
      <c r="M9" s="41" t="n">
        <v>0.0388606730753876</v>
      </c>
      <c r="N9" s="318" t="n">
        <v>0.21360857037804</v>
      </c>
      <c r="O9" s="318" t="n">
        <v>4.90433729026039</v>
      </c>
      <c r="P9" s="318" t="s">
        <v>646</v>
      </c>
      <c r="Q9" s="318" t="s">
        <v>646</v>
      </c>
      <c r="R9" s="318" t="n">
        <v>0.720518971595042</v>
      </c>
      <c r="S9" s="318" t="n">
        <v>14.9315487728814</v>
      </c>
      <c r="T9" s="41" t="s">
        <v>646</v>
      </c>
      <c r="U9" s="41" t="n">
        <v>0.0332034863751977</v>
      </c>
      <c r="V9" s="41" t="n">
        <v>0.0178209065897539</v>
      </c>
      <c r="W9" s="41" t="s">
        <v>646</v>
      </c>
      <c r="X9" s="41" t="n">
        <v>0.109136204734296</v>
      </c>
      <c r="Y9" s="41" t="n">
        <v>0.257829447856722</v>
      </c>
      <c r="Z9" s="41" t="n">
        <v>0.257829447856722</v>
      </c>
      <c r="AA9" s="319" t="n">
        <v>-0.00115916151880788</v>
      </c>
    </row>
    <row r="10" customFormat="false" ht="12" hidden="false" customHeight="true" outlineLevel="0" collapsed="false">
      <c r="A10" s="317" t="s">
        <v>322</v>
      </c>
      <c r="B10" s="10" t="n">
        <v>216</v>
      </c>
      <c r="C10" s="41" t="n">
        <v>0.0926455688622755</v>
      </c>
      <c r="D10" s="41" t="n">
        <v>0.215995400194951</v>
      </c>
      <c r="E10" s="41" t="n">
        <v>0.132426933589094</v>
      </c>
      <c r="F10" s="41" t="n">
        <v>0.245694406301593</v>
      </c>
      <c r="G10" s="318" t="n">
        <v>0.800587637762375</v>
      </c>
      <c r="H10" s="318" t="n">
        <v>0.900627211068775</v>
      </c>
      <c r="I10" s="41" t="n">
        <v>0.0748587616440503</v>
      </c>
      <c r="J10" s="41" t="n">
        <v>0.291716761744198</v>
      </c>
      <c r="K10" s="41" t="n">
        <v>0.041</v>
      </c>
      <c r="L10" s="41" t="n">
        <v>0.183817037554599</v>
      </c>
      <c r="M10" s="41" t="n">
        <v>0.0666980642586609</v>
      </c>
      <c r="N10" s="318" t="n">
        <v>0.74322355121727</v>
      </c>
      <c r="O10" s="318" t="n">
        <v>4.26920230012924</v>
      </c>
      <c r="P10" s="318" t="n">
        <v>15.5399246800307</v>
      </c>
      <c r="Q10" s="318" t="n">
        <v>19.6799775849846</v>
      </c>
      <c r="R10" s="318" t="n">
        <v>3.64119981947655</v>
      </c>
      <c r="S10" s="318" t="n">
        <v>32.8582836471721</v>
      </c>
      <c r="T10" s="41" t="n">
        <v>0.0869699340492775</v>
      </c>
      <c r="U10" s="41" t="n">
        <v>0.0492055340002737</v>
      </c>
      <c r="V10" s="41" t="n">
        <v>0.0140997879241499</v>
      </c>
      <c r="W10" s="41" t="n">
        <v>0.135176752159877</v>
      </c>
      <c r="X10" s="41" t="n">
        <v>0.154022552701249</v>
      </c>
      <c r="Y10" s="41" t="n">
        <v>0.451638562481882</v>
      </c>
      <c r="Z10" s="41" t="n">
        <v>0.451638562481882</v>
      </c>
      <c r="AA10" s="319" t="n">
        <v>0.216317580545253</v>
      </c>
    </row>
    <row r="11" customFormat="false" ht="12" hidden="false" customHeight="true" outlineLevel="0" collapsed="false">
      <c r="A11" s="317" t="s">
        <v>652</v>
      </c>
      <c r="B11" s="10" t="n">
        <v>94</v>
      </c>
      <c r="C11" s="41" t="n">
        <v>0.0990201724137931</v>
      </c>
      <c r="D11" s="41" t="n">
        <v>0.160334764478191</v>
      </c>
      <c r="E11" s="41" t="n">
        <v>0.20208102763037</v>
      </c>
      <c r="F11" s="41" t="n">
        <v>0.129759278433842</v>
      </c>
      <c r="G11" s="318" t="n">
        <v>0.709289321823683</v>
      </c>
      <c r="H11" s="318" t="n">
        <v>0.792482223527697</v>
      </c>
      <c r="I11" s="41" t="n">
        <v>0.0681754014140117</v>
      </c>
      <c r="J11" s="41" t="n">
        <v>0.343770507609771</v>
      </c>
      <c r="K11" s="41" t="n">
        <v>0.041</v>
      </c>
      <c r="L11" s="41" t="n">
        <v>0.170287137282048</v>
      </c>
      <c r="M11" s="41" t="n">
        <v>0.0617534645371882</v>
      </c>
      <c r="N11" s="318" t="n">
        <v>1.40023254715735</v>
      </c>
      <c r="O11" s="318" t="n">
        <v>3.64399422627243</v>
      </c>
      <c r="P11" s="318" t="n">
        <v>17.5830505394068</v>
      </c>
      <c r="Q11" s="318" t="n">
        <v>22.4903513014291</v>
      </c>
      <c r="R11" s="318" t="n">
        <v>5.78107041188339</v>
      </c>
      <c r="S11" s="318" t="n">
        <v>72.4755058508328</v>
      </c>
      <c r="T11" s="41" t="n">
        <v>-0.0441894068699572</v>
      </c>
      <c r="U11" s="41" t="n">
        <v>0.0470749566344424</v>
      </c>
      <c r="V11" s="41" t="n">
        <v>0.0557120760301635</v>
      </c>
      <c r="W11" s="41" t="n">
        <v>0.408749450353258</v>
      </c>
      <c r="X11" s="41" t="n">
        <v>0.267917012882571</v>
      </c>
      <c r="Y11" s="41" t="n">
        <v>0.585825320087394</v>
      </c>
      <c r="Z11" s="41" t="n">
        <v>0.585825320087394</v>
      </c>
      <c r="AA11" s="319" t="n">
        <v>0.161703752559599</v>
      </c>
    </row>
    <row r="12" customFormat="false" ht="12" hidden="false" customHeight="true" outlineLevel="0" collapsed="false">
      <c r="A12" s="317" t="s">
        <v>653</v>
      </c>
      <c r="B12" s="10" t="n">
        <v>138</v>
      </c>
      <c r="C12" s="41" t="n">
        <v>0.0351672321428571</v>
      </c>
      <c r="D12" s="41" t="n">
        <v>0.171587354023635</v>
      </c>
      <c r="E12" s="41" t="n">
        <v>0.162622907403268</v>
      </c>
      <c r="F12" s="41" t="n">
        <v>0.130147599222911</v>
      </c>
      <c r="G12" s="318" t="n">
        <v>0.685241428482548</v>
      </c>
      <c r="H12" s="318" t="n">
        <v>0.969509781826627</v>
      </c>
      <c r="I12" s="41" t="n">
        <v>0.0791157045168855</v>
      </c>
      <c r="J12" s="41" t="n">
        <v>0.336871725612612</v>
      </c>
      <c r="K12" s="41" t="n">
        <v>0.041</v>
      </c>
      <c r="L12" s="41" t="n">
        <v>0.402113877447807</v>
      </c>
      <c r="M12" s="41" t="n">
        <v>0.0595517768552783</v>
      </c>
      <c r="N12" s="318" t="n">
        <v>1.14370786903489</v>
      </c>
      <c r="O12" s="318" t="n">
        <v>2.02789384517207</v>
      </c>
      <c r="P12" s="318" t="n">
        <v>8.45544849535103</v>
      </c>
      <c r="Q12" s="318" t="n">
        <v>11.7122330659189</v>
      </c>
      <c r="R12" s="318" t="n">
        <v>1.56220667996704</v>
      </c>
      <c r="S12" s="318" t="n">
        <v>46.470962333397</v>
      </c>
      <c r="T12" s="41" t="n">
        <v>0.169589534002856</v>
      </c>
      <c r="U12" s="41" t="n">
        <v>0.0381388673783666</v>
      </c>
      <c r="V12" s="41" t="n">
        <v>0.147273045917209</v>
      </c>
      <c r="W12" s="41" t="n">
        <v>1.12225329094037</v>
      </c>
      <c r="X12" s="41" t="n">
        <v>0.317583329655451</v>
      </c>
      <c r="Y12" s="41" t="n">
        <v>0.422488756427723</v>
      </c>
      <c r="Z12" s="41" t="n">
        <v>0.422488756427723</v>
      </c>
      <c r="AA12" s="319" t="n">
        <v>0.171478663116376</v>
      </c>
    </row>
    <row r="13" customFormat="false" ht="12" hidden="false" customHeight="true" outlineLevel="0" collapsed="false">
      <c r="A13" s="317" t="s">
        <v>654</v>
      </c>
      <c r="B13" s="10" t="n">
        <v>559</v>
      </c>
      <c r="C13" s="41" t="n">
        <v>0.112846158038147</v>
      </c>
      <c r="D13" s="41" t="n">
        <v>0.00975237354530452</v>
      </c>
      <c r="E13" s="41" t="n">
        <v>0.00148847012623909</v>
      </c>
      <c r="F13" s="41" t="n">
        <v>0.212622338845742</v>
      </c>
      <c r="G13" s="318" t="n">
        <v>0.436641220189578</v>
      </c>
      <c r="H13" s="318" t="n">
        <v>1.0001476218423</v>
      </c>
      <c r="I13" s="41" t="n">
        <v>0.0810091230298541</v>
      </c>
      <c r="J13" s="41" t="n">
        <v>0.362932976078747</v>
      </c>
      <c r="K13" s="41" t="n">
        <v>0.041</v>
      </c>
      <c r="L13" s="41" t="n">
        <v>0.685578109952121</v>
      </c>
      <c r="M13" s="41" t="n">
        <v>0.0463558075376394</v>
      </c>
      <c r="N13" s="318" t="n">
        <v>0.175116248413749</v>
      </c>
      <c r="O13" s="318" t="n">
        <v>7.15378269225546</v>
      </c>
      <c r="P13" s="318" t="s">
        <v>646</v>
      </c>
      <c r="Q13" s="318" t="s">
        <v>646</v>
      </c>
      <c r="R13" s="318" t="n">
        <v>1.41333182167894</v>
      </c>
      <c r="S13" s="318" t="n">
        <v>60.355961718928</v>
      </c>
      <c r="T13" s="41" t="s">
        <v>646</v>
      </c>
      <c r="U13" s="41" t="n">
        <v>0.0533370712014794</v>
      </c>
      <c r="V13" s="41" t="n">
        <v>0.0482581594468474</v>
      </c>
      <c r="W13" s="41" t="n">
        <v>-18.7679269989767</v>
      </c>
      <c r="X13" s="41" t="n">
        <v>0.0900057069464733</v>
      </c>
      <c r="Y13" s="41" t="n">
        <v>0.493190338635371</v>
      </c>
      <c r="Z13" s="41" t="n">
        <v>0.493190338635371</v>
      </c>
      <c r="AA13" s="319" t="n">
        <v>0.00990280673436056</v>
      </c>
    </row>
    <row r="14" customFormat="false" ht="12" hidden="false" customHeight="true" outlineLevel="0" collapsed="false">
      <c r="A14" s="317" t="s">
        <v>655</v>
      </c>
      <c r="B14" s="10" t="n">
        <v>426</v>
      </c>
      <c r="C14" s="41" t="n">
        <v>0.0494075892857143</v>
      </c>
      <c r="D14" s="41" t="n">
        <v>0.0800945276195386</v>
      </c>
      <c r="E14" s="41" t="n">
        <v>0.107288507273815</v>
      </c>
      <c r="F14" s="41" t="n">
        <v>0.26585590727377</v>
      </c>
      <c r="G14" s="318" t="n">
        <v>0.829849865424687</v>
      </c>
      <c r="H14" s="318" t="n">
        <v>0.964784187129301</v>
      </c>
      <c r="I14" s="41" t="n">
        <v>0.0788236627645908</v>
      </c>
      <c r="J14" s="41" t="n">
        <v>0.314201476262457</v>
      </c>
      <c r="K14" s="41" t="n">
        <v>0.041</v>
      </c>
      <c r="L14" s="41" t="n">
        <v>0.243785935514066</v>
      </c>
      <c r="M14" s="41" t="n">
        <v>0.0670340133504447</v>
      </c>
      <c r="N14" s="318" t="n">
        <v>1.60062348091465</v>
      </c>
      <c r="O14" s="318" t="n">
        <v>1.40128215152106</v>
      </c>
      <c r="P14" s="318" t="n">
        <v>10.7546939064663</v>
      </c>
      <c r="Q14" s="318" t="n">
        <v>16.8987368634452</v>
      </c>
      <c r="R14" s="318" t="n">
        <v>2.14532402501929</v>
      </c>
      <c r="S14" s="318" t="n">
        <v>29.1922313050641</v>
      </c>
      <c r="T14" s="41" t="n">
        <v>0.172243690365652</v>
      </c>
      <c r="U14" s="41" t="n">
        <v>0.0424288850929214</v>
      </c>
      <c r="V14" s="41" t="n">
        <v>0.0317191707488273</v>
      </c>
      <c r="W14" s="41" t="n">
        <v>0.669848897790658</v>
      </c>
      <c r="X14" s="41" t="n">
        <v>0.101648537258612</v>
      </c>
      <c r="Y14" s="41" t="n">
        <v>0.384460237731312</v>
      </c>
      <c r="Z14" s="41" t="n">
        <v>0.384460237731312</v>
      </c>
      <c r="AA14" s="319" t="n">
        <v>0.082487300479606</v>
      </c>
    </row>
    <row r="15" customFormat="false" ht="12" hidden="false" customHeight="true" outlineLevel="0" collapsed="false">
      <c r="A15" s="317" t="s">
        <v>656</v>
      </c>
      <c r="B15" s="10" t="n">
        <v>868</v>
      </c>
      <c r="C15" s="41" t="n">
        <v>0.103662393822394</v>
      </c>
      <c r="D15" s="41" t="n">
        <v>0.085678880143802</v>
      </c>
      <c r="E15" s="41" t="n">
        <v>0.188096636177936</v>
      </c>
      <c r="F15" s="41" t="n">
        <v>0.252668194141412</v>
      </c>
      <c r="G15" s="318" t="n">
        <v>0.880422989215199</v>
      </c>
      <c r="H15" s="318" t="n">
        <v>0.999295335438666</v>
      </c>
      <c r="I15" s="41" t="n">
        <v>0.0809564517301096</v>
      </c>
      <c r="J15" s="41" t="n">
        <v>0.414907960306302</v>
      </c>
      <c r="K15" s="41" t="n">
        <v>0.045</v>
      </c>
      <c r="L15" s="41" t="n">
        <v>0.208328888808209</v>
      </c>
      <c r="M15" s="41" t="n">
        <v>0.0710563604966229</v>
      </c>
      <c r="N15" s="318" t="n">
        <v>2.54202469593805</v>
      </c>
      <c r="O15" s="318" t="n">
        <v>1.92842607802978</v>
      </c>
      <c r="P15" s="318" t="n">
        <v>9.73264313451414</v>
      </c>
      <c r="Q15" s="318" t="n">
        <v>21.4500934829163</v>
      </c>
      <c r="R15" s="318" t="n">
        <v>4.21689649742058</v>
      </c>
      <c r="S15" s="318" t="n">
        <v>44.5557166501967</v>
      </c>
      <c r="T15" s="41" t="n">
        <v>0.0946007281708728</v>
      </c>
      <c r="U15" s="41" t="n">
        <v>0.0285655623520469</v>
      </c>
      <c r="V15" s="41" t="n">
        <v>0.0203872199362897</v>
      </c>
      <c r="W15" s="41" t="n">
        <v>0.432474081009075</v>
      </c>
      <c r="X15" s="41" t="n">
        <v>0.141809644207827</v>
      </c>
      <c r="Y15" s="41" t="n">
        <v>0.516276705432048</v>
      </c>
      <c r="Z15" s="41" t="n">
        <v>0.516276705432048</v>
      </c>
      <c r="AA15" s="319" t="n">
        <v>0.0893849131161435</v>
      </c>
    </row>
    <row r="16" customFormat="false" ht="12" hidden="false" customHeight="true" outlineLevel="0" collapsed="false">
      <c r="A16" s="317" t="s">
        <v>657</v>
      </c>
      <c r="B16" s="10" t="n">
        <v>61</v>
      </c>
      <c r="C16" s="41" t="n">
        <v>0.0155682926829268</v>
      </c>
      <c r="D16" s="41" t="n">
        <v>0.166933196209646</v>
      </c>
      <c r="E16" s="41" t="n">
        <v>0.108315850037599</v>
      </c>
      <c r="F16" s="41" t="n">
        <v>0.237340879860378</v>
      </c>
      <c r="G16" s="318" t="n">
        <v>0.79103406819372</v>
      </c>
      <c r="H16" s="318" t="n">
        <v>1.17218999817028</v>
      </c>
      <c r="I16" s="41" t="n">
        <v>0.0916413418869234</v>
      </c>
      <c r="J16" s="41" t="n">
        <v>0.306887919796191</v>
      </c>
      <c r="K16" s="41" t="n">
        <v>0.041</v>
      </c>
      <c r="L16" s="41" t="n">
        <v>0.416195973868656</v>
      </c>
      <c r="M16" s="41" t="n">
        <v>0.0661791623056257</v>
      </c>
      <c r="N16" s="318" t="n">
        <v>0.756219219456662</v>
      </c>
      <c r="O16" s="318" t="n">
        <v>3.37538932195623</v>
      </c>
      <c r="P16" s="318" t="n">
        <v>9.6579804973482</v>
      </c>
      <c r="Q16" s="318" t="n">
        <v>19.3683271971286</v>
      </c>
      <c r="R16" s="318" t="n">
        <v>2.42204369886385</v>
      </c>
      <c r="S16" s="318" t="n">
        <v>39.4664334053108</v>
      </c>
      <c r="T16" s="41" t="n">
        <v>0.0111507406048189</v>
      </c>
      <c r="U16" s="41" t="n">
        <v>0.127250336599757</v>
      </c>
      <c r="V16" s="41" t="n">
        <v>0.109093242477459</v>
      </c>
      <c r="W16" s="41" t="n">
        <v>0.871614222375673</v>
      </c>
      <c r="X16" s="41" t="n">
        <v>0.191208052713325</v>
      </c>
      <c r="Y16" s="41" t="n">
        <v>0.165846476863768</v>
      </c>
      <c r="Z16" s="41" t="n">
        <v>0.165846476863768</v>
      </c>
      <c r="AA16" s="319" t="n">
        <v>0.167219804606547</v>
      </c>
    </row>
    <row r="17" customFormat="false" ht="12" hidden="false" customHeight="true" outlineLevel="0" collapsed="false">
      <c r="A17" s="317" t="s">
        <v>658</v>
      </c>
      <c r="B17" s="10" t="n">
        <v>793</v>
      </c>
      <c r="C17" s="41" t="n">
        <v>0.0647177046263345</v>
      </c>
      <c r="D17" s="41" t="n">
        <v>0.0791783507148013</v>
      </c>
      <c r="E17" s="41" t="n">
        <v>0.0783726003502875</v>
      </c>
      <c r="F17" s="41" t="n">
        <v>0.205632615230457</v>
      </c>
      <c r="G17" s="318" t="n">
        <v>0.903286015296347</v>
      </c>
      <c r="H17" s="318" t="n">
        <v>1.0649064177509</v>
      </c>
      <c r="I17" s="41" t="n">
        <v>0.0850112166170054</v>
      </c>
      <c r="J17" s="41" t="n">
        <v>0.32191200321672</v>
      </c>
      <c r="K17" s="41" t="n">
        <v>0.041</v>
      </c>
      <c r="L17" s="41" t="n">
        <v>0.279129941964097</v>
      </c>
      <c r="M17" s="41" t="n">
        <v>0.0697851760784557</v>
      </c>
      <c r="N17" s="318" t="n">
        <v>1.17069036489379</v>
      </c>
      <c r="O17" s="318" t="n">
        <v>1.30773818826016</v>
      </c>
      <c r="P17" s="318" t="n">
        <v>9.60385664946688</v>
      </c>
      <c r="Q17" s="318" t="n">
        <v>16.075722931096</v>
      </c>
      <c r="R17" s="318" t="n">
        <v>1.49172967078108</v>
      </c>
      <c r="S17" s="318" t="n">
        <v>36.3796047225727</v>
      </c>
      <c r="T17" s="41" t="n">
        <v>0.122416945291222</v>
      </c>
      <c r="U17" s="41" t="n">
        <v>0.090589549380574</v>
      </c>
      <c r="V17" s="41" t="n">
        <v>0.0670586012017066</v>
      </c>
      <c r="W17" s="41" t="n">
        <v>1.17423488003416</v>
      </c>
      <c r="X17" s="41" t="n">
        <v>0.0813212721837475</v>
      </c>
      <c r="Y17" s="41" t="n">
        <v>0.710295895370832</v>
      </c>
      <c r="Z17" s="41" t="n">
        <v>0.710295895370832</v>
      </c>
      <c r="AA17" s="319" t="n">
        <v>0.0800253420707618</v>
      </c>
    </row>
    <row r="18" customFormat="false" ht="12" hidden="false" customHeight="true" outlineLevel="0" collapsed="false">
      <c r="A18" s="317" t="s">
        <v>659</v>
      </c>
      <c r="B18" s="10" t="n">
        <v>73</v>
      </c>
      <c r="C18" s="41" t="n">
        <v>0.0270631666666667</v>
      </c>
      <c r="D18" s="41" t="n">
        <v>0.0842461909670976</v>
      </c>
      <c r="E18" s="41" t="n">
        <v>0.0754834256063389</v>
      </c>
      <c r="F18" s="41" t="n">
        <v>0.24298018056574</v>
      </c>
      <c r="G18" s="318" t="n">
        <v>0.952334541660416</v>
      </c>
      <c r="H18" s="318" t="n">
        <v>1.21754999135224</v>
      </c>
      <c r="I18" s="41" t="n">
        <v>0.0944445894655683</v>
      </c>
      <c r="J18" s="41" t="n">
        <v>0.299364600256679</v>
      </c>
      <c r="K18" s="41" t="n">
        <v>0.041</v>
      </c>
      <c r="L18" s="41" t="n">
        <v>0.327658903294301</v>
      </c>
      <c r="M18" s="41" t="n">
        <v>0.073480452030254</v>
      </c>
      <c r="N18" s="318" t="n">
        <v>1.07936725266401</v>
      </c>
      <c r="O18" s="318" t="n">
        <v>1.21154144778718</v>
      </c>
      <c r="P18" s="318" t="n">
        <v>8.18691923023915</v>
      </c>
      <c r="Q18" s="318" t="n">
        <v>14.1894377656106</v>
      </c>
      <c r="R18" s="318" t="n">
        <v>1.2984772327771</v>
      </c>
      <c r="S18" s="318" t="n">
        <v>19.5406818573364</v>
      </c>
      <c r="T18" s="41" t="n">
        <v>0.188890261471598</v>
      </c>
      <c r="U18" s="41" t="n">
        <v>0.077555120655428</v>
      </c>
      <c r="V18" s="41" t="n">
        <v>0.0604085632782776</v>
      </c>
      <c r="W18" s="41" t="n">
        <v>1.09203115450473</v>
      </c>
      <c r="X18" s="41" t="n">
        <v>0.125153005899687</v>
      </c>
      <c r="Y18" s="41" t="n">
        <v>0.409670410472006</v>
      </c>
      <c r="Z18" s="41" t="n">
        <v>0.409670410472006</v>
      </c>
      <c r="AA18" s="319" t="n">
        <v>0.0859623682501244</v>
      </c>
    </row>
    <row r="19" customFormat="false" ht="12" hidden="false" customHeight="true" outlineLevel="0" collapsed="false">
      <c r="A19" s="317" t="s">
        <v>660</v>
      </c>
      <c r="B19" s="10" t="n">
        <v>829</v>
      </c>
      <c r="C19" s="41" t="n">
        <v>0.075465405904059</v>
      </c>
      <c r="D19" s="41" t="n">
        <v>0.106757737014185</v>
      </c>
      <c r="E19" s="41" t="n">
        <v>0.1075670193427</v>
      </c>
      <c r="F19" s="41" t="n">
        <v>0.227608678972241</v>
      </c>
      <c r="G19" s="318" t="n">
        <v>0.981894107673879</v>
      </c>
      <c r="H19" s="318" t="n">
        <v>1.11712850331765</v>
      </c>
      <c r="I19" s="41" t="n">
        <v>0.0882385415050309</v>
      </c>
      <c r="J19" s="41" t="n">
        <v>0.36680066004548</v>
      </c>
      <c r="K19" s="41" t="n">
        <v>0.041</v>
      </c>
      <c r="L19" s="41" t="n">
        <v>0.210667836868272</v>
      </c>
      <c r="M19" s="41" t="n">
        <v>0.0760670931522729</v>
      </c>
      <c r="N19" s="318" t="n">
        <v>1.17183811496468</v>
      </c>
      <c r="O19" s="318" t="n">
        <v>2.03166016464931</v>
      </c>
      <c r="P19" s="318" t="n">
        <v>11.4818709531214</v>
      </c>
      <c r="Q19" s="318" t="n">
        <v>18.6069315476789</v>
      </c>
      <c r="R19" s="318" t="n">
        <v>2.27830761348422</v>
      </c>
      <c r="S19" s="318" t="n">
        <v>30.0373838284827</v>
      </c>
      <c r="T19" s="41" t="n">
        <v>0.176808992415539</v>
      </c>
      <c r="U19" s="41" t="n">
        <v>0.0696069663309057</v>
      </c>
      <c r="V19" s="41" t="n">
        <v>0.0593287989804666</v>
      </c>
      <c r="W19" s="41" t="n">
        <v>0.92366824866653</v>
      </c>
      <c r="X19" s="41" t="n">
        <v>0.109462374258523</v>
      </c>
      <c r="Y19" s="41" t="n">
        <v>0.475814106653009</v>
      </c>
      <c r="Z19" s="41" t="n">
        <v>0.475814106653009</v>
      </c>
      <c r="AA19" s="319" t="n">
        <v>0.108876793659844</v>
      </c>
    </row>
    <row r="20" customFormat="false" ht="12" hidden="false" customHeight="true" outlineLevel="0" collapsed="false">
      <c r="A20" s="317" t="s">
        <v>661</v>
      </c>
      <c r="B20" s="10" t="n">
        <v>224</v>
      </c>
      <c r="C20" s="41" t="n">
        <v>0.0888298290598291</v>
      </c>
      <c r="D20" s="41" t="n">
        <v>0.16641491839771</v>
      </c>
      <c r="E20" s="41" t="n">
        <v>0.147585207128643</v>
      </c>
      <c r="F20" s="41" t="n">
        <v>0.23404373774738</v>
      </c>
      <c r="G20" s="318" t="n">
        <v>1.27444368162848</v>
      </c>
      <c r="H20" s="318" t="n">
        <v>1.45148471977307</v>
      </c>
      <c r="I20" s="41" t="n">
        <v>0.108901755681976</v>
      </c>
      <c r="J20" s="41" t="n">
        <v>0.554626186792597</v>
      </c>
      <c r="K20" s="41" t="n">
        <v>0.045</v>
      </c>
      <c r="L20" s="41" t="n">
        <v>0.34386538683667</v>
      </c>
      <c r="M20" s="41" t="n">
        <v>0.0829513505460849</v>
      </c>
      <c r="N20" s="318" t="n">
        <v>0.980731296697242</v>
      </c>
      <c r="O20" s="318" t="n">
        <v>1.13615076226906</v>
      </c>
      <c r="P20" s="318" t="n">
        <v>4.52753516757136</v>
      </c>
      <c r="Q20" s="318" t="n">
        <v>6.66030732310654</v>
      </c>
      <c r="R20" s="318" t="n">
        <v>0.938625623654998</v>
      </c>
      <c r="S20" s="318" t="n">
        <v>17.1243226731325</v>
      </c>
      <c r="T20" s="41" t="n">
        <v>-0.0220573569686952</v>
      </c>
      <c r="U20" s="41" t="n">
        <v>0.0782895438390028</v>
      </c>
      <c r="V20" s="41" t="n">
        <v>0.0401361850489299</v>
      </c>
      <c r="W20" s="41" t="n">
        <v>0.331704937612863</v>
      </c>
      <c r="X20" s="41" t="n">
        <v>0.130557000467086</v>
      </c>
      <c r="Y20" s="41" t="n">
        <v>0.567668439310299</v>
      </c>
      <c r="Z20" s="41" t="n">
        <v>0.567668439310299</v>
      </c>
      <c r="AA20" s="319" t="n">
        <v>0.167085007798765</v>
      </c>
    </row>
    <row r="21" customFormat="false" ht="12" hidden="false" customHeight="true" outlineLevel="0" collapsed="false">
      <c r="A21" s="317" t="s">
        <v>662</v>
      </c>
      <c r="B21" s="10" t="n">
        <v>969</v>
      </c>
      <c r="C21" s="41" t="n">
        <v>0.0866746231884058</v>
      </c>
      <c r="D21" s="41" t="n">
        <v>0.0703864063054301</v>
      </c>
      <c r="E21" s="41" t="n">
        <v>0.198314557844375</v>
      </c>
      <c r="F21" s="41" t="n">
        <v>0.252773272178134</v>
      </c>
      <c r="G21" s="318" t="n">
        <v>0.980648066653228</v>
      </c>
      <c r="H21" s="318" t="n">
        <v>1.08008734802858</v>
      </c>
      <c r="I21" s="41" t="n">
        <v>0.0859493981081664</v>
      </c>
      <c r="J21" s="41" t="n">
        <v>0.393869890627405</v>
      </c>
      <c r="K21" s="41" t="n">
        <v>0.041</v>
      </c>
      <c r="L21" s="41" t="n">
        <v>0.193696571557301</v>
      </c>
      <c r="M21" s="41" t="n">
        <v>0.0752018730265511</v>
      </c>
      <c r="N21" s="318" t="n">
        <v>3.27696273917927</v>
      </c>
      <c r="O21" s="318" t="n">
        <v>1.23333396978002</v>
      </c>
      <c r="P21" s="318" t="n">
        <v>11.7945181331657</v>
      </c>
      <c r="Q21" s="318" t="n">
        <v>16.7633636559118</v>
      </c>
      <c r="R21" s="318" t="n">
        <v>3.3670089996638</v>
      </c>
      <c r="S21" s="318" t="n">
        <v>37.8036692208629</v>
      </c>
      <c r="T21" s="41" t="n">
        <v>0.137772180347628</v>
      </c>
      <c r="U21" s="41" t="n">
        <v>0.0167516801376066</v>
      </c>
      <c r="V21" s="41" t="n">
        <v>0.0506390573208003</v>
      </c>
      <c r="W21" s="41" t="n">
        <v>1.04288394883793</v>
      </c>
      <c r="X21" s="41" t="n">
        <v>0.163924421675261</v>
      </c>
      <c r="Y21" s="41" t="n">
        <v>0.383714989724366</v>
      </c>
      <c r="Z21" s="41" t="n">
        <v>0.383714989724366</v>
      </c>
      <c r="AA21" s="319" t="n">
        <v>0.0729976416101467</v>
      </c>
    </row>
    <row r="22" customFormat="false" ht="12" hidden="false" customHeight="true" outlineLevel="0" collapsed="false">
      <c r="A22" s="317" t="s">
        <v>663</v>
      </c>
      <c r="B22" s="10" t="n">
        <v>332</v>
      </c>
      <c r="C22" s="41" t="n">
        <v>0.0327429718875502</v>
      </c>
      <c r="D22" s="41" t="n">
        <v>0.0999331558328637</v>
      </c>
      <c r="E22" s="41" t="n">
        <v>0.135762685982225</v>
      </c>
      <c r="F22" s="41" t="n">
        <v>0.196920895392845</v>
      </c>
      <c r="G22" s="318" t="n">
        <v>1.34930710351233</v>
      </c>
      <c r="H22" s="318" t="n">
        <v>1.41245196937469</v>
      </c>
      <c r="I22" s="41" t="n">
        <v>0.106489531707356</v>
      </c>
      <c r="J22" s="41" t="n">
        <v>0.376699199956799</v>
      </c>
      <c r="K22" s="41" t="n">
        <v>0.041</v>
      </c>
      <c r="L22" s="41" t="n">
        <v>0.146415597276321</v>
      </c>
      <c r="M22" s="41" t="n">
        <v>0.0953580616585764</v>
      </c>
      <c r="N22" s="318" t="n">
        <v>1.50842451047386</v>
      </c>
      <c r="O22" s="318" t="n">
        <v>1.83778943836711</v>
      </c>
      <c r="P22" s="318" t="n">
        <v>11.762484569</v>
      </c>
      <c r="Q22" s="318" t="n">
        <v>18.1379843760928</v>
      </c>
      <c r="R22" s="318" t="n">
        <v>3.81226686545147</v>
      </c>
      <c r="S22" s="318" t="n">
        <v>43.67024971163</v>
      </c>
      <c r="T22" s="41" t="n">
        <v>0.0270903042727079</v>
      </c>
      <c r="U22" s="41" t="n">
        <v>0.0399410953015987</v>
      </c>
      <c r="V22" s="41" t="n">
        <v>0.0203932187116254</v>
      </c>
      <c r="W22" s="41" t="n">
        <v>0.278440965950034</v>
      </c>
      <c r="X22" s="41" t="n">
        <v>0.181764527044136</v>
      </c>
      <c r="Y22" s="41" t="n">
        <v>0.340543484524545</v>
      </c>
      <c r="Z22" s="41" t="n">
        <v>0.340543484524545</v>
      </c>
      <c r="AA22" s="319" t="n">
        <v>0.102537277230522</v>
      </c>
    </row>
    <row r="23" customFormat="false" ht="12" hidden="false" customHeight="true" outlineLevel="0" collapsed="false">
      <c r="A23" s="317" t="s">
        <v>664</v>
      </c>
      <c r="B23" s="10" t="n">
        <v>747</v>
      </c>
      <c r="C23" s="41" t="n">
        <v>0.0504247909407666</v>
      </c>
      <c r="D23" s="41" t="n">
        <v>0.103928369887035</v>
      </c>
      <c r="E23" s="41" t="n">
        <v>0.114554459389325</v>
      </c>
      <c r="F23" s="41" t="n">
        <v>0.22704798014607</v>
      </c>
      <c r="G23" s="318" t="n">
        <v>0.956170556654314</v>
      </c>
      <c r="H23" s="318" t="n">
        <v>1.14918045840125</v>
      </c>
      <c r="I23" s="41" t="n">
        <v>0.0902193523291975</v>
      </c>
      <c r="J23" s="41" t="n">
        <v>0.350802768209455</v>
      </c>
      <c r="K23" s="41" t="n">
        <v>0.041</v>
      </c>
      <c r="L23" s="41" t="n">
        <v>0.314567733787281</v>
      </c>
      <c r="M23" s="41" t="n">
        <v>0.0714219319976075</v>
      </c>
      <c r="N23" s="318" t="n">
        <v>1.2825879679904</v>
      </c>
      <c r="O23" s="318" t="n">
        <v>1.34978291201428</v>
      </c>
      <c r="P23" s="318" t="n">
        <v>8.54602353912606</v>
      </c>
      <c r="Q23" s="318" t="n">
        <v>12.4960603538783</v>
      </c>
      <c r="R23" s="318" t="n">
        <v>1.6169804973852</v>
      </c>
      <c r="S23" s="318" t="n">
        <v>36.0303726318548</v>
      </c>
      <c r="T23" s="41" t="n">
        <v>0.112948405689775</v>
      </c>
      <c r="U23" s="41" t="n">
        <v>0.0489324616493211</v>
      </c>
      <c r="V23" s="41" t="n">
        <v>0.024493483130628</v>
      </c>
      <c r="W23" s="41" t="n">
        <v>0.561217384415497</v>
      </c>
      <c r="X23" s="41" t="n">
        <v>0.120300314535926</v>
      </c>
      <c r="Y23" s="41" t="n">
        <v>0.493270524963283</v>
      </c>
      <c r="Z23" s="41" t="n">
        <v>0.493270524963283</v>
      </c>
      <c r="AA23" s="319" t="n">
        <v>0.105441915406299</v>
      </c>
    </row>
    <row r="24" customFormat="false" ht="12" hidden="false" customHeight="true" outlineLevel="0" collapsed="false">
      <c r="A24" s="317" t="s">
        <v>665</v>
      </c>
      <c r="B24" s="10" t="n">
        <v>319</v>
      </c>
      <c r="C24" s="41" t="n">
        <v>0.0749414117647059</v>
      </c>
      <c r="D24" s="41" t="n">
        <v>0.113085672916726</v>
      </c>
      <c r="E24" s="41" t="n">
        <v>0.0873492008862712</v>
      </c>
      <c r="F24" s="41" t="n">
        <v>0.177745623755258</v>
      </c>
      <c r="G24" s="318" t="n">
        <v>0.690801536279708</v>
      </c>
      <c r="H24" s="318" t="n">
        <v>0.930362985472255</v>
      </c>
      <c r="I24" s="41" t="n">
        <v>0.0766964325021853</v>
      </c>
      <c r="J24" s="41" t="n">
        <v>0.266157054551083</v>
      </c>
      <c r="K24" s="41" t="n">
        <v>0.041</v>
      </c>
      <c r="L24" s="41" t="n">
        <v>0.404335051974644</v>
      </c>
      <c r="M24" s="41" t="n">
        <v>0.058002635168448</v>
      </c>
      <c r="N24" s="318" t="n">
        <v>0.902116938029233</v>
      </c>
      <c r="O24" s="318" t="n">
        <v>1.58949017728757</v>
      </c>
      <c r="P24" s="318" t="n">
        <v>9.69230722016743</v>
      </c>
      <c r="Q24" s="318" t="n">
        <v>13.7780967925758</v>
      </c>
      <c r="R24" s="318" t="n">
        <v>1.08446577225734</v>
      </c>
      <c r="S24" s="318" t="n">
        <v>27.0494351535367</v>
      </c>
      <c r="T24" s="41" t="n">
        <v>-0.136898246705901</v>
      </c>
      <c r="U24" s="41" t="n">
        <v>0.0510884821501266</v>
      </c>
      <c r="V24" s="41" t="n">
        <v>0.0342362267523319</v>
      </c>
      <c r="W24" s="41" t="n">
        <v>0.524426727887012</v>
      </c>
      <c r="X24" s="41" t="n">
        <v>0.082415900806203</v>
      </c>
      <c r="Y24" s="41" t="n">
        <v>0.307071838455619</v>
      </c>
      <c r="Z24" s="41" t="n">
        <v>0.307071838455619</v>
      </c>
      <c r="AA24" s="319" t="n">
        <v>0.113855631271823</v>
      </c>
    </row>
    <row r="25" customFormat="false" ht="12" hidden="false" customHeight="true" outlineLevel="0" collapsed="false">
      <c r="A25" s="317" t="s">
        <v>666</v>
      </c>
      <c r="B25" s="10" t="n">
        <v>1024</v>
      </c>
      <c r="C25" s="41" t="n">
        <v>0.229975876010782</v>
      </c>
      <c r="D25" s="41" t="n">
        <v>0.0897303737177462</v>
      </c>
      <c r="E25" s="41" t="n">
        <v>0.0718407734292656</v>
      </c>
      <c r="F25" s="41" t="n">
        <v>0.151835116219534</v>
      </c>
      <c r="G25" s="318" t="n">
        <v>1.40241114401661</v>
      </c>
      <c r="H25" s="318" t="n">
        <v>1.42784760608133</v>
      </c>
      <c r="I25" s="41" t="n">
        <v>0.107440982055826</v>
      </c>
      <c r="J25" s="41" t="n">
        <v>0.620746467012282</v>
      </c>
      <c r="K25" s="41" t="n">
        <v>0.045</v>
      </c>
      <c r="L25" s="41" t="n">
        <v>0.109485788921538</v>
      </c>
      <c r="M25" s="41" t="n">
        <v>0.0993383787255306</v>
      </c>
      <c r="N25" s="318" t="n">
        <v>0.4405627067329</v>
      </c>
      <c r="O25" s="318" t="n">
        <v>7.92521215903094</v>
      </c>
      <c r="P25" s="318" t="n">
        <v>16.0344913193369</v>
      </c>
      <c r="Q25" s="318" t="n">
        <v>64.0073947250777</v>
      </c>
      <c r="R25" s="318" t="n">
        <v>6.75264220753417</v>
      </c>
      <c r="S25" s="318" t="n">
        <v>156.279649850383</v>
      </c>
      <c r="T25" s="41" t="n">
        <v>0.184337266709794</v>
      </c>
      <c r="U25" s="41" t="n">
        <v>0.0548742417880844</v>
      </c>
      <c r="V25" s="41" t="n">
        <v>0.0974633611644342</v>
      </c>
      <c r="W25" s="41" t="n">
        <v>2.48230541786635</v>
      </c>
      <c r="X25" s="41" t="n">
        <v>-0.0206651812131614</v>
      </c>
      <c r="Y25" s="41" t="n">
        <v>0.00229052715653328</v>
      </c>
      <c r="Z25" s="41" t="n">
        <v>0.00229052715653333</v>
      </c>
      <c r="AA25" s="319" t="n">
        <v>0.16484565005932</v>
      </c>
    </row>
    <row r="26" customFormat="false" ht="12" hidden="false" customHeight="true" outlineLevel="0" collapsed="false">
      <c r="A26" s="317" t="s">
        <v>667</v>
      </c>
      <c r="B26" s="10" t="n">
        <v>1263</v>
      </c>
      <c r="C26" s="41" t="n">
        <v>0.134381022727273</v>
      </c>
      <c r="D26" s="41" t="n">
        <v>0.180888577419576</v>
      </c>
      <c r="E26" s="41" t="n">
        <v>0.119519219731532</v>
      </c>
      <c r="F26" s="41" t="n">
        <v>0.15696550883753</v>
      </c>
      <c r="G26" s="318" t="n">
        <v>1.1985080632951</v>
      </c>
      <c r="H26" s="318" t="n">
        <v>1.29679234684165</v>
      </c>
      <c r="I26" s="41" t="n">
        <v>0.0993417670348139</v>
      </c>
      <c r="J26" s="41" t="n">
        <v>0.520297582803118</v>
      </c>
      <c r="K26" s="41" t="n">
        <v>0.045</v>
      </c>
      <c r="L26" s="41" t="n">
        <v>0.15454303389747</v>
      </c>
      <c r="M26" s="41" t="n">
        <v>0.08915633530288</v>
      </c>
      <c r="N26" s="318" t="n">
        <v>0.713534136109395</v>
      </c>
      <c r="O26" s="318" t="n">
        <v>4.13278874371488</v>
      </c>
      <c r="P26" s="318" t="n">
        <v>14.4988603156141</v>
      </c>
      <c r="Q26" s="318" t="n">
        <v>22.1509540347627</v>
      </c>
      <c r="R26" s="318" t="n">
        <v>3.66402047815397</v>
      </c>
      <c r="S26" s="318" t="n">
        <v>66.8753583897063</v>
      </c>
      <c r="T26" s="41" t="n">
        <v>0.17686956645803</v>
      </c>
      <c r="U26" s="41" t="n">
        <v>0.0497784331165277</v>
      </c>
      <c r="V26" s="41" t="n">
        <v>0.0622258326036649</v>
      </c>
      <c r="W26" s="41" t="n">
        <v>0.469735078657119</v>
      </c>
      <c r="X26" s="41" t="n">
        <v>0.11025315237399</v>
      </c>
      <c r="Y26" s="41" t="n">
        <v>0.744713318748665</v>
      </c>
      <c r="Z26" s="41" t="n">
        <v>0.744713318748665</v>
      </c>
      <c r="AA26" s="319" t="n">
        <v>0.185706076301487</v>
      </c>
    </row>
    <row r="27" customFormat="false" ht="12" hidden="false" customHeight="true" outlineLevel="0" collapsed="false">
      <c r="A27" s="317" t="s">
        <v>668</v>
      </c>
      <c r="B27" s="10" t="n">
        <v>211</v>
      </c>
      <c r="C27" s="41" t="n">
        <v>0.0637585217391305</v>
      </c>
      <c r="D27" s="41" t="n">
        <v>0.114337828878416</v>
      </c>
      <c r="E27" s="41" t="n">
        <v>0.111743004432835</v>
      </c>
      <c r="F27" s="41" t="n">
        <v>0.190267693805725</v>
      </c>
      <c r="G27" s="318" t="n">
        <v>1.02348077644472</v>
      </c>
      <c r="H27" s="318" t="n">
        <v>1.13666723974538</v>
      </c>
      <c r="I27" s="41" t="n">
        <v>0.0894460354162647</v>
      </c>
      <c r="J27" s="41" t="n">
        <v>0.393899538148318</v>
      </c>
      <c r="K27" s="41" t="n">
        <v>0.041</v>
      </c>
      <c r="L27" s="41" t="n">
        <v>0.214536048350869</v>
      </c>
      <c r="M27" s="41" t="n">
        <v>0.0767920480783199</v>
      </c>
      <c r="N27" s="318" t="n">
        <v>1.13776128144064</v>
      </c>
      <c r="O27" s="318" t="n">
        <v>3.18311127148736</v>
      </c>
      <c r="P27" s="318" t="n">
        <v>15.1712887940592</v>
      </c>
      <c r="Q27" s="318" t="n">
        <v>27.6563406611154</v>
      </c>
      <c r="R27" s="318" t="n">
        <v>2.7660222783087</v>
      </c>
      <c r="S27" s="318" t="n">
        <v>57.3900960599863</v>
      </c>
      <c r="T27" s="41" t="n">
        <v>0.030782614320438</v>
      </c>
      <c r="U27" s="41" t="n">
        <v>0.0683390350641199</v>
      </c>
      <c r="V27" s="41" t="n">
        <v>0.0849896760045485</v>
      </c>
      <c r="W27" s="41" t="n">
        <v>1.22199157964855</v>
      </c>
      <c r="X27" s="41" t="n">
        <v>0.117598775427412</v>
      </c>
      <c r="Y27" s="41" t="n">
        <v>0.341536413207855</v>
      </c>
      <c r="Z27" s="41" t="n">
        <v>0.341536413207855</v>
      </c>
      <c r="AA27" s="319" t="n">
        <v>0.113215786758599</v>
      </c>
    </row>
    <row r="28" customFormat="false" ht="12" hidden="false" customHeight="true" outlineLevel="0" collapsed="false">
      <c r="A28" s="317" t="s">
        <v>669</v>
      </c>
      <c r="B28" s="10" t="n">
        <v>902</v>
      </c>
      <c r="C28" s="41" t="n">
        <v>0.0789468144499179</v>
      </c>
      <c r="D28" s="41" t="n">
        <v>0.0707345554080219</v>
      </c>
      <c r="E28" s="41" t="n">
        <v>0.115840119962921</v>
      </c>
      <c r="F28" s="41" t="n">
        <v>0.201650428558614</v>
      </c>
      <c r="G28" s="318" t="n">
        <v>1.14628734943666</v>
      </c>
      <c r="H28" s="318" t="n">
        <v>1.28046078671534</v>
      </c>
      <c r="I28" s="41" t="n">
        <v>0.0983324766190081</v>
      </c>
      <c r="J28" s="41" t="n">
        <v>0.382176374233952</v>
      </c>
      <c r="K28" s="41" t="n">
        <v>0.041</v>
      </c>
      <c r="L28" s="41" t="n">
        <v>0.224169584300262</v>
      </c>
      <c r="M28" s="41" t="n">
        <v>0.0831182042586487</v>
      </c>
      <c r="N28" s="318" t="n">
        <v>1.32430280373966</v>
      </c>
      <c r="O28" s="318" t="n">
        <v>1.70203738654707</v>
      </c>
      <c r="P28" s="318" t="n">
        <v>10.3609019268918</v>
      </c>
      <c r="Q28" s="318" t="n">
        <v>16.5871006523917</v>
      </c>
      <c r="R28" s="318" t="n">
        <v>2.27752848955349</v>
      </c>
      <c r="S28" s="318" t="n">
        <v>53.3097117024779</v>
      </c>
      <c r="T28" s="41" t="n">
        <v>0.237902446800546</v>
      </c>
      <c r="U28" s="41" t="n">
        <v>0.0474040777626031</v>
      </c>
      <c r="V28" s="41" t="n">
        <v>0.036554952268916</v>
      </c>
      <c r="W28" s="41" t="n">
        <v>0.82738745593864</v>
      </c>
      <c r="X28" s="41" t="n">
        <v>0.0669646099002606</v>
      </c>
      <c r="Y28" s="41" t="n">
        <v>0.671327288575558</v>
      </c>
      <c r="Z28" s="41" t="n">
        <v>0.671327288575558</v>
      </c>
      <c r="AA28" s="319" t="n">
        <v>0.0999179737594785</v>
      </c>
    </row>
    <row r="29" customFormat="false" ht="12" hidden="false" customHeight="true" outlineLevel="0" collapsed="false">
      <c r="A29" s="317" t="s">
        <v>670</v>
      </c>
      <c r="B29" s="10" t="n">
        <v>142</v>
      </c>
      <c r="C29" s="41" t="n">
        <v>0.0142163725490196</v>
      </c>
      <c r="D29" s="41" t="n">
        <v>0.0482445921696468</v>
      </c>
      <c r="E29" s="41" t="n">
        <v>0.0940581128710884</v>
      </c>
      <c r="F29" s="41" t="n">
        <v>0.111958308757021</v>
      </c>
      <c r="G29" s="318" t="n">
        <v>1.30000280825364</v>
      </c>
      <c r="H29" s="318" t="n">
        <v>1.45126588955811</v>
      </c>
      <c r="I29" s="41" t="n">
        <v>0.108888231974691</v>
      </c>
      <c r="J29" s="41" t="n">
        <v>0.408554119581007</v>
      </c>
      <c r="K29" s="41" t="n">
        <v>0.045</v>
      </c>
      <c r="L29" s="41" t="n">
        <v>0.279649146872564</v>
      </c>
      <c r="M29" s="41" t="n">
        <v>0.0877878000241913</v>
      </c>
      <c r="N29" s="318" t="n">
        <v>1.84116983078939</v>
      </c>
      <c r="O29" s="318" t="n">
        <v>0.775131399257744</v>
      </c>
      <c r="P29" s="318" t="n">
        <v>7.93891329403338</v>
      </c>
      <c r="Q29" s="318" t="n">
        <v>14.7175217955523</v>
      </c>
      <c r="R29" s="318" t="n">
        <v>1.63400798234079</v>
      </c>
      <c r="S29" s="318" t="n">
        <v>56.4657937066561</v>
      </c>
      <c r="T29" s="41" t="n">
        <v>0.0241358413137334</v>
      </c>
      <c r="U29" s="41" t="n">
        <v>0.0439645367141322</v>
      </c>
      <c r="V29" s="41" t="n">
        <v>0.0368511288528555</v>
      </c>
      <c r="W29" s="41" t="n">
        <v>1.2171862671751</v>
      </c>
      <c r="X29" s="41" t="n">
        <v>0.13133087797579</v>
      </c>
      <c r="Y29" s="41" t="n">
        <v>0.236992621366961</v>
      </c>
      <c r="Z29" s="41" t="n">
        <v>0.236992621366961</v>
      </c>
      <c r="AA29" s="319" t="n">
        <v>0.0564019137644148</v>
      </c>
    </row>
    <row r="30" customFormat="false" ht="12" hidden="false" customHeight="true" outlineLevel="0" collapsed="false">
      <c r="A30" s="317" t="s">
        <v>671</v>
      </c>
      <c r="B30" s="10" t="n">
        <v>1345</v>
      </c>
      <c r="C30" s="41" t="n">
        <v>0.0611619223107569</v>
      </c>
      <c r="D30" s="41" t="n">
        <v>0.0605483540490975</v>
      </c>
      <c r="E30" s="41" t="n">
        <v>0.0861158351662359</v>
      </c>
      <c r="F30" s="41" t="n">
        <v>0.210001355073599</v>
      </c>
      <c r="G30" s="318" t="n">
        <v>1.38172413309172</v>
      </c>
      <c r="H30" s="318" t="n">
        <v>1.39929182911926</v>
      </c>
      <c r="I30" s="41" t="n">
        <v>0.10567623503957</v>
      </c>
      <c r="J30" s="41" t="n">
        <v>0.396670230264959</v>
      </c>
      <c r="K30" s="41" t="n">
        <v>0.041</v>
      </c>
      <c r="L30" s="41" t="n">
        <v>0.150603604511926</v>
      </c>
      <c r="M30" s="41" t="n">
        <v>0.0943488507356082</v>
      </c>
      <c r="N30" s="318" t="n">
        <v>1.55393780146187</v>
      </c>
      <c r="O30" s="318" t="n">
        <v>1.45736931381256</v>
      </c>
      <c r="P30" s="318" t="n">
        <v>13.0925798523993</v>
      </c>
      <c r="Q30" s="318" t="n">
        <v>23.0953977245367</v>
      </c>
      <c r="R30" s="318" t="n">
        <v>2.3731560391858</v>
      </c>
      <c r="S30" s="318" t="n">
        <v>54.1110654858925</v>
      </c>
      <c r="T30" s="41" t="n">
        <v>0.172940079174734</v>
      </c>
      <c r="U30" s="41" t="n">
        <v>0.0644578287573709</v>
      </c>
      <c r="V30" s="41" t="n">
        <v>0.0502716592604132</v>
      </c>
      <c r="W30" s="41" t="n">
        <v>1.38966951596168</v>
      </c>
      <c r="X30" s="41" t="n">
        <v>0.0790484594059294</v>
      </c>
      <c r="Y30" s="41" t="n">
        <v>0.487863046964468</v>
      </c>
      <c r="Z30" s="41" t="n">
        <v>0.487863046964468</v>
      </c>
      <c r="AA30" s="319" t="n">
        <v>0.0636892395930058</v>
      </c>
    </row>
    <row r="31" customFormat="false" ht="12" hidden="false" customHeight="true" outlineLevel="0" collapsed="false">
      <c r="A31" s="317" t="s">
        <v>672</v>
      </c>
      <c r="B31" s="10" t="n">
        <v>1208</v>
      </c>
      <c r="C31" s="41" t="n">
        <v>0.0467897582697201</v>
      </c>
      <c r="D31" s="41" t="n">
        <v>0.052859363056915</v>
      </c>
      <c r="E31" s="41" t="n">
        <v>0.0950973755478544</v>
      </c>
      <c r="F31" s="41" t="n">
        <v>0.250380556888677</v>
      </c>
      <c r="G31" s="318" t="n">
        <v>0.809987535290243</v>
      </c>
      <c r="H31" s="318" t="n">
        <v>1.10045899354446</v>
      </c>
      <c r="I31" s="41" t="n">
        <v>0.0872083658010478</v>
      </c>
      <c r="J31" s="41" t="n">
        <v>0.365286241255543</v>
      </c>
      <c r="K31" s="41" t="n">
        <v>0.041</v>
      </c>
      <c r="L31" s="41" t="n">
        <v>0.476016149391474</v>
      </c>
      <c r="M31" s="41" t="n">
        <v>0.0601966552766224</v>
      </c>
      <c r="N31" s="318" t="n">
        <v>2.07438968796208</v>
      </c>
      <c r="O31" s="318" t="n">
        <v>0.640783744477316</v>
      </c>
      <c r="P31" s="318" t="n">
        <v>8.21507054665771</v>
      </c>
      <c r="Q31" s="318" t="n">
        <v>11.6171825086742</v>
      </c>
      <c r="R31" s="318" t="n">
        <v>1.11094302234326</v>
      </c>
      <c r="S31" s="318" t="n">
        <v>52.5617563033992</v>
      </c>
      <c r="T31" s="41" t="n">
        <v>0.154078148206173</v>
      </c>
      <c r="U31" s="41" t="n">
        <v>0.033673238704949</v>
      </c>
      <c r="V31" s="41" t="n">
        <v>0.035239692785094</v>
      </c>
      <c r="W31" s="41" t="n">
        <v>1.56877995431474</v>
      </c>
      <c r="X31" s="41" t="n">
        <v>0.0957233521314294</v>
      </c>
      <c r="Y31" s="41" t="n">
        <v>0.529387174571893</v>
      </c>
      <c r="Z31" s="41" t="n">
        <v>0.529387174571893</v>
      </c>
      <c r="AA31" s="319" t="n">
        <v>0.055431283339839</v>
      </c>
    </row>
    <row r="32" customFormat="false" ht="12" hidden="false" customHeight="true" outlineLevel="0" collapsed="false">
      <c r="A32" s="317" t="s">
        <v>673</v>
      </c>
      <c r="B32" s="10" t="n">
        <v>660</v>
      </c>
      <c r="C32" s="41" t="n">
        <v>0.133691961852861</v>
      </c>
      <c r="D32" s="41" t="n">
        <v>0.117697861158005</v>
      </c>
      <c r="E32" s="41" t="n">
        <v>0.127766413977375</v>
      </c>
      <c r="F32" s="41" t="n">
        <v>0.225736746494901</v>
      </c>
      <c r="G32" s="318" t="n">
        <v>1.17048643716452</v>
      </c>
      <c r="H32" s="318" t="n">
        <v>1.25956758234712</v>
      </c>
      <c r="I32" s="41" t="n">
        <v>0.0970412765890522</v>
      </c>
      <c r="J32" s="41" t="n">
        <v>0.480117174955019</v>
      </c>
      <c r="K32" s="41" t="n">
        <v>0.045</v>
      </c>
      <c r="L32" s="41" t="n">
        <v>0.163326282987736</v>
      </c>
      <c r="M32" s="41" t="n">
        <v>0.0866526998590724</v>
      </c>
      <c r="N32" s="318" t="n">
        <v>1.23379020444295</v>
      </c>
      <c r="O32" s="318" t="n">
        <v>3.90492420050152</v>
      </c>
      <c r="P32" s="318" t="n">
        <v>19.0335680380851</v>
      </c>
      <c r="Q32" s="318" t="n">
        <v>32.6338474490558</v>
      </c>
      <c r="R32" s="318" t="n">
        <v>3.25023786854784</v>
      </c>
      <c r="S32" s="318" t="n">
        <v>52.2522897541818</v>
      </c>
      <c r="T32" s="41" t="n">
        <v>0.0510755347383476</v>
      </c>
      <c r="U32" s="41" t="n">
        <v>0.046012770681789</v>
      </c>
      <c r="V32" s="41" t="n">
        <v>0.0518648767856584</v>
      </c>
      <c r="W32" s="41" t="n">
        <v>0.722850871978448</v>
      </c>
      <c r="X32" s="41" t="n">
        <v>0.0910690304952933</v>
      </c>
      <c r="Y32" s="41" t="n">
        <v>0.375857063103893</v>
      </c>
      <c r="Z32" s="41" t="n">
        <v>0.375857063103893</v>
      </c>
      <c r="AA32" s="319" t="n">
        <v>0.114136845156338</v>
      </c>
    </row>
    <row r="33" customFormat="false" ht="12" hidden="false" customHeight="true" outlineLevel="0" collapsed="false">
      <c r="A33" s="317" t="s">
        <v>674</v>
      </c>
      <c r="B33" s="10" t="n">
        <v>325</v>
      </c>
      <c r="C33" s="41" t="n">
        <v>0.116996153846154</v>
      </c>
      <c r="D33" s="41" t="n">
        <v>0.104282052491101</v>
      </c>
      <c r="E33" s="41" t="n">
        <v>0.125309265773068</v>
      </c>
      <c r="F33" s="41" t="n">
        <v>0.222327564199992</v>
      </c>
      <c r="G33" s="318" t="n">
        <v>1.01088959540076</v>
      </c>
      <c r="H33" s="318" t="n">
        <v>1.21657840873882</v>
      </c>
      <c r="I33" s="41" t="n">
        <v>0.0943845456600591</v>
      </c>
      <c r="J33" s="41" t="n">
        <v>0.438240713867857</v>
      </c>
      <c r="K33" s="41" t="n">
        <v>0.045</v>
      </c>
      <c r="L33" s="41" t="n">
        <v>0.270070884235665</v>
      </c>
      <c r="M33" s="41" t="n">
        <v>0.0779238479698849</v>
      </c>
      <c r="N33" s="318" t="n">
        <v>1.35460726790779</v>
      </c>
      <c r="O33" s="318" t="n">
        <v>2.47616155321681</v>
      </c>
      <c r="P33" s="318" t="n">
        <v>13.4582792463666</v>
      </c>
      <c r="Q33" s="318" t="n">
        <v>22.7828297410132</v>
      </c>
      <c r="R33" s="318" t="n">
        <v>2.94648411771166</v>
      </c>
      <c r="S33" s="318" t="n">
        <v>139.859743312681</v>
      </c>
      <c r="T33" s="41" t="n">
        <v>0.115788885660525</v>
      </c>
      <c r="U33" s="41" t="n">
        <v>0.0956867935617069</v>
      </c>
      <c r="V33" s="41" t="n">
        <v>0.0742674036135433</v>
      </c>
      <c r="W33" s="41" t="n">
        <v>1.26747168637182</v>
      </c>
      <c r="X33" s="41" t="n">
        <v>0.0772052592906734</v>
      </c>
      <c r="Y33" s="41" t="n">
        <v>0.692436473922166</v>
      </c>
      <c r="Z33" s="41" t="n">
        <v>0.692436473922166</v>
      </c>
      <c r="AA33" s="319" t="n">
        <v>0.106806891688212</v>
      </c>
    </row>
    <row r="34" customFormat="false" ht="12" hidden="false" customHeight="true" outlineLevel="0" collapsed="false">
      <c r="A34" s="317" t="s">
        <v>675</v>
      </c>
      <c r="B34" s="10" t="n">
        <v>406</v>
      </c>
      <c r="C34" s="41" t="n">
        <v>0.0835741791044777</v>
      </c>
      <c r="D34" s="41" t="n">
        <v>0.0470321141422624</v>
      </c>
      <c r="E34" s="41" t="n">
        <v>0.0538368810231768</v>
      </c>
      <c r="F34" s="41" t="n">
        <v>0.199058842396592</v>
      </c>
      <c r="G34" s="318" t="n">
        <v>0.600476057140026</v>
      </c>
      <c r="H34" s="318" t="n">
        <v>0.816520175232689</v>
      </c>
      <c r="I34" s="41" t="n">
        <v>0.0696609468293802</v>
      </c>
      <c r="J34" s="41" t="n">
        <v>0.381630477971187</v>
      </c>
      <c r="K34" s="41" t="n">
        <v>0.041</v>
      </c>
      <c r="L34" s="41" t="n">
        <v>0.369670221928746</v>
      </c>
      <c r="M34" s="41" t="n">
        <v>0.055170633125812</v>
      </c>
      <c r="N34" s="318" t="n">
        <v>1.27972835919985</v>
      </c>
      <c r="O34" s="318" t="n">
        <v>1.20358651417771</v>
      </c>
      <c r="P34" s="318" t="n">
        <v>13.8138800138765</v>
      </c>
      <c r="Q34" s="318" t="n">
        <v>23.8642911496889</v>
      </c>
      <c r="R34" s="318" t="n">
        <v>1.83486746457401</v>
      </c>
      <c r="S34" s="318" t="n">
        <v>79.7460030412904</v>
      </c>
      <c r="T34" s="41" t="n">
        <v>0.156932562640537</v>
      </c>
      <c r="U34" s="41" t="n">
        <v>0.0493702380534563</v>
      </c>
      <c r="V34" s="41" t="n">
        <v>0.0341073469993908</v>
      </c>
      <c r="W34" s="41" t="n">
        <v>1.12793886830515</v>
      </c>
      <c r="X34" s="41" t="n">
        <v>0.0674681441912258</v>
      </c>
      <c r="Y34" s="41" t="n">
        <v>0.544357265212021</v>
      </c>
      <c r="Z34" s="41" t="n">
        <v>0.544357265212021</v>
      </c>
      <c r="AA34" s="319" t="n">
        <v>0.0479284936962047</v>
      </c>
    </row>
    <row r="35" customFormat="false" ht="12" hidden="false" customHeight="true" outlineLevel="0" collapsed="false">
      <c r="A35" s="317" t="s">
        <v>676</v>
      </c>
      <c r="B35" s="10" t="n">
        <v>1059</v>
      </c>
      <c r="C35" s="41" t="n">
        <v>0.132395173913043</v>
      </c>
      <c r="D35" s="41" t="n">
        <v>0.0677422809540257</v>
      </c>
      <c r="E35" s="41" t="n">
        <v>0.00392505021150496</v>
      </c>
      <c r="F35" s="41" t="n">
        <v>0.181902127774237</v>
      </c>
      <c r="G35" s="318" t="n">
        <v>0.149564226523487</v>
      </c>
      <c r="H35" s="318" t="n">
        <v>0.789162420233973</v>
      </c>
      <c r="I35" s="41" t="n">
        <v>0.0679702375704595</v>
      </c>
      <c r="J35" s="41" t="n">
        <v>0.345299939370828</v>
      </c>
      <c r="K35" s="41" t="n">
        <v>0.041</v>
      </c>
      <c r="L35" s="41" t="n">
        <v>0.862788209943644</v>
      </c>
      <c r="M35" s="41" t="n">
        <v>0.0356094352071117</v>
      </c>
      <c r="N35" s="318" t="n">
        <v>0.0698869505223998</v>
      </c>
      <c r="O35" s="318" t="n">
        <v>15.9735673110165</v>
      </c>
      <c r="P35" s="318" t="n">
        <v>152.523340729497</v>
      </c>
      <c r="Q35" s="318" t="s">
        <v>646</v>
      </c>
      <c r="R35" s="318" t="n">
        <v>1.35135746638964</v>
      </c>
      <c r="S35" s="318" t="n">
        <v>69.4478159164662</v>
      </c>
      <c r="T35" s="41" t="s">
        <v>646</v>
      </c>
      <c r="U35" s="41" t="n">
        <v>0.0689227780139246</v>
      </c>
      <c r="V35" s="41" t="n">
        <v>0.069558027318686</v>
      </c>
      <c r="W35" s="41" t="n">
        <v>1.9510578436951</v>
      </c>
      <c r="X35" s="41" t="n">
        <v>0.20622625054362</v>
      </c>
      <c r="Y35" s="41" t="n">
        <v>0.211487982942639</v>
      </c>
      <c r="Z35" s="41" t="n">
        <v>0.211487982942639</v>
      </c>
      <c r="AA35" s="319" t="n">
        <v>0.0664553209360186</v>
      </c>
    </row>
    <row r="36" customFormat="false" ht="12" hidden="false" customHeight="true" outlineLevel="0" collapsed="false">
      <c r="A36" s="317" t="s">
        <v>677</v>
      </c>
      <c r="B36" s="10" t="n">
        <v>1262</v>
      </c>
      <c r="C36" s="41" t="n">
        <v>0.0639886383928572</v>
      </c>
      <c r="D36" s="41" t="n">
        <v>0.0852894637393137</v>
      </c>
      <c r="E36" s="41" t="n">
        <v>0.119363703982672</v>
      </c>
      <c r="F36" s="41" t="n">
        <v>0.213842484644967</v>
      </c>
      <c r="G36" s="318" t="n">
        <v>0.650117084448485</v>
      </c>
      <c r="H36" s="318" t="n">
        <v>0.749957226609908</v>
      </c>
      <c r="I36" s="41" t="n">
        <v>0.0655473566044923</v>
      </c>
      <c r="J36" s="41" t="n">
        <v>0.320189008575877</v>
      </c>
      <c r="K36" s="41" t="n">
        <v>0.041</v>
      </c>
      <c r="L36" s="41" t="n">
        <v>0.215421875698392</v>
      </c>
      <c r="M36" s="41" t="n">
        <v>0.0579894186970813</v>
      </c>
      <c r="N36" s="318" t="n">
        <v>1.657647510994</v>
      </c>
      <c r="O36" s="318" t="n">
        <v>1.73295446535349</v>
      </c>
      <c r="P36" s="318" t="n">
        <v>13.7177021152488</v>
      </c>
      <c r="Q36" s="318" t="n">
        <v>20.0804217641832</v>
      </c>
      <c r="R36" s="318" t="n">
        <v>2.7476294097662</v>
      </c>
      <c r="S36" s="318" t="n">
        <v>41.6767437277577</v>
      </c>
      <c r="T36" s="41" t="n">
        <v>0.105046685026673</v>
      </c>
      <c r="U36" s="41" t="n">
        <v>0.0460810268782759</v>
      </c>
      <c r="V36" s="41" t="n">
        <v>0.0376929084406591</v>
      </c>
      <c r="W36" s="41" t="n">
        <v>0.623046621530278</v>
      </c>
      <c r="X36" s="41" t="n">
        <v>0.0794082118318878</v>
      </c>
      <c r="Y36" s="41" t="n">
        <v>0.745293212117801</v>
      </c>
      <c r="Z36" s="41" t="n">
        <v>0.745293212117801</v>
      </c>
      <c r="AA36" s="319" t="n">
        <v>0.0856699631547964</v>
      </c>
    </row>
    <row r="37" customFormat="false" ht="12" hidden="false" customHeight="true" outlineLevel="0" collapsed="false">
      <c r="A37" s="317" t="s">
        <v>678</v>
      </c>
      <c r="B37" s="10" t="n">
        <v>151</v>
      </c>
      <c r="C37" s="41" t="n">
        <v>0.15595603960396</v>
      </c>
      <c r="D37" s="41" t="n">
        <v>0.0241586881177102</v>
      </c>
      <c r="E37" s="41" t="n">
        <v>0.106731550892824</v>
      </c>
      <c r="F37" s="41" t="n">
        <v>0.260809514039385</v>
      </c>
      <c r="G37" s="318" t="n">
        <v>0.518492963365863</v>
      </c>
      <c r="H37" s="318" t="n">
        <v>0.756415677999429</v>
      </c>
      <c r="I37" s="41" t="n">
        <v>0.0659464889003647</v>
      </c>
      <c r="J37" s="41" t="n">
        <v>0.341980130146058</v>
      </c>
      <c r="K37" s="41" t="n">
        <v>0.041</v>
      </c>
      <c r="L37" s="41" t="n">
        <v>0.427330544678833</v>
      </c>
      <c r="M37" s="41" t="n">
        <v>0.0507833102614665</v>
      </c>
      <c r="N37" s="318" t="n">
        <v>5.20843677912982</v>
      </c>
      <c r="O37" s="318" t="n">
        <v>0.48139534295222</v>
      </c>
      <c r="P37" s="318" t="n">
        <v>11.4272867578078</v>
      </c>
      <c r="Q37" s="318" t="n">
        <v>19.2738814511871</v>
      </c>
      <c r="R37" s="318" t="n">
        <v>2.07352875356686</v>
      </c>
      <c r="S37" s="318" t="n">
        <v>51.75355987273</v>
      </c>
      <c r="T37" s="41" t="n">
        <v>0.0484347903916028</v>
      </c>
      <c r="U37" s="41" t="n">
        <v>0.0150098782058224</v>
      </c>
      <c r="V37" s="41" t="n">
        <v>0.0172354620393476</v>
      </c>
      <c r="W37" s="41" t="n">
        <v>0.984568076810318</v>
      </c>
      <c r="X37" s="41" t="n">
        <v>0.0912699979559327</v>
      </c>
      <c r="Y37" s="41" t="n">
        <v>0.545209635098916</v>
      </c>
      <c r="Z37" s="41" t="n">
        <v>0.545209635098916</v>
      </c>
      <c r="AA37" s="319" t="n">
        <v>0.0248255356667742</v>
      </c>
    </row>
    <row r="38" customFormat="false" ht="12" hidden="false" customHeight="true" outlineLevel="0" collapsed="false">
      <c r="A38" s="317" t="s">
        <v>679</v>
      </c>
      <c r="B38" s="10" t="n">
        <v>328</v>
      </c>
      <c r="C38" s="41" t="n">
        <v>0.0649118260869565</v>
      </c>
      <c r="D38" s="41" t="n">
        <v>0.0742703990950977</v>
      </c>
      <c r="E38" s="41" t="n">
        <v>0.155553617684613</v>
      </c>
      <c r="F38" s="41" t="n">
        <v>0.185768093740795</v>
      </c>
      <c r="G38" s="318" t="n">
        <v>1.00585224719447</v>
      </c>
      <c r="H38" s="318" t="n">
        <v>1.02622176101311</v>
      </c>
      <c r="I38" s="41" t="n">
        <v>0.0826205048306102</v>
      </c>
      <c r="J38" s="41" t="n">
        <v>0.344007203655185</v>
      </c>
      <c r="K38" s="41" t="n">
        <v>0.041</v>
      </c>
      <c r="L38" s="41" t="n">
        <v>0.193459398918451</v>
      </c>
      <c r="M38" s="41" t="n">
        <v>0.0725301452969942</v>
      </c>
      <c r="N38" s="318" t="n">
        <v>2.40842209590765</v>
      </c>
      <c r="O38" s="318" t="n">
        <v>1.18889692426649</v>
      </c>
      <c r="P38" s="318" t="n">
        <v>10.9252498570946</v>
      </c>
      <c r="Q38" s="318" t="n">
        <v>15.2762551257648</v>
      </c>
      <c r="R38" s="318" t="n">
        <v>2.72109555859198</v>
      </c>
      <c r="S38" s="318" t="n">
        <v>28.3716750063788</v>
      </c>
      <c r="T38" s="41" t="n">
        <v>0.0477241683140423</v>
      </c>
      <c r="U38" s="41" t="n">
        <v>0.0348351432033734</v>
      </c>
      <c r="V38" s="41" t="n">
        <v>0.0263391816935458</v>
      </c>
      <c r="W38" s="41" t="n">
        <v>0.544231312983464</v>
      </c>
      <c r="X38" s="41" t="n">
        <v>0.142613887534596</v>
      </c>
      <c r="Y38" s="41" t="n">
        <v>0.492100625616173</v>
      </c>
      <c r="Z38" s="41" t="n">
        <v>0.492100625616173</v>
      </c>
      <c r="AA38" s="319" t="n">
        <v>0.0771199442969074</v>
      </c>
    </row>
    <row r="39" customFormat="false" ht="12" hidden="false" customHeight="true" outlineLevel="0" collapsed="false">
      <c r="A39" s="317" t="s">
        <v>680</v>
      </c>
      <c r="B39" s="10" t="n">
        <v>213</v>
      </c>
      <c r="C39" s="41" t="n">
        <v>0.237362641509434</v>
      </c>
      <c r="D39" s="41" t="n">
        <v>0.356478912322326</v>
      </c>
      <c r="E39" s="41" t="n">
        <v>0.0711056315940384</v>
      </c>
      <c r="F39" s="41" t="n">
        <v>0.167010044185272</v>
      </c>
      <c r="G39" s="318" t="n">
        <v>0.586730334228528</v>
      </c>
      <c r="H39" s="318" t="n">
        <v>0.886968858286129</v>
      </c>
      <c r="I39" s="41" t="n">
        <v>0.0740146754420828</v>
      </c>
      <c r="J39" s="41" t="n">
        <v>0.380254896139513</v>
      </c>
      <c r="K39" s="41" t="n">
        <v>0.041</v>
      </c>
      <c r="L39" s="41" t="n">
        <v>0.435185325287787</v>
      </c>
      <c r="M39" s="41" t="n">
        <v>0.0550616253979918</v>
      </c>
      <c r="N39" s="318" t="n">
        <v>0.230759314421603</v>
      </c>
      <c r="O39" s="318" t="n">
        <v>6.75751449313831</v>
      </c>
      <c r="P39" s="318" t="n">
        <v>11.5695428015266</v>
      </c>
      <c r="Q39" s="318" t="n">
        <v>19.2326005225635</v>
      </c>
      <c r="R39" s="318" t="n">
        <v>1.72017863452293</v>
      </c>
      <c r="S39" s="318" t="n">
        <v>105.769533845485</v>
      </c>
      <c r="T39" s="41" t="n">
        <v>0.0484741977619175</v>
      </c>
      <c r="U39" s="41" t="n">
        <v>0.28767246738389</v>
      </c>
      <c r="V39" s="41" t="n">
        <v>0.137574376218071</v>
      </c>
      <c r="W39" s="41" t="n">
        <v>0.699007139605091</v>
      </c>
      <c r="X39" s="41" t="n">
        <v>0.104310122847074</v>
      </c>
      <c r="Y39" s="41" t="n">
        <v>0.778405089964382</v>
      </c>
      <c r="Z39" s="41" t="n">
        <v>0.778405089964382</v>
      </c>
      <c r="AA39" s="319" t="n">
        <v>0.348605487713812</v>
      </c>
    </row>
    <row r="40" customFormat="false" ht="12" hidden="false" customHeight="true" outlineLevel="0" collapsed="false">
      <c r="A40" s="317" t="s">
        <v>681</v>
      </c>
      <c r="B40" s="10" t="n">
        <v>739</v>
      </c>
      <c r="C40" s="41" t="n">
        <v>0.113778161764706</v>
      </c>
      <c r="D40" s="41" t="n">
        <v>0.148710359226534</v>
      </c>
      <c r="E40" s="41" t="n">
        <v>0.140197106727286</v>
      </c>
      <c r="F40" s="41" t="n">
        <v>0.152783129540756</v>
      </c>
      <c r="G40" s="318" t="n">
        <v>1.13312891397977</v>
      </c>
      <c r="H40" s="318" t="n">
        <v>1.19591940963222</v>
      </c>
      <c r="I40" s="41" t="n">
        <v>0.0931078195152711</v>
      </c>
      <c r="J40" s="41" t="n">
        <v>0.483566160287441</v>
      </c>
      <c r="K40" s="41" t="n">
        <v>0.045</v>
      </c>
      <c r="L40" s="41" t="n">
        <v>0.110604235961369</v>
      </c>
      <c r="M40" s="41" t="n">
        <v>0.0865077529051239</v>
      </c>
      <c r="N40" s="318" t="n">
        <v>0.967567914403214</v>
      </c>
      <c r="O40" s="318" t="n">
        <v>5.173027909166</v>
      </c>
      <c r="P40" s="318" t="n">
        <v>21.3479153477366</v>
      </c>
      <c r="Q40" s="318" t="n">
        <v>33.2282317247134</v>
      </c>
      <c r="R40" s="318" t="n">
        <v>4.5612393775917</v>
      </c>
      <c r="S40" s="318" t="n">
        <v>52.1860738302164</v>
      </c>
      <c r="T40" s="41" t="n">
        <v>0.243559531596349</v>
      </c>
      <c r="U40" s="41" t="n">
        <v>0.0535611329399224</v>
      </c>
      <c r="V40" s="41" t="n">
        <v>0.0642847141763407</v>
      </c>
      <c r="W40" s="41" t="n">
        <v>0.730560334822091</v>
      </c>
      <c r="X40" s="41" t="n">
        <v>0.0969496117394019</v>
      </c>
      <c r="Y40" s="41" t="n">
        <v>0.380061386984896</v>
      </c>
      <c r="Z40" s="41" t="n">
        <v>0.380061386984896</v>
      </c>
      <c r="AA40" s="319" t="n">
        <v>0.156536959612067</v>
      </c>
    </row>
    <row r="41" customFormat="false" ht="12" hidden="false" customHeight="true" outlineLevel="0" collapsed="false">
      <c r="A41" s="317" t="s">
        <v>682</v>
      </c>
      <c r="B41" s="10" t="n">
        <v>402</v>
      </c>
      <c r="C41" s="41" t="n">
        <v>0.183644753363229</v>
      </c>
      <c r="D41" s="41" t="n">
        <v>0.0450050248624477</v>
      </c>
      <c r="E41" s="41" t="n">
        <v>0.272280312431969</v>
      </c>
      <c r="F41" s="41" t="n">
        <v>0.236250828811693</v>
      </c>
      <c r="G41" s="318" t="n">
        <v>0.818386091931733</v>
      </c>
      <c r="H41" s="318" t="n">
        <v>1.0101052155748</v>
      </c>
      <c r="I41" s="41" t="n">
        <v>0.0816245023225228</v>
      </c>
      <c r="J41" s="41" t="n">
        <v>0.398179211831398</v>
      </c>
      <c r="K41" s="41" t="n">
        <v>0.041</v>
      </c>
      <c r="L41" s="41" t="n">
        <v>0.293545551664611</v>
      </c>
      <c r="M41" s="41" t="n">
        <v>0.0666062708992676</v>
      </c>
      <c r="N41" s="318" t="n">
        <v>7.26583963826083</v>
      </c>
      <c r="O41" s="318" t="n">
        <v>0.722388173445258</v>
      </c>
      <c r="P41" s="318" t="n">
        <v>11.5531061301059</v>
      </c>
      <c r="Q41" s="318" t="n">
        <v>16.1335840675107</v>
      </c>
      <c r="R41" s="318" t="n">
        <v>2.54861911003032</v>
      </c>
      <c r="S41" s="318" t="n">
        <v>36.1817771985606</v>
      </c>
      <c r="T41" s="41" t="n">
        <v>-0.0124593615814555</v>
      </c>
      <c r="U41" s="41" t="n">
        <v>0.0100412602829939</v>
      </c>
      <c r="V41" s="41" t="n">
        <v>0.0464030843032944</v>
      </c>
      <c r="W41" s="41" t="n">
        <v>1.57309233529622</v>
      </c>
      <c r="X41" s="41" t="n">
        <v>0.122731802584067</v>
      </c>
      <c r="Y41" s="41" t="n">
        <v>0.39052602700997</v>
      </c>
      <c r="Z41" s="41" t="n">
        <v>0.39052602700997</v>
      </c>
      <c r="AA41" s="319" t="n">
        <v>0.0441139308087858</v>
      </c>
    </row>
    <row r="42" customFormat="false" ht="12" hidden="false" customHeight="true" outlineLevel="0" collapsed="false">
      <c r="A42" s="317" t="s">
        <v>683</v>
      </c>
      <c r="B42" s="10" t="n">
        <v>389</v>
      </c>
      <c r="C42" s="41" t="n">
        <v>0.171554230769231</v>
      </c>
      <c r="D42" s="41" t="n">
        <v>0.123045973550655</v>
      </c>
      <c r="E42" s="41" t="n">
        <v>0.130772241919035</v>
      </c>
      <c r="F42" s="41" t="n">
        <v>0.157574616877263</v>
      </c>
      <c r="G42" s="318" t="n">
        <v>1.22538332909187</v>
      </c>
      <c r="H42" s="318" t="n">
        <v>1.29558711879265</v>
      </c>
      <c r="I42" s="41" t="n">
        <v>0.0992672839413855</v>
      </c>
      <c r="J42" s="41" t="n">
        <v>0.537553858180008</v>
      </c>
      <c r="K42" s="41" t="n">
        <v>0.045</v>
      </c>
      <c r="L42" s="41" t="n">
        <v>0.107555094143648</v>
      </c>
      <c r="M42" s="41" t="n">
        <v>0.0921866864443784</v>
      </c>
      <c r="N42" s="318" t="n">
        <v>1.09755901573367</v>
      </c>
      <c r="O42" s="318" t="n">
        <v>5.70928918765417</v>
      </c>
      <c r="P42" s="318" t="n">
        <v>24.8148205420267</v>
      </c>
      <c r="Q42" s="318" t="n">
        <v>42.3529124142891</v>
      </c>
      <c r="R42" s="318" t="n">
        <v>5.53251044169098</v>
      </c>
      <c r="S42" s="318" t="n">
        <v>770.422162008885</v>
      </c>
      <c r="T42" s="41" t="n">
        <v>0.208909828629704</v>
      </c>
      <c r="U42" s="41" t="n">
        <v>0.0562045398190454</v>
      </c>
      <c r="V42" s="41" t="n">
        <v>0.0640223940902863</v>
      </c>
      <c r="W42" s="41" t="n">
        <v>0.852209206790172</v>
      </c>
      <c r="X42" s="41" t="n">
        <v>0.101844773073685</v>
      </c>
      <c r="Y42" s="41" t="n">
        <v>0.152688131209069</v>
      </c>
      <c r="Z42" s="41" t="n">
        <v>0.152688131209069</v>
      </c>
      <c r="AA42" s="319" t="n">
        <v>0.128843488721918</v>
      </c>
    </row>
    <row r="43" customFormat="false" ht="12" hidden="false" customHeight="true" outlineLevel="0" collapsed="false">
      <c r="A43" s="317" t="s">
        <v>684</v>
      </c>
      <c r="B43" s="10" t="n">
        <v>167</v>
      </c>
      <c r="C43" s="41" t="n">
        <v>0.113426692913386</v>
      </c>
      <c r="D43" s="41" t="n">
        <v>0.106945867776444</v>
      </c>
      <c r="E43" s="41" t="n">
        <v>0.105399834010416</v>
      </c>
      <c r="F43" s="41" t="n">
        <v>0.23867718585368</v>
      </c>
      <c r="G43" s="318" t="n">
        <v>0.74828703712729</v>
      </c>
      <c r="H43" s="318" t="n">
        <v>0.885699914757219</v>
      </c>
      <c r="I43" s="41" t="n">
        <v>0.0739362547319961</v>
      </c>
      <c r="J43" s="41" t="n">
        <v>0.322900822692681</v>
      </c>
      <c r="K43" s="41" t="n">
        <v>0.041</v>
      </c>
      <c r="L43" s="41" t="n">
        <v>0.30137369606399</v>
      </c>
      <c r="M43" s="41" t="n">
        <v>0.0608345592734831</v>
      </c>
      <c r="N43" s="318" t="n">
        <v>1.35305640922823</v>
      </c>
      <c r="O43" s="318" t="n">
        <v>1.15401909328139</v>
      </c>
      <c r="P43" s="318" t="n">
        <v>9.28678198793802</v>
      </c>
      <c r="Q43" s="318" t="n">
        <v>11.4700059550981</v>
      </c>
      <c r="R43" s="318" t="n">
        <v>1.58441224846436</v>
      </c>
      <c r="S43" s="318" t="n">
        <v>16.1766499356219</v>
      </c>
      <c r="T43" s="41" t="n">
        <v>0.595404584169329</v>
      </c>
      <c r="U43" s="41" t="n">
        <v>0.0120651672587435</v>
      </c>
      <c r="V43" s="41" t="n">
        <v>0.0125761830732032</v>
      </c>
      <c r="W43" s="41" t="n">
        <v>0.620016321012608</v>
      </c>
      <c r="X43" s="41" t="n">
        <v>0.147654971016371</v>
      </c>
      <c r="Y43" s="41" t="n">
        <v>0.218178296045616</v>
      </c>
      <c r="Z43" s="41" t="n">
        <v>0.218178296045616</v>
      </c>
      <c r="AA43" s="319" t="n">
        <v>0.09990940093034</v>
      </c>
    </row>
    <row r="44" customFormat="false" ht="12" hidden="false" customHeight="true" outlineLevel="0" collapsed="false">
      <c r="A44" s="317" t="s">
        <v>685</v>
      </c>
      <c r="B44" s="10" t="n">
        <v>206</v>
      </c>
      <c r="C44" s="41" t="n">
        <v>0.0781430935251799</v>
      </c>
      <c r="D44" s="41" t="n">
        <v>0.103389664071301</v>
      </c>
      <c r="E44" s="41" t="n">
        <v>0.0952253246035997</v>
      </c>
      <c r="F44" s="41" t="n">
        <v>0.216763312860897</v>
      </c>
      <c r="G44" s="318" t="n">
        <v>0.503973514050404</v>
      </c>
      <c r="H44" s="318" t="n">
        <v>0.780058266043262</v>
      </c>
      <c r="I44" s="41" t="n">
        <v>0.0674076008414736</v>
      </c>
      <c r="J44" s="41" t="n">
        <v>0.314689671983993</v>
      </c>
      <c r="K44" s="41" t="n">
        <v>0.041</v>
      </c>
      <c r="L44" s="41" t="n">
        <v>0.444807550321567</v>
      </c>
      <c r="M44" s="41" t="n">
        <v>0.0509743634435696</v>
      </c>
      <c r="N44" s="318" t="n">
        <v>1.21666221045261</v>
      </c>
      <c r="O44" s="318" t="n">
        <v>2.21807009301239</v>
      </c>
      <c r="P44" s="318" t="n">
        <v>12.0020336543475</v>
      </c>
      <c r="Q44" s="318" t="n">
        <v>22.9208824582619</v>
      </c>
      <c r="R44" s="318" t="n">
        <v>3.42300319455597</v>
      </c>
      <c r="S44" s="318" t="n">
        <v>39.7225918083459</v>
      </c>
      <c r="T44" s="41" t="n">
        <v>0.0755858659242253</v>
      </c>
      <c r="U44" s="41" t="n">
        <v>0.0692380547126087</v>
      </c>
      <c r="V44" s="41" t="n">
        <v>0.0569840617253016</v>
      </c>
      <c r="W44" s="41" t="n">
        <v>0.959290728125951</v>
      </c>
      <c r="X44" s="41" t="n">
        <v>0.128741420295512</v>
      </c>
      <c r="Y44" s="41" t="n">
        <v>0.396495630440659</v>
      </c>
      <c r="Z44" s="41" t="n">
        <v>0.396495630440659</v>
      </c>
      <c r="AA44" s="319" t="n">
        <v>0.0935371690332056</v>
      </c>
    </row>
    <row r="45" customFormat="false" ht="12" hidden="false" customHeight="true" outlineLevel="0" collapsed="false">
      <c r="A45" s="317" t="s">
        <v>686</v>
      </c>
      <c r="B45" s="10" t="n">
        <v>639</v>
      </c>
      <c r="C45" s="41" t="n">
        <v>0.132157392241379</v>
      </c>
      <c r="D45" s="41" t="n">
        <v>0.143272801485344</v>
      </c>
      <c r="E45" s="41" t="n">
        <v>0.0880226226464851</v>
      </c>
      <c r="F45" s="41" t="n">
        <v>0.186086423297919</v>
      </c>
      <c r="G45" s="318" t="n">
        <v>0.684905102484403</v>
      </c>
      <c r="H45" s="318" t="n">
        <v>0.895950327069158</v>
      </c>
      <c r="I45" s="41" t="n">
        <v>0.074569730212874</v>
      </c>
      <c r="J45" s="41" t="n">
        <v>0.346683983294026</v>
      </c>
      <c r="K45" s="41" t="n">
        <v>0.041</v>
      </c>
      <c r="L45" s="41" t="n">
        <v>0.346642635533927</v>
      </c>
      <c r="M45" s="41" t="n">
        <v>0.0592804570070995</v>
      </c>
      <c r="N45" s="318" t="n">
        <v>0.766576391084283</v>
      </c>
      <c r="O45" s="318" t="n">
        <v>3.02555330693972</v>
      </c>
      <c r="P45" s="318" t="n">
        <v>12.3882487999905</v>
      </c>
      <c r="Q45" s="318" t="n">
        <v>22.4347194979249</v>
      </c>
      <c r="R45" s="318" t="n">
        <v>2.37553209534693</v>
      </c>
      <c r="S45" s="318" t="n">
        <v>53.1471322592344</v>
      </c>
      <c r="T45" s="41" t="n">
        <v>0.00127740295793779</v>
      </c>
      <c r="U45" s="41" t="n">
        <v>0.0860295281252565</v>
      </c>
      <c r="V45" s="41" t="n">
        <v>0.0546007907532302</v>
      </c>
      <c r="W45" s="41" t="n">
        <v>0.573501267556891</v>
      </c>
      <c r="X45" s="41" t="n">
        <v>0.114439600880952</v>
      </c>
      <c r="Y45" s="41" t="n">
        <v>0.529544380724401</v>
      </c>
      <c r="Z45" s="41" t="n">
        <v>0.529544380724401</v>
      </c>
      <c r="AA45" s="319" t="n">
        <v>0.133606228671283</v>
      </c>
    </row>
    <row r="46" customFormat="false" ht="12" hidden="false" customHeight="true" outlineLevel="0" collapsed="false">
      <c r="A46" s="317" t="s">
        <v>687</v>
      </c>
      <c r="B46" s="10" t="n">
        <v>536</v>
      </c>
      <c r="C46" s="41" t="n">
        <v>0.079046677852349</v>
      </c>
      <c r="D46" s="41" t="n">
        <v>0.163900035168159</v>
      </c>
      <c r="E46" s="41" t="n">
        <v>0.228360298668888</v>
      </c>
      <c r="F46" s="41" t="n">
        <v>0.243754069636677</v>
      </c>
      <c r="G46" s="318" t="n">
        <v>0.964117649931683</v>
      </c>
      <c r="H46" s="318" t="n">
        <v>1.03099889682539</v>
      </c>
      <c r="I46" s="41" t="n">
        <v>0.0829157318238088</v>
      </c>
      <c r="J46" s="41" t="n">
        <v>0.405825217390923</v>
      </c>
      <c r="K46" s="41" t="n">
        <v>0.045</v>
      </c>
      <c r="L46" s="41" t="n">
        <v>0.125701240688803</v>
      </c>
      <c r="M46" s="41" t="n">
        <v>0.0766959424433661</v>
      </c>
      <c r="N46" s="318" t="n">
        <v>1.59554185539324</v>
      </c>
      <c r="O46" s="318" t="n">
        <v>3.40381026278409</v>
      </c>
      <c r="P46" s="318" t="n">
        <v>16.0970751987036</v>
      </c>
      <c r="Q46" s="318" t="n">
        <v>20.5208659851137</v>
      </c>
      <c r="R46" s="318" t="n">
        <v>5.96404705103148</v>
      </c>
      <c r="S46" s="318" t="n">
        <v>73.7682238675144</v>
      </c>
      <c r="T46" s="41" t="n">
        <v>0.0670980101887393</v>
      </c>
      <c r="U46" s="41" t="n">
        <v>0.038210498660678</v>
      </c>
      <c r="V46" s="41" t="n">
        <v>0.0347245684599389</v>
      </c>
      <c r="W46" s="41" t="n">
        <v>0.302576902010319</v>
      </c>
      <c r="X46" s="41" t="n">
        <v>0.163022096691567</v>
      </c>
      <c r="Y46" s="41" t="n">
        <v>0.743932477638076</v>
      </c>
      <c r="Z46" s="41" t="n">
        <v>0.743932477638076</v>
      </c>
      <c r="AA46" s="319" t="n">
        <v>0.165308513821173</v>
      </c>
    </row>
    <row r="47" customFormat="false" ht="12" hidden="false" customHeight="true" outlineLevel="0" collapsed="false">
      <c r="A47" s="317" t="s">
        <v>688</v>
      </c>
      <c r="B47" s="10" t="n">
        <v>215</v>
      </c>
      <c r="C47" s="41" t="n">
        <v>0.149398292682927</v>
      </c>
      <c r="D47" s="41" t="n">
        <v>0.253299546823611</v>
      </c>
      <c r="E47" s="41" t="n">
        <v>0.368264337155921</v>
      </c>
      <c r="F47" s="41" t="n">
        <v>0.19481840674607</v>
      </c>
      <c r="G47" s="318" t="n">
        <v>1.04582947912739</v>
      </c>
      <c r="H47" s="318" t="n">
        <v>1.10246354668172</v>
      </c>
      <c r="I47" s="41" t="n">
        <v>0.0873322471849301</v>
      </c>
      <c r="J47" s="41" t="n">
        <v>0.412585080146537</v>
      </c>
      <c r="K47" s="41" t="n">
        <v>0.045</v>
      </c>
      <c r="L47" s="41" t="n">
        <v>0.108050539446543</v>
      </c>
      <c r="M47" s="41" t="n">
        <v>0.0815086205519147</v>
      </c>
      <c r="N47" s="318" t="n">
        <v>1.65049615885119</v>
      </c>
      <c r="O47" s="318" t="n">
        <v>8.12414292765327</v>
      </c>
      <c r="P47" s="318" t="n">
        <v>25.2969419116172</v>
      </c>
      <c r="Q47" s="318" t="n">
        <v>31.2116125882224</v>
      </c>
      <c r="R47" s="318" t="n">
        <v>6.27770022909216</v>
      </c>
      <c r="S47" s="318" t="n">
        <v>39.0679488979935</v>
      </c>
      <c r="T47" s="41" t="n">
        <v>0.0686931616426836</v>
      </c>
      <c r="U47" s="41" t="n">
        <v>0.0325734326555605</v>
      </c>
      <c r="V47" s="41" t="n">
        <v>0.141052767922676</v>
      </c>
      <c r="W47" s="41" t="n">
        <v>0.786643496968987</v>
      </c>
      <c r="X47" s="41" t="n">
        <v>0.273299627635867</v>
      </c>
      <c r="Y47" s="41" t="n">
        <v>0.263985376862883</v>
      </c>
      <c r="Z47" s="41" t="n">
        <v>0.263985376862883</v>
      </c>
      <c r="AA47" s="319" t="n">
        <v>0.255921843055534</v>
      </c>
    </row>
    <row r="48" customFormat="false" ht="12" hidden="false" customHeight="true" outlineLevel="0" collapsed="false">
      <c r="A48" s="317" t="s">
        <v>689</v>
      </c>
      <c r="B48" s="10" t="n">
        <v>216</v>
      </c>
      <c r="C48" s="41" t="n">
        <v>0.0647352197802198</v>
      </c>
      <c r="D48" s="41" t="n">
        <v>0.0953336967245394</v>
      </c>
      <c r="E48" s="41" t="n">
        <v>0.134428430312257</v>
      </c>
      <c r="F48" s="41" t="n">
        <v>0.241631917862012</v>
      </c>
      <c r="G48" s="318" t="n">
        <v>0.535517301277102</v>
      </c>
      <c r="H48" s="318" t="n">
        <v>0.613959411012045</v>
      </c>
      <c r="I48" s="41" t="n">
        <v>0.0571426916005444</v>
      </c>
      <c r="J48" s="41" t="n">
        <v>0.268280991683176</v>
      </c>
      <c r="K48" s="41" t="n">
        <v>0.041</v>
      </c>
      <c r="L48" s="41" t="n">
        <v>0.297634597477567</v>
      </c>
      <c r="M48" s="41" t="n">
        <v>0.0492018923301907</v>
      </c>
      <c r="N48" s="318" t="n">
        <v>1.66331143360156</v>
      </c>
      <c r="O48" s="318" t="n">
        <v>1.079049452728</v>
      </c>
      <c r="P48" s="318" t="n">
        <v>9.05104220575534</v>
      </c>
      <c r="Q48" s="318" t="n">
        <v>11.0528914492899</v>
      </c>
      <c r="R48" s="318" t="n">
        <v>1.32893490910906</v>
      </c>
      <c r="S48" s="318" t="n">
        <v>28.4378971700884</v>
      </c>
      <c r="T48" s="41" t="n">
        <v>-0.0106241916902625</v>
      </c>
      <c r="U48" s="41" t="n">
        <v>0.00728134731575153</v>
      </c>
      <c r="V48" s="41" t="n">
        <v>0.0223651326656815</v>
      </c>
      <c r="W48" s="41" t="n">
        <v>0.358749412617386</v>
      </c>
      <c r="X48" s="41" t="n">
        <v>0.0962108770128994</v>
      </c>
      <c r="Y48" s="41" t="n">
        <v>0.497856988190622</v>
      </c>
      <c r="Z48" s="41" t="n">
        <v>0.497856988190622</v>
      </c>
      <c r="AA48" s="319" t="n">
        <v>0.0953806092263949</v>
      </c>
    </row>
    <row r="49" customFormat="false" ht="12" hidden="false" customHeight="true" outlineLevel="0" collapsed="false">
      <c r="A49" s="317" t="s">
        <v>690</v>
      </c>
      <c r="B49" s="10" t="n">
        <v>137</v>
      </c>
      <c r="C49" s="41" t="n">
        <v>0.103592952380952</v>
      </c>
      <c r="D49" s="41" t="n">
        <v>0.0920842091233449</v>
      </c>
      <c r="E49" s="41" t="n">
        <v>0.115829698404393</v>
      </c>
      <c r="F49" s="41" t="n">
        <v>0.166615822849469</v>
      </c>
      <c r="G49" s="318" t="n">
        <v>0.977848114395933</v>
      </c>
      <c r="H49" s="318" t="n">
        <v>0.991516406340754</v>
      </c>
      <c r="I49" s="41" t="n">
        <v>0.0804757139118586</v>
      </c>
      <c r="J49" s="41" t="n">
        <v>0.258904697848265</v>
      </c>
      <c r="K49" s="41" t="n">
        <v>0.041</v>
      </c>
      <c r="L49" s="41" t="n">
        <v>0.449285120912355</v>
      </c>
      <c r="M49" s="41" t="n">
        <v>0.0580057456948142</v>
      </c>
      <c r="N49" s="318" t="n">
        <v>1.48842383888597</v>
      </c>
      <c r="O49" s="318" t="n">
        <v>0.88721153164973</v>
      </c>
      <c r="P49" s="318" t="n">
        <v>8.84830631233259</v>
      </c>
      <c r="Q49" s="318" t="n">
        <v>9.52048049701487</v>
      </c>
      <c r="R49" s="318" t="n">
        <v>1.02927275258437</v>
      </c>
      <c r="S49" s="318" t="n">
        <v>24.8995857116541</v>
      </c>
      <c r="T49" s="41" t="n">
        <v>-1.00441023001933</v>
      </c>
      <c r="U49" s="41" t="n">
        <v>0.00692695592771046</v>
      </c>
      <c r="V49" s="41" t="n">
        <v>0.00461272685503459</v>
      </c>
      <c r="W49" s="41" t="n">
        <v>0.0629418569498573</v>
      </c>
      <c r="X49" s="41" t="n">
        <v>0.112314239597208</v>
      </c>
      <c r="Y49" s="41" t="n">
        <v>0.290336848772354</v>
      </c>
      <c r="Z49" s="41" t="n">
        <v>0.290336848772354</v>
      </c>
      <c r="AA49" s="319" t="n">
        <v>0.0924702127459356</v>
      </c>
    </row>
    <row r="50" customFormat="false" ht="12" hidden="false" customHeight="true" outlineLevel="0" collapsed="false">
      <c r="A50" s="317" t="s">
        <v>691</v>
      </c>
      <c r="B50" s="10" t="n">
        <v>223</v>
      </c>
      <c r="C50" s="41" t="n">
        <v>0.0588560451977401</v>
      </c>
      <c r="D50" s="41" t="n">
        <v>0.0872356394478015</v>
      </c>
      <c r="E50" s="41" t="n">
        <v>0.0962976424575834</v>
      </c>
      <c r="F50" s="41" t="n">
        <v>0.180457353763214</v>
      </c>
      <c r="G50" s="318" t="n">
        <v>0.502369750464827</v>
      </c>
      <c r="H50" s="318" t="n">
        <v>0.555456462029507</v>
      </c>
      <c r="I50" s="41" t="n">
        <v>0.0535272093534235</v>
      </c>
      <c r="J50" s="41" t="n">
        <v>0.247338855421064</v>
      </c>
      <c r="K50" s="41" t="n">
        <v>0.0355</v>
      </c>
      <c r="L50" s="41" t="n">
        <v>0.228277378213305</v>
      </c>
      <c r="M50" s="41" t="n">
        <v>0.0473293166055926</v>
      </c>
      <c r="N50" s="318" t="n">
        <v>1.32568711080603</v>
      </c>
      <c r="O50" s="318" t="n">
        <v>1.11223833401049</v>
      </c>
      <c r="P50" s="318" t="n">
        <v>10.5613777062273</v>
      </c>
      <c r="Q50" s="318" t="n">
        <v>12.5327495111242</v>
      </c>
      <c r="R50" s="318" t="n">
        <v>1.29529747690352</v>
      </c>
      <c r="S50" s="318" t="n">
        <v>42.8143551245179</v>
      </c>
      <c r="T50" s="41" t="n">
        <v>-0.377190498019406</v>
      </c>
      <c r="U50" s="41" t="n">
        <v>0.00858484416490131</v>
      </c>
      <c r="V50" s="41" t="n">
        <v>0.00139509809969964</v>
      </c>
      <c r="W50" s="41" t="n">
        <v>0.116365987619996</v>
      </c>
      <c r="X50" s="41" t="n">
        <v>0.0958562292066034</v>
      </c>
      <c r="Y50" s="41" t="n">
        <v>0.36638099977128</v>
      </c>
      <c r="Z50" s="41" t="n">
        <v>0.36638099977128</v>
      </c>
      <c r="AA50" s="319" t="n">
        <v>0.0872788584605864</v>
      </c>
    </row>
    <row r="51" customFormat="false" ht="12" hidden="false" customHeight="true" outlineLevel="0" collapsed="false">
      <c r="A51" s="317" t="s">
        <v>692</v>
      </c>
      <c r="B51" s="10" t="n">
        <v>1066</v>
      </c>
      <c r="C51" s="41" t="n">
        <v>0.106709043659044</v>
      </c>
      <c r="D51" s="41" t="n">
        <v>0.187695498856968</v>
      </c>
      <c r="E51" s="41" t="n">
        <v>0.0527043341865464</v>
      </c>
      <c r="F51" s="41" t="n">
        <v>0.167973609532705</v>
      </c>
      <c r="G51" s="318" t="n">
        <v>0.549273410319625</v>
      </c>
      <c r="H51" s="318" t="n">
        <v>0.812262794006093</v>
      </c>
      <c r="I51" s="41" t="n">
        <v>0.0693978406695765</v>
      </c>
      <c r="J51" s="41" t="n">
        <v>0.371067815490974</v>
      </c>
      <c r="K51" s="41" t="n">
        <v>0.041</v>
      </c>
      <c r="L51" s="41" t="n">
        <v>0.477656590051986</v>
      </c>
      <c r="M51" s="41" t="n">
        <v>0.0508003574411292</v>
      </c>
      <c r="N51" s="318" t="n">
        <v>0.311907372444755</v>
      </c>
      <c r="O51" s="318" t="n">
        <v>4.87729141577862</v>
      </c>
      <c r="P51" s="318" t="n">
        <v>20.1445242467163</v>
      </c>
      <c r="Q51" s="318" t="n">
        <v>24.6839100645115</v>
      </c>
      <c r="R51" s="318" t="n">
        <v>1.3553497259264</v>
      </c>
      <c r="S51" s="318" t="n">
        <v>119.48178666795</v>
      </c>
      <c r="T51" s="41" t="s">
        <v>646</v>
      </c>
      <c r="U51" s="41" t="n">
        <v>0.0260378899246919</v>
      </c>
      <c r="V51" s="41" t="n">
        <v>0.143611254740098</v>
      </c>
      <c r="W51" s="41" t="n">
        <v>1.19904570224083</v>
      </c>
      <c r="X51" s="41" t="n">
        <v>0.102474983536822</v>
      </c>
      <c r="Y51" s="41" t="n">
        <v>0.488327241107641</v>
      </c>
      <c r="Z51" s="41" t="n">
        <v>0.488327241107641</v>
      </c>
      <c r="AA51" s="319" t="n">
        <v>0.182642984490082</v>
      </c>
    </row>
    <row r="52" customFormat="false" ht="12" hidden="false" customHeight="true" outlineLevel="0" collapsed="false">
      <c r="A52" s="317" t="s">
        <v>693</v>
      </c>
      <c r="B52" s="10" t="n">
        <v>1332</v>
      </c>
      <c r="C52" s="41" t="n">
        <v>0.0550722268041237</v>
      </c>
      <c r="D52" s="41" t="n">
        <v>0.0901875377463501</v>
      </c>
      <c r="E52" s="41" t="n">
        <v>0.122193772891734</v>
      </c>
      <c r="F52" s="41" t="n">
        <v>0.237701772688031</v>
      </c>
      <c r="G52" s="318" t="n">
        <v>1.16453352111877</v>
      </c>
      <c r="H52" s="318" t="n">
        <v>1.25197816331143</v>
      </c>
      <c r="I52" s="41" t="n">
        <v>0.0965722504926464</v>
      </c>
      <c r="J52" s="41" t="n">
        <v>0.350865296917484</v>
      </c>
      <c r="K52" s="41" t="n">
        <v>0.041</v>
      </c>
      <c r="L52" s="41" t="n">
        <v>0.180570729714351</v>
      </c>
      <c r="M52" s="41" t="n">
        <v>0.0846348548903204</v>
      </c>
      <c r="N52" s="318" t="n">
        <v>1.50221945986978</v>
      </c>
      <c r="O52" s="318" t="n">
        <v>1.7646471241437</v>
      </c>
      <c r="P52" s="318" t="n">
        <v>12.2111937298291</v>
      </c>
      <c r="Q52" s="318" t="n">
        <v>17.9708115151807</v>
      </c>
      <c r="R52" s="318" t="n">
        <v>2.54043677814121</v>
      </c>
      <c r="S52" s="318" t="n">
        <v>37.2968070560823</v>
      </c>
      <c r="T52" s="41" t="n">
        <v>0.252574728157298</v>
      </c>
      <c r="U52" s="41" t="n">
        <v>0.0431770270618911</v>
      </c>
      <c r="V52" s="41" t="n">
        <v>0.0509646595427827</v>
      </c>
      <c r="W52" s="41" t="n">
        <v>0.964495529708443</v>
      </c>
      <c r="X52" s="41" t="n">
        <v>0.103304783813116</v>
      </c>
      <c r="Y52" s="41" t="n">
        <v>0.445018229254444</v>
      </c>
      <c r="Z52" s="41" t="n">
        <v>0.445018229254444</v>
      </c>
      <c r="AA52" s="319" t="n">
        <v>0.0980661452531849</v>
      </c>
    </row>
    <row r="53" customFormat="false" ht="12" hidden="false" customHeight="true" outlineLevel="0" collapsed="false">
      <c r="A53" s="317" t="s">
        <v>694</v>
      </c>
      <c r="B53" s="10" t="n">
        <v>1529</v>
      </c>
      <c r="C53" s="41" t="n">
        <v>0.11404895878525</v>
      </c>
      <c r="D53" s="41" t="n">
        <v>0.0896527935474141</v>
      </c>
      <c r="E53" s="41" t="n">
        <v>0.100966488065805</v>
      </c>
      <c r="F53" s="41" t="n">
        <v>0.313301422047448</v>
      </c>
      <c r="G53" s="318" t="n">
        <v>1.09405986764269</v>
      </c>
      <c r="H53" s="318" t="n">
        <v>1.33463589152163</v>
      </c>
      <c r="I53" s="41" t="n">
        <v>0.101680498096037</v>
      </c>
      <c r="J53" s="41" t="n">
        <v>0.712858057047975</v>
      </c>
      <c r="K53" s="41" t="n">
        <v>0.0525</v>
      </c>
      <c r="L53" s="41" t="n">
        <v>0.312382120011558</v>
      </c>
      <c r="M53" s="41" t="n">
        <v>0.0821025740833163</v>
      </c>
      <c r="N53" s="318" t="n">
        <v>1.16213025065029</v>
      </c>
      <c r="O53" s="318" t="n">
        <v>1.25953119062597</v>
      </c>
      <c r="P53" s="318" t="n">
        <v>7.57050432522794</v>
      </c>
      <c r="Q53" s="318" t="n">
        <v>13.196515705797</v>
      </c>
      <c r="R53" s="318" t="n">
        <v>1.4410783825453</v>
      </c>
      <c r="S53" s="318" t="n">
        <v>155.378178200462</v>
      </c>
      <c r="T53" s="41" t="n">
        <v>0.0945704008021903</v>
      </c>
      <c r="U53" s="41" t="n">
        <v>0.0789149577711148</v>
      </c>
      <c r="V53" s="41" t="n">
        <v>0.04567705763689</v>
      </c>
      <c r="W53" s="41" t="n">
        <v>0.768387780559115</v>
      </c>
      <c r="X53" s="41" t="n">
        <v>0.0755974481155654</v>
      </c>
      <c r="Y53" s="41" t="n">
        <v>0.767215462064798</v>
      </c>
      <c r="Z53" s="41" t="n">
        <v>0.767215462064798</v>
      </c>
      <c r="AA53" s="319" t="n">
        <v>0.0907926723089789</v>
      </c>
    </row>
    <row r="54" customFormat="false" ht="12" hidden="false" customHeight="true" outlineLevel="0" collapsed="false">
      <c r="A54" s="317" t="s">
        <v>695</v>
      </c>
      <c r="B54" s="10" t="n">
        <v>146</v>
      </c>
      <c r="C54" s="41" t="n">
        <v>0.0313211926605505</v>
      </c>
      <c r="D54" s="41" t="n">
        <v>0.0723815973343873</v>
      </c>
      <c r="E54" s="41" t="n">
        <v>0.131612934083595</v>
      </c>
      <c r="F54" s="41" t="n">
        <v>0.268409933104201</v>
      </c>
      <c r="G54" s="318" t="n">
        <v>0.937644718328938</v>
      </c>
      <c r="H54" s="318" t="n">
        <v>1.04456342089981</v>
      </c>
      <c r="I54" s="41" t="n">
        <v>0.0837540194116081</v>
      </c>
      <c r="J54" s="41" t="n">
        <v>0.363884173100498</v>
      </c>
      <c r="K54" s="41" t="n">
        <v>0.041</v>
      </c>
      <c r="L54" s="41" t="n">
        <v>0.252479105796506</v>
      </c>
      <c r="M54" s="41" t="n">
        <v>0.0702991504835811</v>
      </c>
      <c r="N54" s="318" t="n">
        <v>2.08617943621285</v>
      </c>
      <c r="O54" s="318" t="n">
        <v>1.06393128453211</v>
      </c>
      <c r="P54" s="318" t="n">
        <v>9.29028374357928</v>
      </c>
      <c r="Q54" s="318" t="n">
        <v>14.1321628107339</v>
      </c>
      <c r="R54" s="318" t="n">
        <v>2.02609815883281</v>
      </c>
      <c r="S54" s="318" t="n">
        <v>28.860055286741</v>
      </c>
      <c r="T54" s="41" t="n">
        <v>0.136441244464705</v>
      </c>
      <c r="U54" s="41" t="n">
        <v>0.0260651220490704</v>
      </c>
      <c r="V54" s="41" t="n">
        <v>0.0094284151273492</v>
      </c>
      <c r="W54" s="41" t="n">
        <v>0.348651853776588</v>
      </c>
      <c r="X54" s="41" t="n">
        <v>0.0918904794022965</v>
      </c>
      <c r="Y54" s="41" t="n">
        <v>0.472032210933375</v>
      </c>
      <c r="Z54" s="41" t="n">
        <v>0.472032210933375</v>
      </c>
      <c r="AA54" s="319" t="n">
        <v>0.075350733944971</v>
      </c>
    </row>
    <row r="55" customFormat="false" ht="12" hidden="false" customHeight="true" outlineLevel="0" collapsed="false">
      <c r="A55" s="317" t="s">
        <v>696</v>
      </c>
      <c r="B55" s="10" t="n">
        <v>49</v>
      </c>
      <c r="C55" s="41" t="n">
        <v>0.00750780487804878</v>
      </c>
      <c r="D55" s="41" t="n">
        <v>0.131099595413533</v>
      </c>
      <c r="E55" s="41" t="n">
        <v>0.136951665343847</v>
      </c>
      <c r="F55" s="41" t="n">
        <v>0.395747417243313</v>
      </c>
      <c r="G55" s="318" t="n">
        <v>1.14017928959831</v>
      </c>
      <c r="H55" s="318" t="n">
        <v>1.29578609815622</v>
      </c>
      <c r="I55" s="41" t="n">
        <v>0.0992795808660546</v>
      </c>
      <c r="J55" s="41" t="n">
        <v>0.288157469267842</v>
      </c>
      <c r="K55" s="41" t="n">
        <v>0.041</v>
      </c>
      <c r="L55" s="41" t="n">
        <v>0.207308310570291</v>
      </c>
      <c r="M55" s="41" t="n">
        <v>0.085013331747489</v>
      </c>
      <c r="N55" s="318" t="n">
        <v>1.38188830447954</v>
      </c>
      <c r="O55" s="318" t="n">
        <v>1.42209448737412</v>
      </c>
      <c r="P55" s="318" t="n">
        <v>6.766307663714</v>
      </c>
      <c r="Q55" s="318" t="n">
        <v>11.0081723080213</v>
      </c>
      <c r="R55" s="318" t="n">
        <v>1.74228020730406</v>
      </c>
      <c r="S55" s="318" t="n">
        <v>23.5611735911345</v>
      </c>
      <c r="T55" s="41" t="n">
        <v>0.0275066331372937</v>
      </c>
      <c r="U55" s="41" t="n">
        <v>0.0902994507075832</v>
      </c>
      <c r="V55" s="41" t="n">
        <v>0.0344197954923319</v>
      </c>
      <c r="W55" s="41" t="n">
        <v>0.399301529349652</v>
      </c>
      <c r="X55" s="41" t="n">
        <v>0.141518991931723</v>
      </c>
      <c r="Y55" s="41" t="n">
        <v>0.635089553180177</v>
      </c>
      <c r="Z55" s="41" t="n">
        <v>0.635089553180177</v>
      </c>
      <c r="AA55" s="319" t="n">
        <v>0.12918851521834</v>
      </c>
    </row>
    <row r="56" customFormat="false" ht="12" hidden="false" customHeight="true" outlineLevel="0" collapsed="false">
      <c r="A56" s="317" t="s">
        <v>697</v>
      </c>
      <c r="B56" s="10" t="n">
        <v>773</v>
      </c>
      <c r="C56" s="41" t="n">
        <v>-0.00960206106870232</v>
      </c>
      <c r="D56" s="41" t="n">
        <v>0.219813385989403</v>
      </c>
      <c r="E56" s="41" t="n">
        <v>0.0909817375498687</v>
      </c>
      <c r="F56" s="41" t="n">
        <v>0.2700212784064</v>
      </c>
      <c r="G56" s="318" t="n">
        <v>1.14432048523325</v>
      </c>
      <c r="H56" s="318" t="n">
        <v>1.55147803452323</v>
      </c>
      <c r="I56" s="41" t="n">
        <v>0.115081342533536</v>
      </c>
      <c r="J56" s="41" t="n">
        <v>0.636872811915284</v>
      </c>
      <c r="K56" s="41" t="n">
        <v>0.045</v>
      </c>
      <c r="L56" s="41" t="n">
        <v>0.362077768724004</v>
      </c>
      <c r="M56" s="41" t="n">
        <v>0.0855190170045174</v>
      </c>
      <c r="N56" s="318" t="n">
        <v>0.432118151847527</v>
      </c>
      <c r="O56" s="318" t="n">
        <v>2.77460298039147</v>
      </c>
      <c r="P56" s="318" t="n">
        <v>5.13600366253706</v>
      </c>
      <c r="Q56" s="318" t="n">
        <v>12.2562174767083</v>
      </c>
      <c r="R56" s="318" t="n">
        <v>1.11150911348341</v>
      </c>
      <c r="S56" s="318" t="n">
        <v>21.4942678362975</v>
      </c>
      <c r="T56" s="41" t="n">
        <v>0.0302227681006088</v>
      </c>
      <c r="U56" s="41" t="n">
        <v>0.351229041418231</v>
      </c>
      <c r="V56" s="41" t="n">
        <v>0.111072503858674</v>
      </c>
      <c r="W56" s="41" t="n">
        <v>0.661290054148213</v>
      </c>
      <c r="X56" s="41" t="n">
        <v>0.0622274424171121</v>
      </c>
      <c r="Y56" s="41" t="n">
        <v>0.566679910561295</v>
      </c>
      <c r="Z56" s="41" t="n">
        <v>0.566679910561295</v>
      </c>
      <c r="AA56" s="319" t="n">
        <v>0.223105572891367</v>
      </c>
    </row>
    <row r="57" customFormat="false" ht="12" hidden="false" customHeight="true" outlineLevel="0" collapsed="false">
      <c r="A57" s="317" t="s">
        <v>698</v>
      </c>
      <c r="B57" s="10" t="n">
        <v>160</v>
      </c>
      <c r="C57" s="41" t="n">
        <v>0.162663425925926</v>
      </c>
      <c r="D57" s="41" t="n">
        <v>0.137641061492092</v>
      </c>
      <c r="E57" s="41" t="n">
        <v>0.0724263374504838</v>
      </c>
      <c r="F57" s="41" t="n">
        <v>0.174662961527277</v>
      </c>
      <c r="G57" s="318" t="n">
        <v>0.826498511667143</v>
      </c>
      <c r="H57" s="318" t="n">
        <v>1.28451957931128</v>
      </c>
      <c r="I57" s="41" t="n">
        <v>0.098583310001437</v>
      </c>
      <c r="J57" s="41" t="n">
        <v>0.335641929547502</v>
      </c>
      <c r="K57" s="41" t="n">
        <v>0.041</v>
      </c>
      <c r="L57" s="41" t="n">
        <v>0.444840757924655</v>
      </c>
      <c r="M57" s="41" t="n">
        <v>0.0682806196703353</v>
      </c>
      <c r="N57" s="318" t="n">
        <v>0.588666785902175</v>
      </c>
      <c r="O57" s="318" t="n">
        <v>2.85623320973733</v>
      </c>
      <c r="P57" s="318" t="n">
        <v>12.7969438164868</v>
      </c>
      <c r="Q57" s="318" t="n">
        <v>20.5802107139256</v>
      </c>
      <c r="R57" s="318" t="n">
        <v>1.57109049392471</v>
      </c>
      <c r="S57" s="318" t="n">
        <v>25.8881328814648</v>
      </c>
      <c r="T57" s="41" t="n">
        <v>0.0329924094125514</v>
      </c>
      <c r="U57" s="41" t="n">
        <v>0.17096661654853</v>
      </c>
      <c r="V57" s="41" t="n">
        <v>0.105931711248487</v>
      </c>
      <c r="W57" s="41" t="n">
        <v>0.922423305042461</v>
      </c>
      <c r="X57" s="41" t="n">
        <v>0.0720242096600293</v>
      </c>
      <c r="Y57" s="41" t="n">
        <v>1.24743368296799</v>
      </c>
      <c r="Z57" s="41" t="n">
        <v>1.24743368296799</v>
      </c>
      <c r="AA57" s="319" t="n">
        <v>0.136947753486726</v>
      </c>
    </row>
    <row r="58" customFormat="false" ht="12" hidden="false" customHeight="true" outlineLevel="0" collapsed="false">
      <c r="A58" s="317" t="s">
        <v>699</v>
      </c>
      <c r="B58" s="10" t="n">
        <v>508</v>
      </c>
      <c r="C58" s="41" t="n">
        <v>-0.0090040625</v>
      </c>
      <c r="D58" s="41" t="n">
        <v>0.0401230588641941</v>
      </c>
      <c r="E58" s="41" t="n">
        <v>0.0821906492416496</v>
      </c>
      <c r="F58" s="41" t="n">
        <v>0.259316195156143</v>
      </c>
      <c r="G58" s="318" t="n">
        <v>1.06411916950352</v>
      </c>
      <c r="H58" s="318" t="n">
        <v>1.4085665192826</v>
      </c>
      <c r="I58" s="41" t="n">
        <v>0.106249410891664</v>
      </c>
      <c r="J58" s="41" t="n">
        <v>0.449673037548957</v>
      </c>
      <c r="K58" s="41" t="n">
        <v>0.045</v>
      </c>
      <c r="L58" s="41" t="n">
        <v>0.358278613679815</v>
      </c>
      <c r="M58" s="41" t="n">
        <v>0.0801615647014864</v>
      </c>
      <c r="N58" s="318" t="n">
        <v>2.24174453959437</v>
      </c>
      <c r="O58" s="318" t="n">
        <v>0.738899075032928</v>
      </c>
      <c r="P58" s="318" t="n">
        <v>9.450976485239</v>
      </c>
      <c r="Q58" s="318" t="n">
        <v>17.8272796202009</v>
      </c>
      <c r="R58" s="318" t="n">
        <v>1.42675616789509</v>
      </c>
      <c r="S58" s="318" t="n">
        <v>32.9717143397564</v>
      </c>
      <c r="T58" s="41" t="n">
        <v>0.0573752182693294</v>
      </c>
      <c r="U58" s="41" t="n">
        <v>0.0424379715710636</v>
      </c>
      <c r="V58" s="41" t="n">
        <v>0.0227122630788817</v>
      </c>
      <c r="W58" s="41" t="n">
        <v>0.699982672346447</v>
      </c>
      <c r="X58" s="41" t="n">
        <v>0.000145022841711534</v>
      </c>
      <c r="Y58" s="41" t="n">
        <v>0.00635208563114577</v>
      </c>
      <c r="Z58" s="41" t="n">
        <v>0.00635208563114575</v>
      </c>
      <c r="AA58" s="319" t="n">
        <v>0.0408812530515591</v>
      </c>
    </row>
    <row r="59" customFormat="false" ht="12" hidden="false" customHeight="true" outlineLevel="0" collapsed="false">
      <c r="A59" s="317" t="s">
        <v>700</v>
      </c>
      <c r="B59" s="10" t="n">
        <v>400</v>
      </c>
      <c r="C59" s="41" t="n">
        <v>0.058877880794702</v>
      </c>
      <c r="D59" s="41" t="n">
        <v>0.0894635406950193</v>
      </c>
      <c r="E59" s="41" t="n">
        <v>0.116741901309753</v>
      </c>
      <c r="F59" s="41" t="n">
        <v>0.229583408082826</v>
      </c>
      <c r="G59" s="318" t="n">
        <v>0.607320943408075</v>
      </c>
      <c r="H59" s="318" t="n">
        <v>0.816899282265485</v>
      </c>
      <c r="I59" s="41" t="n">
        <v>0.069684375644007</v>
      </c>
      <c r="J59" s="41" t="n">
        <v>0.354071181777159</v>
      </c>
      <c r="K59" s="41" t="n">
        <v>0.041</v>
      </c>
      <c r="L59" s="41" t="n">
        <v>0.354223845670922</v>
      </c>
      <c r="M59" s="41" t="n">
        <v>0.055791229130883</v>
      </c>
      <c r="N59" s="318" t="n">
        <v>1.55091052523627</v>
      </c>
      <c r="O59" s="318" t="n">
        <v>1.43056439922756</v>
      </c>
      <c r="P59" s="318" t="n">
        <v>9.32872068104767</v>
      </c>
      <c r="Q59" s="318" t="n">
        <v>15.5781787434218</v>
      </c>
      <c r="R59" s="318" t="n">
        <v>2.24399035318046</v>
      </c>
      <c r="S59" s="318" t="n">
        <v>31.0357550257852</v>
      </c>
      <c r="T59" s="41" t="n">
        <v>0.138297179661251</v>
      </c>
      <c r="U59" s="41" t="n">
        <v>0.0595093996578671</v>
      </c>
      <c r="V59" s="41" t="n">
        <v>0.0849773059881626</v>
      </c>
      <c r="W59" s="41" t="n">
        <v>1.24232578357791</v>
      </c>
      <c r="X59" s="41" t="n">
        <v>0.0991977949667574</v>
      </c>
      <c r="Y59" s="41" t="n">
        <v>0.524423698781775</v>
      </c>
      <c r="Z59" s="41" t="n">
        <v>0.524423698781775</v>
      </c>
      <c r="AA59" s="319" t="n">
        <v>0.09139948472674</v>
      </c>
    </row>
    <row r="60" customFormat="false" ht="12" hidden="false" customHeight="true" outlineLevel="0" collapsed="false">
      <c r="A60" s="317" t="s">
        <v>701</v>
      </c>
      <c r="B60" s="10" t="n">
        <v>279</v>
      </c>
      <c r="C60" s="41" t="n">
        <v>0.0651504054054054</v>
      </c>
      <c r="D60" s="41" t="n">
        <v>0.0767269222321648</v>
      </c>
      <c r="E60" s="41" t="n">
        <v>0.0650638607288563</v>
      </c>
      <c r="F60" s="41" t="n">
        <v>0.219117513886854</v>
      </c>
      <c r="G60" s="318" t="n">
        <v>0.740905641852913</v>
      </c>
      <c r="H60" s="318" t="n">
        <v>1.02671138241029</v>
      </c>
      <c r="I60" s="41" t="n">
        <v>0.082650763432956</v>
      </c>
      <c r="J60" s="41" t="n">
        <v>0.353461096337252</v>
      </c>
      <c r="K60" s="41" t="n">
        <v>0.041</v>
      </c>
      <c r="L60" s="41" t="n">
        <v>0.397312515342612</v>
      </c>
      <c r="M60" s="41" t="n">
        <v>0.0619159118733031</v>
      </c>
      <c r="N60" s="318" t="n">
        <v>0.980192746753029</v>
      </c>
      <c r="O60" s="318" t="n">
        <v>1.30406433179265</v>
      </c>
      <c r="P60" s="318" t="n">
        <v>9.42369828821916</v>
      </c>
      <c r="Q60" s="318" t="n">
        <v>16.7255533244977</v>
      </c>
      <c r="R60" s="318" t="n">
        <v>1.26831128736268</v>
      </c>
      <c r="S60" s="318" t="n">
        <v>31.8590427958056</v>
      </c>
      <c r="T60" s="41" t="n">
        <v>0.187927923472435</v>
      </c>
      <c r="U60" s="41" t="n">
        <v>0.0688009493654385</v>
      </c>
      <c r="V60" s="41" t="n">
        <v>0.0681585838277014</v>
      </c>
      <c r="W60" s="41" t="n">
        <v>1.23221558738741</v>
      </c>
      <c r="X60" s="41" t="n">
        <v>0.0543215720759952</v>
      </c>
      <c r="Y60" s="41" t="n">
        <v>0.725484309355177</v>
      </c>
      <c r="Z60" s="41" t="n">
        <v>0.725484309355177</v>
      </c>
      <c r="AA60" s="319" t="n">
        <v>0.0771674831911098</v>
      </c>
    </row>
    <row r="61" customFormat="false" ht="12" hidden="false" customHeight="true" outlineLevel="0" collapsed="false">
      <c r="A61" s="317" t="s">
        <v>702</v>
      </c>
      <c r="B61" s="10" t="n">
        <v>538</v>
      </c>
      <c r="C61" s="41" t="n">
        <v>0.0697159027777778</v>
      </c>
      <c r="D61" s="41" t="n">
        <v>0.126201945434601</v>
      </c>
      <c r="E61" s="41" t="n">
        <v>0.0616863296449616</v>
      </c>
      <c r="F61" s="41" t="n">
        <v>0.194657009652609</v>
      </c>
      <c r="G61" s="318" t="n">
        <v>0.505060498621631</v>
      </c>
      <c r="H61" s="318" t="n">
        <v>0.824737367053647</v>
      </c>
      <c r="I61" s="41" t="n">
        <v>0.0701687692839154</v>
      </c>
      <c r="J61" s="41" t="n">
        <v>0.265971667963361</v>
      </c>
      <c r="K61" s="41" t="n">
        <v>0.041</v>
      </c>
      <c r="L61" s="41" t="n">
        <v>0.486346155602085</v>
      </c>
      <c r="M61" s="41" t="n">
        <v>0.0508580210374598</v>
      </c>
      <c r="N61" s="318" t="n">
        <v>0.602797998199302</v>
      </c>
      <c r="O61" s="318" t="n">
        <v>2.25422149571604</v>
      </c>
      <c r="P61" s="318" t="n">
        <v>9.68069212481232</v>
      </c>
      <c r="Q61" s="318" t="n">
        <v>17.8448141364673</v>
      </c>
      <c r="R61" s="318" t="n">
        <v>1.33002264227086</v>
      </c>
      <c r="S61" s="318" t="n">
        <v>29.2909182857521</v>
      </c>
      <c r="T61" s="41" t="n">
        <v>0.0145840689589735</v>
      </c>
      <c r="U61" s="41" t="n">
        <v>0.159029335325282</v>
      </c>
      <c r="V61" s="41" t="n">
        <v>0.0823772076297145</v>
      </c>
      <c r="W61" s="41" t="n">
        <v>0.91175141853004</v>
      </c>
      <c r="X61" s="41" t="n">
        <v>0.0785676753046074</v>
      </c>
      <c r="Y61" s="41" t="n">
        <v>0.689656884501097</v>
      </c>
      <c r="Z61" s="41" t="n">
        <v>0.689656884501097</v>
      </c>
      <c r="AA61" s="319" t="n">
        <v>0.124406597691515</v>
      </c>
    </row>
    <row r="62" customFormat="false" ht="12" hidden="false" customHeight="true" outlineLevel="0" collapsed="false">
      <c r="A62" s="317" t="s">
        <v>703</v>
      </c>
      <c r="B62" s="10" t="n">
        <v>844</v>
      </c>
      <c r="C62" s="41" t="n">
        <v>0.185594618834081</v>
      </c>
      <c r="D62" s="41" t="n">
        <v>0.0971116994912822</v>
      </c>
      <c r="E62" s="41" t="n">
        <v>0.068051884610603</v>
      </c>
      <c r="F62" s="41" t="n">
        <v>0.343212320516566</v>
      </c>
      <c r="G62" s="318" t="n">
        <v>0.998343204677557</v>
      </c>
      <c r="H62" s="318" t="n">
        <v>1.07644916939118</v>
      </c>
      <c r="I62" s="41" t="n">
        <v>0.0857245586683751</v>
      </c>
      <c r="J62" s="41" t="n">
        <v>0.813689701902608</v>
      </c>
      <c r="K62" s="41" t="n">
        <v>0.0775</v>
      </c>
      <c r="L62" s="41" t="n">
        <v>0.160009924720755</v>
      </c>
      <c r="M62" s="41" t="n">
        <v>0.0812215499793613</v>
      </c>
      <c r="N62" s="318" t="n">
        <v>0.716402693063831</v>
      </c>
      <c r="O62" s="318" t="n">
        <v>3.13654165331937</v>
      </c>
      <c r="P62" s="318" t="n">
        <v>10.9999626702676</v>
      </c>
      <c r="Q62" s="318" t="n">
        <v>29.8107122923587</v>
      </c>
      <c r="R62" s="318" t="n">
        <v>2.04002989834998</v>
      </c>
      <c r="S62" s="318" t="n">
        <v>75.4068259304464</v>
      </c>
      <c r="T62" s="41" t="n">
        <v>0.122998085812222</v>
      </c>
      <c r="U62" s="41" t="n">
        <v>0.17407606199605</v>
      </c>
      <c r="V62" s="41" t="n">
        <v>0.0751072597718471</v>
      </c>
      <c r="W62" s="41" t="n">
        <v>1.68895080491678</v>
      </c>
      <c r="X62" s="41" t="n">
        <v>0.0355967319251678</v>
      </c>
      <c r="Y62" s="41" t="n">
        <v>1.00124168372784</v>
      </c>
      <c r="Z62" s="41" t="n">
        <v>1.00124168372784</v>
      </c>
      <c r="AA62" s="319" t="n">
        <v>0.0987733826897146</v>
      </c>
    </row>
    <row r="63" customFormat="false" ht="12" hidden="false" customHeight="true" outlineLevel="0" collapsed="false">
      <c r="A63" s="317" t="s">
        <v>704</v>
      </c>
      <c r="B63" s="10" t="n">
        <v>352</v>
      </c>
      <c r="C63" s="41" t="n">
        <v>0.00961529644268776</v>
      </c>
      <c r="D63" s="41" t="n">
        <v>0.0594566586457401</v>
      </c>
      <c r="E63" s="41" t="n">
        <v>0.0724248633313697</v>
      </c>
      <c r="F63" s="41" t="n">
        <v>0.241971544703854</v>
      </c>
      <c r="G63" s="318" t="n">
        <v>0.852021746095523</v>
      </c>
      <c r="H63" s="318" t="n">
        <v>0.956618845957071</v>
      </c>
      <c r="I63" s="41" t="n">
        <v>0.078319044680147</v>
      </c>
      <c r="J63" s="41" t="n">
        <v>0.379462342487095</v>
      </c>
      <c r="K63" s="41" t="n">
        <v>0.041</v>
      </c>
      <c r="L63" s="41" t="n">
        <v>0.284801119681841</v>
      </c>
      <c r="M63" s="41" t="n">
        <v>0.0646895895716969</v>
      </c>
      <c r="N63" s="318" t="n">
        <v>1.46192591130467</v>
      </c>
      <c r="O63" s="318" t="n">
        <v>1.21774769819608</v>
      </c>
      <c r="P63" s="318" t="n">
        <v>10.0725013454049</v>
      </c>
      <c r="Q63" s="318" t="n">
        <v>19.7653949678849</v>
      </c>
      <c r="R63" s="318" t="n">
        <v>1.43820629801952</v>
      </c>
      <c r="S63" s="318" t="n">
        <v>88.4911857942591</v>
      </c>
      <c r="T63" s="41" t="n">
        <v>0.125080620813415</v>
      </c>
      <c r="U63" s="41" t="n">
        <v>0.0354172814659721</v>
      </c>
      <c r="V63" s="41" t="n">
        <v>0.0185128730412206</v>
      </c>
      <c r="W63" s="41" t="n">
        <v>0.376108897150567</v>
      </c>
      <c r="X63" s="41" t="n">
        <v>0.0279242177711037</v>
      </c>
      <c r="Y63" s="41" t="n">
        <v>1.26544565586237</v>
      </c>
      <c r="Z63" s="41" t="n">
        <v>1.26544565586237</v>
      </c>
      <c r="AA63" s="319" t="n">
        <v>0.0583544755489608</v>
      </c>
    </row>
    <row r="64" customFormat="false" ht="12" hidden="false" customHeight="true" outlineLevel="0" collapsed="false">
      <c r="A64" s="317" t="s">
        <v>705</v>
      </c>
      <c r="B64" s="10" t="n">
        <v>753</v>
      </c>
      <c r="C64" s="41" t="n">
        <v>0.112832827868853</v>
      </c>
      <c r="D64" s="41" t="n">
        <v>0.359936276200127</v>
      </c>
      <c r="E64" s="41" t="n">
        <v>0.0348266244716849</v>
      </c>
      <c r="F64" s="41" t="n">
        <v>0.0337310996253566</v>
      </c>
      <c r="G64" s="318" t="n">
        <v>0.345237460974701</v>
      </c>
      <c r="H64" s="318" t="n">
        <v>0.532484960284419</v>
      </c>
      <c r="I64" s="41" t="n">
        <v>0.0521075705455771</v>
      </c>
      <c r="J64" s="41" t="n">
        <v>0.185366288162405</v>
      </c>
      <c r="K64" s="41" t="n">
        <v>0.0355</v>
      </c>
      <c r="L64" s="41" t="n">
        <v>0.434831353180881</v>
      </c>
      <c r="M64" s="41" t="n">
        <v>0.0409188943214511</v>
      </c>
      <c r="N64" s="318" t="n">
        <v>0.108241900988089</v>
      </c>
      <c r="O64" s="318" t="n">
        <v>13.7767081023741</v>
      </c>
      <c r="P64" s="318" t="n">
        <v>23.0583778135863</v>
      </c>
      <c r="Q64" s="318" t="n">
        <v>36.5739473202831</v>
      </c>
      <c r="R64" s="318" t="n">
        <v>1.67495905635878</v>
      </c>
      <c r="S64" s="318" t="n">
        <v>65.4753951300648</v>
      </c>
      <c r="T64" s="41" t="n">
        <v>0.668928640208782</v>
      </c>
      <c r="U64" s="41" t="n">
        <v>0.0629528912453662</v>
      </c>
      <c r="V64" s="41" t="n">
        <v>0.0165110846510543</v>
      </c>
      <c r="W64" s="41" t="n">
        <v>0.0561104326926319</v>
      </c>
      <c r="X64" s="41" t="n">
        <v>0.061141466146403</v>
      </c>
      <c r="Y64" s="41" t="n">
        <v>1.18693963883105</v>
      </c>
      <c r="Z64" s="41" t="n">
        <v>1.18693963883105</v>
      </c>
      <c r="AA64" s="319" t="n">
        <v>0.331095700386506</v>
      </c>
    </row>
    <row r="65" customFormat="false" ht="12" hidden="false" customHeight="true" outlineLevel="0" collapsed="false">
      <c r="A65" s="317" t="s">
        <v>706</v>
      </c>
      <c r="B65" s="10" t="n">
        <v>842</v>
      </c>
      <c r="C65" s="41" t="n">
        <v>0.120977990033223</v>
      </c>
      <c r="D65" s="41" t="n">
        <v>0.20383784791337</v>
      </c>
      <c r="E65" s="41" t="n">
        <v>0.0910698378476801</v>
      </c>
      <c r="F65" s="41" t="n">
        <v>0.35445661869594</v>
      </c>
      <c r="G65" s="318" t="n">
        <v>0.635863302203014</v>
      </c>
      <c r="H65" s="318" t="n">
        <v>1.07523658721165</v>
      </c>
      <c r="I65" s="41" t="n">
        <v>0.0856496210896802</v>
      </c>
      <c r="J65" s="41" t="n">
        <v>0.330366992514427</v>
      </c>
      <c r="K65" s="41" t="n">
        <v>0.041</v>
      </c>
      <c r="L65" s="41" t="n">
        <v>0.600167943273754</v>
      </c>
      <c r="M65" s="41" t="n">
        <v>0.0525283802140588</v>
      </c>
      <c r="N65" s="318" t="n">
        <v>0.545839796797999</v>
      </c>
      <c r="O65" s="318" t="n">
        <v>2.1019458364158</v>
      </c>
      <c r="P65" s="318" t="n">
        <v>9.45223894577864</v>
      </c>
      <c r="Q65" s="318" t="n">
        <v>10.1080211356183</v>
      </c>
      <c r="R65" s="318" t="n">
        <v>0.855520482077047</v>
      </c>
      <c r="S65" s="318" t="n">
        <v>48.4906552773729</v>
      </c>
      <c r="T65" s="41" t="n">
        <v>1.61310763440361</v>
      </c>
      <c r="U65" s="41" t="n">
        <v>0.0290869031503927</v>
      </c>
      <c r="V65" s="41" t="n">
        <v>0.048785443080569</v>
      </c>
      <c r="W65" s="41" t="n">
        <v>1.33773061875401</v>
      </c>
      <c r="X65" s="41" t="n">
        <v>0.128254947823024</v>
      </c>
      <c r="Y65" s="41" t="n">
        <v>0.570203196140288</v>
      </c>
      <c r="Z65" s="41" t="n">
        <v>0.570203196140288</v>
      </c>
      <c r="AA65" s="319" t="n">
        <v>0.203296922020953</v>
      </c>
    </row>
    <row r="66" customFormat="false" ht="12" hidden="false" customHeight="true" outlineLevel="0" collapsed="false">
      <c r="A66" s="317" t="s">
        <v>707</v>
      </c>
      <c r="B66" s="10" t="n">
        <v>383</v>
      </c>
      <c r="C66" s="41" t="n">
        <v>0.0863011419753087</v>
      </c>
      <c r="D66" s="41" t="n">
        <v>0.198321644547549</v>
      </c>
      <c r="E66" s="41" t="n">
        <v>0.048869941498555</v>
      </c>
      <c r="F66" s="41" t="n">
        <v>0.226692909648555</v>
      </c>
      <c r="G66" s="318" t="n">
        <v>0.642276238336999</v>
      </c>
      <c r="H66" s="318" t="n">
        <v>1.01207094734056</v>
      </c>
      <c r="I66" s="41" t="n">
        <v>0.0817459845456467</v>
      </c>
      <c r="J66" s="41" t="n">
        <v>0.299014715346485</v>
      </c>
      <c r="K66" s="41" t="n">
        <v>0.041</v>
      </c>
      <c r="L66" s="41" t="n">
        <v>0.494871604444061</v>
      </c>
      <c r="M66" s="41" t="n">
        <v>0.0563674917028626</v>
      </c>
      <c r="N66" s="318" t="n">
        <v>0.289381596913554</v>
      </c>
      <c r="O66" s="318" t="n">
        <v>3.4326594185487</v>
      </c>
      <c r="P66" s="318" t="n">
        <v>12.7858234165299</v>
      </c>
      <c r="Q66" s="318" t="n">
        <v>16.8720060660243</v>
      </c>
      <c r="R66" s="318" t="n">
        <v>0.725061172473921</v>
      </c>
      <c r="S66" s="318" t="n">
        <v>39.257621050359</v>
      </c>
      <c r="T66" s="41" t="n">
        <v>0.843164701001477</v>
      </c>
      <c r="U66" s="41" t="n">
        <v>0.0866746287703168</v>
      </c>
      <c r="V66" s="41" t="n">
        <v>0.102738357131299</v>
      </c>
      <c r="W66" s="41" t="n">
        <v>1.30724684231107</v>
      </c>
      <c r="X66" s="41" t="n">
        <v>0.0765584168893692</v>
      </c>
      <c r="Y66" s="41" t="n">
        <v>0.40857436301904</v>
      </c>
      <c r="Z66" s="41" t="n">
        <v>0.40857436301904</v>
      </c>
      <c r="AA66" s="319" t="n">
        <v>0.198686735684508</v>
      </c>
    </row>
    <row r="67" customFormat="false" ht="12" hidden="false" customHeight="true" outlineLevel="0" collapsed="false">
      <c r="A67" s="317" t="s">
        <v>708</v>
      </c>
      <c r="B67" s="10" t="n">
        <v>691</v>
      </c>
      <c r="C67" s="41" t="n">
        <v>0.0788038377192982</v>
      </c>
      <c r="D67" s="41" t="n">
        <v>0.22999468418293</v>
      </c>
      <c r="E67" s="41" t="n">
        <v>0.0411978960797652</v>
      </c>
      <c r="F67" s="41" t="n">
        <v>0.204950011269351</v>
      </c>
      <c r="G67" s="318" t="n">
        <v>0.493779061353953</v>
      </c>
      <c r="H67" s="318" t="n">
        <v>0.715896185660655</v>
      </c>
      <c r="I67" s="41" t="n">
        <v>0.0634423842738285</v>
      </c>
      <c r="J67" s="41" t="n">
        <v>0.315706631475087</v>
      </c>
      <c r="K67" s="41" t="n">
        <v>0.041</v>
      </c>
      <c r="L67" s="41" t="n">
        <v>0.419557178483924</v>
      </c>
      <c r="M67" s="41" t="n">
        <v>0.0496056468597639</v>
      </c>
      <c r="N67" s="318" t="n">
        <v>0.207138358336714</v>
      </c>
      <c r="O67" s="318" t="n">
        <v>5.63513912726362</v>
      </c>
      <c r="P67" s="318" t="n">
        <v>17.0155832186791</v>
      </c>
      <c r="Q67" s="318" t="n">
        <v>23.004922082382</v>
      </c>
      <c r="R67" s="318" t="n">
        <v>1.00994847800012</v>
      </c>
      <c r="S67" s="318" t="n">
        <v>429.933538244872</v>
      </c>
      <c r="T67" s="41" t="n">
        <v>0.210150444617197</v>
      </c>
      <c r="U67" s="41" t="n">
        <v>0.0466038364662519</v>
      </c>
      <c r="V67" s="41" t="n">
        <v>0.0457013512433397</v>
      </c>
      <c r="W67" s="41" t="n">
        <v>0.368862031890406</v>
      </c>
      <c r="X67" s="41" t="n">
        <v>0.0811435077163428</v>
      </c>
      <c r="Y67" s="41" t="n">
        <v>0.302054668682853</v>
      </c>
      <c r="Z67" s="41" t="n">
        <v>0.302054668682853</v>
      </c>
      <c r="AA67" s="319" t="n">
        <v>0.232174003563672</v>
      </c>
    </row>
    <row r="68" customFormat="false" ht="12" hidden="false" customHeight="true" outlineLevel="0" collapsed="false">
      <c r="A68" s="317" t="s">
        <v>709</v>
      </c>
      <c r="B68" s="10" t="n">
        <v>315</v>
      </c>
      <c r="C68" s="41" t="n">
        <v>0.0387552073732719</v>
      </c>
      <c r="D68" s="41" t="n">
        <v>0.110422748374292</v>
      </c>
      <c r="E68" s="41" t="n">
        <v>0.100892216733154</v>
      </c>
      <c r="F68" s="41" t="n">
        <v>0.253239887989415</v>
      </c>
      <c r="G68" s="318" t="n">
        <v>0.838213377878997</v>
      </c>
      <c r="H68" s="318" t="n">
        <v>0.924366597869494</v>
      </c>
      <c r="I68" s="41" t="n">
        <v>0.0763258557483347</v>
      </c>
      <c r="J68" s="41" t="n">
        <v>0.377239688889755</v>
      </c>
      <c r="K68" s="41" t="n">
        <v>0.041</v>
      </c>
      <c r="L68" s="41" t="n">
        <v>0.219586710362742</v>
      </c>
      <c r="M68" s="41" t="n">
        <v>0.0662549821267169</v>
      </c>
      <c r="N68" s="318" t="n">
        <v>1.07376375090415</v>
      </c>
      <c r="O68" s="318" t="n">
        <v>2.51413894275949</v>
      </c>
      <c r="P68" s="318" t="n">
        <v>13.3588375594779</v>
      </c>
      <c r="Q68" s="318" t="n">
        <v>21.6785830786061</v>
      </c>
      <c r="R68" s="318" t="n">
        <v>2.969366073041</v>
      </c>
      <c r="S68" s="318" t="n">
        <v>40.7293717799504</v>
      </c>
      <c r="T68" s="41" t="n">
        <v>0.229001945881912</v>
      </c>
      <c r="U68" s="41" t="n">
        <v>0.0619002295300417</v>
      </c>
      <c r="V68" s="41" t="n">
        <v>0.0392036451684668</v>
      </c>
      <c r="W68" s="41" t="n">
        <v>0.953645098343688</v>
      </c>
      <c r="X68" s="41" t="n">
        <v>0.0768217317709489</v>
      </c>
      <c r="Y68" s="41" t="n">
        <v>0.661962659115227</v>
      </c>
      <c r="Z68" s="41" t="n">
        <v>0.661962659115227</v>
      </c>
      <c r="AA68" s="319" t="n">
        <v>0.110288144427693</v>
      </c>
    </row>
    <row r="69" customFormat="false" ht="12" hidden="false" customHeight="true" outlineLevel="0" collapsed="false">
      <c r="A69" s="317" t="s">
        <v>710</v>
      </c>
      <c r="B69" s="10" t="n">
        <v>34</v>
      </c>
      <c r="C69" s="41" t="n">
        <v>0.0468125925925926</v>
      </c>
      <c r="D69" s="41" t="n">
        <v>0.0589888174713216</v>
      </c>
      <c r="E69" s="41" t="n">
        <v>0.076319754696813</v>
      </c>
      <c r="F69" s="41" t="n">
        <v>0.176817430153106</v>
      </c>
      <c r="G69" s="318" t="n">
        <v>0.919903707029253</v>
      </c>
      <c r="H69" s="318" t="n">
        <v>0.949214676475434</v>
      </c>
      <c r="I69" s="41" t="n">
        <v>0.0778614670061818</v>
      </c>
      <c r="J69" s="41" t="n">
        <v>0.23606953816564</v>
      </c>
      <c r="K69" s="41" t="n">
        <v>0.0355</v>
      </c>
      <c r="L69" s="41" t="n">
        <v>0.191098880736668</v>
      </c>
      <c r="M69" s="41" t="n">
        <v>0.0680227474365362</v>
      </c>
      <c r="N69" s="318" t="n">
        <v>1.49072884807126</v>
      </c>
      <c r="O69" s="318" t="n">
        <v>0.878993998886024</v>
      </c>
      <c r="P69" s="318" t="n">
        <v>13.2190969550758</v>
      </c>
      <c r="Q69" s="318" t="n">
        <v>14.8440590077673</v>
      </c>
      <c r="R69" s="318" t="n">
        <v>1.11493841378289</v>
      </c>
      <c r="S69" s="318" t="n">
        <v>19.60975216985</v>
      </c>
      <c r="T69" s="41" t="n">
        <v>-0.45514124283522</v>
      </c>
      <c r="U69" s="41" t="n">
        <v>0.00437726308484834</v>
      </c>
      <c r="V69" s="41" t="n">
        <v>0.00686545405662429</v>
      </c>
      <c r="W69" s="41" t="n">
        <v>0.278235606830798</v>
      </c>
      <c r="X69" s="41" t="n">
        <v>0.0611658531510609</v>
      </c>
      <c r="Y69" s="41" t="n">
        <v>0.590328811202473</v>
      </c>
      <c r="Z69" s="41" t="n">
        <v>0.590328811202473</v>
      </c>
      <c r="AA69" s="319" t="n">
        <v>0.058945730557045</v>
      </c>
    </row>
    <row r="70" customFormat="false" ht="12" hidden="false" customHeight="true" outlineLevel="0" collapsed="false">
      <c r="A70" s="317" t="s">
        <v>711</v>
      </c>
      <c r="B70" s="10" t="n">
        <v>376</v>
      </c>
      <c r="C70" s="41" t="n">
        <v>0.066971</v>
      </c>
      <c r="D70" s="41" t="n">
        <v>0.109783829253219</v>
      </c>
      <c r="E70" s="41" t="n">
        <v>0.153008386090335</v>
      </c>
      <c r="F70" s="41" t="n">
        <v>0.224319692333252</v>
      </c>
      <c r="G70" s="318" t="n">
        <v>0.66720034509729</v>
      </c>
      <c r="H70" s="318" t="n">
        <v>0.847204818580241</v>
      </c>
      <c r="I70" s="41" t="n">
        <v>0.0715572577882589</v>
      </c>
      <c r="J70" s="41" t="n">
        <v>0.343997774634181</v>
      </c>
      <c r="K70" s="41" t="n">
        <v>0.041</v>
      </c>
      <c r="L70" s="41" t="n">
        <v>0.293362662707348</v>
      </c>
      <c r="M70" s="41" t="n">
        <v>0.0595017369015131</v>
      </c>
      <c r="N70" s="318" t="n">
        <v>1.82525178380779</v>
      </c>
      <c r="O70" s="318" t="n">
        <v>2.78011879995958</v>
      </c>
      <c r="P70" s="318" t="n">
        <v>14.9862115493851</v>
      </c>
      <c r="Q70" s="318" t="n">
        <v>27.4601906143226</v>
      </c>
      <c r="R70" s="318" t="n">
        <v>13.2507072271077</v>
      </c>
      <c r="S70" s="318" t="n">
        <v>75.3650617939992</v>
      </c>
      <c r="T70" s="41" t="n">
        <v>-0.015110628531521</v>
      </c>
      <c r="U70" s="41" t="n">
        <v>0.0486120710295573</v>
      </c>
      <c r="V70" s="41" t="n">
        <v>0.0230438847855583</v>
      </c>
      <c r="W70" s="41" t="n">
        <v>0.328716819911436</v>
      </c>
      <c r="X70" s="41" t="n">
        <v>0.421042533851292</v>
      </c>
      <c r="Y70" s="41" t="n">
        <v>0.528501552146407</v>
      </c>
      <c r="Z70" s="41" t="n">
        <v>0.528501552146407</v>
      </c>
      <c r="AA70" s="319" t="n">
        <v>0.100749552933838</v>
      </c>
    </row>
    <row r="71" customFormat="false" ht="12" hidden="false" customHeight="true" outlineLevel="0" collapsed="false">
      <c r="A71" s="317" t="s">
        <v>712</v>
      </c>
      <c r="B71" s="10" t="n">
        <v>184</v>
      </c>
      <c r="C71" s="41" t="n">
        <v>0.0815734328358209</v>
      </c>
      <c r="D71" s="41" t="n">
        <v>0.0428593703775923</v>
      </c>
      <c r="E71" s="41" t="n">
        <v>0.0787349372126706</v>
      </c>
      <c r="F71" s="41" t="n">
        <v>0.250182405543279</v>
      </c>
      <c r="G71" s="318" t="n">
        <v>0.662415782995188</v>
      </c>
      <c r="H71" s="318" t="n">
        <v>0.976746395864794</v>
      </c>
      <c r="I71" s="41" t="n">
        <v>0.0795629272644442</v>
      </c>
      <c r="J71" s="41" t="n">
        <v>0.344487688288766</v>
      </c>
      <c r="K71" s="41" t="n">
        <v>0.041</v>
      </c>
      <c r="L71" s="41" t="n">
        <v>0.421932122607576</v>
      </c>
      <c r="M71" s="41" t="n">
        <v>0.0588460907338797</v>
      </c>
      <c r="N71" s="318" t="n">
        <v>2.50740015330682</v>
      </c>
      <c r="O71" s="318" t="n">
        <v>0.855910388017031</v>
      </c>
      <c r="P71" s="318" t="n">
        <v>12.0864029630624</v>
      </c>
      <c r="Q71" s="318" t="n">
        <v>21.2710601824283</v>
      </c>
      <c r="R71" s="318" t="n">
        <v>3.08783394696725</v>
      </c>
      <c r="S71" s="318" t="n">
        <v>42.5236387387388</v>
      </c>
      <c r="T71" s="41" t="n">
        <v>0.11143248741714</v>
      </c>
      <c r="U71" s="41" t="n">
        <v>0.0250905314606492</v>
      </c>
      <c r="V71" s="41" t="n">
        <v>0.0180964197574752</v>
      </c>
      <c r="W71" s="41" t="n">
        <v>0.770435363242412</v>
      </c>
      <c r="X71" s="41" t="n">
        <v>0.148621183257009</v>
      </c>
      <c r="Y71" s="41" t="n">
        <v>0.34166447620702</v>
      </c>
      <c r="Z71" s="41" t="n">
        <v>0.34166447620702</v>
      </c>
      <c r="AA71" s="319" t="n">
        <v>0.0388306929388638</v>
      </c>
    </row>
    <row r="72" customFormat="false" ht="12" hidden="false" customHeight="true" outlineLevel="0" collapsed="false">
      <c r="A72" s="317" t="s">
        <v>713</v>
      </c>
      <c r="B72" s="10" t="n">
        <v>93</v>
      </c>
      <c r="C72" s="41" t="n">
        <v>0.0414171641791045</v>
      </c>
      <c r="D72" s="41" t="n">
        <v>0.0977604132342274</v>
      </c>
      <c r="E72" s="41" t="n">
        <v>0.190601889549448</v>
      </c>
      <c r="F72" s="41" t="n">
        <v>0.257022289023332</v>
      </c>
      <c r="G72" s="318" t="n">
        <v>0.902900939409838</v>
      </c>
      <c r="H72" s="318" t="n">
        <v>1.08260995550865</v>
      </c>
      <c r="I72" s="41" t="n">
        <v>0.0861052952504348</v>
      </c>
      <c r="J72" s="41" t="n">
        <v>0.363429682675988</v>
      </c>
      <c r="K72" s="41" t="n">
        <v>0.041</v>
      </c>
      <c r="L72" s="41" t="n">
        <v>0.230696136449429</v>
      </c>
      <c r="M72" s="41" t="n">
        <v>0.0732688327129811</v>
      </c>
      <c r="N72" s="318" t="n">
        <v>2.48651998949213</v>
      </c>
      <c r="O72" s="318" t="n">
        <v>1.79051206438417</v>
      </c>
      <c r="P72" s="318" t="n">
        <v>12.8813184670867</v>
      </c>
      <c r="Q72" s="318" t="n">
        <v>18.8661276462359</v>
      </c>
      <c r="R72" s="318" t="n">
        <v>9.45610975103039</v>
      </c>
      <c r="S72" s="318" t="n">
        <v>65.7665134914803</v>
      </c>
      <c r="T72" s="41" t="n">
        <v>0.080145611739527</v>
      </c>
      <c r="U72" s="41" t="n">
        <v>0.0242121879479071</v>
      </c>
      <c r="V72" s="41" t="n">
        <v>0.00649774244247698</v>
      </c>
      <c r="W72" s="41" t="n">
        <v>0.266198374023007</v>
      </c>
      <c r="X72" s="41" t="n">
        <v>0.329047083727063</v>
      </c>
      <c r="Y72" s="41" t="n">
        <v>0.54402651908042</v>
      </c>
      <c r="Z72" s="41" t="n">
        <v>0.54402651908042</v>
      </c>
      <c r="AA72" s="319" t="n">
        <v>0.0948782737046456</v>
      </c>
    </row>
    <row r="73" customFormat="false" ht="12" hidden="false" customHeight="true" outlineLevel="0" collapsed="false">
      <c r="A73" s="317" t="s">
        <v>714</v>
      </c>
      <c r="B73" s="10" t="n">
        <v>982</v>
      </c>
      <c r="C73" s="41" t="n">
        <v>0.115179929078014</v>
      </c>
      <c r="D73" s="41" t="n">
        <v>0.0410069189496859</v>
      </c>
      <c r="E73" s="41" t="n">
        <v>0.0679194588134527</v>
      </c>
      <c r="F73" s="41" t="n">
        <v>0.23332191516923</v>
      </c>
      <c r="G73" s="318" t="n">
        <v>0.600528706879599</v>
      </c>
      <c r="H73" s="318" t="n">
        <v>0.920393895056252</v>
      </c>
      <c r="I73" s="41" t="n">
        <v>0.0760803427144764</v>
      </c>
      <c r="J73" s="41" t="n">
        <v>0.360681733834692</v>
      </c>
      <c r="K73" s="41" t="n">
        <v>0.041</v>
      </c>
      <c r="L73" s="41" t="n">
        <v>0.477969631359246</v>
      </c>
      <c r="M73" s="41" t="n">
        <v>0.0542766382336497</v>
      </c>
      <c r="N73" s="318" t="n">
        <v>1.94368167916718</v>
      </c>
      <c r="O73" s="318" t="n">
        <v>0.719184061178718</v>
      </c>
      <c r="P73" s="318" t="n">
        <v>10.9006378975465</v>
      </c>
      <c r="Q73" s="318" t="n">
        <v>16.7149954198124</v>
      </c>
      <c r="R73" s="318" t="n">
        <v>1.28476103589442</v>
      </c>
      <c r="S73" s="318" t="n">
        <v>114.374937790634</v>
      </c>
      <c r="T73" s="41" t="n">
        <v>0.139430331410521</v>
      </c>
      <c r="U73" s="41" t="n">
        <v>0.0299565884575768</v>
      </c>
      <c r="V73" s="41" t="n">
        <v>0.0260478310860725</v>
      </c>
      <c r="W73" s="41" t="n">
        <v>0.469589647172043</v>
      </c>
      <c r="X73" s="41" t="n">
        <v>0.104368631633791</v>
      </c>
      <c r="Y73" s="41" t="n">
        <v>0.404663199444232</v>
      </c>
      <c r="Z73" s="41" t="n">
        <v>0.404663199444232</v>
      </c>
      <c r="AA73" s="319" t="n">
        <v>0.0421854954173496</v>
      </c>
    </row>
    <row r="74" customFormat="false" ht="12" hidden="false" customHeight="true" outlineLevel="0" collapsed="false">
      <c r="A74" s="317" t="s">
        <v>715</v>
      </c>
      <c r="B74" s="10" t="n">
        <v>210</v>
      </c>
      <c r="C74" s="41" t="n">
        <v>0.0156187640449438</v>
      </c>
      <c r="D74" s="41" t="n">
        <v>0.0429480833673614</v>
      </c>
      <c r="E74" s="41" t="n">
        <v>0.0836793715879061</v>
      </c>
      <c r="F74" s="41" t="n">
        <v>0.280048926840858</v>
      </c>
      <c r="G74" s="318" t="n">
        <v>0.855148319412282</v>
      </c>
      <c r="H74" s="318" t="n">
        <v>1.11939382858919</v>
      </c>
      <c r="I74" s="41" t="n">
        <v>0.0883785386068119</v>
      </c>
      <c r="J74" s="41" t="n">
        <v>0.291039239128371</v>
      </c>
      <c r="K74" s="41" t="n">
        <v>0.041</v>
      </c>
      <c r="L74" s="41" t="n">
        <v>0.334735592357782</v>
      </c>
      <c r="M74" s="41" t="n">
        <v>0.0689921464845407</v>
      </c>
      <c r="N74" s="318" t="n">
        <v>2.76378058180385</v>
      </c>
      <c r="O74" s="318" t="n">
        <v>0.909444489486866</v>
      </c>
      <c r="P74" s="318" t="n">
        <v>11.2177535736115</v>
      </c>
      <c r="Q74" s="318" t="n">
        <v>23.1882774709982</v>
      </c>
      <c r="R74" s="318" t="n">
        <v>2.85284671643668</v>
      </c>
      <c r="S74" s="318" t="n">
        <v>36.0102038467355</v>
      </c>
      <c r="T74" s="41" t="n">
        <v>-0.00425417122203882</v>
      </c>
      <c r="U74" s="41" t="n">
        <v>0.0287033346308669</v>
      </c>
      <c r="V74" s="41" t="n">
        <v>0.00742720747621555</v>
      </c>
      <c r="W74" s="41" t="n">
        <v>0.328913952059316</v>
      </c>
      <c r="X74" s="41" t="n">
        <v>0.114656931700883</v>
      </c>
      <c r="Y74" s="41" t="n">
        <v>0.501988995258101</v>
      </c>
      <c r="Z74" s="41" t="n">
        <v>0.501988995258101</v>
      </c>
      <c r="AA74" s="319" t="n">
        <v>0.0391293807313715</v>
      </c>
    </row>
    <row r="75" customFormat="false" ht="12" hidden="false" customHeight="true" outlineLevel="0" collapsed="false">
      <c r="A75" s="317" t="s">
        <v>716</v>
      </c>
      <c r="B75" s="10" t="n">
        <v>170</v>
      </c>
      <c r="C75" s="41" t="n">
        <v>0.03248</v>
      </c>
      <c r="D75" s="41" t="n">
        <v>0.0369109184713866</v>
      </c>
      <c r="E75" s="41" t="n">
        <v>0.0775601101621224</v>
      </c>
      <c r="F75" s="41" t="n">
        <v>0.268760737988963</v>
      </c>
      <c r="G75" s="318" t="n">
        <v>0.494937966636498</v>
      </c>
      <c r="H75" s="318" t="n">
        <v>0.727461093032988</v>
      </c>
      <c r="I75" s="41" t="n">
        <v>0.0641570955494387</v>
      </c>
      <c r="J75" s="41" t="n">
        <v>0.29305447069022</v>
      </c>
      <c r="K75" s="41" t="n">
        <v>0.041</v>
      </c>
      <c r="L75" s="41" t="n">
        <v>0.437502462585405</v>
      </c>
      <c r="M75" s="41" t="n">
        <v>0.0494158457719713</v>
      </c>
      <c r="N75" s="318" t="n">
        <v>3.02642465045317</v>
      </c>
      <c r="O75" s="318" t="n">
        <v>0.739937301790944</v>
      </c>
      <c r="P75" s="318" t="n">
        <v>9.47340428663345</v>
      </c>
      <c r="Q75" s="318" t="n">
        <v>22.4793285647282</v>
      </c>
      <c r="R75" s="318" t="n">
        <v>2.07178525317613</v>
      </c>
      <c r="S75" s="318" t="n">
        <v>243.188766043708</v>
      </c>
      <c r="T75" s="41" t="n">
        <v>-0.0382072075295926</v>
      </c>
      <c r="U75" s="41" t="n">
        <v>0.0285817246833859</v>
      </c>
      <c r="V75" s="41" t="n">
        <v>0.00761013563829897</v>
      </c>
      <c r="W75" s="41" t="n">
        <v>0.296593981741393</v>
      </c>
      <c r="X75" s="41" t="n">
        <v>0.101770003345787</v>
      </c>
      <c r="Y75" s="41" t="n">
        <v>0.567976902329824</v>
      </c>
      <c r="Z75" s="41" t="n">
        <v>0.567976902329824</v>
      </c>
      <c r="AA75" s="319" t="n">
        <v>0.0328763963066808</v>
      </c>
    </row>
    <row r="76" customFormat="false" ht="12" hidden="false" customHeight="true" outlineLevel="0" collapsed="false">
      <c r="A76" s="317" t="s">
        <v>717</v>
      </c>
      <c r="B76" s="10" t="n">
        <v>297</v>
      </c>
      <c r="C76" s="41" t="n">
        <v>0.144305617283951</v>
      </c>
      <c r="D76" s="41" t="n">
        <v>0.050639662415795</v>
      </c>
      <c r="E76" s="41" t="n">
        <v>0.0668641551403902</v>
      </c>
      <c r="F76" s="41" t="n">
        <v>0.135465893309304</v>
      </c>
      <c r="G76" s="318" t="n">
        <v>1.23210727956388</v>
      </c>
      <c r="H76" s="318" t="n">
        <v>1.28205108971259</v>
      </c>
      <c r="I76" s="41" t="n">
        <v>0.0984307573442379</v>
      </c>
      <c r="J76" s="41" t="n">
        <v>0.518707475603172</v>
      </c>
      <c r="K76" s="41" t="n">
        <v>0.045</v>
      </c>
      <c r="L76" s="41" t="n">
        <v>0.106347274547808</v>
      </c>
      <c r="M76" s="41" t="n">
        <v>0.0915186356935075</v>
      </c>
      <c r="N76" s="318" t="n">
        <v>1.58728368254195</v>
      </c>
      <c r="O76" s="318" t="n">
        <v>3.57833321939136</v>
      </c>
      <c r="P76" s="318" t="n">
        <v>23.7250969100779</v>
      </c>
      <c r="Q76" s="318" t="n">
        <v>63.8106731731029</v>
      </c>
      <c r="R76" s="318" t="n">
        <v>7.5126140375279</v>
      </c>
      <c r="S76" s="318" t="n">
        <v>82.7370471298442</v>
      </c>
      <c r="T76" s="41" t="n">
        <v>-0.0049729202525912</v>
      </c>
      <c r="U76" s="41" t="n">
        <v>0.0467001262508848</v>
      </c>
      <c r="V76" s="41" t="n">
        <v>0.00506890623214111</v>
      </c>
      <c r="W76" s="41" t="n">
        <v>0.662546064953672</v>
      </c>
      <c r="X76" s="41" t="n">
        <v>0.167478760299619</v>
      </c>
      <c r="Y76" s="41" t="n">
        <v>0.0895975890209139</v>
      </c>
      <c r="Z76" s="41" t="n">
        <v>0.0895975890209139</v>
      </c>
      <c r="AA76" s="319" t="n">
        <v>0.0478044964786682</v>
      </c>
    </row>
    <row r="77" customFormat="false" ht="12" hidden="false" customHeight="true" outlineLevel="0" collapsed="false">
      <c r="A77" s="317" t="s">
        <v>718</v>
      </c>
      <c r="B77" s="10" t="n">
        <v>479</v>
      </c>
      <c r="C77" s="41" t="n">
        <v>0.029680197740113</v>
      </c>
      <c r="D77" s="41" t="n">
        <v>0.0562634126066656</v>
      </c>
      <c r="E77" s="41" t="n">
        <v>0.119890007351197</v>
      </c>
      <c r="F77" s="41" t="n">
        <v>0.250904684798388</v>
      </c>
      <c r="G77" s="318" t="n">
        <v>0.748552841735843</v>
      </c>
      <c r="H77" s="318" t="n">
        <v>0.956785180506283</v>
      </c>
      <c r="I77" s="41" t="n">
        <v>0.0783293241552883</v>
      </c>
      <c r="J77" s="41" t="n">
        <v>0.375075040447862</v>
      </c>
      <c r="K77" s="41" t="n">
        <v>0.041</v>
      </c>
      <c r="L77" s="41" t="n">
        <v>0.32533774150408</v>
      </c>
      <c r="M77" s="41" t="n">
        <v>0.0627566023605046</v>
      </c>
      <c r="N77" s="318" t="n">
        <v>2.45914369380815</v>
      </c>
      <c r="O77" s="318" t="n">
        <v>1.18574385777802</v>
      </c>
      <c r="P77" s="318" t="n">
        <v>10.2976462072867</v>
      </c>
      <c r="Q77" s="318" t="n">
        <v>19.6956220410897</v>
      </c>
      <c r="R77" s="318" t="n">
        <v>3.34611987942397</v>
      </c>
      <c r="S77" s="318" t="n">
        <v>28.581629029155</v>
      </c>
      <c r="T77" s="41" t="n">
        <v>0.0748701209163208</v>
      </c>
      <c r="U77" s="41" t="n">
        <v>0.0219836230927944</v>
      </c>
      <c r="V77" s="41" t="n">
        <v>0.00332951313646914</v>
      </c>
      <c r="W77" s="41" t="n">
        <v>0.243330994087884</v>
      </c>
      <c r="X77" s="41" t="n">
        <v>0.141140309121424</v>
      </c>
      <c r="Y77" s="41" t="n">
        <v>0.414304330519179</v>
      </c>
      <c r="Z77" s="41" t="n">
        <v>0.414304330519179</v>
      </c>
      <c r="AA77" s="319" t="n">
        <v>0.0598784783006708</v>
      </c>
    </row>
    <row r="78" customFormat="false" ht="12" hidden="false" customHeight="true" outlineLevel="0" collapsed="false">
      <c r="A78" s="317" t="s">
        <v>719</v>
      </c>
      <c r="B78" s="10" t="n">
        <v>89</v>
      </c>
      <c r="C78" s="41" t="n">
        <v>0.00635611940298507</v>
      </c>
      <c r="D78" s="41" t="n">
        <v>0.0856938322748428</v>
      </c>
      <c r="E78" s="41" t="n">
        <v>0.0859912581595738</v>
      </c>
      <c r="F78" s="41" t="n">
        <v>0.256124820247535</v>
      </c>
      <c r="G78" s="318" t="n">
        <v>0.720967045618579</v>
      </c>
      <c r="H78" s="318" t="n">
        <v>0.936451101916089</v>
      </c>
      <c r="I78" s="41" t="n">
        <v>0.0770726780984143</v>
      </c>
      <c r="J78" s="41" t="n">
        <v>0.286247709398298</v>
      </c>
      <c r="K78" s="41" t="n">
        <v>0.041</v>
      </c>
      <c r="L78" s="41" t="n">
        <v>0.354240425524675</v>
      </c>
      <c r="M78" s="41" t="n">
        <v>0.0605616458952639</v>
      </c>
      <c r="N78" s="318" t="n">
        <v>1.16784281565017</v>
      </c>
      <c r="O78" s="318" t="n">
        <v>1.04321644696271</v>
      </c>
      <c r="P78" s="318" t="n">
        <v>6.63463274588746</v>
      </c>
      <c r="Q78" s="318" t="n">
        <v>11.7953043507292</v>
      </c>
      <c r="R78" s="318" t="n">
        <v>1.22774455036294</v>
      </c>
      <c r="S78" s="318" t="n">
        <v>44.0171957669286</v>
      </c>
      <c r="T78" s="41" t="n">
        <v>0.21234864710302</v>
      </c>
      <c r="U78" s="41" t="n">
        <v>0.0580714296304153</v>
      </c>
      <c r="V78" s="41" t="n">
        <v>0.033782704527026</v>
      </c>
      <c r="W78" s="41" t="n">
        <v>0.642920702777116</v>
      </c>
      <c r="X78" s="41" t="n">
        <v>0.0974564659132421</v>
      </c>
      <c r="Y78" s="41" t="n">
        <v>0.413624583367713</v>
      </c>
      <c r="Z78" s="41" t="n">
        <v>0.413624583367713</v>
      </c>
      <c r="AA78" s="319" t="n">
        <v>0.0883604888054035</v>
      </c>
    </row>
    <row r="79" customFormat="false" ht="12" hidden="false" customHeight="true" outlineLevel="0" collapsed="false">
      <c r="A79" s="317" t="s">
        <v>720</v>
      </c>
      <c r="B79" s="10" t="n">
        <v>542</v>
      </c>
      <c r="C79" s="41" t="n">
        <v>0.0434069575471698</v>
      </c>
      <c r="D79" s="41" t="n">
        <v>0.181876292908759</v>
      </c>
      <c r="E79" s="41" t="n">
        <v>0.126064897044335</v>
      </c>
      <c r="F79" s="41" t="n">
        <v>0.14516419296086</v>
      </c>
      <c r="G79" s="318" t="n">
        <v>1.5295820455596</v>
      </c>
      <c r="H79" s="318" t="n">
        <v>1.57034826289507</v>
      </c>
      <c r="I79" s="41" t="n">
        <v>0.116247522646915</v>
      </c>
      <c r="J79" s="41" t="n">
        <v>0.38894935732146</v>
      </c>
      <c r="K79" s="41" t="n">
        <v>0.041</v>
      </c>
      <c r="L79" s="41" t="n">
        <v>0.108412794172456</v>
      </c>
      <c r="M79" s="41" t="n">
        <v>0.106947382850013</v>
      </c>
      <c r="N79" s="318" t="n">
        <v>0.736143516866081</v>
      </c>
      <c r="O79" s="318" t="n">
        <v>4.38762096291445</v>
      </c>
      <c r="P79" s="318" t="n">
        <v>13.1088678503105</v>
      </c>
      <c r="Q79" s="318" t="n">
        <v>23.7120664089044</v>
      </c>
      <c r="R79" s="318" t="n">
        <v>3.85702091852643</v>
      </c>
      <c r="S79" s="318" t="n">
        <v>80.3209789433516</v>
      </c>
      <c r="T79" s="41" t="n">
        <v>0.170062082755362</v>
      </c>
      <c r="U79" s="41" t="n">
        <v>0.170689580735166</v>
      </c>
      <c r="V79" s="41" t="n">
        <v>0.13986113180716</v>
      </c>
      <c r="W79" s="41" t="n">
        <v>0.907499442755796</v>
      </c>
      <c r="X79" s="41" t="n">
        <v>0.145471543571309</v>
      </c>
      <c r="Y79" s="41" t="n">
        <v>0.486334491578942</v>
      </c>
      <c r="Z79" s="41" t="n">
        <v>0.486334491578942</v>
      </c>
      <c r="AA79" s="319" t="n">
        <v>0.189017068419106</v>
      </c>
    </row>
    <row r="80" customFormat="false" ht="12" hidden="false" customHeight="true" outlineLevel="0" collapsed="false">
      <c r="A80" s="317" t="s">
        <v>721</v>
      </c>
      <c r="B80" s="10" t="n">
        <v>291</v>
      </c>
      <c r="C80" s="41" t="n">
        <v>0.0626272682926829</v>
      </c>
      <c r="D80" s="41" t="n">
        <v>0.163410686011132</v>
      </c>
      <c r="E80" s="41" t="n">
        <v>0.150993710548324</v>
      </c>
      <c r="F80" s="41" t="n">
        <v>0.161554888729857</v>
      </c>
      <c r="G80" s="318" t="n">
        <v>1.82108062237263</v>
      </c>
      <c r="H80" s="318" t="n">
        <v>1.83945112946064</v>
      </c>
      <c r="I80" s="41" t="n">
        <v>0.132878079800667</v>
      </c>
      <c r="J80" s="41" t="n">
        <v>0.409957301984568</v>
      </c>
      <c r="K80" s="41" t="n">
        <v>0.045</v>
      </c>
      <c r="L80" s="41" t="n">
        <v>0.0932167124840203</v>
      </c>
      <c r="M80" s="41" t="n">
        <v>0.123608322822363</v>
      </c>
      <c r="N80" s="318" t="n">
        <v>1.02834056754503</v>
      </c>
      <c r="O80" s="318" t="n">
        <v>3.91126074478351</v>
      </c>
      <c r="P80" s="318" t="n">
        <v>17.3141745639275</v>
      </c>
      <c r="Q80" s="318" t="n">
        <v>23.3731413180468</v>
      </c>
      <c r="R80" s="318" t="n">
        <v>4.64498723633336</v>
      </c>
      <c r="S80" s="318" t="n">
        <v>52.132706161159</v>
      </c>
      <c r="T80" s="41" t="n">
        <v>0.290489786143997</v>
      </c>
      <c r="U80" s="41" t="n">
        <v>0.0688011709346457</v>
      </c>
      <c r="V80" s="41" t="n">
        <v>0.0822846827332643</v>
      </c>
      <c r="W80" s="41" t="n">
        <v>0.626723975219007</v>
      </c>
      <c r="X80" s="41" t="n">
        <v>0.173233582606618</v>
      </c>
      <c r="Y80" s="41" t="n">
        <v>0.396021629159921</v>
      </c>
      <c r="Z80" s="41" t="n">
        <v>0.396021629159921</v>
      </c>
      <c r="AA80" s="319" t="n">
        <v>0.170244977960772</v>
      </c>
    </row>
    <row r="81" customFormat="false" ht="12" hidden="false" customHeight="true" outlineLevel="0" collapsed="false">
      <c r="A81" s="317" t="s">
        <v>722</v>
      </c>
      <c r="B81" s="10" t="n">
        <v>345</v>
      </c>
      <c r="C81" s="41" t="n">
        <v>0.0393031111111111</v>
      </c>
      <c r="D81" s="41" t="n">
        <v>0.0808999576033126</v>
      </c>
      <c r="E81" s="41" t="n">
        <v>0.0444301366486516</v>
      </c>
      <c r="F81" s="41" t="n">
        <v>0.184674041843392</v>
      </c>
      <c r="G81" s="318" t="n">
        <v>0.708402934784307</v>
      </c>
      <c r="H81" s="318" t="n">
        <v>1.12973962550106</v>
      </c>
      <c r="I81" s="41" t="n">
        <v>0.0890179088559652</v>
      </c>
      <c r="J81" s="41" t="n">
        <v>0.338984627845812</v>
      </c>
      <c r="K81" s="41" t="n">
        <v>0.041</v>
      </c>
      <c r="L81" s="41" t="n">
        <v>0.50259887512205</v>
      </c>
      <c r="M81" s="41" t="n">
        <v>0.0595882775320829</v>
      </c>
      <c r="N81" s="318" t="n">
        <v>0.625545281358539</v>
      </c>
      <c r="O81" s="318" t="n">
        <v>1.90805406850378</v>
      </c>
      <c r="P81" s="318" t="n">
        <v>9.57596344443177</v>
      </c>
      <c r="Q81" s="318" t="n">
        <v>23.0898080226464</v>
      </c>
      <c r="R81" s="318" t="n">
        <v>1.05908389981958</v>
      </c>
      <c r="S81" s="318" t="n">
        <v>25.969467892042</v>
      </c>
      <c r="T81" s="41" t="n">
        <v>0.0133693424676968</v>
      </c>
      <c r="U81" s="41" t="n">
        <v>0.0940755597842502</v>
      </c>
      <c r="V81" s="41" t="n">
        <v>0.0442345100871718</v>
      </c>
      <c r="W81" s="41" t="n">
        <v>0.675434446091386</v>
      </c>
      <c r="X81" s="41" t="n">
        <v>0.0517967429165987</v>
      </c>
      <c r="Y81" s="41" t="n">
        <v>0.763181632098993</v>
      </c>
      <c r="Z81" s="41" t="n">
        <v>0.763181632098993</v>
      </c>
      <c r="AA81" s="319" t="n">
        <v>0.0815499692716707</v>
      </c>
    </row>
    <row r="82" customFormat="false" ht="12" hidden="false" customHeight="true" outlineLevel="0" collapsed="false">
      <c r="A82" s="317" t="s">
        <v>723</v>
      </c>
      <c r="B82" s="10" t="n">
        <v>78</v>
      </c>
      <c r="C82" s="41" t="n">
        <v>-0.00372666666666666</v>
      </c>
      <c r="D82" s="41" t="n">
        <v>0.0974325918350183</v>
      </c>
      <c r="E82" s="41" t="n">
        <v>0.166605127100366</v>
      </c>
      <c r="F82" s="41" t="n">
        <v>0.179381324562455</v>
      </c>
      <c r="G82" s="318" t="n">
        <v>0.898860012741909</v>
      </c>
      <c r="H82" s="318" t="n">
        <v>0.953928395701917</v>
      </c>
      <c r="I82" s="41" t="n">
        <v>0.0781527748543785</v>
      </c>
      <c r="J82" s="41" t="n">
        <v>0.343747141963527</v>
      </c>
      <c r="K82" s="41" t="n">
        <v>0.041</v>
      </c>
      <c r="L82" s="41" t="n">
        <v>0.115932053901365</v>
      </c>
      <c r="M82" s="41" t="n">
        <v>0.0726240013054167</v>
      </c>
      <c r="N82" s="318" t="n">
        <v>2.01240054039395</v>
      </c>
      <c r="O82" s="318" t="n">
        <v>2.667870191216</v>
      </c>
      <c r="P82" s="318" t="n">
        <v>18.8352319942192</v>
      </c>
      <c r="Q82" s="318" t="n">
        <v>26.7822496900153</v>
      </c>
      <c r="R82" s="318" t="n">
        <v>5.98922681602424</v>
      </c>
      <c r="S82" s="318" t="n">
        <v>27.9650893701811</v>
      </c>
      <c r="T82" s="41" t="n">
        <v>0.199963067182892</v>
      </c>
      <c r="U82" s="41" t="n">
        <v>0.0168774698460581</v>
      </c>
      <c r="V82" s="41" t="n">
        <v>-0.00282185968570346</v>
      </c>
      <c r="W82" s="41" t="n">
        <v>0.0468142421280295</v>
      </c>
      <c r="X82" s="41" t="n">
        <v>0.208014976984352</v>
      </c>
      <c r="Y82" s="41" t="n">
        <v>0.368418278266594</v>
      </c>
      <c r="Z82" s="41" t="n">
        <v>0.368418278266594</v>
      </c>
      <c r="AA82" s="319" t="n">
        <v>0.0993163040079624</v>
      </c>
    </row>
    <row r="83" customFormat="false" ht="12" hidden="false" customHeight="true" outlineLevel="0" collapsed="false">
      <c r="A83" s="317" t="s">
        <v>724</v>
      </c>
      <c r="B83" s="10" t="n">
        <v>280</v>
      </c>
      <c r="C83" s="41" t="n">
        <v>0.16813954954955</v>
      </c>
      <c r="D83" s="41" t="n">
        <v>0.221527334388179</v>
      </c>
      <c r="E83" s="41" t="n">
        <v>0.163204476429263</v>
      </c>
      <c r="F83" s="41" t="n">
        <v>0.188738365751764</v>
      </c>
      <c r="G83" s="318" t="n">
        <v>1.17643137680415</v>
      </c>
      <c r="H83" s="318" t="n">
        <v>1.17593132004094</v>
      </c>
      <c r="I83" s="41" t="n">
        <v>0.0918725555785298</v>
      </c>
      <c r="J83" s="41" t="n">
        <v>0.552618860955424</v>
      </c>
      <c r="K83" s="41" t="n">
        <v>0.045</v>
      </c>
      <c r="L83" s="41" t="n">
        <v>0.0476869807627836</v>
      </c>
      <c r="M83" s="41" t="n">
        <v>0.0890858449898324</v>
      </c>
      <c r="N83" s="318" t="n">
        <v>0.75956670603515</v>
      </c>
      <c r="O83" s="318" t="n">
        <v>6.85560895189627</v>
      </c>
      <c r="P83" s="318" t="n">
        <v>21.1580494699561</v>
      </c>
      <c r="Q83" s="318" t="n">
        <v>30.9761636237962</v>
      </c>
      <c r="R83" s="318" t="n">
        <v>5.33176455673168</v>
      </c>
      <c r="S83" s="318" t="n">
        <v>90.6125075262279</v>
      </c>
      <c r="T83" s="41" t="n">
        <v>0.0310005940516835</v>
      </c>
      <c r="U83" s="41" t="n">
        <v>0.134862064627815</v>
      </c>
      <c r="V83" s="41" t="n">
        <v>0.0893038178310919</v>
      </c>
      <c r="W83" s="41" t="n">
        <v>0.579367068727556</v>
      </c>
      <c r="X83" s="41" t="n">
        <v>0.186971959221892</v>
      </c>
      <c r="Y83" s="41" t="n">
        <v>0.0362479654493415</v>
      </c>
      <c r="Z83" s="41" t="n">
        <v>0.0362479654493415</v>
      </c>
      <c r="AA83" s="319" t="n">
        <v>0.238351644009734</v>
      </c>
    </row>
    <row r="84" customFormat="false" ht="12" hidden="false" customHeight="true" outlineLevel="0" collapsed="false">
      <c r="A84" s="317" t="s">
        <v>725</v>
      </c>
      <c r="B84" s="10" t="n">
        <v>131</v>
      </c>
      <c r="C84" s="41" t="n">
        <v>0.290073787878788</v>
      </c>
      <c r="D84" s="41" t="n">
        <v>0.0512778447288759</v>
      </c>
      <c r="E84" s="41" t="n">
        <v>0.0835007108303296</v>
      </c>
      <c r="F84" s="41" t="n">
        <v>0.156942601787146</v>
      </c>
      <c r="G84" s="318" t="n">
        <v>1.21968487344365</v>
      </c>
      <c r="H84" s="318" t="n">
        <v>1.29443855640627</v>
      </c>
      <c r="I84" s="41" t="n">
        <v>0.0991963027859074</v>
      </c>
      <c r="J84" s="41" t="n">
        <v>0.466743592966394</v>
      </c>
      <c r="K84" s="41" t="n">
        <v>0.045</v>
      </c>
      <c r="L84" s="41" t="n">
        <v>0.129986935143619</v>
      </c>
      <c r="M84" s="41" t="n">
        <v>0.0906481925857158</v>
      </c>
      <c r="N84" s="318" t="n">
        <v>1.46180996389143</v>
      </c>
      <c r="O84" s="318" t="n">
        <v>5.03706859323376</v>
      </c>
      <c r="P84" s="318" t="n">
        <v>19.6278935730047</v>
      </c>
      <c r="Q84" s="318" t="n">
        <v>53.9033860487918</v>
      </c>
      <c r="R84" s="318" t="n">
        <v>8.02902847036042</v>
      </c>
      <c r="S84" s="318" t="n">
        <v>62.0653477343349</v>
      </c>
      <c r="T84" s="41" t="n">
        <v>0.0357231681977225</v>
      </c>
      <c r="U84" s="41" t="n">
        <v>0.076812175635507</v>
      </c>
      <c r="V84" s="41" t="n">
        <v>0.0820666918332883</v>
      </c>
      <c r="W84" s="41" t="n">
        <v>2.45645457007541</v>
      </c>
      <c r="X84" s="41" t="n">
        <v>0.00428248889354681</v>
      </c>
      <c r="Y84" s="41" t="n">
        <v>5.80314375935398</v>
      </c>
      <c r="Z84" s="41" t="n">
        <v>5.80314375935398</v>
      </c>
      <c r="AA84" s="319" t="n">
        <v>0.0615347229097095</v>
      </c>
    </row>
    <row r="85" customFormat="false" ht="12" hidden="false" customHeight="true" outlineLevel="0" collapsed="false">
      <c r="A85" s="317" t="s">
        <v>726</v>
      </c>
      <c r="B85" s="10" t="n">
        <v>1375</v>
      </c>
      <c r="C85" s="41" t="n">
        <v>0.151564016853933</v>
      </c>
      <c r="D85" s="41" t="n">
        <v>0.196290641664203</v>
      </c>
      <c r="E85" s="41" t="n">
        <v>0.181916816744274</v>
      </c>
      <c r="F85" s="41" t="n">
        <v>0.140001642582537</v>
      </c>
      <c r="G85" s="318" t="n">
        <v>1.24528899010945</v>
      </c>
      <c r="H85" s="318" t="n">
        <v>1.28312426408474</v>
      </c>
      <c r="I85" s="41" t="n">
        <v>0.0984970795204368</v>
      </c>
      <c r="J85" s="41" t="n">
        <v>0.504537549814611</v>
      </c>
      <c r="K85" s="41" t="n">
        <v>0.045</v>
      </c>
      <c r="L85" s="41" t="n">
        <v>0.085156732238632</v>
      </c>
      <c r="M85" s="41" t="n">
        <v>0.0929566054358264</v>
      </c>
      <c r="N85" s="318" t="n">
        <v>0.930910095449105</v>
      </c>
      <c r="O85" s="318" t="n">
        <v>7.70523799437929</v>
      </c>
      <c r="P85" s="318" t="n">
        <v>24.3465599829344</v>
      </c>
      <c r="Q85" s="318" t="n">
        <v>35.5705960244694</v>
      </c>
      <c r="R85" s="318" t="n">
        <v>8.13277003583819</v>
      </c>
      <c r="S85" s="318" t="n">
        <v>99.4362915946847</v>
      </c>
      <c r="T85" s="41" t="n">
        <v>0.137209756006079</v>
      </c>
      <c r="U85" s="41" t="n">
        <v>0.0561653628838242</v>
      </c>
      <c r="V85" s="41" t="n">
        <v>0.0827021788378448</v>
      </c>
      <c r="W85" s="41" t="n">
        <v>0.59051188282512</v>
      </c>
      <c r="X85" s="41" t="n">
        <v>0.211689650876148</v>
      </c>
      <c r="Y85" s="41" t="n">
        <v>0.326389918795749</v>
      </c>
      <c r="Z85" s="41" t="n">
        <v>0.326389918795749</v>
      </c>
      <c r="AA85" s="319" t="n">
        <v>0.212440270322012</v>
      </c>
    </row>
    <row r="86" customFormat="false" ht="12" hidden="false" customHeight="true" outlineLevel="0" collapsed="false">
      <c r="A86" s="317" t="s">
        <v>727</v>
      </c>
      <c r="B86" s="10" t="n">
        <v>695</v>
      </c>
      <c r="C86" s="41" t="n">
        <v>0.0640776538461538</v>
      </c>
      <c r="D86" s="41" t="n">
        <v>0.0743040827618552</v>
      </c>
      <c r="E86" s="41" t="n">
        <v>0.0644362534210116</v>
      </c>
      <c r="F86" s="41" t="n">
        <v>0.19888850182977</v>
      </c>
      <c r="G86" s="318" t="n">
        <v>0.822506419145081</v>
      </c>
      <c r="H86" s="318" t="n">
        <v>1.12566039473872</v>
      </c>
      <c r="I86" s="41" t="n">
        <v>0.088765812394853</v>
      </c>
      <c r="J86" s="41" t="n">
        <v>0.370890992025568</v>
      </c>
      <c r="K86" s="41" t="n">
        <v>0.041</v>
      </c>
      <c r="L86" s="41" t="n">
        <v>0.41412976979985</v>
      </c>
      <c r="M86" s="41" t="n">
        <v>0.0646208821190887</v>
      </c>
      <c r="N86" s="318" t="n">
        <v>0.986567238648559</v>
      </c>
      <c r="O86" s="318" t="n">
        <v>0.764030466668299</v>
      </c>
      <c r="P86" s="318" t="n">
        <v>5.92198060874665</v>
      </c>
      <c r="Q86" s="318" t="n">
        <v>9.88241252895561</v>
      </c>
      <c r="R86" s="318" t="n">
        <v>0.901533428103138</v>
      </c>
      <c r="S86" s="318" t="n">
        <v>47.7265676018899</v>
      </c>
      <c r="T86" s="41" t="n">
        <v>0.139060216173187</v>
      </c>
      <c r="U86" s="41" t="n">
        <v>0.0493411295702564</v>
      </c>
      <c r="V86" s="41" t="n">
        <v>0.0270017917194709</v>
      </c>
      <c r="W86" s="41" t="n">
        <v>0.622086568065768</v>
      </c>
      <c r="X86" s="41" t="n">
        <v>0.0521454071378189</v>
      </c>
      <c r="Y86" s="41" t="n">
        <v>0.609548363772936</v>
      </c>
      <c r="Z86" s="41" t="n">
        <v>0.609548363772936</v>
      </c>
      <c r="AA86" s="319" t="n">
        <v>0.0753917927705818</v>
      </c>
    </row>
    <row r="87" customFormat="false" ht="12" hidden="false" customHeight="true" outlineLevel="0" collapsed="false">
      <c r="A87" s="317" t="s">
        <v>728</v>
      </c>
      <c r="B87" s="10" t="n">
        <v>103</v>
      </c>
      <c r="C87" s="41" t="n">
        <v>0.0291575324675325</v>
      </c>
      <c r="D87" s="41" t="n">
        <v>0.1378418314587</v>
      </c>
      <c r="E87" s="41" t="n">
        <v>0.0845658938377685</v>
      </c>
      <c r="F87" s="41" t="n">
        <v>0.280977845068709</v>
      </c>
      <c r="G87" s="318" t="n">
        <v>0.609311227750609</v>
      </c>
      <c r="H87" s="318" t="n">
        <v>0.901401472814311</v>
      </c>
      <c r="I87" s="41" t="n">
        <v>0.0749066110199244</v>
      </c>
      <c r="J87" s="41" t="n">
        <v>0.339742610796065</v>
      </c>
      <c r="K87" s="41" t="n">
        <v>0.041</v>
      </c>
      <c r="L87" s="41" t="n">
        <v>0.432029119907478</v>
      </c>
      <c r="M87" s="41" t="n">
        <v>0.0557056768654762</v>
      </c>
      <c r="N87" s="318" t="n">
        <v>0.684471152831566</v>
      </c>
      <c r="O87" s="318" t="n">
        <v>2.31688046904297</v>
      </c>
      <c r="P87" s="318" t="n">
        <v>6.80641548928718</v>
      </c>
      <c r="Q87" s="318" t="n">
        <v>15.9572011551246</v>
      </c>
      <c r="R87" s="318" t="n">
        <v>1.56403670887754</v>
      </c>
      <c r="S87" s="318" t="n">
        <v>30.6423427546898</v>
      </c>
      <c r="T87" s="41" t="n">
        <v>-0.0518837445534806</v>
      </c>
      <c r="U87" s="41" t="n">
        <v>0.125597277276007</v>
      </c>
      <c r="V87" s="41" t="n">
        <v>0.00630773418494968</v>
      </c>
      <c r="W87" s="41" t="n">
        <v>0.229344334054121</v>
      </c>
      <c r="X87" s="41" t="n">
        <v>0.0627720567211453</v>
      </c>
      <c r="Y87" s="41" t="n">
        <v>0.899943848482324</v>
      </c>
      <c r="Z87" s="41" t="n">
        <v>0.899943848482324</v>
      </c>
      <c r="AA87" s="319" t="n">
        <v>0.143647999942997</v>
      </c>
    </row>
    <row r="88" customFormat="false" ht="12" hidden="false" customHeight="true" outlineLevel="0" collapsed="false">
      <c r="A88" s="317" t="s">
        <v>729</v>
      </c>
      <c r="B88" s="10" t="n">
        <v>474</v>
      </c>
      <c r="C88" s="41" t="n">
        <v>0.0552775535168196</v>
      </c>
      <c r="D88" s="41" t="n">
        <v>0.107540209148606</v>
      </c>
      <c r="E88" s="41" t="n">
        <v>0.111429951261528</v>
      </c>
      <c r="F88" s="41" t="n">
        <v>0.239135343229054</v>
      </c>
      <c r="G88" s="318" t="n">
        <v>1.26553302452006</v>
      </c>
      <c r="H88" s="318" t="n">
        <v>1.31914156283415</v>
      </c>
      <c r="I88" s="41" t="n">
        <v>0.10072294858315</v>
      </c>
      <c r="J88" s="41" t="n">
        <v>0.426602752342981</v>
      </c>
      <c r="K88" s="41" t="n">
        <v>0.045</v>
      </c>
      <c r="L88" s="41" t="n">
        <v>0.148259116514208</v>
      </c>
      <c r="M88" s="41" t="n">
        <v>0.090746896774159</v>
      </c>
      <c r="N88" s="318" t="n">
        <v>1.11193109005358</v>
      </c>
      <c r="O88" s="318" t="n">
        <v>2.37017741712625</v>
      </c>
      <c r="P88" s="318" t="n">
        <v>14.1796584915108</v>
      </c>
      <c r="Q88" s="318" t="n">
        <v>20.8836488981557</v>
      </c>
      <c r="R88" s="318" t="n">
        <v>3.63754763477349</v>
      </c>
      <c r="S88" s="318" t="n">
        <v>119.536875535424</v>
      </c>
      <c r="T88" s="41" t="n">
        <v>0.211344250820695</v>
      </c>
      <c r="U88" s="41" t="n">
        <v>0.037141311738762</v>
      </c>
      <c r="V88" s="41" t="n">
        <v>0.0431970988091246</v>
      </c>
      <c r="W88" s="41" t="n">
        <v>0.698660128368218</v>
      </c>
      <c r="X88" s="41" t="n">
        <v>0.0769011475442586</v>
      </c>
      <c r="Y88" s="41" t="n">
        <v>0.817749436655288</v>
      </c>
      <c r="Z88" s="41" t="n">
        <v>0.817749436655288</v>
      </c>
      <c r="AA88" s="319" t="n">
        <v>0.110214311255177</v>
      </c>
    </row>
    <row r="89" customFormat="false" ht="12" hidden="false" customHeight="true" outlineLevel="0" collapsed="false">
      <c r="A89" s="317" t="s">
        <v>730</v>
      </c>
      <c r="B89" s="10" t="n">
        <v>317</v>
      </c>
      <c r="C89" s="41" t="n">
        <v>0.0987671219512195</v>
      </c>
      <c r="D89" s="41" t="n">
        <v>0.150190144496633</v>
      </c>
      <c r="E89" s="41" t="n">
        <v>0.106237861293602</v>
      </c>
      <c r="F89" s="41" t="n">
        <v>0.233625631557694</v>
      </c>
      <c r="G89" s="318" t="n">
        <v>0.586760994164115</v>
      </c>
      <c r="H89" s="318" t="n">
        <v>0.888999865318577</v>
      </c>
      <c r="I89" s="41" t="n">
        <v>0.0741401916766881</v>
      </c>
      <c r="J89" s="41" t="n">
        <v>0.390225718507682</v>
      </c>
      <c r="K89" s="41" t="n">
        <v>0.041</v>
      </c>
      <c r="L89" s="41" t="n">
        <v>0.433022557696997</v>
      </c>
      <c r="M89" s="41" t="n">
        <v>0.0552269824238266</v>
      </c>
      <c r="N89" s="318" t="n">
        <v>0.811916366030058</v>
      </c>
      <c r="O89" s="318" t="n">
        <v>2.35347199900264</v>
      </c>
      <c r="P89" s="318" t="n">
        <v>7.06090816055265</v>
      </c>
      <c r="Q89" s="318" t="n">
        <v>15.5433847064971</v>
      </c>
      <c r="R89" s="318" t="n">
        <v>1.73505859604683</v>
      </c>
      <c r="S89" s="318" t="n">
        <v>92.7351701026068</v>
      </c>
      <c r="T89" s="41" t="n">
        <v>0.0150554366020755</v>
      </c>
      <c r="U89" s="41" t="n">
        <v>0.129452390181553</v>
      </c>
      <c r="V89" s="41" t="n">
        <v>-0.0332475560180349</v>
      </c>
      <c r="W89" s="41" t="n">
        <v>-0.305302409172156</v>
      </c>
      <c r="X89" s="41" t="n">
        <v>0.0775611699148269</v>
      </c>
      <c r="Y89" s="41" t="n">
        <v>1.00793982603406</v>
      </c>
      <c r="Z89" s="41" t="n">
        <v>1.00793982603406</v>
      </c>
      <c r="AA89" s="319" t="n">
        <v>0.150990886991897</v>
      </c>
    </row>
    <row r="90" customFormat="false" ht="12" hidden="false" customHeight="true" outlineLevel="0" collapsed="false">
      <c r="A90" s="317" t="s">
        <v>731</v>
      </c>
      <c r="B90" s="10" t="n">
        <v>54</v>
      </c>
      <c r="C90" s="41" t="n">
        <v>0.025825945945946</v>
      </c>
      <c r="D90" s="41" t="n">
        <v>0.319726498441785</v>
      </c>
      <c r="E90" s="41" t="n">
        <v>0.193221128084141</v>
      </c>
      <c r="F90" s="41" t="n">
        <v>0.271329174957645</v>
      </c>
      <c r="G90" s="318" t="n">
        <v>0.865627333486069</v>
      </c>
      <c r="H90" s="318" t="n">
        <v>1.03791209971582</v>
      </c>
      <c r="I90" s="41" t="n">
        <v>0.0833429677624375</v>
      </c>
      <c r="J90" s="41" t="n">
        <v>0.295264581735855</v>
      </c>
      <c r="K90" s="41" t="n">
        <v>0.041</v>
      </c>
      <c r="L90" s="41" t="n">
        <v>0.244689763989947</v>
      </c>
      <c r="M90" s="41" t="n">
        <v>0.0704037809308506</v>
      </c>
      <c r="N90" s="318" t="n">
        <v>0.732388591701498</v>
      </c>
      <c r="O90" s="318" t="n">
        <v>4.02881220131523</v>
      </c>
      <c r="P90" s="318" t="n">
        <v>11.1023690908833</v>
      </c>
      <c r="Q90" s="318" t="n">
        <v>12.5415401280456</v>
      </c>
      <c r="R90" s="318" t="n">
        <v>3.49630322672306</v>
      </c>
      <c r="S90" s="318" t="n">
        <v>18.3250824863919</v>
      </c>
      <c r="T90" s="41" t="n">
        <v>0.193204079754659</v>
      </c>
      <c r="U90" s="41" t="n">
        <v>0.03541312755819</v>
      </c>
      <c r="V90" s="41" t="n">
        <v>0.0232733263142318</v>
      </c>
      <c r="W90" s="41" t="n">
        <v>0.196994286644482</v>
      </c>
      <c r="X90" s="41" t="n">
        <v>0.208378380312548</v>
      </c>
      <c r="Y90" s="41" t="n">
        <v>0.946643085610974</v>
      </c>
      <c r="Z90" s="41" t="n">
        <v>0.946643085610974</v>
      </c>
      <c r="AA90" s="319" t="n">
        <v>0.321115843265508</v>
      </c>
    </row>
    <row r="91" customFormat="false" ht="12" hidden="false" customHeight="true" outlineLevel="0" collapsed="false">
      <c r="A91" s="317" t="s">
        <v>732</v>
      </c>
      <c r="B91" s="10" t="n">
        <v>265</v>
      </c>
      <c r="C91" s="41" t="n">
        <v>0.11458125</v>
      </c>
      <c r="D91" s="41" t="n">
        <v>0.0690740681607948</v>
      </c>
      <c r="E91" s="41" t="n">
        <v>0.101909408879789</v>
      </c>
      <c r="F91" s="41" t="n">
        <v>0.231975018834696</v>
      </c>
      <c r="G91" s="318" t="n">
        <v>0.794085811375781</v>
      </c>
      <c r="H91" s="318" t="n">
        <v>1.08766853004853</v>
      </c>
      <c r="I91" s="41" t="n">
        <v>0.0864179151569994</v>
      </c>
      <c r="J91" s="41" t="n">
        <v>0.327442113943157</v>
      </c>
      <c r="K91" s="41" t="n">
        <v>0.041</v>
      </c>
      <c r="L91" s="41" t="n">
        <v>0.389503901095123</v>
      </c>
      <c r="M91" s="41" t="n">
        <v>0.0646232574179015</v>
      </c>
      <c r="N91" s="318" t="n">
        <v>1.77671523930905</v>
      </c>
      <c r="O91" s="318" t="n">
        <v>1.30486290107364</v>
      </c>
      <c r="P91" s="318" t="n">
        <v>10.4676215733053</v>
      </c>
      <c r="Q91" s="318" t="n">
        <v>18.4599828482667</v>
      </c>
      <c r="R91" s="318" t="n">
        <v>1.85637301828972</v>
      </c>
      <c r="S91" s="318" t="n">
        <v>85.833401677626</v>
      </c>
      <c r="T91" s="41" t="n">
        <v>0.0309775805761231</v>
      </c>
      <c r="U91" s="41" t="n">
        <v>0.0521786925156814</v>
      </c>
      <c r="V91" s="41" t="n">
        <v>0.0410309657915882</v>
      </c>
      <c r="W91" s="41" t="n">
        <v>0.98004683220829</v>
      </c>
      <c r="X91" s="41" t="n">
        <v>0.124009148756722</v>
      </c>
      <c r="Y91" s="41" t="n">
        <v>0.607651397209029</v>
      </c>
      <c r="Z91" s="41" t="n">
        <v>0.607651397209029</v>
      </c>
      <c r="AA91" s="319" t="n">
        <v>0.0705184905801035</v>
      </c>
    </row>
    <row r="92" customFormat="false" ht="12" hidden="false" customHeight="true" outlineLevel="0" collapsed="false">
      <c r="A92" s="317" t="s">
        <v>733</v>
      </c>
      <c r="B92" s="10" t="n">
        <v>52</v>
      </c>
      <c r="C92" s="41" t="n">
        <v>0.0703651162790698</v>
      </c>
      <c r="D92" s="41" t="n">
        <v>0.231812379310358</v>
      </c>
      <c r="E92" s="41" t="n">
        <v>0.0948385134971183</v>
      </c>
      <c r="F92" s="41" t="n">
        <v>0.248803918945657</v>
      </c>
      <c r="G92" s="318" t="n">
        <v>0.827268999434613</v>
      </c>
      <c r="H92" s="318" t="n">
        <v>1.04411211591521</v>
      </c>
      <c r="I92" s="41" t="n">
        <v>0.0837261287635599</v>
      </c>
      <c r="J92" s="41" t="n">
        <v>0.1914546580355</v>
      </c>
      <c r="K92" s="41" t="n">
        <v>0.0355</v>
      </c>
      <c r="L92" s="41" t="n">
        <v>0.282282923340747</v>
      </c>
      <c r="M92" s="41" t="n">
        <v>0.0675373079036756</v>
      </c>
      <c r="N92" s="318" t="n">
        <v>0.520776127171807</v>
      </c>
      <c r="O92" s="318" t="n">
        <v>3.71075443765687</v>
      </c>
      <c r="P92" s="318" t="n">
        <v>10.9133556022939</v>
      </c>
      <c r="Q92" s="318" t="n">
        <v>15.8218667490162</v>
      </c>
      <c r="R92" s="318" t="n">
        <v>2.47812321116737</v>
      </c>
      <c r="S92" s="318" t="n">
        <v>24.1783800614809</v>
      </c>
      <c r="T92" s="41" t="n">
        <v>0.100242620353314</v>
      </c>
      <c r="U92" s="41" t="n">
        <v>0.170651201871164</v>
      </c>
      <c r="V92" s="41" t="n">
        <v>0.118755106383899</v>
      </c>
      <c r="W92" s="41" t="n">
        <v>0.718314414185855</v>
      </c>
      <c r="X92" s="41" t="n">
        <v>0.152990344653617</v>
      </c>
      <c r="Y92" s="41" t="n">
        <v>0.285747814557666</v>
      </c>
      <c r="Z92" s="41" t="n">
        <v>0.285747814557666</v>
      </c>
      <c r="AA92" s="319" t="n">
        <v>0.234585089458283</v>
      </c>
    </row>
    <row r="93" customFormat="false" ht="12" hidden="false" customHeight="true" outlineLevel="0" collapsed="false">
      <c r="A93" s="317" t="s">
        <v>734</v>
      </c>
      <c r="B93" s="10" t="n">
        <v>208</v>
      </c>
      <c r="C93" s="41" t="n">
        <v>0.060866052631579</v>
      </c>
      <c r="D93" s="41" t="n">
        <v>0.0189058129756036</v>
      </c>
      <c r="E93" s="41" t="n">
        <v>0.0426184286451941</v>
      </c>
      <c r="F93" s="41" t="n">
        <v>0.268640418117281</v>
      </c>
      <c r="G93" s="318" t="n">
        <v>0.65401743584231</v>
      </c>
      <c r="H93" s="318" t="n">
        <v>0.941327811137456</v>
      </c>
      <c r="I93" s="41" t="n">
        <v>0.0773740587282948</v>
      </c>
      <c r="J93" s="41" t="n">
        <v>0.325636756817669</v>
      </c>
      <c r="K93" s="41" t="n">
        <v>0.041</v>
      </c>
      <c r="L93" s="41" t="n">
        <v>0.427404944173678</v>
      </c>
      <c r="M93" s="41" t="n">
        <v>0.0573240402913998</v>
      </c>
      <c r="N93" s="318" t="n">
        <v>1.19720634515388</v>
      </c>
      <c r="O93" s="318" t="n">
        <v>1.46731763644661</v>
      </c>
      <c r="P93" s="318" t="n">
        <v>8.84416922351937</v>
      </c>
      <c r="Q93" s="318" t="n">
        <v>46.0361407447083</v>
      </c>
      <c r="R93" s="318" t="n">
        <v>1.99906511940239</v>
      </c>
      <c r="S93" s="318" t="n">
        <v>21.0530889663156</v>
      </c>
      <c r="T93" s="41" t="n">
        <v>0.0802833399559949</v>
      </c>
      <c r="U93" s="41" t="n">
        <v>0.106014187576726</v>
      </c>
      <c r="V93" s="41" t="n">
        <v>0.0837703873181027</v>
      </c>
      <c r="W93" s="41" t="n">
        <v>14.6023812932775</v>
      </c>
      <c r="X93" s="41" t="n">
        <v>-0.0388964858646789</v>
      </c>
      <c r="Y93" s="41" t="n">
        <v>0.00336241749745922</v>
      </c>
      <c r="Z93" s="41" t="n">
        <v>0.00336241749745925</v>
      </c>
      <c r="AA93" s="319" t="n">
        <v>0.0409520555665415</v>
      </c>
    </row>
    <row r="94" customFormat="false" ht="12" hidden="false" customHeight="true" outlineLevel="0" collapsed="false">
      <c r="A94" s="317" t="s">
        <v>735</v>
      </c>
      <c r="B94" s="10" t="n">
        <v>52</v>
      </c>
      <c r="C94" s="41" t="n">
        <v>0.0171981632653061</v>
      </c>
      <c r="D94" s="41" t="n">
        <v>0.0947636757042961</v>
      </c>
      <c r="E94" s="41" t="n">
        <v>0.0587044955152141</v>
      </c>
      <c r="F94" s="41" t="n">
        <v>0.185127441829507</v>
      </c>
      <c r="G94" s="318" t="n">
        <v>0.414090243273601</v>
      </c>
      <c r="H94" s="318" t="n">
        <v>0.654408159681975</v>
      </c>
      <c r="I94" s="41" t="n">
        <v>0.0596424242683461</v>
      </c>
      <c r="J94" s="41" t="n">
        <v>0.20126286258992</v>
      </c>
      <c r="K94" s="41" t="n">
        <v>0.0355</v>
      </c>
      <c r="L94" s="41" t="n">
        <v>0.460421552298167</v>
      </c>
      <c r="M94" s="41" t="n">
        <v>0.0443260757780809</v>
      </c>
      <c r="N94" s="318" t="n">
        <v>0.762173292758852</v>
      </c>
      <c r="O94" s="318" t="n">
        <v>2.27734849609842</v>
      </c>
      <c r="P94" s="318" t="n">
        <v>12.5831220814186</v>
      </c>
      <c r="Q94" s="318" t="n">
        <v>24.1036533164336</v>
      </c>
      <c r="R94" s="318" t="n">
        <v>1.71822357180121</v>
      </c>
      <c r="S94" s="318" t="n">
        <v>419.587195202067</v>
      </c>
      <c r="T94" s="41" t="n">
        <v>-0.0189349401141751</v>
      </c>
      <c r="U94" s="41" t="n">
        <v>0.130844408145046</v>
      </c>
      <c r="V94" s="41" t="n">
        <v>0.0913008073292082</v>
      </c>
      <c r="W94" s="41" t="n">
        <v>1.17661187845433</v>
      </c>
      <c r="X94" s="41" t="n">
        <v>0.122355639890801</v>
      </c>
      <c r="Y94" s="41" t="n">
        <v>0.589345072087162</v>
      </c>
      <c r="Z94" s="41" t="n">
        <v>0.589345072087162</v>
      </c>
      <c r="AA94" s="319" t="n">
        <v>0.0944538728122376</v>
      </c>
    </row>
    <row r="95" customFormat="false" ht="12" hidden="false" customHeight="true" outlineLevel="0" collapsed="false">
      <c r="A95" s="317" t="s">
        <v>736</v>
      </c>
      <c r="B95" s="10" t="n">
        <v>99</v>
      </c>
      <c r="C95" s="41" t="n">
        <v>0.117425070422535</v>
      </c>
      <c r="D95" s="41" t="n">
        <v>0.280301048863402</v>
      </c>
      <c r="E95" s="41" t="n">
        <v>0.0766819746735097</v>
      </c>
      <c r="F95" s="41" t="n">
        <v>0.233135597482848</v>
      </c>
      <c r="G95" s="318" t="n">
        <v>0.693237507010104</v>
      </c>
      <c r="H95" s="318" t="n">
        <v>0.948737209220491</v>
      </c>
      <c r="I95" s="41" t="n">
        <v>0.0778319595298264</v>
      </c>
      <c r="J95" s="41" t="n">
        <v>0.267539587368926</v>
      </c>
      <c r="K95" s="41" t="n">
        <v>0.041</v>
      </c>
      <c r="L95" s="41" t="n">
        <v>0.380630006612075</v>
      </c>
      <c r="M95" s="41" t="n">
        <v>0.0598019121507815</v>
      </c>
      <c r="N95" s="318" t="n">
        <v>0.335068701527331</v>
      </c>
      <c r="O95" s="318" t="n">
        <v>4.98089755275902</v>
      </c>
      <c r="P95" s="318" t="n">
        <v>12.4705014050241</v>
      </c>
      <c r="Q95" s="318" t="n">
        <v>17.8269135563767</v>
      </c>
      <c r="R95" s="318" t="n">
        <v>1.86071043773643</v>
      </c>
      <c r="S95" s="318" t="n">
        <v>30.3523829538585</v>
      </c>
      <c r="T95" s="41" t="n">
        <v>0.0250919623437965</v>
      </c>
      <c r="U95" s="41" t="n">
        <v>0.257886816719466</v>
      </c>
      <c r="V95" s="41" t="n">
        <v>0.176034788945114</v>
      </c>
      <c r="W95" s="41" t="n">
        <v>1.1775997495684</v>
      </c>
      <c r="X95" s="41" t="n">
        <v>0.106867939819891</v>
      </c>
      <c r="Y95" s="41" t="n">
        <v>0.623891068582905</v>
      </c>
      <c r="Z95" s="41" t="n">
        <v>0.485344495684438</v>
      </c>
      <c r="AA95" s="319" t="n">
        <v>0.277984980433945</v>
      </c>
    </row>
    <row r="96" customFormat="false" ht="12" hidden="false" customHeight="true" outlineLevel="0" collapsed="false">
      <c r="A96" s="317" t="s">
        <v>737</v>
      </c>
      <c r="B96" s="10" t="n">
        <v>44394</v>
      </c>
      <c r="C96" s="41" t="n">
        <v>0.0837887212106381</v>
      </c>
      <c r="D96" s="41" t="n">
        <v>0.092822397338564</v>
      </c>
      <c r="E96" s="41" t="n">
        <v>0.0614618449136195</v>
      </c>
      <c r="F96" s="41" t="n">
        <v>0.224374921477658</v>
      </c>
      <c r="G96" s="318" t="n">
        <v>0.794360016191462</v>
      </c>
      <c r="H96" s="318" t="n">
        <v>1.0770240808773</v>
      </c>
      <c r="I96" s="41" t="n">
        <v>0.0857600881982169</v>
      </c>
      <c r="J96" s="41" t="n">
        <v>0.392196140499338</v>
      </c>
      <c r="K96" s="41" t="n">
        <v>0.041</v>
      </c>
      <c r="L96" s="41" t="n">
        <v>0.414917633756918</v>
      </c>
      <c r="M96" s="41" t="n">
        <v>0.0628163512093652</v>
      </c>
      <c r="N96" s="318" t="n">
        <v>0.752071691603797</v>
      </c>
      <c r="O96" s="318" t="n">
        <v>2.28317432720906</v>
      </c>
      <c r="P96" s="318" t="n">
        <v>14.0802594482283</v>
      </c>
      <c r="Q96" s="318" t="n">
        <v>23.0803319771156</v>
      </c>
      <c r="R96" s="318" t="n">
        <v>1.90105732335122</v>
      </c>
      <c r="S96" s="318" t="n">
        <v>65.244224281281</v>
      </c>
      <c r="T96" s="41" t="n">
        <v>-1.17431249695097</v>
      </c>
      <c r="U96" s="41" t="n">
        <v>0.0587167917400738</v>
      </c>
      <c r="V96" s="41" t="n">
        <v>0.0396679421417726</v>
      </c>
      <c r="W96" s="41" t="n">
        <v>0.691296234818739</v>
      </c>
      <c r="X96" s="41" t="n">
        <v>0.106867939819891</v>
      </c>
      <c r="Y96" s="41" t="n">
        <v>0.485344495684438</v>
      </c>
      <c r="Z96" s="41" t="n">
        <v>0.485344495684438</v>
      </c>
      <c r="AA96" s="319" t="n">
        <v>0.0941544582348271</v>
      </c>
    </row>
    <row r="97" customFormat="false" ht="12" hidden="false" customHeight="true" outlineLevel="0" collapsed="false">
      <c r="A97" s="317" t="s">
        <v>738</v>
      </c>
      <c r="B97" s="10" t="n">
        <v>39677</v>
      </c>
      <c r="C97" s="41" t="n">
        <v>0.0804429768940378</v>
      </c>
      <c r="D97" s="41" t="n">
        <v>0.0978388777262943</v>
      </c>
      <c r="E97" s="41" t="n">
        <v>0.0977947567681234</v>
      </c>
      <c r="F97" s="41" t="n">
        <v>0.235812060345124</v>
      </c>
      <c r="G97" s="318" t="n">
        <v>0.915548279334217</v>
      </c>
      <c r="H97" s="318" t="n">
        <v>1.1123314545477</v>
      </c>
      <c r="I97" s="41" t="n">
        <v>0.0879420838910478</v>
      </c>
      <c r="J97" s="41" t="n">
        <v>0.403059311032521</v>
      </c>
      <c r="K97" s="41" t="n">
        <v>0.045</v>
      </c>
      <c r="L97" s="41" t="n">
        <v>0.284864288918031</v>
      </c>
      <c r="M97" s="41" t="n">
        <v>0.072414962197429</v>
      </c>
      <c r="N97" s="318" t="n">
        <v>1.13134387593383</v>
      </c>
      <c r="O97" s="318" t="n">
        <v>1.88920792441151</v>
      </c>
      <c r="P97" s="318" t="n">
        <v>11.1865296019301</v>
      </c>
      <c r="Q97" s="318" t="n">
        <v>18.6626845976754</v>
      </c>
      <c r="R97" s="318" t="n">
        <v>2.26150693677666</v>
      </c>
      <c r="S97" s="318" t="n">
        <v>66.0653066160258</v>
      </c>
      <c r="T97" s="41" t="n">
        <v>0.109209965371619</v>
      </c>
      <c r="U97" s="41" t="n">
        <v>0.0632417875812329</v>
      </c>
      <c r="V97" s="41" t="n">
        <v>0.0409958322807169</v>
      </c>
      <c r="W97" s="41" t="n">
        <v>0.693620057223814</v>
      </c>
      <c r="X97" s="41" t="n">
        <v>0.104096782227014</v>
      </c>
      <c r="Y97" s="41" t="n">
        <v>0.547234083589563</v>
      </c>
      <c r="Z97" s="41" t="n">
        <v>0.547234083589563</v>
      </c>
      <c r="AA97" s="319" t="n">
        <v>0.0993744753109942</v>
      </c>
    </row>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sheetPr filterMode="false">
    <pageSetUpPr fitToPage="false"/>
  </sheetPr>
  <dimension ref="A1:Z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34"/>
    <col collapsed="false" customWidth="true" hidden="false" outlineLevel="0" max="2" min="2" style="0" width="16"/>
    <col collapsed="false" customWidth="true" hidden="false" outlineLevel="0" max="3" min="3" style="0" width="19.86"/>
    <col collapsed="false" customWidth="true" hidden="false" outlineLevel="0" max="4" min="4" style="0" width="22.14"/>
    <col collapsed="false" customWidth="true" hidden="false" outlineLevel="0" max="5" min="5" style="0" width="14.14"/>
    <col collapsed="false" customWidth="true" hidden="false" outlineLevel="0" max="6" min="6" style="0" width="10.72"/>
    <col collapsed="false" customWidth="true" hidden="false" outlineLevel="0" max="26" min="7" style="0" width="8.72"/>
    <col collapsed="false" customWidth="true" hidden="false" outlineLevel="0" max="1025" min="27" style="0" width="14.43"/>
  </cols>
  <sheetData>
    <row r="1" customFormat="false" ht="12" hidden="false" customHeight="true" outlineLevel="0" collapsed="false">
      <c r="B1" s="320" t="s">
        <v>13</v>
      </c>
      <c r="C1" s="320" t="s">
        <v>739</v>
      </c>
      <c r="D1" s="320" t="s">
        <v>740</v>
      </c>
      <c r="E1" s="320" t="s">
        <v>741</v>
      </c>
    </row>
    <row r="2" customFormat="false" ht="12" hidden="false" customHeight="true" outlineLevel="0" collapsed="false">
      <c r="A2" s="15" t="s">
        <v>15</v>
      </c>
      <c r="B2" s="321" t="n">
        <v>15794.34</v>
      </c>
      <c r="C2" s="321" t="n">
        <v>7608.13</v>
      </c>
      <c r="D2" s="321" t="n">
        <v>9444.11</v>
      </c>
      <c r="E2" s="322" t="n">
        <f aca="false">B2-C2+D2</f>
        <v>17630.32</v>
      </c>
    </row>
    <row r="3" customFormat="false" ht="12" hidden="false" customHeight="true" outlineLevel="0" collapsed="false">
      <c r="A3" s="15" t="s">
        <v>742</v>
      </c>
      <c r="B3" s="321" t="n">
        <v>1221.81</v>
      </c>
      <c r="C3" s="321" t="n">
        <v>581.41</v>
      </c>
      <c r="D3" s="321" t="n">
        <v>756</v>
      </c>
      <c r="E3" s="322" t="n">
        <f aca="false">B3-C3+D3</f>
        <v>1396.4</v>
      </c>
    </row>
    <row r="4" customFormat="false" ht="12" hidden="false" customHeight="true" outlineLevel="0" collapsed="false">
      <c r="A4" s="15" t="s">
        <v>16</v>
      </c>
      <c r="B4" s="321" t="n">
        <v>1605.23</v>
      </c>
      <c r="C4" s="321" t="n">
        <v>908.79</v>
      </c>
      <c r="D4" s="321" t="n">
        <v>1165.5</v>
      </c>
      <c r="E4" s="322" t="n">
        <f aca="false">B4-C4+D4</f>
        <v>1861.94</v>
      </c>
    </row>
    <row r="5" customFormat="false" ht="12" hidden="false" customHeight="true" outlineLevel="0" collapsed="false">
      <c r="A5" s="15" t="s">
        <v>743</v>
      </c>
      <c r="B5" s="321" t="n">
        <v>420.49</v>
      </c>
      <c r="C5" s="321" t="n">
        <v>182.82</v>
      </c>
      <c r="D5" s="321" t="n">
        <v>287.56</v>
      </c>
      <c r="E5" s="322" t="n">
        <f aca="false">B5-C5+D5</f>
        <v>525.23</v>
      </c>
    </row>
    <row r="6" customFormat="false" ht="12" hidden="false" customHeight="true" outlineLevel="0" collapsed="false">
      <c r="A6" s="15" t="s">
        <v>18</v>
      </c>
      <c r="B6" s="321" t="n">
        <v>5238.77</v>
      </c>
      <c r="C6" s="321"/>
      <c r="D6" s="321" t="n">
        <v>6105.55</v>
      </c>
      <c r="E6" s="322"/>
    </row>
    <row r="7" customFormat="false" ht="12" hidden="false" customHeight="true" outlineLevel="0" collapsed="false">
      <c r="A7" s="15" t="s">
        <v>19</v>
      </c>
      <c r="B7" s="321" t="n">
        <v>10360</v>
      </c>
      <c r="C7" s="321"/>
      <c r="D7" s="321" t="n">
        <v>12594.14</v>
      </c>
      <c r="E7" s="322"/>
    </row>
    <row r="8" customFormat="false" ht="12" hidden="false" customHeight="true" outlineLevel="0" collapsed="false">
      <c r="A8" s="15" t="s">
        <v>23</v>
      </c>
      <c r="B8" s="321"/>
      <c r="C8" s="321"/>
      <c r="D8" s="321"/>
      <c r="E8" s="322"/>
    </row>
    <row r="9" customFormat="false" ht="12" hidden="false" customHeight="true" outlineLevel="0" collapsed="false">
      <c r="A9" s="15" t="s">
        <v>744</v>
      </c>
      <c r="B9" s="321" t="n">
        <v>3794.48</v>
      </c>
      <c r="C9" s="321"/>
      <c r="D9" s="321" t="n">
        <v>5004.25</v>
      </c>
      <c r="E9" s="322"/>
    </row>
    <row r="10" customFormat="false" ht="12" hidden="false" customHeight="true" outlineLevel="0" collapsed="false">
      <c r="A10" s="15" t="s">
        <v>745</v>
      </c>
      <c r="B10" s="321" t="n">
        <v>0</v>
      </c>
      <c r="C10" s="321"/>
      <c r="D10" s="321" t="n">
        <v>0</v>
      </c>
      <c r="E10" s="322"/>
    </row>
    <row r="11" customFormat="false" ht="12" hidden="false" customHeight="true" outlineLevel="0" collapsed="false">
      <c r="A11" s="15" t="s">
        <v>28</v>
      </c>
      <c r="B11" s="321" t="n">
        <v>0</v>
      </c>
      <c r="C11" s="321"/>
      <c r="D11" s="321" t="n">
        <v>0</v>
      </c>
      <c r="E11" s="322"/>
    </row>
    <row r="12" customFormat="false" ht="12" hidden="false" customHeight="true" outlineLevel="0" collapsed="false">
      <c r="A12" s="15" t="s">
        <v>29</v>
      </c>
      <c r="B12" s="321"/>
      <c r="C12" s="321"/>
      <c r="D12" s="321"/>
      <c r="E12" s="322"/>
    </row>
    <row r="13" customFormat="false" ht="12" hidden="false" customHeight="true" outlineLevel="0" collapsed="false">
      <c r="A13" s="15" t="s">
        <v>30</v>
      </c>
      <c r="B13" s="321"/>
      <c r="C13" s="321"/>
      <c r="D13" s="321"/>
      <c r="E13" s="322"/>
    </row>
    <row r="14" customFormat="false" ht="12" hidden="false" customHeight="true" outlineLevel="0" collapsed="false">
      <c r="A14" s="15" t="s">
        <v>32</v>
      </c>
      <c r="B14" s="290" t="n">
        <f aca="false">15885/61372</f>
        <v>0.258831388906993</v>
      </c>
      <c r="C14" s="290" t="n">
        <f aca="false">6965/27030</f>
        <v>0.257676655567888</v>
      </c>
      <c r="D14" s="290" t="n">
        <f aca="false">3941/23906</f>
        <v>0.164854011545219</v>
      </c>
      <c r="E14" s="293"/>
    </row>
    <row r="15" customFormat="false" ht="12" hidden="false" customHeight="true" outlineLevel="0" collapsed="false">
      <c r="A15" s="15" t="s">
        <v>34</v>
      </c>
      <c r="B15" s="320"/>
      <c r="C15" s="320"/>
      <c r="D15" s="320"/>
      <c r="E15" s="293"/>
    </row>
    <row r="16" customFormat="false" ht="12" hidden="false" customHeight="true" outlineLevel="0" collapsed="false">
      <c r="A16" s="50" t="s">
        <v>746</v>
      </c>
      <c r="B16" s="323"/>
      <c r="C16" s="323"/>
      <c r="D16" s="323"/>
      <c r="E16" s="324"/>
      <c r="F16" s="325"/>
      <c r="G16" s="325"/>
      <c r="H16" s="325"/>
      <c r="I16" s="325"/>
      <c r="J16" s="325"/>
      <c r="K16" s="325"/>
      <c r="L16" s="325"/>
      <c r="M16" s="325"/>
      <c r="N16" s="325"/>
      <c r="O16" s="325"/>
      <c r="P16" s="325"/>
      <c r="Q16" s="325"/>
      <c r="R16" s="325"/>
      <c r="S16" s="325"/>
      <c r="T16" s="325"/>
      <c r="U16" s="325"/>
      <c r="V16" s="325"/>
      <c r="W16" s="325"/>
      <c r="X16" s="325"/>
      <c r="Y16" s="325"/>
      <c r="Z16" s="325"/>
    </row>
    <row r="17" customFormat="false" ht="12" hidden="false" customHeight="true" outlineLevel="0" collapsed="false">
      <c r="A17" s="10" t="s">
        <v>747</v>
      </c>
      <c r="B17" s="269" t="n">
        <v>172.47</v>
      </c>
      <c r="C17" s="326"/>
      <c r="D17" s="326" t="s">
        <v>646</v>
      </c>
      <c r="E17" s="327"/>
    </row>
    <row r="18" customFormat="false" ht="12.75" hidden="false" customHeight="true" outlineLevel="0" collapsed="false">
      <c r="A18" s="10" t="s">
        <v>748</v>
      </c>
      <c r="B18" s="269" t="n">
        <v>139.4</v>
      </c>
      <c r="C18" s="328" t="s">
        <v>749</v>
      </c>
      <c r="D18" s="326" t="s">
        <v>646</v>
      </c>
      <c r="E18" s="327"/>
    </row>
    <row r="19" customFormat="false" ht="12" hidden="false" customHeight="true" outlineLevel="0" collapsed="false">
      <c r="A19" s="10" t="s">
        <v>750</v>
      </c>
      <c r="B19" s="269" t="n">
        <v>145.18</v>
      </c>
      <c r="C19" s="328"/>
      <c r="D19" s="326" t="s">
        <v>646</v>
      </c>
      <c r="E19" s="327"/>
    </row>
    <row r="20" customFormat="false" ht="12" hidden="false" customHeight="true" outlineLevel="0" collapsed="false">
      <c r="A20" s="10" t="s">
        <v>751</v>
      </c>
      <c r="B20" s="269" t="n">
        <v>156.53</v>
      </c>
      <c r="C20" s="328"/>
      <c r="D20" s="326" t="s">
        <v>646</v>
      </c>
      <c r="E20" s="327"/>
    </row>
    <row r="21" customFormat="false" ht="12" hidden="false" customHeight="true" outlineLevel="0" collapsed="false">
      <c r="A21" s="10" t="s">
        <v>752</v>
      </c>
      <c r="B21" s="269" t="n">
        <v>151.2</v>
      </c>
      <c r="C21" s="328"/>
      <c r="D21" s="326" t="s">
        <v>646</v>
      </c>
      <c r="E21" s="327"/>
    </row>
    <row r="22" customFormat="false" ht="12" hidden="false" customHeight="true" outlineLevel="0" collapsed="false">
      <c r="A22" s="10" t="s">
        <v>753</v>
      </c>
      <c r="B22" s="270" t="n">
        <v>943.63</v>
      </c>
      <c r="C22" s="328"/>
      <c r="D22" s="326" t="s">
        <v>646</v>
      </c>
      <c r="E22" s="327"/>
    </row>
    <row r="23" customFormat="false" ht="12" hidden="false" customHeight="true" outlineLevel="0" collapsed="false">
      <c r="B23" s="61"/>
      <c r="C23" s="328"/>
      <c r="D23" s="329"/>
    </row>
    <row r="24" customFormat="false" ht="12" hidden="false" customHeight="true" outlineLevel="0" collapsed="false">
      <c r="B24" s="329"/>
      <c r="C24" s="329"/>
      <c r="D24" s="329"/>
    </row>
    <row r="25" customFormat="false" ht="12" hidden="false" customHeight="true" outlineLevel="0" collapsed="false">
      <c r="A25" s="10" t="s">
        <v>754</v>
      </c>
      <c r="B25" s="330" t="n">
        <v>107</v>
      </c>
      <c r="C25" s="329"/>
      <c r="D25" s="329"/>
    </row>
    <row r="26" customFormat="false" ht="12" hidden="false" customHeight="true" outlineLevel="0" collapsed="false">
      <c r="B26" s="329"/>
      <c r="C26" s="329"/>
      <c r="D26" s="329"/>
    </row>
    <row r="27" customFormat="false" ht="12" hidden="false" customHeight="true" outlineLevel="0" collapsed="false">
      <c r="B27" s="329"/>
      <c r="C27" s="329"/>
      <c r="D27" s="329"/>
    </row>
    <row r="28" customFormat="false" ht="12" hidden="false" customHeight="true" outlineLevel="0" collapsed="false">
      <c r="B28" s="329"/>
      <c r="C28" s="329"/>
      <c r="D28" s="329"/>
    </row>
    <row r="29" customFormat="false" ht="12" hidden="false" customHeight="true" outlineLevel="0" collapsed="false">
      <c r="B29" s="329"/>
      <c r="C29" s="329"/>
      <c r="D29" s="321" t="n">
        <v>75872</v>
      </c>
    </row>
    <row r="30" customFormat="false" ht="12" hidden="false" customHeight="true" outlineLevel="0" collapsed="false">
      <c r="B30" s="329"/>
      <c r="C30" s="329"/>
      <c r="D30" s="321" t="n">
        <v>2404</v>
      </c>
    </row>
    <row r="31" customFormat="false" ht="12" hidden="false" customHeight="true" outlineLevel="0" collapsed="false">
      <c r="B31" s="329"/>
      <c r="C31" s="329"/>
      <c r="D31" s="321" t="n">
        <v>24171</v>
      </c>
    </row>
    <row r="32" customFormat="false" ht="12" hidden="false" customHeight="true" outlineLevel="0" collapsed="false">
      <c r="B32" s="329"/>
      <c r="C32" s="329"/>
      <c r="D32" s="321" t="n">
        <v>276</v>
      </c>
    </row>
    <row r="33" customFormat="false" ht="12" hidden="false" customHeight="true" outlineLevel="0" collapsed="false">
      <c r="B33" s="329"/>
      <c r="C33" s="329"/>
      <c r="D33" s="329"/>
    </row>
    <row r="34" customFormat="false" ht="12" hidden="false" customHeight="true" outlineLevel="0" collapsed="false">
      <c r="B34" s="329"/>
      <c r="C34" s="329"/>
      <c r="D34" s="329"/>
    </row>
    <row r="35" customFormat="false" ht="12" hidden="false" customHeight="true" outlineLevel="0" collapsed="false">
      <c r="B35" s="329"/>
      <c r="C35" s="329"/>
      <c r="D35" s="329"/>
    </row>
    <row r="36" customFormat="false" ht="12" hidden="false" customHeight="true" outlineLevel="0" collapsed="false">
      <c r="A36" s="81" t="s">
        <v>755</v>
      </c>
      <c r="B36" s="329" t="n">
        <v>630.29</v>
      </c>
      <c r="C36" s="329" t="n">
        <v>286.14</v>
      </c>
      <c r="D36" s="329" t="n">
        <v>426.61</v>
      </c>
      <c r="E36" s="81" t="n">
        <f aca="false">B36-C36+D36</f>
        <v>770.76</v>
      </c>
    </row>
    <row r="37" customFormat="false" ht="12" hidden="false" customHeight="true" outlineLevel="0" collapsed="false">
      <c r="A37" s="81" t="s">
        <v>756</v>
      </c>
      <c r="B37" s="329" t="n">
        <v>2369.47</v>
      </c>
      <c r="C37" s="329" t="n">
        <v>1128.78</v>
      </c>
      <c r="D37" s="329" t="n">
        <v>1219.73</v>
      </c>
      <c r="E37" s="81" t="n">
        <f aca="false">B37-C37+D37</f>
        <v>2460.42</v>
      </c>
    </row>
    <row r="38" customFormat="false" ht="12" hidden="false" customHeight="true" outlineLevel="0" collapsed="false">
      <c r="A38" s="81" t="s">
        <v>757</v>
      </c>
      <c r="B38" s="329" t="n">
        <v>9967.54</v>
      </c>
      <c r="C38" s="329" t="n">
        <v>4703.01</v>
      </c>
      <c r="D38" s="329" t="n">
        <v>5876.21</v>
      </c>
      <c r="E38" s="81" t="n">
        <f aca="false">B38-C38+D38</f>
        <v>11140.74</v>
      </c>
    </row>
    <row r="39" customFormat="false" ht="12" hidden="false" customHeight="true" outlineLevel="0" collapsed="false">
      <c r="B39" s="329"/>
      <c r="C39" s="329"/>
      <c r="D39" s="329"/>
    </row>
    <row r="40" customFormat="false" ht="12" hidden="false" customHeight="true" outlineLevel="0" collapsed="false">
      <c r="A40" s="81" t="s">
        <v>758</v>
      </c>
      <c r="B40" s="329" t="n">
        <v>13043</v>
      </c>
      <c r="C40" s="329" t="n">
        <v>6020.47</v>
      </c>
      <c r="D40" s="329" t="n">
        <v>6322.85</v>
      </c>
      <c r="E40" s="81" t="n">
        <f aca="false">B40-C40+D40</f>
        <v>13345.38</v>
      </c>
    </row>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1">
    <mergeCell ref="C18:C23"/>
  </mergeCells>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sheetPr filterMode="false">
    <pageSetUpPr fitToPage="false"/>
  </sheetPr>
  <dimension ref="A1:Z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6.29"/>
    <col collapsed="false" customWidth="true" hidden="false" outlineLevel="0" max="2" min="2" style="0" width="16.57"/>
    <col collapsed="false" customWidth="true" hidden="false" outlineLevel="0" max="3" min="3" style="0" width="18.29"/>
    <col collapsed="false" customWidth="true" hidden="false" outlineLevel="0" max="5" min="4" style="0" width="12.28"/>
    <col collapsed="false" customWidth="true" hidden="false" outlineLevel="0" max="6" min="6" style="0" width="17.71"/>
    <col collapsed="false" customWidth="true" hidden="false" outlineLevel="0" max="7" min="7" style="0" width="10.72"/>
    <col collapsed="false" customWidth="true" hidden="false" outlineLevel="0" max="26" min="8" style="0" width="8.72"/>
    <col collapsed="false" customWidth="true" hidden="false" outlineLevel="0" max="1025" min="27" style="0" width="14.43"/>
  </cols>
  <sheetData>
    <row r="1" customFormat="false" ht="12" hidden="false" customHeight="true" outlineLevel="0" collapsed="false">
      <c r="A1" s="331" t="s">
        <v>759</v>
      </c>
      <c r="B1" s="331" t="s">
        <v>760</v>
      </c>
      <c r="C1" s="331" t="s">
        <v>761</v>
      </c>
      <c r="D1" s="331" t="s">
        <v>762</v>
      </c>
      <c r="E1" s="331" t="s">
        <v>763</v>
      </c>
      <c r="F1" s="331" t="s">
        <v>217</v>
      </c>
      <c r="G1" s="331" t="s">
        <v>601</v>
      </c>
      <c r="H1" s="331"/>
      <c r="I1" s="331"/>
      <c r="J1" s="331"/>
      <c r="K1" s="331"/>
      <c r="L1" s="331"/>
      <c r="M1" s="331"/>
      <c r="N1" s="331"/>
      <c r="O1" s="331"/>
      <c r="P1" s="331"/>
      <c r="Q1" s="331"/>
      <c r="R1" s="331"/>
      <c r="S1" s="331"/>
      <c r="T1" s="331"/>
      <c r="U1" s="331"/>
      <c r="V1" s="331"/>
      <c r="W1" s="331"/>
      <c r="X1" s="331"/>
      <c r="Y1" s="331"/>
      <c r="Z1" s="331"/>
    </row>
    <row r="2" customFormat="false" ht="12" hidden="false" customHeight="true" outlineLevel="0" collapsed="false">
      <c r="A2" s="81" t="s">
        <v>21</v>
      </c>
      <c r="B2" s="81" t="s">
        <v>764</v>
      </c>
      <c r="C2" s="81" t="s">
        <v>765</v>
      </c>
      <c r="D2" s="81" t="s">
        <v>766</v>
      </c>
      <c r="E2" s="81" t="n">
        <v>1</v>
      </c>
      <c r="F2" s="81" t="s">
        <v>766</v>
      </c>
      <c r="G2" s="81" t="s">
        <v>616</v>
      </c>
    </row>
    <row r="3" customFormat="false" ht="12" hidden="false" customHeight="true" outlineLevel="0" collapsed="false">
      <c r="A3" s="81" t="s">
        <v>24</v>
      </c>
      <c r="B3" s="81" t="s">
        <v>84</v>
      </c>
      <c r="C3" s="81" t="s">
        <v>8</v>
      </c>
      <c r="D3" s="81" t="s">
        <v>763</v>
      </c>
      <c r="E3" s="81" t="n">
        <v>2</v>
      </c>
      <c r="F3" s="81" t="s">
        <v>767</v>
      </c>
      <c r="G3" s="81" t="s">
        <v>292</v>
      </c>
    </row>
    <row r="4" customFormat="false" ht="12" hidden="false" customHeight="true" outlineLevel="0" collapsed="false">
      <c r="C4" s="81" t="s">
        <v>768</v>
      </c>
      <c r="D4" s="81" t="s">
        <v>289</v>
      </c>
      <c r="F4" s="81" t="s">
        <v>769</v>
      </c>
      <c r="G4" s="81" t="s">
        <v>615</v>
      </c>
    </row>
    <row r="5" customFormat="false" ht="12" hidden="false" customHeight="true" outlineLevel="0" collapsed="false">
      <c r="C5" s="81" t="s">
        <v>277</v>
      </c>
      <c r="F5" s="81" t="s">
        <v>272</v>
      </c>
      <c r="G5" s="81" t="s">
        <v>614</v>
      </c>
    </row>
    <row r="6" customFormat="false" ht="12" hidden="false" customHeight="true" outlineLevel="0" collapsed="false">
      <c r="F6" s="81" t="s">
        <v>770</v>
      </c>
      <c r="G6" s="81" t="s">
        <v>613</v>
      </c>
    </row>
    <row r="7" customFormat="false" ht="12" hidden="false" customHeight="true" outlineLevel="0" collapsed="false">
      <c r="G7" s="81" t="s">
        <v>612</v>
      </c>
    </row>
    <row r="8" customFormat="false" ht="12" hidden="false" customHeight="true" outlineLevel="0" collapsed="false">
      <c r="G8" s="81" t="s">
        <v>611</v>
      </c>
    </row>
    <row r="9" customFormat="false" ht="12" hidden="false" customHeight="true" outlineLevel="0" collapsed="false">
      <c r="G9" s="81" t="s">
        <v>610</v>
      </c>
    </row>
    <row r="10" customFormat="false" ht="12" hidden="false" customHeight="true" outlineLevel="0" collapsed="false">
      <c r="G10" s="81" t="s">
        <v>609</v>
      </c>
    </row>
    <row r="11" customFormat="false" ht="12" hidden="false" customHeight="true" outlineLevel="0" collapsed="false">
      <c r="G11" s="81" t="s">
        <v>608</v>
      </c>
    </row>
    <row r="12" customFormat="false" ht="12" hidden="false" customHeight="true" outlineLevel="0" collapsed="false">
      <c r="G12" s="81" t="s">
        <v>607</v>
      </c>
    </row>
    <row r="13" customFormat="false" ht="12" hidden="false" customHeight="true" outlineLevel="0" collapsed="false">
      <c r="G13" s="81" t="s">
        <v>604</v>
      </c>
    </row>
    <row r="14" customFormat="false" ht="12" hidden="false" customHeight="true" outlineLevel="0" collapsed="false">
      <c r="G14" s="81" t="s">
        <v>605</v>
      </c>
    </row>
    <row r="15" customFormat="false" ht="12" hidden="false" customHeight="true" outlineLevel="0" collapsed="false">
      <c r="G15" s="81" t="s">
        <v>606</v>
      </c>
    </row>
    <row r="16" customFormat="false" ht="12" hidden="false" customHeight="true" outlineLevel="0" collapsed="false">
      <c r="G16" s="81" t="s">
        <v>603</v>
      </c>
    </row>
    <row r="17" customFormat="false" ht="12" hidden="false" customHeight="true" outlineLevel="0" collapsed="false"/>
    <row r="18" customFormat="false" ht="12" hidden="false" customHeight="true" outlineLevel="0" collapsed="false"/>
    <row r="19" customFormat="false" ht="12" hidden="false" customHeight="true" outlineLevel="0" collapsed="false"/>
    <row r="20" customFormat="false" ht="12" hidden="false" customHeight="true" outlineLevel="0" collapsed="false"/>
    <row r="21" customFormat="false" ht="12" hidden="false" customHeight="true" outlineLevel="0" collapsed="false"/>
    <row r="22" customFormat="false" ht="12" hidden="false" customHeight="true" outlineLevel="0" collapsed="false"/>
    <row r="23" customFormat="false" ht="12" hidden="false" customHeight="true" outlineLevel="0" collapsed="false"/>
    <row r="24" customFormat="false" ht="12" hidden="false" customHeight="true" outlineLevel="0" collapsed="false"/>
    <row r="25" customFormat="false" ht="12" hidden="false" customHeight="true" outlineLevel="0" collapsed="false"/>
    <row r="26" customFormat="false" ht="12" hidden="false" customHeight="true" outlineLevel="0" collapsed="false"/>
    <row r="27" customFormat="false" ht="12" hidden="false" customHeight="true" outlineLevel="0" collapsed="false"/>
    <row r="28" customFormat="false" ht="12" hidden="false" customHeight="true" outlineLevel="0" collapsed="false"/>
    <row r="29" customFormat="false" ht="12" hidden="false" customHeight="true" outlineLevel="0" collapsed="false"/>
    <row r="30" customFormat="false" ht="12" hidden="false" customHeight="true" outlineLevel="0" collapsed="false"/>
    <row r="31" customFormat="false" ht="12" hidden="false" customHeight="true" outlineLevel="0" collapsed="false"/>
    <row r="32" customFormat="false" ht="12" hidden="false" customHeight="true" outlineLevel="0" collapsed="false"/>
    <row r="33" customFormat="false" ht="12" hidden="false" customHeight="true" outlineLevel="0" collapsed="false"/>
    <row r="34" customFormat="false" ht="12" hidden="false" customHeight="true" outlineLevel="0" collapsed="false"/>
    <row r="35" customFormat="false" ht="12" hidden="false" customHeight="true" outlineLevel="0" collapsed="false"/>
    <row r="36" customFormat="false" ht="12" hidden="false" customHeight="true" outlineLevel="0" collapsed="false"/>
    <row r="37" customFormat="false" ht="12" hidden="false" customHeight="true" outlineLevel="0" collapsed="false"/>
    <row r="38" customFormat="false" ht="12" hidden="false" customHeight="true" outlineLevel="0" collapsed="false"/>
    <row r="39" customFormat="false" ht="12" hidden="false" customHeight="true" outlineLevel="0" collapsed="false"/>
    <row r="40" customFormat="false" ht="12" hidden="false" customHeight="true" outlineLevel="0" collapsed="false"/>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N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23"/>
    <col collapsed="false" customWidth="true" hidden="false" outlineLevel="0" max="13" min="2" style="0" width="14.29"/>
    <col collapsed="false" customWidth="true" hidden="false" outlineLevel="0" max="14" min="14" style="0" width="12.73"/>
    <col collapsed="false" customWidth="true" hidden="false" outlineLevel="0" max="26" min="15" style="0" width="8.72"/>
    <col collapsed="false" customWidth="true" hidden="false" outlineLevel="0" max="1025" min="27" style="0" width="14.43"/>
  </cols>
  <sheetData>
    <row r="1" customFormat="false" ht="15.75" hidden="false" customHeight="true" outlineLevel="0" collapsed="false">
      <c r="A1" s="66"/>
      <c r="B1" s="67" t="s">
        <v>107</v>
      </c>
      <c r="C1" s="67" t="n">
        <v>1</v>
      </c>
      <c r="D1" s="67" t="n">
        <v>2</v>
      </c>
      <c r="E1" s="67" t="n">
        <v>3</v>
      </c>
      <c r="F1" s="67" t="n">
        <v>4</v>
      </c>
      <c r="G1" s="67" t="n">
        <v>5</v>
      </c>
      <c r="H1" s="67" t="n">
        <v>6</v>
      </c>
      <c r="I1" s="67" t="n">
        <v>7</v>
      </c>
      <c r="J1" s="67" t="n">
        <v>8</v>
      </c>
      <c r="K1" s="67" t="n">
        <v>9</v>
      </c>
      <c r="L1" s="67" t="n">
        <v>10</v>
      </c>
      <c r="M1" s="68" t="s">
        <v>108</v>
      </c>
    </row>
    <row r="2" customFormat="false" ht="15.75" hidden="false" customHeight="true" outlineLevel="0" collapsed="false">
      <c r="A2" s="69" t="s">
        <v>109</v>
      </c>
      <c r="B2" s="70"/>
      <c r="C2" s="71" t="n">
        <f aca="false">'Input sheet'!B23</f>
        <v>0.0966</v>
      </c>
      <c r="D2" s="71" t="n">
        <f aca="false">'Input sheet'!B25</f>
        <v>0.1</v>
      </c>
      <c r="E2" s="71" t="n">
        <f aca="false">D2</f>
        <v>0.1</v>
      </c>
      <c r="F2" s="71" t="n">
        <f aca="false">E2</f>
        <v>0.1</v>
      </c>
      <c r="G2" s="71" t="n">
        <f aca="false">F2</f>
        <v>0.1</v>
      </c>
      <c r="H2" s="71" t="n">
        <f aca="false">G2-((G2-$M$2)/5)</f>
        <v>0.085</v>
      </c>
      <c r="I2" s="71" t="n">
        <f aca="false">G2-((G2-$M$2)/5)*2</f>
        <v>0.07</v>
      </c>
      <c r="J2" s="71" t="n">
        <f aca="false">G2-((G2-$M$2)/5)*3</f>
        <v>0.055</v>
      </c>
      <c r="K2" s="71" t="n">
        <f aca="false">G2-((G2-$M$2)/5)*4</f>
        <v>0.04</v>
      </c>
      <c r="L2" s="71" t="n">
        <f aca="false">G2-((G2-$M$2)/5)*5</f>
        <v>0.025</v>
      </c>
      <c r="M2" s="71" t="n">
        <f aca="false">IF('Input sheet'!B60="Yes",'Input sheet'!B61,IF('Input sheet'!B57="Yes",'Input sheet'!B58,'Input sheet'!B30))</f>
        <v>0.025</v>
      </c>
    </row>
    <row r="3" customFormat="false" ht="15" hidden="false" customHeight="true" outlineLevel="0" collapsed="false">
      <c r="A3" s="69" t="s">
        <v>15</v>
      </c>
      <c r="B3" s="72" t="n">
        <f aca="false">'Input sheet'!B8</f>
        <v>282113</v>
      </c>
      <c r="C3" s="73" t="n">
        <f aca="false">B3*(1+C2)</f>
        <v>309365.1158</v>
      </c>
      <c r="D3" s="73" t="n">
        <f aca="false">C3*(1+D2)</f>
        <v>340301.62738</v>
      </c>
      <c r="E3" s="73" t="n">
        <f aca="false">D3*(1+E2)</f>
        <v>374331.790118</v>
      </c>
      <c r="F3" s="73" t="n">
        <f aca="false">E3*(1+F2)</f>
        <v>411764.9691298</v>
      </c>
      <c r="G3" s="73" t="n">
        <f aca="false">F3*(1+G2)</f>
        <v>452941.46604278</v>
      </c>
      <c r="H3" s="73" t="n">
        <f aca="false">G3*(1+H2)</f>
        <v>491441.490656417</v>
      </c>
      <c r="I3" s="73" t="n">
        <f aca="false">H3*(1+I2)</f>
        <v>525842.395002366</v>
      </c>
      <c r="J3" s="73" t="n">
        <f aca="false">I3*(1+J2)</f>
        <v>554763.726727496</v>
      </c>
      <c r="K3" s="73" t="n">
        <f aca="false">J3*(1+K2)</f>
        <v>576954.275796596</v>
      </c>
      <c r="L3" s="73" t="n">
        <f aca="false">K3*(1+L2)</f>
        <v>591378.132691511</v>
      </c>
      <c r="M3" s="74" t="n">
        <f aca="false">L3*(1+M2)</f>
        <v>606162.586008798</v>
      </c>
    </row>
    <row r="4" customFormat="false" ht="15" hidden="false" customHeight="true" outlineLevel="0" collapsed="false">
      <c r="A4" s="69" t="s">
        <v>110</v>
      </c>
      <c r="B4" s="75" t="n">
        <f aca="false">B5/B3</f>
        <v>0.31192229118592</v>
      </c>
      <c r="C4" s="71" t="n">
        <f aca="false">'Input sheet'!B24</f>
        <v>0.301</v>
      </c>
      <c r="D4" s="71" t="n">
        <f aca="false">IF(D1&gt;'Input sheet'!$B$27,'Input sheet'!$B$26,'Input sheet'!$B$26-(('Input sheet'!$B$26-$C$4)/'Input sheet'!$B$27)*('Input sheet'!$B$27-D1))</f>
        <v>0.289285714285714</v>
      </c>
      <c r="E4" s="71" t="n">
        <f aca="false">IF(E1&gt;'Input sheet'!$B$27,'Input sheet'!$B$26,'Input sheet'!$B$26-(('Input sheet'!$B$26-$C$4)/'Input sheet'!$B$27)*('Input sheet'!$B$27-E1))</f>
        <v>0.283428571428571</v>
      </c>
      <c r="F4" s="71" t="n">
        <f aca="false">IF(F1&gt;'Input sheet'!$B$27,'Input sheet'!$B$26,'Input sheet'!$B$26-(('Input sheet'!$B$26-$C$4)/'Input sheet'!$B$27)*('Input sheet'!$B$27-F1))</f>
        <v>0.277571428571429</v>
      </c>
      <c r="G4" s="71" t="n">
        <f aca="false">IF(G1&gt;'Input sheet'!$B$27,'Input sheet'!$B$26,'Input sheet'!$B$26-(('Input sheet'!$B$26-$C$4)/'Input sheet'!$B$27)*('Input sheet'!$B$27-G1))</f>
        <v>0.271714285714286</v>
      </c>
      <c r="H4" s="71" t="n">
        <f aca="false">IF(H1&gt;'Input sheet'!$B$27,'Input sheet'!$B$26,'Input sheet'!$B$26-(('Input sheet'!$B$26-$B$4)/'Input sheet'!$B$27)*('Input sheet'!$B$27-H1))</f>
        <v>0.267417470169417</v>
      </c>
      <c r="I4" s="71" t="n">
        <f aca="false">IF(I1&gt;'Input sheet'!$B$27,'Input sheet'!$B$26,'Input sheet'!$B$26-(('Input sheet'!$B$26-$B$4)/'Input sheet'!$B$27)*('Input sheet'!$B$27-I1))</f>
        <v>0.26</v>
      </c>
      <c r="J4" s="71" t="n">
        <f aca="false">IF(J1&gt;'Input sheet'!$B$27,'Input sheet'!$B$26,'Input sheet'!$B$26-(('Input sheet'!$B$26-$B$4)/'Input sheet'!$B$27)*('Input sheet'!$B$27-J1))</f>
        <v>0.26</v>
      </c>
      <c r="K4" s="71" t="n">
        <f aca="false">IF(K1&gt;'Input sheet'!$B$27,'Input sheet'!$B$26,'Input sheet'!$B$26-(('Input sheet'!$B$26-$B$4)/'Input sheet'!$B$27)*('Input sheet'!$B$27-K1))</f>
        <v>0.26</v>
      </c>
      <c r="L4" s="71" t="n">
        <f aca="false">IF(L1&gt;'Input sheet'!$B$27,'Input sheet'!$B$26,'Input sheet'!$B$26-(('Input sheet'!$B$26-$B$4)/'Input sheet'!$B$27)*('Input sheet'!$B$27-L1))</f>
        <v>0.26</v>
      </c>
      <c r="M4" s="71" t="n">
        <f aca="false">L4</f>
        <v>0.26</v>
      </c>
    </row>
    <row r="5" customFormat="false" ht="15" hidden="false" customHeight="true" outlineLevel="0" collapsed="false">
      <c r="A5" s="69" t="s">
        <v>111</v>
      </c>
      <c r="B5" s="72" t="n">
        <f aca="false">IF('Input sheet'!B14="Yes",IF('Input sheet'!B13="Yes",'Input sheet'!B9+'Operating lease converter'!F32+'R&amp; D converter'!D39,'Input sheet'!B9+'Operating lease converter'!F32),IF('Input sheet'!B13="Yes",'Input sheet'!B9+'R&amp; D converter'!D39,'Input sheet'!B9))</f>
        <v>87997.3333333333</v>
      </c>
      <c r="C5" s="73" t="n">
        <f aca="false">C4*C3</f>
        <v>93118.8998558</v>
      </c>
      <c r="D5" s="73" t="n">
        <f aca="false">D4*D3</f>
        <v>98444.3993492143</v>
      </c>
      <c r="E5" s="73" t="n">
        <f aca="false">E4*E3</f>
        <v>106096.324513445</v>
      </c>
      <c r="F5" s="73" t="n">
        <f aca="false">F4*F3</f>
        <v>114294.190717029</v>
      </c>
      <c r="G5" s="73" t="n">
        <f aca="false">G4*G3</f>
        <v>123070.666916195</v>
      </c>
      <c r="H5" s="73" t="n">
        <f aca="false">H4*H3</f>
        <v>131420.040167626</v>
      </c>
      <c r="I5" s="73" t="n">
        <f aca="false">I4*I3</f>
        <v>136719.022700615</v>
      </c>
      <c r="J5" s="73" t="n">
        <f aca="false">J4*J3</f>
        <v>144238.568949149</v>
      </c>
      <c r="K5" s="73" t="n">
        <f aca="false">K4*K3</f>
        <v>150008.111707115</v>
      </c>
      <c r="L5" s="73" t="n">
        <f aca="false">L4*L3</f>
        <v>153758.314499793</v>
      </c>
      <c r="M5" s="74" t="n">
        <f aca="false">M4*M3</f>
        <v>157602.272362287</v>
      </c>
      <c r="N5" s="76" t="n">
        <f aca="false">M5-B5</f>
        <v>69604.9390289542</v>
      </c>
    </row>
    <row r="6" customFormat="false" ht="15" hidden="false" customHeight="true" outlineLevel="0" collapsed="false">
      <c r="A6" s="69" t="s">
        <v>112</v>
      </c>
      <c r="B6" s="75" t="n">
        <f aca="false">'Input sheet'!B20</f>
        <v>0.145</v>
      </c>
      <c r="C6" s="71" t="n">
        <f aca="false">B6</f>
        <v>0.145</v>
      </c>
      <c r="D6" s="71" t="n">
        <f aca="false">C6</f>
        <v>0.145</v>
      </c>
      <c r="E6" s="71" t="n">
        <f aca="false">D6</f>
        <v>0.145</v>
      </c>
      <c r="F6" s="71" t="n">
        <f aca="false">E6</f>
        <v>0.145</v>
      </c>
      <c r="G6" s="71" t="n">
        <f aca="false">F6</f>
        <v>0.145</v>
      </c>
      <c r="H6" s="71" t="n">
        <f aca="false">G6+($M$6-$G$6)/5</f>
        <v>0.172</v>
      </c>
      <c r="I6" s="71" t="n">
        <f aca="false">H6+($M$6-$G$6)/5</f>
        <v>0.199</v>
      </c>
      <c r="J6" s="71" t="n">
        <f aca="false">I6+($M$6-$G$6)/5</f>
        <v>0.226</v>
      </c>
      <c r="K6" s="71" t="n">
        <f aca="false">J6+($M$6-$G$6)/5</f>
        <v>0.253</v>
      </c>
      <c r="L6" s="71" t="n">
        <f aca="false">K6+($M$6-$G$6)/5</f>
        <v>0.28</v>
      </c>
      <c r="M6" s="71" t="n">
        <f aca="false">IF('Input sheet'!B52="Yes",'Input sheet'!B20,'Input sheet'!B21)</f>
        <v>0.28</v>
      </c>
    </row>
    <row r="7" customFormat="false" ht="15" hidden="false" customHeight="true" outlineLevel="0" collapsed="false">
      <c r="A7" s="69" t="s">
        <v>113</v>
      </c>
      <c r="B7" s="72" t="n">
        <f aca="false">IF(B5&gt;0,B5*(1-B6),B5)</f>
        <v>75237.72</v>
      </c>
      <c r="C7" s="73" t="n">
        <f aca="false">IF(C5&gt;0,IF(C5&lt;B10,C5,C5-(C5-B10)*C6),C5)</f>
        <v>79616.659376709</v>
      </c>
      <c r="D7" s="73" t="n">
        <f aca="false">IF(D5&gt;0,IF(D5&lt;C10,D5,D5-(D5-C10)*D6),D5)</f>
        <v>84169.9614435782</v>
      </c>
      <c r="E7" s="73" t="n">
        <f aca="false">IF(E5&gt;0,IF(E5&lt;D10,E5,E5-(E5-D10)*E6),E5)</f>
        <v>90712.3574589951</v>
      </c>
      <c r="F7" s="73" t="n">
        <f aca="false">IF(F5&gt;0,IF(F5&lt;E10,F5,F5-(F5-E10)*F6),F5)</f>
        <v>97721.5330630596</v>
      </c>
      <c r="G7" s="73" t="n">
        <f aca="false">IF(G5&gt;0,IF(G5&lt;F10,G5,G5-(G5-F10)*G6),G5)</f>
        <v>105225.420213347</v>
      </c>
      <c r="H7" s="73" t="n">
        <f aca="false">IF(H5&gt;0,IF(H5&lt;G10,H5,H5-(H5-G10)*H6),H5)</f>
        <v>108815.793258795</v>
      </c>
      <c r="I7" s="73" t="n">
        <f aca="false">IF(I5&gt;0,IF(I5&lt;H10,I5,I5-(I5-H10)*I6),I5)</f>
        <v>109511.937183193</v>
      </c>
      <c r="J7" s="73" t="n">
        <f aca="false">IF(J5&gt;0,IF(J5&lt;I10,J5,J5-(J5-I10)*J6),J5)</f>
        <v>111640.652366641</v>
      </c>
      <c r="K7" s="73" t="n">
        <f aca="false">IF(K5&gt;0,IF(K5&lt;J10,K5,K5-(K5-J10)*K6),K5)</f>
        <v>112056.059445215</v>
      </c>
      <c r="L7" s="73" t="n">
        <f aca="false">IF(L5&gt;0,IF(L5&lt;K10,L5,L5-(L5-K10)*L6),L5)</f>
        <v>110705.986439851</v>
      </c>
      <c r="M7" s="73" t="n">
        <f aca="false">M5*(1-M6)</f>
        <v>113473.636100847</v>
      </c>
    </row>
    <row r="8" customFormat="false" ht="15" hidden="false" customHeight="true" outlineLevel="0" collapsed="false">
      <c r="A8" s="69" t="s">
        <v>114</v>
      </c>
      <c r="B8" s="72"/>
      <c r="C8" s="77" t="n">
        <f aca="false">IF(C3&gt;B3,(C3-B3)/'Input sheet'!B28,0)</f>
        <v>20549.8146</v>
      </c>
      <c r="D8" s="73" t="n">
        <f aca="false">(D3-C3)/D38</f>
        <v>23328.08146</v>
      </c>
      <c r="E8" s="73" t="n">
        <f aca="false">(E3-D3)/E38</f>
        <v>25660.889606</v>
      </c>
      <c r="F8" s="73" t="n">
        <f aca="false">(F3-E3)/F38</f>
        <v>28226.9785666</v>
      </c>
      <c r="G8" s="73" t="n">
        <f aca="false">(G3-F3)/G38</f>
        <v>31049.67642326</v>
      </c>
      <c r="H8" s="73" t="n">
        <f aca="false">(H3-G3)/H38</f>
        <v>29031.4474557481</v>
      </c>
      <c r="I8" s="73" t="n">
        <f aca="false">(I3-H3)/I38</f>
        <v>25940.4521678126</v>
      </c>
      <c r="J8" s="73" t="n">
        <f aca="false">(J3-I3)/J38</f>
        <v>21808.5087153681</v>
      </c>
      <c r="K8" s="73" t="n">
        <f aca="false">(K3-J3)/K38</f>
        <v>16733.0739597916</v>
      </c>
      <c r="L8" s="73" t="n">
        <f aca="false">(L3-K3)/L38</f>
        <v>10876.4980738645</v>
      </c>
      <c r="M8" s="73" t="n">
        <f aca="false">IF(M2&gt;0,(M2/M40)*M7,0)</f>
        <v>14184.2045126059</v>
      </c>
      <c r="N8" s="76" t="n">
        <f aca="false">SUM(C8:M8)</f>
        <v>247389.625541051</v>
      </c>
    </row>
    <row r="9" customFormat="false" ht="15" hidden="false" customHeight="true" outlineLevel="0" collapsed="false">
      <c r="A9" s="69" t="s">
        <v>115</v>
      </c>
      <c r="B9" s="72"/>
      <c r="C9" s="73" t="n">
        <f aca="false">C7-C8</f>
        <v>59066.844776709</v>
      </c>
      <c r="D9" s="73" t="n">
        <f aca="false">D7-D8</f>
        <v>60841.8799835782</v>
      </c>
      <c r="E9" s="73" t="n">
        <f aca="false">E7-E8</f>
        <v>65051.4678529951</v>
      </c>
      <c r="F9" s="73" t="n">
        <f aca="false">F7-F8</f>
        <v>69494.5544964596</v>
      </c>
      <c r="G9" s="73" t="n">
        <f aca="false">G7-G8</f>
        <v>74175.7437900871</v>
      </c>
      <c r="H9" s="73" t="n">
        <f aca="false">H7-H8</f>
        <v>79784.3458030465</v>
      </c>
      <c r="I9" s="73" t="n">
        <f aca="false">I7-I8</f>
        <v>83571.4850153802</v>
      </c>
      <c r="J9" s="73" t="n">
        <f aca="false">J7-J8</f>
        <v>89832.1436512732</v>
      </c>
      <c r="K9" s="73" t="n">
        <f aca="false">K7-K8</f>
        <v>95322.9854854233</v>
      </c>
      <c r="L9" s="73" t="n">
        <f aca="false">L7-L8</f>
        <v>99829.4883659864</v>
      </c>
      <c r="M9" s="73" t="n">
        <f aca="false">M7-M8</f>
        <v>99289.4315882411</v>
      </c>
    </row>
    <row r="10" customFormat="false" ht="15" hidden="false" customHeight="true" outlineLevel="0" collapsed="false">
      <c r="A10" s="69" t="s">
        <v>116</v>
      </c>
      <c r="B10" s="72" t="n">
        <f aca="false">IF('Input sheet'!B54="Yes",'Input sheet'!B55,0)</f>
        <v>0</v>
      </c>
      <c r="C10" s="73" t="n">
        <f aca="false">IF(C5&lt;0,B10-C5,IF(B10&gt;C5,B10-C5,0))</f>
        <v>0</v>
      </c>
      <c r="D10" s="73" t="n">
        <f aca="false">IF(D5&lt;0,C10-D5,IF(C10&gt;D5,C10-D5,0))</f>
        <v>0</v>
      </c>
      <c r="E10" s="73" t="n">
        <f aca="false">IF(E5&lt;0,D10-E5,IF(D10&gt;E5,D10-E5,0))</f>
        <v>0</v>
      </c>
      <c r="F10" s="73" t="n">
        <f aca="false">IF(F5&lt;0,E10-F5,IF(E10&gt;F5,E10-F5,0))</f>
        <v>0</v>
      </c>
      <c r="G10" s="73" t="n">
        <f aca="false">IF(G5&lt;0,F10-G5,IF(F10&gt;G5,F10-G5,0))</f>
        <v>0</v>
      </c>
      <c r="H10" s="73" t="n">
        <f aca="false">IF(H5&lt;0,G10-H5,IF(G10&gt;H5,G10-H5,0))</f>
        <v>0</v>
      </c>
      <c r="I10" s="73" t="n">
        <f aca="false">IF(I5&lt;0,H10-I5,IF(H10&gt;I5,H10-I5,0))</f>
        <v>0</v>
      </c>
      <c r="J10" s="73" t="n">
        <f aca="false">IF(J5&lt;0,I10-J5,IF(I10&gt;J5,I10-J5,0))</f>
        <v>0</v>
      </c>
      <c r="K10" s="73" t="n">
        <f aca="false">IF(K5&lt;0,J10-K5,IF(J10&gt;K5,J10-K5,0))</f>
        <v>0</v>
      </c>
      <c r="L10" s="73" t="n">
        <f aca="false">IF(L5&lt;0,K10-L5,IF(K10&gt;L5,K10-L5,0))</f>
        <v>0</v>
      </c>
      <c r="M10" s="73" t="n">
        <f aca="false">IF(M5&lt;0,L10-M5,IF(L10&gt;M5,L10-M5,0))</f>
        <v>0</v>
      </c>
    </row>
    <row r="11" customFormat="false" ht="15" hidden="false" customHeight="true" outlineLevel="0" collapsed="false">
      <c r="A11" s="69"/>
      <c r="B11" s="70"/>
      <c r="C11" s="77"/>
      <c r="D11" s="77"/>
      <c r="E11" s="77"/>
      <c r="F11" s="77"/>
      <c r="G11" s="77"/>
      <c r="H11" s="77"/>
      <c r="I11" s="77"/>
      <c r="J11" s="77"/>
      <c r="K11" s="77"/>
      <c r="L11" s="77"/>
      <c r="M11" s="77"/>
    </row>
    <row r="12" customFormat="false" ht="15" hidden="false" customHeight="true" outlineLevel="0" collapsed="false">
      <c r="A12" s="69" t="s">
        <v>117</v>
      </c>
      <c r="B12" s="75"/>
      <c r="C12" s="71" t="n">
        <f aca="false">'Input sheet'!B31</f>
        <v>0.0829198173245978</v>
      </c>
      <c r="D12" s="71" t="n">
        <f aca="false">C12</f>
        <v>0.0829198173245978</v>
      </c>
      <c r="E12" s="71" t="n">
        <f aca="false">D12</f>
        <v>0.0829198173245978</v>
      </c>
      <c r="F12" s="71" t="n">
        <f aca="false">E12</f>
        <v>0.0829198173245978</v>
      </c>
      <c r="G12" s="71" t="n">
        <f aca="false">F12</f>
        <v>0.0829198173245978</v>
      </c>
      <c r="H12" s="71" t="n">
        <f aca="false">G12-($G$12-$M$12)/5</f>
        <v>0.0805158538596782</v>
      </c>
      <c r="I12" s="71" t="n">
        <f aca="false">H12-($G$12-$M$12)/5</f>
        <v>0.0781118903947587</v>
      </c>
      <c r="J12" s="71" t="n">
        <f aca="false">I12-($G$12-$M$12)/5</f>
        <v>0.0757079269298391</v>
      </c>
      <c r="K12" s="71" t="n">
        <f aca="false">J12-($G$12-$M$12)/5</f>
        <v>0.0733039634649196</v>
      </c>
      <c r="L12" s="71" t="n">
        <f aca="false">K12-($G$12-$M$12)/5</f>
        <v>0.0709</v>
      </c>
      <c r="M12" s="71" t="n">
        <f aca="false">IF('Input sheet'!B41="Yes",'Input sheet'!B42,IF('Input sheet'!B57="Yes",'Input sheet'!B58+'Country equity risk premiums'!B1,'Input sheet'!B30+'Country equity risk premiums'!B1))</f>
        <v>0.0709</v>
      </c>
    </row>
    <row r="13" customFormat="false" ht="15" hidden="false" customHeight="true" outlineLevel="0" collapsed="false">
      <c r="A13" s="69" t="s">
        <v>118</v>
      </c>
      <c r="B13" s="70"/>
      <c r="C13" s="78" t="n">
        <f aca="false">1/(1+C12)</f>
        <v>0.923429402622389</v>
      </c>
      <c r="D13" s="78" t="n">
        <f aca="false">C13*(1/(1+D12))</f>
        <v>0.852721861627542</v>
      </c>
      <c r="E13" s="78" t="n">
        <f aca="false">D13*(1/(1+E12))</f>
        <v>0.787428439285773</v>
      </c>
      <c r="F13" s="78" t="n">
        <f aca="false">E13*(1/(1+F12))</f>
        <v>0.727134573297541</v>
      </c>
      <c r="G13" s="78" t="n">
        <f aca="false">F13*(1/(1+G12))</f>
        <v>0.671457444646234</v>
      </c>
      <c r="H13" s="78" t="n">
        <f aca="false">G13*(1/(1+H12))</f>
        <v>0.621423038123635</v>
      </c>
      <c r="I13" s="78" t="n">
        <f aca="false">H13*(1/(1+I12))</f>
        <v>0.576399391992696</v>
      </c>
      <c r="J13" s="78" t="n">
        <f aca="false">I13*(1/(1+J12))</f>
        <v>0.535832615492374</v>
      </c>
      <c r="K13" s="78" t="n">
        <f aca="false">J13*(1/(1+K12))</f>
        <v>0.499236594415025</v>
      </c>
      <c r="L13" s="78" t="n">
        <f aca="false">K13*(1/(1+L12))</f>
        <v>0.466184138962578</v>
      </c>
      <c r="M13" s="77"/>
    </row>
    <row r="14" customFormat="false" ht="15" hidden="false" customHeight="true" outlineLevel="0" collapsed="false">
      <c r="A14" s="69" t="s">
        <v>119</v>
      </c>
      <c r="B14" s="70"/>
      <c r="C14" s="73" t="n">
        <f aca="false">C9*C13</f>
        <v>54544.0611869458</v>
      </c>
      <c r="D14" s="73" t="n">
        <f aca="false">D9*D13</f>
        <v>51881.2011645163</v>
      </c>
      <c r="E14" s="73" t="n">
        <f aca="false">E9*E13</f>
        <v>51223.3758047326</v>
      </c>
      <c r="F14" s="73" t="n">
        <f aca="false">F9*F13</f>
        <v>50531.8932302859</v>
      </c>
      <c r="G14" s="73" t="n">
        <f aca="false">G9*G13</f>
        <v>49805.8553800256</v>
      </c>
      <c r="H14" s="73" t="n">
        <f aca="false">H9*H13</f>
        <v>49579.8305636358</v>
      </c>
      <c r="I14" s="73" t="n">
        <f aca="false">I9*I13</f>
        <v>48170.5531507918</v>
      </c>
      <c r="J14" s="73" t="n">
        <f aca="false">J9*J13</f>
        <v>48134.9924879484</v>
      </c>
      <c r="K14" s="73" t="n">
        <f aca="false">K9*K13</f>
        <v>47588.7226432156</v>
      </c>
      <c r="L14" s="73" t="n">
        <f aca="false">L9*L13</f>
        <v>46538.9240769721</v>
      </c>
      <c r="M14" s="77"/>
    </row>
    <row r="15" customFormat="false" ht="15" hidden="false" customHeight="true" outlineLevel="0" collapsed="false">
      <c r="A15" s="69"/>
      <c r="B15" s="69"/>
      <c r="C15" s="79"/>
      <c r="D15" s="79"/>
      <c r="E15" s="79"/>
      <c r="F15" s="79"/>
      <c r="G15" s="79"/>
      <c r="H15" s="79"/>
      <c r="I15" s="79"/>
      <c r="J15" s="79"/>
      <c r="K15" s="79"/>
      <c r="L15" s="79"/>
      <c r="M15" s="79"/>
    </row>
    <row r="16" customFormat="false" ht="15" hidden="false" customHeight="true" outlineLevel="0" collapsed="false">
      <c r="A16" s="80" t="s">
        <v>120</v>
      </c>
      <c r="B16" s="72" t="n">
        <f aca="false">M9</f>
        <v>99289.4315882411</v>
      </c>
      <c r="C16" s="81"/>
      <c r="D16" s="81"/>
      <c r="E16" s="81"/>
      <c r="F16" s="82"/>
      <c r="G16" s="83"/>
      <c r="H16" s="84"/>
      <c r="I16" s="81"/>
      <c r="J16" s="81"/>
      <c r="K16" s="85"/>
      <c r="L16" s="85"/>
      <c r="M16" s="79"/>
    </row>
    <row r="17" customFormat="false" ht="15" hidden="false" customHeight="true" outlineLevel="0" collapsed="false">
      <c r="A17" s="80" t="s">
        <v>121</v>
      </c>
      <c r="B17" s="75" t="n">
        <f aca="false">M12</f>
        <v>0.0709</v>
      </c>
      <c r="C17" s="81"/>
      <c r="D17" s="81"/>
      <c r="E17" s="81"/>
      <c r="F17" s="82"/>
      <c r="G17" s="83"/>
      <c r="H17" s="81"/>
      <c r="I17" s="81"/>
      <c r="J17" s="81"/>
      <c r="K17" s="85"/>
      <c r="L17" s="85"/>
      <c r="M17" s="79"/>
    </row>
    <row r="18" customFormat="false" ht="15.75" hidden="false" customHeight="true" outlineLevel="0" collapsed="false">
      <c r="A18" s="80" t="s">
        <v>122</v>
      </c>
      <c r="B18" s="72" t="n">
        <f aca="false">B16/(B17-M2)</f>
        <v>2163168.44418826</v>
      </c>
      <c r="C18" s="81"/>
      <c r="D18" s="81"/>
      <c r="E18" s="81"/>
      <c r="F18" s="84"/>
      <c r="G18" s="81"/>
      <c r="H18" s="81"/>
      <c r="I18" s="81"/>
      <c r="J18" s="81"/>
      <c r="K18" s="85"/>
      <c r="L18" s="85"/>
      <c r="M18" s="79"/>
    </row>
    <row r="19" customFormat="false" ht="15.75" hidden="false" customHeight="true" outlineLevel="0" collapsed="false">
      <c r="A19" s="80" t="s">
        <v>123</v>
      </c>
      <c r="B19" s="72" t="n">
        <f aca="false">B18*L13</f>
        <v>1008434.81858492</v>
      </c>
      <c r="C19" s="81"/>
      <c r="D19" s="81"/>
      <c r="E19" s="81"/>
      <c r="F19" s="82"/>
      <c r="G19" s="81"/>
      <c r="H19" s="81"/>
      <c r="I19" s="81"/>
      <c r="J19" s="81"/>
      <c r="K19" s="85"/>
      <c r="L19" s="85"/>
      <c r="M19" s="79"/>
    </row>
    <row r="20" customFormat="false" ht="15.75" hidden="false" customHeight="true" outlineLevel="0" collapsed="false">
      <c r="A20" s="80" t="s">
        <v>124</v>
      </c>
      <c r="B20" s="72" t="n">
        <f aca="false">SUM(C14:L14)</f>
        <v>497999.40968907</v>
      </c>
      <c r="C20" s="81"/>
      <c r="D20" s="81"/>
      <c r="E20" s="81"/>
      <c r="F20" s="82"/>
      <c r="G20" s="81"/>
      <c r="H20" s="81"/>
      <c r="I20" s="81"/>
      <c r="J20" s="81"/>
      <c r="K20" s="85"/>
      <c r="L20" s="85"/>
      <c r="M20" s="79"/>
    </row>
    <row r="21" customFormat="false" ht="15.75" hidden="false" customHeight="true" outlineLevel="0" collapsed="false">
      <c r="A21" s="80" t="s">
        <v>125</v>
      </c>
      <c r="B21" s="72" t="n">
        <f aca="false">B19+B20</f>
        <v>1506434.22827399</v>
      </c>
      <c r="C21" s="81"/>
      <c r="D21" s="81"/>
      <c r="E21" s="82"/>
      <c r="F21" s="82"/>
      <c r="G21" s="82"/>
      <c r="H21" s="82"/>
      <c r="I21" s="81"/>
      <c r="J21" s="81"/>
      <c r="K21" s="79"/>
      <c r="L21" s="85"/>
      <c r="M21" s="79"/>
    </row>
    <row r="22" customFormat="false" ht="15.75" hidden="false" customHeight="true" outlineLevel="0" collapsed="false">
      <c r="A22" s="80" t="s">
        <v>126</v>
      </c>
      <c r="B22" s="75" t="n">
        <f aca="false">IF('Input sheet'!B47="Yes",'Input sheet'!B48,0)</f>
        <v>0</v>
      </c>
      <c r="C22" s="81"/>
      <c r="D22" s="81"/>
      <c r="E22" s="81"/>
      <c r="F22" s="82"/>
      <c r="G22" s="81"/>
      <c r="H22" s="81"/>
      <c r="I22" s="81"/>
      <c r="J22" s="82"/>
      <c r="K22" s="86"/>
      <c r="L22" s="85"/>
      <c r="M22" s="79"/>
    </row>
    <row r="23" customFormat="false" ht="15.75" hidden="false" customHeight="true" outlineLevel="0" collapsed="false">
      <c r="A23" s="80" t="s">
        <v>127</v>
      </c>
      <c r="B23" s="87" t="n">
        <f aca="false">IF('Input sheet'!B49="B",('Input sheet'!B11+'Input sheet'!B12)*'Input sheet'!B50,'Valuation output'!B21*'Input sheet'!B50)</f>
        <v>753217.114136997</v>
      </c>
      <c r="C23" s="81"/>
      <c r="D23" s="81"/>
      <c r="E23" s="81"/>
      <c r="F23" s="82"/>
      <c r="G23" s="81"/>
      <c r="H23" s="81"/>
      <c r="I23" s="81"/>
      <c r="J23" s="82"/>
      <c r="K23" s="86"/>
      <c r="L23" s="85"/>
      <c r="M23" s="79"/>
    </row>
    <row r="24" customFormat="false" ht="15.75" hidden="false" customHeight="true" outlineLevel="0" collapsed="false">
      <c r="A24" s="80" t="s">
        <v>128</v>
      </c>
      <c r="B24" s="72" t="n">
        <f aca="false">B21*(1-B22)+B23*B22</f>
        <v>1506434.22827399</v>
      </c>
      <c r="C24" s="81"/>
      <c r="D24" s="81"/>
      <c r="E24" s="81"/>
      <c r="F24" s="82"/>
      <c r="G24" s="81"/>
      <c r="H24" s="81"/>
      <c r="I24" s="81"/>
      <c r="J24" s="82"/>
      <c r="K24" s="86"/>
      <c r="L24" s="85"/>
      <c r="M24" s="79"/>
    </row>
    <row r="25" customFormat="false" ht="15.75" hidden="false" customHeight="true" outlineLevel="0" collapsed="false">
      <c r="A25" s="80" t="s">
        <v>129</v>
      </c>
      <c r="B25" s="72" t="n">
        <f aca="false">IF('Input sheet'!B14="Yes",'Input sheet'!B12+'Operating lease converter'!C28,'Input sheet'!B12)</f>
        <v>28922</v>
      </c>
      <c r="C25" s="81"/>
      <c r="D25" s="81"/>
      <c r="E25" s="81"/>
      <c r="F25" s="84"/>
      <c r="G25" s="81"/>
      <c r="H25" s="81"/>
      <c r="I25" s="81"/>
      <c r="J25" s="84"/>
      <c r="K25" s="85"/>
      <c r="L25" s="85"/>
      <c r="M25" s="79"/>
    </row>
    <row r="26" customFormat="false" ht="15.75" hidden="false" customHeight="true" outlineLevel="0" collapsed="false">
      <c r="A26" s="80" t="s">
        <v>130</v>
      </c>
      <c r="B26" s="72" t="n">
        <f aca="false">'Input sheet'!B17</f>
        <v>0</v>
      </c>
      <c r="C26" s="81"/>
      <c r="D26" s="81"/>
      <c r="E26" s="81"/>
      <c r="F26" s="81"/>
      <c r="G26" s="81"/>
      <c r="H26" s="81"/>
      <c r="I26" s="81"/>
      <c r="J26" s="81"/>
      <c r="K26" s="85"/>
      <c r="L26" s="85"/>
      <c r="M26" s="79"/>
    </row>
    <row r="27" customFormat="false" ht="15.75" hidden="false" customHeight="true" outlineLevel="0" collapsed="false">
      <c r="A27" s="80" t="s">
        <v>131</v>
      </c>
      <c r="B27" s="72" t="n">
        <f aca="false">IF('Input sheet'!B63="YES",'Input sheet'!B15-'Input sheet'!B64*('Input sheet'!B21-'Input sheet'!B65),'Input sheet'!B15)</f>
        <v>138243</v>
      </c>
      <c r="C27" s="81"/>
      <c r="D27" s="81"/>
      <c r="E27" s="81"/>
      <c r="F27" s="81"/>
      <c r="G27" s="81"/>
      <c r="H27" s="81"/>
      <c r="I27" s="81"/>
      <c r="J27" s="81"/>
      <c r="K27" s="85"/>
      <c r="L27" s="85"/>
      <c r="M27" s="79"/>
    </row>
    <row r="28" customFormat="false" ht="15.75" hidden="false" customHeight="true" outlineLevel="0" collapsed="false">
      <c r="A28" s="80" t="s">
        <v>132</v>
      </c>
      <c r="B28" s="72" t="n">
        <f aca="false">'Input sheet'!B16</f>
        <v>0</v>
      </c>
      <c r="C28" s="81"/>
      <c r="D28" s="81"/>
      <c r="E28" s="84"/>
      <c r="F28" s="81"/>
      <c r="G28" s="81"/>
      <c r="H28" s="81"/>
      <c r="I28" s="84"/>
      <c r="J28" s="81"/>
      <c r="K28" s="85"/>
      <c r="L28" s="85"/>
      <c r="M28" s="79"/>
    </row>
    <row r="29" customFormat="false" ht="15.75" hidden="false" customHeight="true" outlineLevel="0" collapsed="false">
      <c r="A29" s="80" t="s">
        <v>133</v>
      </c>
      <c r="B29" s="72" t="n">
        <f aca="false">B24-B25-B26+B27+B28</f>
        <v>1615755.22827399</v>
      </c>
      <c r="C29" s="81"/>
      <c r="D29" s="81"/>
      <c r="E29" s="82"/>
      <c r="F29" s="81"/>
      <c r="G29" s="81"/>
      <c r="H29" s="81"/>
      <c r="I29" s="81"/>
      <c r="J29" s="81"/>
      <c r="K29" s="85"/>
      <c r="L29" s="85"/>
      <c r="M29" s="79"/>
    </row>
    <row r="30" customFormat="false" ht="15.75" hidden="false" customHeight="true" outlineLevel="0" collapsed="false">
      <c r="A30" s="80" t="s">
        <v>134</v>
      </c>
      <c r="B30" s="88" t="n">
        <f aca="false">IF('Input sheet'!B33="No",0,'Option value'!D27)</f>
        <v>0</v>
      </c>
      <c r="C30" s="81"/>
      <c r="D30" s="81"/>
      <c r="E30" s="84"/>
      <c r="F30" s="81"/>
      <c r="G30" s="81"/>
      <c r="H30" s="81"/>
      <c r="I30" s="81"/>
      <c r="J30" s="81"/>
      <c r="K30" s="85"/>
      <c r="L30" s="85"/>
      <c r="M30" s="79"/>
    </row>
    <row r="31" customFormat="false" ht="15.75" hidden="false" customHeight="true" outlineLevel="0" collapsed="false">
      <c r="A31" s="80" t="s">
        <v>135</v>
      </c>
      <c r="B31" s="72" t="n">
        <f aca="false">B29-B30</f>
        <v>1615755.22827399</v>
      </c>
      <c r="C31" s="81"/>
      <c r="D31" s="81"/>
      <c r="E31" s="81"/>
      <c r="F31" s="81"/>
      <c r="G31" s="81"/>
      <c r="H31" s="81"/>
      <c r="I31" s="81"/>
      <c r="J31" s="81"/>
      <c r="K31" s="85"/>
      <c r="L31" s="85"/>
      <c r="M31" s="79"/>
    </row>
    <row r="32" customFormat="false" ht="15.75" hidden="false" customHeight="true" outlineLevel="0" collapsed="false">
      <c r="A32" s="80" t="s">
        <v>136</v>
      </c>
      <c r="B32" s="89" t="n">
        <f aca="false">'Input sheet'!B18</f>
        <v>12943</v>
      </c>
      <c r="C32" s="81"/>
      <c r="D32" s="90"/>
      <c r="E32" s="81"/>
      <c r="F32" s="81"/>
      <c r="G32" s="81"/>
      <c r="H32" s="81"/>
      <c r="I32" s="81"/>
      <c r="J32" s="84"/>
      <c r="K32" s="85"/>
      <c r="L32" s="85"/>
      <c r="M32" s="79"/>
    </row>
    <row r="33" customFormat="false" ht="15.75" hidden="false" customHeight="true" outlineLevel="0" collapsed="false">
      <c r="A33" s="80" t="s">
        <v>137</v>
      </c>
      <c r="B33" s="91" t="n">
        <f aca="false">B31/B32</f>
        <v>124.83622253527</v>
      </c>
      <c r="C33" s="81"/>
      <c r="D33" s="85"/>
      <c r="E33" s="92"/>
      <c r="F33" s="85"/>
      <c r="G33" s="85"/>
      <c r="H33" s="85"/>
      <c r="I33" s="81"/>
      <c r="J33" s="93" t="s">
        <v>138</v>
      </c>
      <c r="K33" s="85"/>
      <c r="L33" s="94" t="n">
        <f aca="false">B34/L35</f>
        <v>0.759491582219179</v>
      </c>
      <c r="M33" s="79"/>
    </row>
    <row r="34" customFormat="false" ht="15.75" hidden="false" customHeight="true" outlineLevel="0" collapsed="false">
      <c r="A34" s="80" t="s">
        <v>139</v>
      </c>
      <c r="B34" s="72" t="n">
        <f aca="false">'Input sheet'!B19</f>
        <v>86.7</v>
      </c>
      <c r="C34" s="81"/>
      <c r="D34" s="79"/>
      <c r="E34" s="92"/>
      <c r="F34" s="85"/>
      <c r="G34" s="95"/>
      <c r="H34" s="85"/>
      <c r="I34" s="81"/>
      <c r="J34" s="93" t="s">
        <v>140</v>
      </c>
      <c r="K34" s="85"/>
      <c r="L34" s="96" t="n">
        <f aca="true">YIELD(TODAY(),TODAY()+11*365,C12,100*L33,100,1,1)</f>
        <v>0.124175612436569</v>
      </c>
      <c r="M34" s="79"/>
    </row>
    <row r="35" customFormat="false" ht="15.75" hidden="false" customHeight="true" outlineLevel="0" collapsed="false">
      <c r="A35" s="80" t="s">
        <v>141</v>
      </c>
      <c r="B35" s="75" t="n">
        <f aca="false">B34/B33</f>
        <v>0.694509960644676</v>
      </c>
      <c r="C35" s="81"/>
      <c r="D35" s="97" t="s">
        <v>142</v>
      </c>
      <c r="E35" s="86" t="n">
        <f aca="true">YIELD(TODAY(),TODAY()+11*365,C12,100*B35,100,1,1)</f>
        <v>0.138639810921364</v>
      </c>
      <c r="F35" s="92"/>
      <c r="G35" s="85"/>
      <c r="H35" s="85"/>
      <c r="I35" s="81"/>
      <c r="J35" s="93" t="s">
        <v>143</v>
      </c>
      <c r="K35" s="85"/>
      <c r="L35" s="98" t="n">
        <f aca="false">(B31-B27)/B32</f>
        <v>114.155313936027</v>
      </c>
      <c r="M35" s="79"/>
    </row>
    <row r="36" customFormat="false" ht="15.75" hidden="false" customHeight="true" outlineLevel="0" collapsed="false">
      <c r="A36" s="69"/>
      <c r="B36" s="69"/>
      <c r="C36" s="79"/>
      <c r="D36" s="79"/>
      <c r="E36" s="86"/>
      <c r="F36" s="79"/>
      <c r="G36" s="79"/>
      <c r="H36" s="79"/>
      <c r="I36" s="79"/>
      <c r="J36" s="86"/>
      <c r="K36" s="79"/>
      <c r="L36" s="79"/>
      <c r="M36" s="79"/>
    </row>
    <row r="37" customFormat="false" ht="15.75" hidden="false" customHeight="true" outlineLevel="0" collapsed="false">
      <c r="A37" s="99" t="s">
        <v>144</v>
      </c>
      <c r="B37" s="70"/>
      <c r="C37" s="77"/>
      <c r="D37" s="77"/>
      <c r="E37" s="77"/>
      <c r="F37" s="77"/>
      <c r="G37" s="77"/>
      <c r="H37" s="77"/>
      <c r="I37" s="77"/>
      <c r="J37" s="77"/>
      <c r="K37" s="77"/>
      <c r="L37" s="77"/>
      <c r="M37" s="77" t="s">
        <v>145</v>
      </c>
    </row>
    <row r="38" customFormat="false" ht="15.75" hidden="false" customHeight="true" outlineLevel="0" collapsed="false">
      <c r="A38" s="80" t="s">
        <v>146</v>
      </c>
      <c r="B38" s="70"/>
      <c r="C38" s="100" t="n">
        <f aca="false">'Input sheet'!B28</f>
        <v>1.32614898627845</v>
      </c>
      <c r="D38" s="100" t="n">
        <f aca="false">C38</f>
        <v>1.32614898627845</v>
      </c>
      <c r="E38" s="100" t="n">
        <f aca="false">D38</f>
        <v>1.32614898627845</v>
      </c>
      <c r="F38" s="100" t="n">
        <f aca="false">E38</f>
        <v>1.32614898627845</v>
      </c>
      <c r="G38" s="100" t="n">
        <f aca="false">F38</f>
        <v>1.32614898627845</v>
      </c>
      <c r="H38" s="100" t="n">
        <f aca="false">G38</f>
        <v>1.32614898627845</v>
      </c>
      <c r="I38" s="100" t="n">
        <f aca="false">H38</f>
        <v>1.32614898627845</v>
      </c>
      <c r="J38" s="100" t="n">
        <f aca="false">I38</f>
        <v>1.32614898627845</v>
      </c>
      <c r="K38" s="100" t="n">
        <f aca="false">J38</f>
        <v>1.32614898627845</v>
      </c>
      <c r="L38" s="100" t="n">
        <f aca="false">K38</f>
        <v>1.32614898627845</v>
      </c>
      <c r="M38" s="77"/>
    </row>
    <row r="39" customFormat="false" ht="15.75" hidden="false" customHeight="true" outlineLevel="0" collapsed="false">
      <c r="A39" s="80" t="s">
        <v>147</v>
      </c>
      <c r="B39" s="101" t="n">
        <f aca="false">IF('Input sheet'!B14="Yes",IF('Input sheet'!B13="Yes",'Input sheet'!B11+'Input sheet'!B12-'Input sheet'!B15+'Operating lease converter'!F33+'R&amp; D converter'!D35,'Input sheet'!B11+'Input sheet'!B12-'Input sheet'!B15+'Operating lease converter'!F33),IF('Input sheet'!B13="Yes",'Input sheet'!B11+'Input sheet'!B12-'Input sheet'!B15+'R&amp; D converter'!D35,'Input sheet'!B11+'Input sheet'!B12-'Input sheet'!B15))</f>
        <v>212731</v>
      </c>
      <c r="C39" s="102" t="n">
        <f aca="false">B39+C8</f>
        <v>233280.8146</v>
      </c>
      <c r="D39" s="102" t="n">
        <f aca="false">C39+D8</f>
        <v>256608.89606</v>
      </c>
      <c r="E39" s="102" t="n">
        <f aca="false">D39+E8</f>
        <v>282269.785666</v>
      </c>
      <c r="F39" s="102" t="n">
        <f aca="false">E39+F8</f>
        <v>310496.7642326</v>
      </c>
      <c r="G39" s="102" t="n">
        <f aca="false">F39+G8</f>
        <v>341546.44065586</v>
      </c>
      <c r="H39" s="102" t="n">
        <f aca="false">G39+H8</f>
        <v>370577.888111608</v>
      </c>
      <c r="I39" s="102" t="n">
        <f aca="false">H39+I8</f>
        <v>396518.340279421</v>
      </c>
      <c r="J39" s="102" t="n">
        <f aca="false">I39+J8</f>
        <v>418326.848994789</v>
      </c>
      <c r="K39" s="102" t="n">
        <f aca="false">J39+K8</f>
        <v>435059.922954581</v>
      </c>
      <c r="L39" s="102" t="n">
        <f aca="false">K39+L8</f>
        <v>445936.421028445</v>
      </c>
      <c r="M39" s="77"/>
    </row>
    <row r="40" customFormat="false" ht="15.75" hidden="false" customHeight="true" outlineLevel="0" collapsed="false">
      <c r="A40" s="80" t="s">
        <v>148</v>
      </c>
      <c r="B40" s="75" t="n">
        <f aca="false">B7/B39</f>
        <v>0.353675392867048</v>
      </c>
      <c r="C40" s="71" t="n">
        <f aca="false">C7/C39</f>
        <v>0.341291072363689</v>
      </c>
      <c r="D40" s="71" t="n">
        <f aca="false">D7/D39</f>
        <v>0.328008743016835</v>
      </c>
      <c r="E40" s="71" t="n">
        <f aca="false">E7/E39</f>
        <v>0.321367578343408</v>
      </c>
      <c r="F40" s="71" t="n">
        <f aca="false">F7/F39</f>
        <v>0.31472641366998</v>
      </c>
      <c r="G40" s="71" t="n">
        <f aca="false">G7/G39</f>
        <v>0.308085248996553</v>
      </c>
      <c r="H40" s="71" t="n">
        <f aca="false">H7/H39</f>
        <v>0.293638116978049</v>
      </c>
      <c r="I40" s="71" t="n">
        <f aca="false">I7/I39</f>
        <v>0.276183787882349</v>
      </c>
      <c r="J40" s="71" t="n">
        <f aca="false">J7/J39</f>
        <v>0.266874221998674</v>
      </c>
      <c r="K40" s="71" t="n">
        <f aca="false">K7/K39</f>
        <v>0.257564656115</v>
      </c>
      <c r="L40" s="103" t="n">
        <f aca="false">L7/L39</f>
        <v>0.248255090231325</v>
      </c>
      <c r="M40" s="71" t="n">
        <f aca="false">IF('Input sheet'!B44="Yes",'Input sheet'!B45,'Valuation output'!L12)</f>
        <v>0.2</v>
      </c>
    </row>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M41"/>
  <sheetViews>
    <sheetView showFormulas="false" showGridLines="true" showRowColHeaders="true" showZeros="true" rightToLeft="false" tabSelected="true" showOutlineSymbols="true" defaultGridColor="true" view="normal" topLeftCell="A7"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20.29"/>
    <col collapsed="false" customWidth="true" hidden="false" outlineLevel="0" max="2" min="2" style="0" width="12.88"/>
    <col collapsed="false" customWidth="true" hidden="false" outlineLevel="0" max="3" min="3" style="0" width="17.71"/>
    <col collapsed="false" customWidth="true" hidden="false" outlineLevel="0" max="4" min="4" style="0" width="16.57"/>
    <col collapsed="false" customWidth="true" hidden="false" outlineLevel="0" max="5" min="5" style="0" width="13.86"/>
    <col collapsed="false" customWidth="true" hidden="false" outlineLevel="0" max="6" min="6" style="0" width="24.71"/>
    <col collapsed="false" customWidth="true" hidden="false" outlineLevel="0" max="7" min="7" style="0" width="41.14"/>
    <col collapsed="false" customWidth="true" hidden="false" outlineLevel="0" max="8" min="8" style="0" width="17"/>
    <col collapsed="false" customWidth="true" hidden="false" outlineLevel="0" max="12" min="9" style="0" width="10.72"/>
    <col collapsed="false" customWidth="true" hidden="false" outlineLevel="0" max="13" min="13" style="0" width="12.58"/>
    <col collapsed="false" customWidth="true" hidden="false" outlineLevel="0" max="26" min="14" style="0" width="8.72"/>
    <col collapsed="false" customWidth="true" hidden="false" outlineLevel="0" max="1025" min="27" style="0" width="14.43"/>
  </cols>
  <sheetData>
    <row r="1" customFormat="false" ht="15.75" hidden="false" customHeight="true" outlineLevel="0" collapsed="false">
      <c r="A1" s="104" t="str">
        <f aca="false">'Input sheet'!B2</f>
        <v>Alphabet</v>
      </c>
      <c r="B1" s="104"/>
      <c r="C1" s="104"/>
      <c r="D1" s="104"/>
      <c r="E1" s="104"/>
      <c r="F1" s="104"/>
      <c r="G1" s="104"/>
    </row>
    <row r="2" customFormat="false" ht="15.75" hidden="false" customHeight="true" outlineLevel="0" collapsed="false">
      <c r="A2" s="105" t="s">
        <v>149</v>
      </c>
      <c r="B2" s="105"/>
      <c r="C2" s="105"/>
      <c r="D2" s="105"/>
      <c r="E2" s="105"/>
      <c r="F2" s="105"/>
      <c r="G2" s="105"/>
    </row>
    <row r="3" customFormat="false" ht="15.75" hidden="false" customHeight="true" outlineLevel="0" collapsed="false">
      <c r="A3" s="106"/>
      <c r="B3" s="106"/>
      <c r="C3" s="106"/>
      <c r="D3" s="106"/>
      <c r="E3" s="106"/>
      <c r="F3" s="106"/>
      <c r="G3" s="106"/>
      <c r="H3" s="107" t="s">
        <v>150</v>
      </c>
      <c r="I3" s="107"/>
      <c r="J3" s="107"/>
      <c r="K3" s="107"/>
    </row>
    <row r="4" customFormat="false" ht="15.75" hidden="false" customHeight="true" outlineLevel="0" collapsed="false">
      <c r="A4" s="106"/>
      <c r="B4" s="106"/>
      <c r="C4" s="106"/>
      <c r="D4" s="106"/>
      <c r="E4" s="106"/>
      <c r="F4" s="106"/>
      <c r="G4" s="106"/>
      <c r="H4" s="107"/>
      <c r="I4" s="107"/>
      <c r="J4" s="107"/>
      <c r="K4" s="107"/>
    </row>
    <row r="5" customFormat="false" ht="12" hidden="false" customHeight="true" outlineLevel="0" collapsed="false">
      <c r="A5" s="106"/>
      <c r="B5" s="106"/>
      <c r="C5" s="106"/>
      <c r="D5" s="106"/>
      <c r="E5" s="106"/>
      <c r="F5" s="106"/>
      <c r="G5" s="106"/>
      <c r="H5" s="107"/>
      <c r="I5" s="107"/>
      <c r="J5" s="107"/>
      <c r="K5" s="107"/>
    </row>
    <row r="6" customFormat="false" ht="7.5" hidden="false" customHeight="true" outlineLevel="0" collapsed="false">
      <c r="A6" s="106"/>
      <c r="B6" s="106"/>
      <c r="C6" s="106"/>
      <c r="D6" s="106"/>
      <c r="E6" s="106"/>
      <c r="F6" s="106"/>
      <c r="G6" s="106"/>
      <c r="H6" s="107"/>
      <c r="I6" s="107"/>
      <c r="J6" s="107"/>
      <c r="K6" s="107"/>
    </row>
    <row r="7" customFormat="false" ht="20.25" hidden="false" customHeight="true" outlineLevel="0" collapsed="false">
      <c r="A7" s="105" t="s">
        <v>151</v>
      </c>
      <c r="B7" s="105"/>
      <c r="C7" s="105"/>
      <c r="D7" s="105"/>
      <c r="E7" s="105"/>
      <c r="F7" s="105"/>
      <c r="G7" s="105"/>
    </row>
    <row r="8" customFormat="false" ht="15.75" hidden="false" customHeight="true" outlineLevel="0" collapsed="false">
      <c r="A8" s="108"/>
      <c r="B8" s="109" t="s">
        <v>107</v>
      </c>
      <c r="C8" s="110" t="s">
        <v>152</v>
      </c>
      <c r="D8" s="111" t="s">
        <v>153</v>
      </c>
      <c r="E8" s="109" t="s">
        <v>154</v>
      </c>
      <c r="F8" s="109" t="s">
        <v>145</v>
      </c>
      <c r="G8" s="112" t="s">
        <v>155</v>
      </c>
    </row>
    <row r="9" customFormat="false" ht="15.75" hidden="false" customHeight="true" outlineLevel="0" collapsed="false">
      <c r="A9" s="113" t="s">
        <v>156</v>
      </c>
      <c r="B9" s="114" t="n">
        <f aca="false">'Valuation output'!B3</f>
        <v>282113</v>
      </c>
      <c r="C9" s="115" t="n">
        <f aca="false">'Input sheet'!B23</f>
        <v>0.0966</v>
      </c>
      <c r="D9" s="116" t="n">
        <f aca="false">'Input sheet'!B25</f>
        <v>0.1</v>
      </c>
      <c r="E9" s="116" t="n">
        <f aca="false">F9</f>
        <v>0.025</v>
      </c>
      <c r="F9" s="116" t="n">
        <f aca="false">'Valuation output'!M2</f>
        <v>0.025</v>
      </c>
      <c r="G9" s="117"/>
      <c r="H9" s="118" t="s">
        <v>157</v>
      </c>
      <c r="I9" s="118"/>
      <c r="J9" s="118"/>
      <c r="K9" s="118"/>
    </row>
    <row r="10" customFormat="false" ht="15.75" hidden="false" customHeight="true" outlineLevel="0" collapsed="false">
      <c r="A10" s="113" t="s">
        <v>158</v>
      </c>
      <c r="B10" s="116" t="n">
        <f aca="false">'Valuation output'!B4</f>
        <v>0.31192229118592</v>
      </c>
      <c r="C10" s="115" t="n">
        <f aca="false">'Input sheet'!B24</f>
        <v>0.301</v>
      </c>
      <c r="D10" s="119" t="n">
        <f aca="false">B10</f>
        <v>0.31192229118592</v>
      </c>
      <c r="E10" s="120" t="n">
        <f aca="false">F10</f>
        <v>0.26</v>
      </c>
      <c r="F10" s="116" t="n">
        <f aca="false">'Valuation output'!M4</f>
        <v>0.26</v>
      </c>
      <c r="G10" s="121"/>
      <c r="H10" s="118"/>
      <c r="I10" s="118"/>
      <c r="J10" s="118"/>
      <c r="K10" s="118"/>
    </row>
    <row r="11" customFormat="false" ht="15.75" hidden="false" customHeight="true" outlineLevel="0" collapsed="false">
      <c r="A11" s="113" t="s">
        <v>112</v>
      </c>
      <c r="B11" s="116" t="n">
        <f aca="false">'Valuation output'!B6</f>
        <v>0.145</v>
      </c>
      <c r="C11" s="116"/>
      <c r="D11" s="119" t="n">
        <f aca="false">B11</f>
        <v>0.145</v>
      </c>
      <c r="E11" s="120" t="n">
        <f aca="false">F11</f>
        <v>0.28</v>
      </c>
      <c r="F11" s="116" t="n">
        <f aca="false">'Valuation output'!M6</f>
        <v>0.28</v>
      </c>
      <c r="G11" s="122"/>
      <c r="H11" s="118"/>
      <c r="I11" s="118"/>
      <c r="J11" s="118"/>
      <c r="K11" s="118"/>
    </row>
    <row r="12" customFormat="false" ht="15.75" hidden="false" customHeight="true" outlineLevel="0" collapsed="false">
      <c r="A12" s="113" t="s">
        <v>159</v>
      </c>
      <c r="B12" s="123"/>
      <c r="C12" s="123" t="s">
        <v>160</v>
      </c>
      <c r="D12" s="124"/>
      <c r="E12" s="125" t="n">
        <f aca="false">'Input sheet'!B28</f>
        <v>1.32614898627845</v>
      </c>
      <c r="F12" s="120" t="n">
        <f aca="false">'Valuation output'!M2/'Valuation output'!M40</f>
        <v>0.125</v>
      </c>
      <c r="G12" s="122"/>
      <c r="H12" s="118"/>
      <c r="I12" s="118"/>
      <c r="J12" s="118"/>
      <c r="K12" s="118"/>
    </row>
    <row r="13" customFormat="false" ht="15.75" hidden="false" customHeight="true" outlineLevel="0" collapsed="false">
      <c r="A13" s="126" t="s">
        <v>161</v>
      </c>
      <c r="B13" s="127" t="n">
        <f aca="false">'Valuation output'!B40</f>
        <v>0.353675392867048</v>
      </c>
      <c r="C13" s="116" t="s">
        <v>162</v>
      </c>
      <c r="D13" s="128"/>
      <c r="E13" s="129" t="n">
        <f aca="false">Diagnostics!B6</f>
        <v>0.281987360655902</v>
      </c>
      <c r="F13" s="130" t="n">
        <f aca="false">'Valuation output'!M40</f>
        <v>0.2</v>
      </c>
      <c r="G13" s="131"/>
      <c r="H13" s="118"/>
      <c r="I13" s="118"/>
      <c r="J13" s="118"/>
      <c r="K13" s="118"/>
    </row>
    <row r="14" customFormat="false" ht="15.75" hidden="false" customHeight="true" outlineLevel="0" collapsed="false">
      <c r="A14" s="132" t="s">
        <v>163</v>
      </c>
      <c r="B14" s="133"/>
      <c r="C14" s="123"/>
      <c r="D14" s="119" t="n">
        <f aca="false">'Valuation output'!C12</f>
        <v>0.0829198173245978</v>
      </c>
      <c r="E14" s="120" t="n">
        <f aca="false">F14</f>
        <v>0.0709</v>
      </c>
      <c r="F14" s="134" t="n">
        <f aca="false">'Valuation output'!M12</f>
        <v>0.0709</v>
      </c>
      <c r="G14" s="135"/>
      <c r="H14" s="118"/>
      <c r="I14" s="118"/>
      <c r="J14" s="118"/>
      <c r="K14" s="118"/>
    </row>
    <row r="15" customFormat="false" ht="15.75" hidden="false" customHeight="true" outlineLevel="0" collapsed="false">
      <c r="A15" s="136" t="s">
        <v>164</v>
      </c>
      <c r="B15" s="136"/>
      <c r="C15" s="136"/>
      <c r="D15" s="136"/>
      <c r="E15" s="136"/>
      <c r="F15" s="136"/>
      <c r="G15" s="136"/>
    </row>
    <row r="16" customFormat="false" ht="15.75" hidden="false" customHeight="true" outlineLevel="0" collapsed="false">
      <c r="A16" s="137"/>
      <c r="B16" s="138" t="s">
        <v>15</v>
      </c>
      <c r="C16" s="138" t="s">
        <v>165</v>
      </c>
      <c r="D16" s="138" t="s">
        <v>166</v>
      </c>
      <c r="E16" s="138" t="s">
        <v>167</v>
      </c>
      <c r="F16" s="138" t="s">
        <v>168</v>
      </c>
      <c r="G16" s="139" t="s">
        <v>115</v>
      </c>
      <c r="H16" s="118" t="s">
        <v>169</v>
      </c>
      <c r="I16" s="118"/>
      <c r="J16" s="118"/>
      <c r="K16" s="118"/>
    </row>
    <row r="17" customFormat="false" ht="15.75" hidden="false" customHeight="true" outlineLevel="0" collapsed="false">
      <c r="A17" s="140" t="n">
        <v>1</v>
      </c>
      <c r="B17" s="141" t="n">
        <f aca="false">'Valuation output'!C3</f>
        <v>309365.1158</v>
      </c>
      <c r="C17" s="116" t="n">
        <f aca="false">'Valuation output'!C4</f>
        <v>0.301</v>
      </c>
      <c r="D17" s="114" t="n">
        <f aca="false">B17*C17</f>
        <v>93118.8998558</v>
      </c>
      <c r="E17" s="141" t="n">
        <f aca="false">'Valuation output'!C7</f>
        <v>79616.659376709</v>
      </c>
      <c r="F17" s="141" t="n">
        <f aca="false">'Valuation output'!C8</f>
        <v>20549.8146</v>
      </c>
      <c r="G17" s="142" t="n">
        <f aca="false">E17-F17</f>
        <v>59066.844776709</v>
      </c>
      <c r="H17" s="118"/>
      <c r="I17" s="118"/>
      <c r="J17" s="118"/>
      <c r="K17" s="118"/>
    </row>
    <row r="18" customFormat="false" ht="15.75" hidden="false" customHeight="true" outlineLevel="0" collapsed="false">
      <c r="A18" s="140" t="n">
        <v>2</v>
      </c>
      <c r="B18" s="141" t="n">
        <f aca="false">'Valuation output'!D3</f>
        <v>340301.62738</v>
      </c>
      <c r="C18" s="116" t="n">
        <f aca="false">'Valuation output'!D4</f>
        <v>0.289285714285714</v>
      </c>
      <c r="D18" s="114" t="n">
        <f aca="false">B18*C18</f>
        <v>98444.3993492143</v>
      </c>
      <c r="E18" s="141" t="n">
        <f aca="false">'Valuation output'!D7</f>
        <v>84169.9614435782</v>
      </c>
      <c r="F18" s="141" t="n">
        <f aca="false">'Valuation output'!D8</f>
        <v>23328.08146</v>
      </c>
      <c r="G18" s="142" t="n">
        <f aca="false">E18-F18</f>
        <v>60841.8799835782</v>
      </c>
      <c r="H18" s="118"/>
      <c r="I18" s="118"/>
      <c r="J18" s="118"/>
      <c r="K18" s="118"/>
    </row>
    <row r="19" customFormat="false" ht="15.75" hidden="false" customHeight="true" outlineLevel="0" collapsed="false">
      <c r="A19" s="140" t="n">
        <v>3</v>
      </c>
      <c r="B19" s="141" t="n">
        <f aca="false">'Valuation output'!E3</f>
        <v>374331.790118</v>
      </c>
      <c r="C19" s="116" t="n">
        <f aca="false">'Valuation output'!E4</f>
        <v>0.283428571428571</v>
      </c>
      <c r="D19" s="114" t="n">
        <f aca="false">B19*C19</f>
        <v>106096.324513445</v>
      </c>
      <c r="E19" s="141" t="n">
        <f aca="false">'Valuation output'!E7</f>
        <v>90712.3574589951</v>
      </c>
      <c r="F19" s="141" t="n">
        <f aca="false">'Valuation output'!E8</f>
        <v>25660.889606</v>
      </c>
      <c r="G19" s="142" t="n">
        <f aca="false">E19-F19</f>
        <v>65051.4678529951</v>
      </c>
      <c r="H19" s="118"/>
      <c r="I19" s="118"/>
      <c r="J19" s="118"/>
      <c r="K19" s="118"/>
    </row>
    <row r="20" customFormat="false" ht="15.75" hidden="false" customHeight="true" outlineLevel="0" collapsed="false">
      <c r="A20" s="140" t="n">
        <v>4</v>
      </c>
      <c r="B20" s="141" t="n">
        <f aca="false">'Valuation output'!F3</f>
        <v>411764.9691298</v>
      </c>
      <c r="C20" s="116" t="n">
        <f aca="false">'Valuation output'!F4</f>
        <v>0.277571428571429</v>
      </c>
      <c r="D20" s="114" t="n">
        <f aca="false">B20*C20</f>
        <v>114294.190717029</v>
      </c>
      <c r="E20" s="141" t="n">
        <f aca="false">'Valuation output'!F7</f>
        <v>97721.5330630596</v>
      </c>
      <c r="F20" s="141" t="n">
        <f aca="false">'Valuation output'!F8</f>
        <v>28226.9785666</v>
      </c>
      <c r="G20" s="142" t="n">
        <f aca="false">E20-F20</f>
        <v>69494.5544964596</v>
      </c>
      <c r="H20" s="118"/>
      <c r="I20" s="118"/>
      <c r="J20" s="118"/>
      <c r="K20" s="118"/>
    </row>
    <row r="21" customFormat="false" ht="15.75" hidden="false" customHeight="true" outlineLevel="0" collapsed="false">
      <c r="A21" s="140" t="n">
        <v>5</v>
      </c>
      <c r="B21" s="141" t="n">
        <f aca="false">'Valuation output'!G3</f>
        <v>452941.46604278</v>
      </c>
      <c r="C21" s="116" t="n">
        <f aca="false">'Valuation output'!G4</f>
        <v>0.271714285714286</v>
      </c>
      <c r="D21" s="114" t="n">
        <f aca="false">B21*C21</f>
        <v>123070.666916195</v>
      </c>
      <c r="E21" s="141" t="n">
        <f aca="false">'Valuation output'!G7</f>
        <v>105225.420213347</v>
      </c>
      <c r="F21" s="141" t="n">
        <f aca="false">'Valuation output'!G8</f>
        <v>31049.67642326</v>
      </c>
      <c r="G21" s="142" t="n">
        <f aca="false">E21-F21</f>
        <v>74175.7437900871</v>
      </c>
      <c r="H21" s="118"/>
      <c r="I21" s="118"/>
      <c r="J21" s="118"/>
      <c r="K21" s="118"/>
    </row>
    <row r="22" customFormat="false" ht="15.75" hidden="false" customHeight="true" outlineLevel="0" collapsed="false">
      <c r="A22" s="140" t="n">
        <v>6</v>
      </c>
      <c r="B22" s="141" t="n">
        <f aca="false">'Valuation output'!H3</f>
        <v>491441.490656417</v>
      </c>
      <c r="C22" s="116" t="n">
        <f aca="false">'Valuation output'!H4</f>
        <v>0.267417470169417</v>
      </c>
      <c r="D22" s="114" t="n">
        <f aca="false">B22*C22</f>
        <v>131420.040167626</v>
      </c>
      <c r="E22" s="141" t="n">
        <f aca="false">'Valuation output'!H7</f>
        <v>108815.793258795</v>
      </c>
      <c r="F22" s="141" t="n">
        <f aca="false">'Valuation output'!H8</f>
        <v>29031.4474557481</v>
      </c>
      <c r="G22" s="142" t="n">
        <f aca="false">E22-F22</f>
        <v>79784.3458030465</v>
      </c>
      <c r="H22" s="118"/>
      <c r="I22" s="118"/>
      <c r="J22" s="118"/>
      <c r="K22" s="118"/>
    </row>
    <row r="23" customFormat="false" ht="15.75" hidden="false" customHeight="true" outlineLevel="0" collapsed="false">
      <c r="A23" s="140" t="n">
        <v>7</v>
      </c>
      <c r="B23" s="141" t="n">
        <f aca="false">'Valuation output'!I3</f>
        <v>525842.395002366</v>
      </c>
      <c r="C23" s="116" t="n">
        <f aca="false">'Valuation output'!I4</f>
        <v>0.26</v>
      </c>
      <c r="D23" s="114" t="n">
        <f aca="false">B23*C23</f>
        <v>136719.022700615</v>
      </c>
      <c r="E23" s="141" t="n">
        <f aca="false">'Valuation output'!I7</f>
        <v>109511.937183193</v>
      </c>
      <c r="F23" s="141" t="n">
        <f aca="false">'Valuation output'!I8</f>
        <v>25940.4521678126</v>
      </c>
      <c r="G23" s="142" t="n">
        <f aca="false">E23-F23</f>
        <v>83571.4850153802</v>
      </c>
      <c r="H23" s="118"/>
      <c r="I23" s="118"/>
      <c r="J23" s="118"/>
      <c r="K23" s="118"/>
    </row>
    <row r="24" customFormat="false" ht="15.75" hidden="false" customHeight="true" outlineLevel="0" collapsed="false">
      <c r="A24" s="140" t="n">
        <v>8</v>
      </c>
      <c r="B24" s="141" t="n">
        <f aca="false">'Valuation output'!J3</f>
        <v>554763.726727496</v>
      </c>
      <c r="C24" s="116" t="n">
        <f aca="false">'Valuation output'!J4</f>
        <v>0.26</v>
      </c>
      <c r="D24" s="114" t="n">
        <f aca="false">B24*C24</f>
        <v>144238.568949149</v>
      </c>
      <c r="E24" s="141" t="n">
        <f aca="false">'Valuation output'!J7</f>
        <v>111640.652366641</v>
      </c>
      <c r="F24" s="141" t="n">
        <f aca="false">'Valuation output'!J8</f>
        <v>21808.5087153681</v>
      </c>
      <c r="G24" s="142" t="n">
        <f aca="false">E24-F24</f>
        <v>89832.1436512732</v>
      </c>
      <c r="H24" s="118"/>
      <c r="I24" s="118"/>
      <c r="J24" s="118"/>
      <c r="K24" s="118"/>
    </row>
    <row r="25" customFormat="false" ht="15.75" hidden="false" customHeight="true" outlineLevel="0" collapsed="false">
      <c r="A25" s="140" t="n">
        <v>9</v>
      </c>
      <c r="B25" s="141" t="n">
        <f aca="false">'Valuation output'!K3</f>
        <v>576954.275796596</v>
      </c>
      <c r="C25" s="116" t="n">
        <f aca="false">'Valuation output'!K4</f>
        <v>0.26</v>
      </c>
      <c r="D25" s="114" t="n">
        <f aca="false">B25*C25</f>
        <v>150008.111707115</v>
      </c>
      <c r="E25" s="141" t="n">
        <f aca="false">'Valuation output'!K7</f>
        <v>112056.059445215</v>
      </c>
      <c r="F25" s="141" t="n">
        <f aca="false">'Valuation output'!K8</f>
        <v>16733.0739597916</v>
      </c>
      <c r="G25" s="142" t="n">
        <f aca="false">E25-F25</f>
        <v>95322.9854854233</v>
      </c>
      <c r="H25" s="118"/>
      <c r="I25" s="118"/>
      <c r="J25" s="118"/>
      <c r="K25" s="118"/>
    </row>
    <row r="26" customFormat="false" ht="15.75" hidden="false" customHeight="true" outlineLevel="0" collapsed="false">
      <c r="A26" s="140" t="n">
        <v>10</v>
      </c>
      <c r="B26" s="141" t="n">
        <f aca="false">'Valuation output'!L3</f>
        <v>591378.132691511</v>
      </c>
      <c r="C26" s="116" t="n">
        <f aca="false">'Valuation output'!L4</f>
        <v>0.26</v>
      </c>
      <c r="D26" s="114" t="n">
        <f aca="false">B26*C26</f>
        <v>153758.314499793</v>
      </c>
      <c r="E26" s="141" t="n">
        <f aca="false">'Valuation output'!L7</f>
        <v>110705.986439851</v>
      </c>
      <c r="F26" s="141" t="n">
        <f aca="false">'Valuation output'!L8</f>
        <v>10876.4980738645</v>
      </c>
      <c r="G26" s="142" t="n">
        <f aca="false">E26-F26</f>
        <v>99829.4883659864</v>
      </c>
      <c r="H26" s="118"/>
      <c r="I26" s="118"/>
      <c r="J26" s="118"/>
      <c r="K26" s="118"/>
    </row>
    <row r="27" customFormat="false" ht="15.75" hidden="false" customHeight="true" outlineLevel="0" collapsed="false">
      <c r="A27" s="143" t="s">
        <v>108</v>
      </c>
      <c r="B27" s="144" t="n">
        <f aca="false">'Valuation output'!M3</f>
        <v>606162.586008798</v>
      </c>
      <c r="C27" s="134" t="n">
        <f aca="false">'Valuation output'!M4</f>
        <v>0.26</v>
      </c>
      <c r="D27" s="114" t="n">
        <f aca="false">B27*C27</f>
        <v>157602.272362287</v>
      </c>
      <c r="E27" s="144" t="n">
        <f aca="false">'Valuation output'!M7</f>
        <v>113473.636100847</v>
      </c>
      <c r="F27" s="144" t="n">
        <f aca="false">'Valuation output'!M8</f>
        <v>14184.2045126059</v>
      </c>
      <c r="G27" s="142" t="n">
        <f aca="false">E27-F27</f>
        <v>99289.4315882411</v>
      </c>
      <c r="H27" s="118"/>
      <c r="I27" s="118"/>
      <c r="J27" s="118"/>
      <c r="K27" s="118"/>
    </row>
    <row r="28" customFormat="false" ht="15.75" hidden="false" customHeight="true" outlineLevel="0" collapsed="false">
      <c r="A28" s="136" t="s">
        <v>170</v>
      </c>
      <c r="B28" s="136"/>
      <c r="C28" s="136"/>
      <c r="D28" s="136"/>
      <c r="E28" s="136"/>
      <c r="F28" s="136"/>
      <c r="G28" s="136"/>
    </row>
    <row r="29" customFormat="false" ht="15.75" hidden="false" customHeight="true" outlineLevel="0" collapsed="false">
      <c r="A29" s="145" t="s">
        <v>122</v>
      </c>
      <c r="B29" s="145"/>
      <c r="C29" s="145"/>
      <c r="D29" s="146" t="n">
        <f aca="false">'Valuation output'!B18</f>
        <v>2163168.44418826</v>
      </c>
      <c r="E29" s="147"/>
      <c r="F29" s="148"/>
      <c r="G29" s="149"/>
      <c r="H29" s="150" t="s">
        <v>171</v>
      </c>
      <c r="I29" s="150"/>
      <c r="J29" s="150"/>
      <c r="K29" s="150"/>
    </row>
    <row r="30" customFormat="false" ht="15.75" hidden="false" customHeight="true" outlineLevel="0" collapsed="false">
      <c r="A30" s="151" t="s">
        <v>123</v>
      </c>
      <c r="B30" s="151"/>
      <c r="C30" s="151"/>
      <c r="D30" s="152" t="n">
        <f aca="false">'Valuation output'!B19</f>
        <v>1008434.81858492</v>
      </c>
      <c r="E30" s="153"/>
      <c r="F30" s="154"/>
      <c r="G30" s="155"/>
      <c r="H30" s="150"/>
      <c r="I30" s="150"/>
      <c r="J30" s="150"/>
      <c r="K30" s="150"/>
    </row>
    <row r="31" customFormat="false" ht="15.75" hidden="false" customHeight="true" outlineLevel="0" collapsed="false">
      <c r="A31" s="151" t="s">
        <v>124</v>
      </c>
      <c r="B31" s="151"/>
      <c r="C31" s="151"/>
      <c r="D31" s="152" t="n">
        <f aca="false">'Valuation output'!B20</f>
        <v>497999.40968907</v>
      </c>
      <c r="E31" s="153"/>
      <c r="F31" s="154"/>
      <c r="G31" s="155"/>
      <c r="H31" s="150"/>
      <c r="I31" s="150"/>
      <c r="J31" s="150"/>
      <c r="K31" s="150"/>
    </row>
    <row r="32" customFormat="false" ht="15.75" hidden="false" customHeight="true" outlineLevel="0" collapsed="false">
      <c r="A32" s="151" t="s">
        <v>128</v>
      </c>
      <c r="B32" s="151"/>
      <c r="C32" s="151"/>
      <c r="D32" s="152" t="n">
        <f aca="false">'Valuation output'!B21</f>
        <v>1506434.22827399</v>
      </c>
      <c r="E32" s="153"/>
      <c r="F32" s="154"/>
      <c r="G32" s="155"/>
      <c r="H32" s="150"/>
      <c r="I32" s="150"/>
      <c r="J32" s="150"/>
      <c r="K32" s="150"/>
    </row>
    <row r="33" customFormat="false" ht="15.75" hidden="false" customHeight="true" outlineLevel="0" collapsed="false">
      <c r="A33" s="151" t="s">
        <v>172</v>
      </c>
      <c r="B33" s="151"/>
      <c r="C33" s="151"/>
      <c r="D33" s="156" t="n">
        <f aca="false">D32-'Valuation output'!B24</f>
        <v>0</v>
      </c>
      <c r="E33" s="157" t="s">
        <v>126</v>
      </c>
      <c r="F33" s="157"/>
      <c r="G33" s="158" t="n">
        <f aca="false">'Valuation output'!B22</f>
        <v>0</v>
      </c>
      <c r="H33" s="150"/>
      <c r="I33" s="150"/>
      <c r="J33" s="150"/>
      <c r="K33" s="150"/>
    </row>
    <row r="34" customFormat="false" ht="15.75" hidden="false" customHeight="true" outlineLevel="0" collapsed="false">
      <c r="A34" s="151" t="s">
        <v>173</v>
      </c>
      <c r="B34" s="151"/>
      <c r="C34" s="151"/>
      <c r="D34" s="152" t="n">
        <f aca="false">'Valuation output'!B25+'Valuation output'!B26</f>
        <v>28922</v>
      </c>
      <c r="E34" s="153"/>
      <c r="F34" s="154"/>
      <c r="G34" s="155"/>
      <c r="H34" s="150"/>
      <c r="I34" s="150"/>
      <c r="J34" s="150"/>
      <c r="K34" s="150"/>
    </row>
    <row r="35" customFormat="false" ht="15.75" hidden="false" customHeight="true" outlineLevel="0" collapsed="false">
      <c r="A35" s="151" t="s">
        <v>174</v>
      </c>
      <c r="B35" s="151"/>
      <c r="C35" s="151"/>
      <c r="D35" s="152" t="n">
        <f aca="false">'Valuation output'!B27+'Valuation output'!B28</f>
        <v>138243</v>
      </c>
      <c r="E35" s="153"/>
      <c r="F35" s="154"/>
      <c r="G35" s="155"/>
      <c r="H35" s="150"/>
      <c r="I35" s="150"/>
      <c r="J35" s="150"/>
      <c r="K35" s="150"/>
    </row>
    <row r="36" customFormat="false" ht="15.75" hidden="false" customHeight="true" outlineLevel="0" collapsed="false">
      <c r="A36" s="151" t="s">
        <v>133</v>
      </c>
      <c r="B36" s="151"/>
      <c r="C36" s="151"/>
      <c r="D36" s="152" t="n">
        <f aca="false">D32-D33-D34+D35</f>
        <v>1615755.22827399</v>
      </c>
      <c r="E36" s="153"/>
      <c r="F36" s="154"/>
      <c r="G36" s="155"/>
      <c r="H36" s="150"/>
      <c r="I36" s="150"/>
      <c r="J36" s="150"/>
      <c r="K36" s="150"/>
    </row>
    <row r="37" customFormat="false" ht="15.75" hidden="false" customHeight="true" outlineLevel="0" collapsed="false">
      <c r="A37" s="151" t="s">
        <v>175</v>
      </c>
      <c r="B37" s="151"/>
      <c r="C37" s="151"/>
      <c r="D37" s="152" t="n">
        <f aca="false">'Valuation output'!B30</f>
        <v>0</v>
      </c>
      <c r="E37" s="153"/>
      <c r="F37" s="154"/>
      <c r="G37" s="155"/>
      <c r="H37" s="150"/>
      <c r="I37" s="150"/>
      <c r="J37" s="150"/>
      <c r="K37" s="150"/>
    </row>
    <row r="38" customFormat="false" ht="15.75" hidden="false" customHeight="true" outlineLevel="0" collapsed="false">
      <c r="A38" s="151" t="s">
        <v>136</v>
      </c>
      <c r="B38" s="151"/>
      <c r="C38" s="151"/>
      <c r="D38" s="159" t="n">
        <f aca="false">'Valuation output'!B32</f>
        <v>12943</v>
      </c>
      <c r="E38" s="154"/>
      <c r="F38" s="160"/>
      <c r="G38" s="155"/>
      <c r="H38" s="150"/>
      <c r="I38" s="150"/>
      <c r="J38" s="150"/>
      <c r="K38" s="150"/>
    </row>
    <row r="39" customFormat="false" ht="15.75" hidden="false" customHeight="true" outlineLevel="0" collapsed="false">
      <c r="A39" s="161" t="s">
        <v>176</v>
      </c>
      <c r="B39" s="161"/>
      <c r="C39" s="161"/>
      <c r="D39" s="162" t="n">
        <f aca="false">(D36-D37)/D38</f>
        <v>124.83622253527</v>
      </c>
      <c r="E39" s="163" t="s">
        <v>177</v>
      </c>
      <c r="F39" s="163"/>
      <c r="G39" s="164" t="n">
        <f aca="false">'Input sheet'!B19</f>
        <v>86.7</v>
      </c>
      <c r="H39" s="150"/>
      <c r="I39" s="150"/>
      <c r="J39" s="150"/>
      <c r="K39" s="150"/>
      <c r="M39" s="165"/>
    </row>
    <row r="40" customFormat="false" ht="15.75" hidden="false" customHeight="true" outlineLevel="0" collapsed="false">
      <c r="A40" s="154"/>
      <c r="B40" s="154"/>
      <c r="C40" s="166" t="s">
        <v>178</v>
      </c>
      <c r="D40" s="167" t="n">
        <f aca="false">'Valuation output'!E35</f>
        <v>0.138639810921364</v>
      </c>
      <c r="E40" s="154"/>
      <c r="F40" s="160"/>
      <c r="G40" s="154"/>
    </row>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3">
    <mergeCell ref="A1:G1"/>
    <mergeCell ref="A2:G2"/>
    <mergeCell ref="A3:G6"/>
    <mergeCell ref="H3:K6"/>
    <mergeCell ref="A7:G7"/>
    <mergeCell ref="H9:K14"/>
    <mergeCell ref="A15:G15"/>
    <mergeCell ref="H16:K27"/>
    <mergeCell ref="A28:G28"/>
    <mergeCell ref="A29:C29"/>
    <mergeCell ref="H29:K39"/>
    <mergeCell ref="A30:C30"/>
    <mergeCell ref="A31:C31"/>
    <mergeCell ref="A32:C32"/>
    <mergeCell ref="A33:C33"/>
    <mergeCell ref="E33:F33"/>
    <mergeCell ref="A34:C34"/>
    <mergeCell ref="A35:C35"/>
    <mergeCell ref="A36:C36"/>
    <mergeCell ref="A37:C37"/>
    <mergeCell ref="A38:C38"/>
    <mergeCell ref="A39:C39"/>
    <mergeCell ref="E39:F39"/>
  </mergeCells>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pageSetUpPr fitToPage="false"/>
  </sheetPr>
  <dimension ref="A1:Z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61.71"/>
    <col collapsed="false" customWidth="true" hidden="false" outlineLevel="0" max="2" min="2" style="0" width="43.86"/>
    <col collapsed="false" customWidth="true" hidden="false" outlineLevel="0" max="3" min="3" style="0" width="68"/>
    <col collapsed="false" customWidth="true" hidden="false" outlineLevel="0" max="6" min="4" style="0" width="10.87"/>
    <col collapsed="false" customWidth="true" hidden="false" outlineLevel="0" max="26" min="7" style="0" width="8.72"/>
    <col collapsed="false" customWidth="true" hidden="false" outlineLevel="0" max="1025" min="27" style="0" width="14.43"/>
  </cols>
  <sheetData>
    <row r="1" customFormat="false" ht="15.75" hidden="false" customHeight="true" outlineLevel="0" collapsed="false">
      <c r="A1" s="168" t="s">
        <v>179</v>
      </c>
      <c r="B1" s="169"/>
      <c r="C1" s="10"/>
      <c r="D1" s="10"/>
      <c r="E1" s="10"/>
      <c r="F1" s="10"/>
      <c r="G1" s="10"/>
      <c r="H1" s="10"/>
      <c r="I1" s="10"/>
      <c r="J1" s="10"/>
      <c r="K1" s="10"/>
      <c r="L1" s="10"/>
      <c r="M1" s="10"/>
      <c r="N1" s="10"/>
      <c r="O1" s="10"/>
      <c r="P1" s="10"/>
      <c r="Q1" s="10"/>
      <c r="R1" s="10"/>
      <c r="S1" s="10"/>
      <c r="T1" s="10"/>
      <c r="U1" s="10"/>
      <c r="V1" s="10"/>
      <c r="W1" s="10"/>
      <c r="X1" s="10"/>
      <c r="Y1" s="10"/>
      <c r="Z1" s="10"/>
    </row>
    <row r="2" customFormat="false" ht="15.75" hidden="false" customHeight="true" outlineLevel="0" collapsed="false">
      <c r="A2" s="169" t="s">
        <v>180</v>
      </c>
      <c r="B2" s="170" t="n">
        <f aca="false">'Valuation output'!B39</f>
        <v>212731</v>
      </c>
      <c r="C2" s="10"/>
      <c r="D2" s="10"/>
      <c r="E2" s="10"/>
      <c r="F2" s="10"/>
      <c r="G2" s="10"/>
      <c r="H2" s="10"/>
      <c r="I2" s="10"/>
      <c r="J2" s="10"/>
      <c r="K2" s="10"/>
      <c r="L2" s="10"/>
      <c r="M2" s="10"/>
      <c r="N2" s="10"/>
      <c r="O2" s="10"/>
      <c r="P2" s="10"/>
      <c r="Q2" s="10"/>
      <c r="R2" s="10"/>
      <c r="S2" s="10"/>
      <c r="T2" s="10"/>
      <c r="U2" s="10"/>
      <c r="V2" s="10"/>
      <c r="W2" s="10"/>
      <c r="X2" s="10"/>
      <c r="Y2" s="10"/>
      <c r="Z2" s="10"/>
    </row>
    <row r="3" customFormat="false" ht="15.75" hidden="false" customHeight="true" outlineLevel="0" collapsed="false">
      <c r="A3" s="169" t="s">
        <v>181</v>
      </c>
      <c r="B3" s="170" t="n">
        <f aca="false">'Valuation output'!L39</f>
        <v>445936.421028445</v>
      </c>
      <c r="C3" s="10"/>
      <c r="D3" s="10"/>
      <c r="E3" s="10"/>
      <c r="F3" s="10"/>
      <c r="G3" s="10"/>
      <c r="H3" s="10"/>
      <c r="I3" s="10"/>
      <c r="J3" s="10"/>
      <c r="K3" s="10"/>
      <c r="L3" s="10"/>
      <c r="M3" s="10"/>
      <c r="N3" s="10"/>
      <c r="O3" s="10"/>
      <c r="P3" s="10"/>
      <c r="Q3" s="10"/>
      <c r="R3" s="10"/>
      <c r="S3" s="10"/>
      <c r="T3" s="10"/>
      <c r="U3" s="10"/>
      <c r="V3" s="10"/>
      <c r="W3" s="10"/>
      <c r="X3" s="10"/>
      <c r="Y3" s="10"/>
      <c r="Z3" s="10"/>
    </row>
    <row r="4" customFormat="false" ht="15.75" hidden="false" customHeight="true" outlineLevel="0" collapsed="false">
      <c r="A4" s="169" t="s">
        <v>182</v>
      </c>
      <c r="B4" s="170" t="n">
        <f aca="false">B3-B2</f>
        <v>233205.421028445</v>
      </c>
      <c r="C4" s="10"/>
      <c r="D4" s="10"/>
      <c r="E4" s="10"/>
      <c r="F4" s="10"/>
      <c r="G4" s="10"/>
      <c r="H4" s="10"/>
      <c r="I4" s="10"/>
      <c r="J4" s="10"/>
      <c r="K4" s="10"/>
      <c r="L4" s="10"/>
      <c r="M4" s="10"/>
      <c r="N4" s="10"/>
      <c r="O4" s="10"/>
      <c r="P4" s="10"/>
      <c r="Q4" s="10"/>
      <c r="R4" s="10"/>
      <c r="S4" s="10"/>
      <c r="T4" s="10"/>
      <c r="U4" s="10"/>
      <c r="V4" s="10"/>
      <c r="W4" s="10"/>
      <c r="X4" s="10"/>
      <c r="Y4" s="10"/>
      <c r="Z4" s="10"/>
    </row>
    <row r="5" customFormat="false" ht="15.75" hidden="false" customHeight="true" outlineLevel="0" collapsed="false">
      <c r="A5" s="169" t="s">
        <v>183</v>
      </c>
      <c r="B5" s="170" t="n">
        <f aca="false">'Valuation output'!L5-'Valuation output'!B5</f>
        <v>65760.9811664596</v>
      </c>
      <c r="C5" s="10"/>
      <c r="D5" s="10"/>
      <c r="E5" s="10"/>
      <c r="F5" s="10"/>
      <c r="G5" s="10"/>
      <c r="H5" s="10"/>
      <c r="I5" s="10"/>
      <c r="J5" s="10"/>
      <c r="K5" s="10"/>
      <c r="L5" s="10"/>
      <c r="M5" s="10"/>
      <c r="N5" s="10"/>
      <c r="O5" s="10"/>
      <c r="P5" s="10"/>
      <c r="Q5" s="10"/>
      <c r="R5" s="10"/>
      <c r="S5" s="10"/>
      <c r="T5" s="10"/>
      <c r="U5" s="10"/>
      <c r="V5" s="10"/>
      <c r="W5" s="10"/>
      <c r="X5" s="10"/>
      <c r="Y5" s="10"/>
      <c r="Z5" s="10"/>
    </row>
    <row r="6" customFormat="false" ht="15.75" hidden="false" customHeight="true" outlineLevel="0" collapsed="false">
      <c r="A6" s="169" t="s">
        <v>184</v>
      </c>
      <c r="B6" s="171" t="n">
        <f aca="false">B5/B4</f>
        <v>0.281987360655902</v>
      </c>
      <c r="C6" s="10"/>
      <c r="D6" s="10"/>
      <c r="E6" s="10"/>
      <c r="F6" s="10"/>
      <c r="G6" s="10"/>
      <c r="H6" s="10"/>
      <c r="I6" s="10"/>
      <c r="J6" s="10"/>
      <c r="K6" s="10"/>
      <c r="L6" s="10"/>
      <c r="M6" s="10"/>
      <c r="N6" s="10"/>
      <c r="O6" s="10"/>
      <c r="P6" s="10"/>
      <c r="Q6" s="10"/>
      <c r="R6" s="10"/>
      <c r="S6" s="10"/>
      <c r="T6" s="10"/>
      <c r="U6" s="10"/>
      <c r="V6" s="10"/>
      <c r="W6" s="10"/>
      <c r="X6" s="10"/>
      <c r="Y6" s="10"/>
      <c r="Z6" s="10"/>
    </row>
    <row r="7" customFormat="false" ht="15.75" hidden="false" customHeight="true" outlineLevel="0" collapsed="false">
      <c r="A7" s="169" t="s">
        <v>185</v>
      </c>
      <c r="B7" s="171" t="n">
        <f aca="false">'Valuation output'!L40</f>
        <v>0.248255090231325</v>
      </c>
      <c r="C7" s="10"/>
      <c r="D7" s="10"/>
      <c r="E7" s="10"/>
      <c r="F7" s="10"/>
      <c r="G7" s="10"/>
      <c r="H7" s="10"/>
      <c r="I7" s="10"/>
      <c r="J7" s="10"/>
      <c r="K7" s="10"/>
      <c r="L7" s="10"/>
      <c r="M7" s="10"/>
      <c r="N7" s="10"/>
      <c r="O7" s="10"/>
      <c r="P7" s="10"/>
      <c r="Q7" s="10"/>
      <c r="R7" s="10"/>
      <c r="S7" s="10"/>
      <c r="T7" s="10"/>
      <c r="U7" s="10"/>
      <c r="V7" s="10"/>
      <c r="W7" s="10"/>
      <c r="X7" s="10"/>
      <c r="Y7" s="10"/>
      <c r="Z7" s="10"/>
    </row>
    <row r="8" customFormat="false" ht="15.75" hidden="false" customHeight="true" outlineLevel="0" collapsed="false">
      <c r="A8" s="169" t="s">
        <v>186</v>
      </c>
      <c r="B8" s="171" t="n">
        <f aca="false">(1/'Valuation output'!L13)^(1/10)-1</f>
        <v>0.0793051532841576</v>
      </c>
      <c r="C8" s="10"/>
      <c r="D8" s="10"/>
      <c r="E8" s="10"/>
      <c r="F8" s="10"/>
      <c r="G8" s="10"/>
      <c r="H8" s="10"/>
      <c r="I8" s="10"/>
      <c r="J8" s="10"/>
      <c r="K8" s="10"/>
      <c r="L8" s="10"/>
      <c r="M8" s="10"/>
      <c r="N8" s="10"/>
      <c r="O8" s="10"/>
      <c r="P8" s="10"/>
      <c r="Q8" s="10"/>
      <c r="R8" s="10"/>
      <c r="S8" s="10"/>
      <c r="T8" s="10"/>
      <c r="U8" s="10"/>
      <c r="V8" s="10"/>
      <c r="W8" s="10"/>
      <c r="X8" s="10"/>
      <c r="Y8" s="10"/>
      <c r="Z8" s="10"/>
    </row>
    <row r="9" customFormat="false" ht="15.75" hidden="false" customHeight="true" outlineLevel="0" collapsed="false">
      <c r="A9" s="172" t="s">
        <v>187</v>
      </c>
      <c r="B9" s="173" t="n">
        <f aca="false">'Valuation output'!B33/'Valuation output'!B34</f>
        <v>1.43986415842295</v>
      </c>
      <c r="C9" s="10"/>
      <c r="D9" s="10"/>
      <c r="E9" s="10"/>
      <c r="F9" s="10"/>
      <c r="G9" s="10"/>
      <c r="H9" s="10"/>
      <c r="I9" s="10"/>
      <c r="J9" s="10"/>
      <c r="K9" s="10"/>
      <c r="L9" s="10"/>
      <c r="M9" s="10"/>
      <c r="N9" s="10"/>
      <c r="O9" s="10"/>
      <c r="P9" s="10"/>
      <c r="Q9" s="10"/>
      <c r="R9" s="10"/>
      <c r="S9" s="10"/>
      <c r="T9" s="10"/>
      <c r="U9" s="10"/>
      <c r="V9" s="10"/>
      <c r="W9" s="10"/>
      <c r="X9" s="10"/>
      <c r="Y9" s="10"/>
      <c r="Z9" s="10"/>
    </row>
    <row r="10" customFormat="false" ht="15.75" hidden="false" customHeight="true" outlineLevel="0" collapsed="false">
      <c r="A10" s="174"/>
      <c r="B10" s="175" t="str">
        <f aca="false">IF(B9="NA","Value is negative. See below",IF(B9&gt;2,"Value seems high. See below",IF(B9&lt;0.5,"Value seems low. See below"," ")))</f>
        <v> </v>
      </c>
      <c r="C10" s="175"/>
      <c r="D10" s="10"/>
      <c r="E10" s="10"/>
      <c r="F10" s="10"/>
      <c r="G10" s="10"/>
      <c r="H10" s="10"/>
      <c r="I10" s="10"/>
      <c r="J10" s="10"/>
      <c r="K10" s="10"/>
      <c r="L10" s="10"/>
      <c r="M10" s="10"/>
      <c r="N10" s="10"/>
      <c r="O10" s="10"/>
      <c r="P10" s="10"/>
      <c r="Q10" s="10"/>
      <c r="R10" s="10"/>
      <c r="S10" s="10"/>
      <c r="T10" s="10"/>
      <c r="U10" s="10"/>
      <c r="V10" s="10"/>
      <c r="W10" s="10"/>
      <c r="X10" s="10"/>
      <c r="Y10" s="10"/>
      <c r="Z10" s="10"/>
    </row>
    <row r="11" customFormat="false" ht="15.75" hidden="false" customHeight="true" outlineLevel="0" collapsed="false">
      <c r="A11" s="176" t="s">
        <v>188</v>
      </c>
      <c r="B11" s="177" t="s">
        <v>189</v>
      </c>
      <c r="C11" s="178" t="s">
        <v>190</v>
      </c>
      <c r="D11" s="179"/>
      <c r="E11" s="179"/>
      <c r="F11" s="179"/>
      <c r="G11" s="179"/>
      <c r="H11" s="179"/>
      <c r="I11" s="179"/>
      <c r="J11" s="179"/>
      <c r="K11" s="179"/>
      <c r="L11" s="179"/>
      <c r="M11" s="179"/>
      <c r="N11" s="179"/>
      <c r="O11" s="179"/>
      <c r="P11" s="179"/>
      <c r="Q11" s="179"/>
      <c r="R11" s="179"/>
      <c r="S11" s="179"/>
      <c r="T11" s="179"/>
      <c r="U11" s="179"/>
      <c r="V11" s="179"/>
      <c r="W11" s="179"/>
      <c r="X11" s="179"/>
      <c r="Y11" s="179"/>
      <c r="Z11" s="179"/>
    </row>
    <row r="12" customFormat="false" ht="15.75" hidden="false" customHeight="true" outlineLevel="0" collapsed="false">
      <c r="A12" s="180" t="s">
        <v>191</v>
      </c>
      <c r="B12" s="181" t="s">
        <v>192</v>
      </c>
      <c r="C12" s="182" t="s">
        <v>193</v>
      </c>
      <c r="D12" s="179"/>
      <c r="E12" s="179"/>
      <c r="F12" s="179"/>
      <c r="G12" s="179"/>
      <c r="H12" s="179"/>
      <c r="I12" s="179"/>
      <c r="J12" s="179"/>
      <c r="K12" s="179"/>
      <c r="L12" s="179"/>
      <c r="M12" s="179"/>
      <c r="N12" s="179"/>
      <c r="O12" s="179"/>
      <c r="P12" s="179"/>
      <c r="Q12" s="179"/>
      <c r="R12" s="179"/>
      <c r="S12" s="179"/>
      <c r="T12" s="179"/>
      <c r="U12" s="179"/>
      <c r="V12" s="179"/>
      <c r="W12" s="179"/>
      <c r="X12" s="179"/>
      <c r="Y12" s="179"/>
      <c r="Z12" s="179"/>
    </row>
    <row r="13" customFormat="false" ht="15.75" hidden="false" customHeight="true" outlineLevel="0" collapsed="false">
      <c r="A13" s="180" t="s">
        <v>194</v>
      </c>
      <c r="B13" s="183" t="s">
        <v>195</v>
      </c>
      <c r="C13" s="184" t="s">
        <v>196</v>
      </c>
      <c r="D13" s="179" t="s">
        <v>197</v>
      </c>
      <c r="E13" s="179"/>
      <c r="F13" s="179"/>
      <c r="G13" s="179"/>
      <c r="H13" s="179"/>
      <c r="I13" s="179"/>
      <c r="J13" s="179"/>
      <c r="K13" s="179"/>
      <c r="L13" s="179"/>
      <c r="M13" s="179"/>
      <c r="N13" s="179"/>
      <c r="O13" s="179"/>
      <c r="P13" s="179"/>
      <c r="Q13" s="179"/>
      <c r="R13" s="179"/>
      <c r="S13" s="179"/>
      <c r="T13" s="179"/>
      <c r="U13" s="179"/>
      <c r="V13" s="179"/>
      <c r="W13" s="179"/>
      <c r="X13" s="179"/>
      <c r="Y13" s="179"/>
      <c r="Z13" s="179"/>
    </row>
    <row r="14" customFormat="false" ht="15.75" hidden="false" customHeight="true" outlineLevel="0" collapsed="false">
      <c r="A14" s="185" t="s">
        <v>198</v>
      </c>
      <c r="B14" s="186" t="s">
        <v>199</v>
      </c>
      <c r="C14" s="187" t="s">
        <v>200</v>
      </c>
      <c r="D14" s="179" t="s">
        <v>197</v>
      </c>
      <c r="E14" s="179"/>
      <c r="F14" s="179"/>
      <c r="G14" s="179"/>
      <c r="H14" s="179"/>
      <c r="I14" s="179"/>
      <c r="J14" s="179"/>
      <c r="K14" s="179"/>
      <c r="L14" s="179"/>
      <c r="M14" s="179"/>
      <c r="N14" s="179"/>
      <c r="O14" s="179"/>
      <c r="P14" s="179"/>
      <c r="Q14" s="179"/>
      <c r="R14" s="179"/>
      <c r="S14" s="179"/>
      <c r="T14" s="179"/>
      <c r="U14" s="179"/>
      <c r="V14" s="179"/>
      <c r="W14" s="179"/>
      <c r="X14" s="179"/>
      <c r="Y14" s="179"/>
      <c r="Z14" s="179"/>
    </row>
    <row r="15" customFormat="false" ht="15.75" hidden="false" customHeight="true" outlineLevel="0" collapsed="false">
      <c r="A15" s="188" t="s">
        <v>201</v>
      </c>
      <c r="B15" s="189" t="s">
        <v>202</v>
      </c>
      <c r="C15" s="190" t="s">
        <v>203</v>
      </c>
      <c r="D15" s="179" t="s">
        <v>204</v>
      </c>
      <c r="E15" s="179"/>
      <c r="F15" s="179"/>
      <c r="G15" s="179"/>
      <c r="H15" s="179"/>
      <c r="I15" s="179"/>
      <c r="J15" s="179"/>
      <c r="K15" s="179"/>
      <c r="L15" s="179"/>
      <c r="M15" s="179"/>
      <c r="N15" s="179"/>
      <c r="O15" s="179"/>
      <c r="P15" s="179"/>
      <c r="Q15" s="179"/>
      <c r="R15" s="179"/>
      <c r="S15" s="179"/>
      <c r="T15" s="179"/>
      <c r="U15" s="179"/>
      <c r="V15" s="179"/>
      <c r="W15" s="179"/>
      <c r="X15" s="179"/>
      <c r="Y15" s="179"/>
      <c r="Z15" s="179"/>
    </row>
    <row r="16" customFormat="false" ht="15.75" hidden="false" customHeight="true" outlineLevel="0" collapsed="false"/>
    <row r="17" customFormat="false" ht="15.75" hidden="false" customHeight="true" outlineLevel="0" collapsed="false"/>
    <row r="18" customFormat="false" ht="15.75" hidden="false" customHeight="true" outlineLevel="0" collapsed="false"/>
    <row r="19" customFormat="false" ht="15.75" hidden="false" customHeight="true" outlineLevel="0" collapsed="false"/>
    <row r="20" customFormat="false" ht="15.75" hidden="false" customHeight="true" outlineLevel="0" collapsed="false"/>
    <row r="21" customFormat="false" ht="15.75" hidden="false" customHeight="true" outlineLevel="0" collapsed="false"/>
    <row r="22" customFormat="false" ht="15.75" hidden="false" customHeight="true" outlineLevel="0" collapsed="false"/>
    <row r="23" customFormat="false" ht="15.75" hidden="false" customHeight="true" outlineLevel="0" collapsed="false"/>
    <row r="24" customFormat="false" ht="15.75" hidden="false" customHeight="true" outlineLevel="0" collapsed="false"/>
    <row r="25" customFormat="false" ht="15.75" hidden="false" customHeight="true" outlineLevel="0" collapsed="false"/>
    <row r="26" customFormat="false" ht="15.75" hidden="false" customHeight="true" outlineLevel="0" collapsed="false"/>
    <row r="27" customFormat="false" ht="15.75" hidden="false" customHeight="true" outlineLevel="0" collapsed="false"/>
    <row r="28" customFormat="false" ht="15.75" hidden="false" customHeight="true" outlineLevel="0" collapsed="false"/>
    <row r="29" customFormat="false" ht="15.75" hidden="false" customHeight="true" outlineLevel="0" collapsed="false"/>
    <row r="30" customFormat="false" ht="15.75" hidden="false" customHeight="true" outlineLevel="0" collapsed="false"/>
    <row r="31" customFormat="false" ht="15.75" hidden="false" customHeight="true" outlineLevel="0" collapsed="false"/>
    <row r="32" customFormat="false" ht="15.75" hidden="false" customHeight="true" outlineLevel="0" collapsed="false"/>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B10:C10"/>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Z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8" min="1" style="0" width="10.72"/>
    <col collapsed="false" customWidth="true" hidden="false" outlineLevel="0" max="26" min="9" style="0" width="8.72"/>
    <col collapsed="false" customWidth="true" hidden="false" outlineLevel="0" max="1025" min="27" style="0" width="14.43"/>
  </cols>
  <sheetData>
    <row r="1" customFormat="false" ht="12" hidden="false" customHeight="true" outlineLevel="0" collapsed="false">
      <c r="A1" s="191" t="s">
        <v>205</v>
      </c>
      <c r="B1" s="191" t="s">
        <v>15</v>
      </c>
      <c r="C1" s="191" t="s">
        <v>206</v>
      </c>
      <c r="D1" s="191" t="s">
        <v>207</v>
      </c>
      <c r="E1" s="191" t="s">
        <v>208</v>
      </c>
      <c r="F1" s="191" t="s">
        <v>116</v>
      </c>
      <c r="G1" s="191" t="s">
        <v>209</v>
      </c>
      <c r="H1" s="191" t="s">
        <v>210</v>
      </c>
      <c r="I1" s="85"/>
      <c r="J1" s="85"/>
      <c r="K1" s="85"/>
      <c r="L1" s="85"/>
      <c r="M1" s="85"/>
      <c r="N1" s="85"/>
      <c r="O1" s="85"/>
      <c r="P1" s="85"/>
      <c r="Q1" s="85"/>
      <c r="R1" s="85"/>
      <c r="S1" s="85"/>
      <c r="T1" s="85"/>
      <c r="U1" s="85"/>
      <c r="V1" s="85"/>
      <c r="W1" s="85"/>
      <c r="X1" s="85"/>
      <c r="Y1" s="85"/>
      <c r="Z1" s="85"/>
    </row>
    <row r="2" customFormat="false" ht="12" hidden="false" customHeight="true" outlineLevel="0" collapsed="false">
      <c r="A2" s="85" t="s">
        <v>211</v>
      </c>
      <c r="B2" s="192" t="n">
        <f aca="false">'Valuation output'!B3</f>
        <v>282113</v>
      </c>
      <c r="C2" s="85"/>
      <c r="D2" s="92" t="n">
        <f aca="false">'Valuation output'!B4</f>
        <v>0.31192229118592</v>
      </c>
      <c r="E2" s="192" t="n">
        <f aca="false">B2*D2</f>
        <v>87997.3333333333</v>
      </c>
      <c r="F2" s="192" t="n">
        <f aca="false">'Valuation output'!B10</f>
        <v>0</v>
      </c>
      <c r="G2" s="192" t="n">
        <f aca="false">E2-H2</f>
        <v>12759.6133333333</v>
      </c>
      <c r="H2" s="192" t="n">
        <f aca="false">'Valuation output'!B7</f>
        <v>75237.72</v>
      </c>
      <c r="I2" s="85"/>
      <c r="J2" s="85"/>
      <c r="K2" s="85"/>
      <c r="L2" s="85"/>
      <c r="M2" s="85"/>
      <c r="N2" s="85"/>
      <c r="O2" s="85"/>
      <c r="P2" s="85"/>
      <c r="Q2" s="85"/>
      <c r="R2" s="85"/>
      <c r="S2" s="85"/>
      <c r="T2" s="85"/>
      <c r="U2" s="85"/>
      <c r="V2" s="85"/>
      <c r="W2" s="85"/>
      <c r="X2" s="85"/>
      <c r="Y2" s="85"/>
      <c r="Z2" s="85"/>
    </row>
    <row r="3" customFormat="false" ht="12" hidden="false" customHeight="true" outlineLevel="0" collapsed="false">
      <c r="A3" s="85" t="n">
        <v>1</v>
      </c>
      <c r="B3" s="192" t="n">
        <f aca="false">'Valuation output'!C3</f>
        <v>309365.1158</v>
      </c>
      <c r="C3" s="92" t="n">
        <f aca="false">'Valuation output'!C2</f>
        <v>0.0966</v>
      </c>
      <c r="D3" s="92" t="n">
        <f aca="false">'Valuation output'!C4</f>
        <v>0.301</v>
      </c>
      <c r="E3" s="192" t="n">
        <f aca="false">B3*D3</f>
        <v>93118.8998558</v>
      </c>
      <c r="F3" s="192" t="n">
        <f aca="false">'Valuation output'!C10</f>
        <v>0</v>
      </c>
      <c r="G3" s="192" t="n">
        <f aca="false">E3-H3</f>
        <v>13502.240479091</v>
      </c>
      <c r="H3" s="192" t="n">
        <f aca="false">'Valuation output'!C7</f>
        <v>79616.659376709</v>
      </c>
      <c r="I3" s="85"/>
      <c r="J3" s="85"/>
      <c r="K3" s="85"/>
      <c r="L3" s="85"/>
      <c r="M3" s="85"/>
      <c r="N3" s="85"/>
      <c r="O3" s="85"/>
      <c r="P3" s="85"/>
      <c r="Q3" s="85"/>
      <c r="R3" s="85"/>
      <c r="S3" s="85"/>
      <c r="T3" s="85"/>
      <c r="U3" s="85"/>
      <c r="V3" s="85"/>
      <c r="W3" s="85"/>
      <c r="X3" s="85"/>
      <c r="Y3" s="85"/>
      <c r="Z3" s="85"/>
    </row>
    <row r="4" customFormat="false" ht="12" hidden="false" customHeight="true" outlineLevel="0" collapsed="false">
      <c r="A4" s="85" t="n">
        <v>2</v>
      </c>
      <c r="B4" s="192" t="n">
        <f aca="false">'Valuation output'!D3</f>
        <v>340301.62738</v>
      </c>
      <c r="C4" s="92" t="n">
        <f aca="false">B4/B3-1</f>
        <v>0.1</v>
      </c>
      <c r="D4" s="92" t="n">
        <f aca="false">'Valuation output'!D4</f>
        <v>0.289285714285714</v>
      </c>
      <c r="E4" s="192" t="n">
        <f aca="false">B4*D4</f>
        <v>98444.3993492143</v>
      </c>
      <c r="F4" s="192" t="n">
        <f aca="false">'Valuation output'!D10</f>
        <v>0</v>
      </c>
      <c r="G4" s="192" t="n">
        <f aca="false">E4-H4</f>
        <v>14274.4379056361</v>
      </c>
      <c r="H4" s="192" t="n">
        <f aca="false">'Valuation output'!D7</f>
        <v>84169.9614435782</v>
      </c>
      <c r="I4" s="85"/>
      <c r="J4" s="85"/>
      <c r="K4" s="85"/>
      <c r="L4" s="85"/>
      <c r="M4" s="85"/>
      <c r="N4" s="85"/>
      <c r="O4" s="85"/>
      <c r="P4" s="85"/>
      <c r="Q4" s="85"/>
      <c r="R4" s="85"/>
      <c r="S4" s="85"/>
      <c r="T4" s="85"/>
      <c r="U4" s="85"/>
      <c r="V4" s="85"/>
      <c r="W4" s="85"/>
      <c r="X4" s="85"/>
      <c r="Y4" s="85"/>
      <c r="Z4" s="85"/>
    </row>
    <row r="5" customFormat="false" ht="12" hidden="false" customHeight="true" outlineLevel="0" collapsed="false">
      <c r="A5" s="85" t="n">
        <v>3</v>
      </c>
      <c r="B5" s="192" t="n">
        <f aca="false">'Valuation output'!E3</f>
        <v>374331.790118</v>
      </c>
      <c r="C5" s="92" t="n">
        <f aca="false">B5/B4-1</f>
        <v>0.1</v>
      </c>
      <c r="D5" s="92" t="n">
        <f aca="false">'Valuation output'!E4</f>
        <v>0.283428571428571</v>
      </c>
      <c r="E5" s="192" t="n">
        <f aca="false">B5*D5</f>
        <v>106096.324513445</v>
      </c>
      <c r="F5" s="192" t="n">
        <f aca="false">'Valuation output'!E10</f>
        <v>0</v>
      </c>
      <c r="G5" s="192" t="n">
        <f aca="false">E5-H5</f>
        <v>15383.9670544495</v>
      </c>
      <c r="H5" s="192" t="n">
        <f aca="false">'Valuation output'!E7</f>
        <v>90712.3574589951</v>
      </c>
      <c r="I5" s="85"/>
      <c r="J5" s="85"/>
      <c r="K5" s="85"/>
      <c r="L5" s="85"/>
      <c r="M5" s="85"/>
      <c r="N5" s="85"/>
      <c r="O5" s="85"/>
      <c r="P5" s="85"/>
      <c r="Q5" s="85"/>
      <c r="R5" s="85"/>
      <c r="S5" s="85"/>
      <c r="T5" s="85"/>
      <c r="U5" s="85"/>
      <c r="V5" s="85"/>
      <c r="W5" s="85"/>
      <c r="X5" s="85"/>
      <c r="Y5" s="85"/>
      <c r="Z5" s="85"/>
    </row>
    <row r="6" customFormat="false" ht="12" hidden="false" customHeight="true" outlineLevel="0" collapsed="false">
      <c r="A6" s="85" t="n">
        <v>4</v>
      </c>
      <c r="B6" s="192" t="n">
        <f aca="false">'Valuation output'!F3</f>
        <v>411764.9691298</v>
      </c>
      <c r="C6" s="92" t="n">
        <f aca="false">B6/B5-1</f>
        <v>0.1</v>
      </c>
      <c r="D6" s="92" t="n">
        <f aca="false">'Valuation output'!F4</f>
        <v>0.277571428571429</v>
      </c>
      <c r="E6" s="192" t="n">
        <f aca="false">B6*D6</f>
        <v>114294.190717029</v>
      </c>
      <c r="F6" s="192" t="n">
        <f aca="false">'Valuation output'!F10</f>
        <v>0</v>
      </c>
      <c r="G6" s="192" t="n">
        <f aca="false">E6-H6</f>
        <v>16572.6576539692</v>
      </c>
      <c r="H6" s="192" t="n">
        <f aca="false">'Valuation output'!F7</f>
        <v>97721.5330630596</v>
      </c>
      <c r="I6" s="85"/>
      <c r="J6" s="85"/>
      <c r="K6" s="85"/>
      <c r="L6" s="85"/>
      <c r="M6" s="85"/>
      <c r="N6" s="85"/>
      <c r="O6" s="85"/>
      <c r="P6" s="85"/>
      <c r="Q6" s="85"/>
      <c r="R6" s="85"/>
      <c r="S6" s="85"/>
      <c r="T6" s="85"/>
      <c r="U6" s="85"/>
      <c r="V6" s="85"/>
      <c r="W6" s="85"/>
      <c r="X6" s="85"/>
      <c r="Y6" s="85"/>
      <c r="Z6" s="85"/>
    </row>
    <row r="7" customFormat="false" ht="12" hidden="false" customHeight="true" outlineLevel="0" collapsed="false">
      <c r="A7" s="85" t="n">
        <v>5</v>
      </c>
      <c r="B7" s="192" t="n">
        <f aca="false">'Valuation output'!G3</f>
        <v>452941.46604278</v>
      </c>
      <c r="C7" s="92" t="n">
        <f aca="false">B7/B6-1</f>
        <v>0.1</v>
      </c>
      <c r="D7" s="92" t="n">
        <f aca="false">'Valuation output'!G4</f>
        <v>0.271714285714286</v>
      </c>
      <c r="E7" s="192" t="n">
        <f aca="false">B7*D7</f>
        <v>123070.666916195</v>
      </c>
      <c r="F7" s="192" t="n">
        <f aca="false">'Valuation output'!G10</f>
        <v>0</v>
      </c>
      <c r="G7" s="192" t="n">
        <f aca="false">E7-H7</f>
        <v>17845.2467028483</v>
      </c>
      <c r="H7" s="192" t="n">
        <f aca="false">'Valuation output'!G7</f>
        <v>105225.420213347</v>
      </c>
      <c r="I7" s="85"/>
      <c r="J7" s="85"/>
      <c r="K7" s="85"/>
      <c r="L7" s="85"/>
      <c r="M7" s="85"/>
      <c r="N7" s="85"/>
      <c r="O7" s="85"/>
      <c r="P7" s="85"/>
      <c r="Q7" s="85"/>
      <c r="R7" s="85"/>
      <c r="S7" s="85"/>
      <c r="T7" s="85"/>
      <c r="U7" s="85"/>
      <c r="V7" s="85"/>
      <c r="W7" s="85"/>
      <c r="X7" s="85"/>
      <c r="Y7" s="85"/>
      <c r="Z7" s="85"/>
    </row>
    <row r="8" customFormat="false" ht="12" hidden="false" customHeight="true" outlineLevel="0" collapsed="false">
      <c r="A8" s="85" t="n">
        <v>6</v>
      </c>
      <c r="B8" s="192" t="n">
        <f aca="false">'Valuation output'!H3</f>
        <v>491441.490656417</v>
      </c>
      <c r="C8" s="92" t="n">
        <f aca="false">B8/B7-1</f>
        <v>0.085</v>
      </c>
      <c r="D8" s="92" t="n">
        <f aca="false">'Valuation output'!H4</f>
        <v>0.267417470169417</v>
      </c>
      <c r="E8" s="192" t="n">
        <f aca="false">B8*D8</f>
        <v>131420.040167626</v>
      </c>
      <c r="F8" s="192" t="n">
        <f aca="false">'Valuation output'!H10</f>
        <v>0</v>
      </c>
      <c r="G8" s="192" t="n">
        <f aca="false">E8-H8</f>
        <v>22604.2469088317</v>
      </c>
      <c r="H8" s="192" t="n">
        <f aca="false">'Valuation output'!H7</f>
        <v>108815.793258795</v>
      </c>
      <c r="I8" s="85"/>
      <c r="J8" s="85"/>
      <c r="K8" s="85"/>
      <c r="L8" s="85"/>
      <c r="M8" s="85"/>
      <c r="N8" s="85"/>
      <c r="O8" s="85"/>
      <c r="P8" s="85"/>
      <c r="Q8" s="85"/>
      <c r="R8" s="85"/>
      <c r="S8" s="85"/>
      <c r="T8" s="85"/>
      <c r="U8" s="85"/>
      <c r="V8" s="85"/>
      <c r="W8" s="85"/>
      <c r="X8" s="85"/>
      <c r="Y8" s="85"/>
      <c r="Z8" s="85"/>
    </row>
    <row r="9" customFormat="false" ht="12" hidden="false" customHeight="true" outlineLevel="0" collapsed="false">
      <c r="A9" s="85" t="n">
        <v>7</v>
      </c>
      <c r="B9" s="192" t="n">
        <f aca="false">'Valuation output'!I3</f>
        <v>525842.395002366</v>
      </c>
      <c r="C9" s="92" t="n">
        <f aca="false">B9/B8-1</f>
        <v>0.0700000000000001</v>
      </c>
      <c r="D9" s="92" t="n">
        <f aca="false">'Valuation output'!I4</f>
        <v>0.26</v>
      </c>
      <c r="E9" s="192" t="n">
        <f aca="false">B9*D9</f>
        <v>136719.022700615</v>
      </c>
      <c r="F9" s="192" t="n">
        <f aca="false">'Valuation output'!I10</f>
        <v>0</v>
      </c>
      <c r="G9" s="192" t="n">
        <f aca="false">E9-H9</f>
        <v>27207.0855174224</v>
      </c>
      <c r="H9" s="192" t="n">
        <f aca="false">'Valuation output'!I7</f>
        <v>109511.937183193</v>
      </c>
      <c r="I9" s="85"/>
      <c r="J9" s="85"/>
      <c r="K9" s="85"/>
      <c r="L9" s="85"/>
      <c r="M9" s="85"/>
      <c r="N9" s="85"/>
      <c r="O9" s="85"/>
      <c r="P9" s="85"/>
      <c r="Q9" s="85"/>
      <c r="R9" s="85"/>
      <c r="S9" s="85"/>
      <c r="T9" s="85"/>
      <c r="U9" s="85"/>
      <c r="V9" s="85"/>
      <c r="W9" s="85"/>
      <c r="X9" s="85"/>
      <c r="Y9" s="85"/>
      <c r="Z9" s="85"/>
    </row>
    <row r="10" customFormat="false" ht="12" hidden="false" customHeight="true" outlineLevel="0" collapsed="false">
      <c r="A10" s="85" t="n">
        <v>8</v>
      </c>
      <c r="B10" s="192" t="n">
        <f aca="false">'Valuation output'!J3</f>
        <v>554763.726727496</v>
      </c>
      <c r="C10" s="92" t="n">
        <f aca="false">B10/B9-1</f>
        <v>0.0549999999999999</v>
      </c>
      <c r="D10" s="92" t="n">
        <f aca="false">'Valuation output'!J4</f>
        <v>0.26</v>
      </c>
      <c r="E10" s="192" t="n">
        <f aca="false">B10*D10</f>
        <v>144238.568949149</v>
      </c>
      <c r="F10" s="192" t="n">
        <f aca="false">'Valuation output'!J10</f>
        <v>0</v>
      </c>
      <c r="G10" s="192" t="n">
        <f aca="false">E10-H10</f>
        <v>32597.9165825077</v>
      </c>
      <c r="H10" s="192" t="n">
        <f aca="false">'Valuation output'!J7</f>
        <v>111640.652366641</v>
      </c>
      <c r="I10" s="85"/>
      <c r="J10" s="85"/>
      <c r="K10" s="85"/>
      <c r="L10" s="85"/>
      <c r="M10" s="85"/>
      <c r="N10" s="85"/>
      <c r="O10" s="85"/>
      <c r="P10" s="85"/>
      <c r="Q10" s="85"/>
      <c r="R10" s="85"/>
      <c r="S10" s="85"/>
      <c r="T10" s="85"/>
      <c r="U10" s="85"/>
      <c r="V10" s="85"/>
      <c r="W10" s="85"/>
      <c r="X10" s="85"/>
      <c r="Y10" s="85"/>
      <c r="Z10" s="85"/>
    </row>
    <row r="11" customFormat="false" ht="12" hidden="false" customHeight="true" outlineLevel="0" collapsed="false">
      <c r="A11" s="85" t="n">
        <v>9</v>
      </c>
      <c r="B11" s="192" t="n">
        <f aca="false">'Valuation output'!K3</f>
        <v>576954.275796596</v>
      </c>
      <c r="C11" s="92" t="n">
        <f aca="false">B11/B10-1</f>
        <v>0.04</v>
      </c>
      <c r="D11" s="92" t="n">
        <f aca="false">'Valuation output'!K4</f>
        <v>0.26</v>
      </c>
      <c r="E11" s="192" t="n">
        <f aca="false">B11*D11</f>
        <v>150008.111707115</v>
      </c>
      <c r="F11" s="192" t="n">
        <f aca="false">'Valuation output'!K10</f>
        <v>0</v>
      </c>
      <c r="G11" s="192" t="n">
        <f aca="false">E11-H11</f>
        <v>37952.0522619001</v>
      </c>
      <c r="H11" s="192" t="n">
        <f aca="false">'Valuation output'!K7</f>
        <v>112056.059445215</v>
      </c>
      <c r="I11" s="85"/>
      <c r="J11" s="85"/>
      <c r="K11" s="85"/>
      <c r="L11" s="85"/>
      <c r="M11" s="85"/>
      <c r="N11" s="85"/>
      <c r="O11" s="85"/>
      <c r="P11" s="85"/>
      <c r="Q11" s="85"/>
      <c r="R11" s="85"/>
      <c r="S11" s="85"/>
      <c r="T11" s="85"/>
      <c r="U11" s="85"/>
      <c r="V11" s="85"/>
      <c r="W11" s="85"/>
      <c r="X11" s="85"/>
      <c r="Y11" s="85"/>
      <c r="Z11" s="85"/>
    </row>
    <row r="12" customFormat="false" ht="12" hidden="false" customHeight="true" outlineLevel="0" collapsed="false">
      <c r="A12" s="85" t="n">
        <v>10</v>
      </c>
      <c r="B12" s="192" t="n">
        <f aca="false">'Valuation output'!L3</f>
        <v>591378.132691511</v>
      </c>
      <c r="C12" s="92" t="n">
        <f aca="false">B12/B11-1</f>
        <v>0.0249999999999999</v>
      </c>
      <c r="D12" s="92" t="n">
        <f aca="false">'Valuation output'!L4</f>
        <v>0.26</v>
      </c>
      <c r="E12" s="192" t="n">
        <f aca="false">B12*D12</f>
        <v>153758.314499793</v>
      </c>
      <c r="F12" s="192" t="n">
        <f aca="false">'Valuation output'!L10</f>
        <v>0</v>
      </c>
      <c r="G12" s="192" t="n">
        <f aca="false">E12-H12</f>
        <v>43052.328059942</v>
      </c>
      <c r="H12" s="192" t="n">
        <f aca="false">'Valuation output'!L7</f>
        <v>110705.986439851</v>
      </c>
      <c r="I12" s="85"/>
      <c r="J12" s="85"/>
      <c r="K12" s="85"/>
      <c r="L12" s="85"/>
      <c r="M12" s="85"/>
      <c r="N12" s="85"/>
      <c r="O12" s="85"/>
      <c r="P12" s="85"/>
      <c r="Q12" s="85"/>
      <c r="R12" s="85"/>
      <c r="S12" s="85"/>
      <c r="T12" s="85"/>
      <c r="U12" s="85"/>
      <c r="V12" s="85"/>
      <c r="W12" s="85"/>
      <c r="X12" s="85"/>
      <c r="Y12" s="85"/>
      <c r="Z12" s="85"/>
    </row>
    <row r="13" customFormat="false" ht="12" hidden="false" customHeight="true" outlineLevel="0" collapsed="false">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row>
    <row r="14" customFormat="false" ht="12" hidden="false" customHeight="true" outlineLevel="0" collapsed="false">
      <c r="A14" s="191" t="s">
        <v>205</v>
      </c>
      <c r="B14" s="191" t="s">
        <v>210</v>
      </c>
      <c r="C14" s="191" t="s">
        <v>212</v>
      </c>
      <c r="D14" s="191" t="s">
        <v>213</v>
      </c>
      <c r="E14" s="191" t="s">
        <v>214</v>
      </c>
      <c r="F14" s="191" t="s">
        <v>115</v>
      </c>
      <c r="G14" s="191" t="s">
        <v>215</v>
      </c>
      <c r="H14" s="191" t="s">
        <v>216</v>
      </c>
      <c r="I14" s="85"/>
      <c r="J14" s="85"/>
      <c r="K14" s="85"/>
      <c r="L14" s="85"/>
      <c r="M14" s="85"/>
      <c r="N14" s="85"/>
      <c r="O14" s="85"/>
      <c r="P14" s="85"/>
      <c r="Q14" s="85"/>
      <c r="R14" s="85"/>
      <c r="S14" s="85"/>
      <c r="T14" s="85"/>
      <c r="U14" s="85"/>
      <c r="V14" s="85"/>
      <c r="W14" s="85"/>
      <c r="X14" s="85"/>
      <c r="Y14" s="85"/>
      <c r="Z14" s="85"/>
    </row>
    <row r="15" customFormat="false" ht="12" hidden="false" customHeight="true" outlineLevel="0" collapsed="false">
      <c r="A15" s="85" t="str">
        <f aca="false">A2</f>
        <v>Traling 12 month</v>
      </c>
      <c r="B15" s="192" t="n">
        <f aca="false">H2</f>
        <v>75237.72</v>
      </c>
      <c r="C15" s="85"/>
      <c r="D15" s="85"/>
      <c r="E15" s="85"/>
      <c r="F15" s="85"/>
      <c r="G15" s="192" t="n">
        <f aca="false">'Valuation output'!B39</f>
        <v>212731</v>
      </c>
      <c r="H15" s="92" t="n">
        <f aca="false">B15/G15</f>
        <v>0.353675392867048</v>
      </c>
      <c r="I15" s="85"/>
      <c r="J15" s="85"/>
      <c r="K15" s="85"/>
      <c r="L15" s="85"/>
      <c r="M15" s="85"/>
      <c r="N15" s="85"/>
      <c r="O15" s="85"/>
      <c r="P15" s="85"/>
      <c r="Q15" s="85"/>
      <c r="R15" s="85"/>
      <c r="S15" s="85"/>
      <c r="T15" s="85"/>
      <c r="U15" s="85"/>
      <c r="V15" s="85"/>
      <c r="W15" s="85"/>
      <c r="X15" s="85"/>
      <c r="Y15" s="85"/>
      <c r="Z15" s="85"/>
    </row>
    <row r="16" customFormat="false" ht="12" hidden="false" customHeight="true" outlineLevel="0" collapsed="false">
      <c r="A16" s="85" t="n">
        <f aca="false">A3</f>
        <v>1</v>
      </c>
      <c r="B16" s="192" t="n">
        <f aca="false">H3</f>
        <v>79616.659376709</v>
      </c>
      <c r="C16" s="192" t="n">
        <f aca="false">B3-B2</f>
        <v>27252.1158</v>
      </c>
      <c r="D16" s="193" t="n">
        <f aca="false">'Valuation output'!C38</f>
        <v>1.32614898627845</v>
      </c>
      <c r="E16" s="192" t="n">
        <f aca="false">C16/D16</f>
        <v>20549.8146</v>
      </c>
      <c r="F16" s="192" t="n">
        <f aca="false">B16-E16</f>
        <v>59066.844776709</v>
      </c>
      <c r="G16" s="192" t="n">
        <f aca="false">G15+E16</f>
        <v>233280.8146</v>
      </c>
      <c r="H16" s="92" t="n">
        <f aca="false">B16/G16</f>
        <v>0.341291072363689</v>
      </c>
      <c r="I16" s="85"/>
      <c r="J16" s="85"/>
      <c r="K16" s="85"/>
      <c r="L16" s="85"/>
      <c r="M16" s="85"/>
      <c r="N16" s="85"/>
      <c r="O16" s="85"/>
      <c r="P16" s="85"/>
      <c r="Q16" s="85"/>
      <c r="R16" s="85"/>
      <c r="S16" s="85"/>
      <c r="T16" s="85"/>
      <c r="U16" s="85"/>
      <c r="V16" s="85"/>
      <c r="W16" s="85"/>
      <c r="X16" s="85"/>
      <c r="Y16" s="85"/>
      <c r="Z16" s="85"/>
    </row>
    <row r="17" customFormat="false" ht="12" hidden="false" customHeight="true" outlineLevel="0" collapsed="false">
      <c r="A17" s="85" t="n">
        <f aca="false">A4</f>
        <v>2</v>
      </c>
      <c r="B17" s="192" t="n">
        <f aca="false">H4</f>
        <v>84169.9614435782</v>
      </c>
      <c r="C17" s="192" t="n">
        <f aca="false">B4-B3</f>
        <v>30936.51158</v>
      </c>
      <c r="D17" s="193" t="n">
        <f aca="false">'Valuation output'!D38</f>
        <v>1.32614898627845</v>
      </c>
      <c r="E17" s="192" t="n">
        <f aca="false">C17/D17</f>
        <v>23328.08146</v>
      </c>
      <c r="F17" s="192" t="n">
        <f aca="false">B17-E17</f>
        <v>60841.8799835782</v>
      </c>
      <c r="G17" s="192" t="n">
        <f aca="false">G16+E17</f>
        <v>256608.89606</v>
      </c>
      <c r="H17" s="92" t="n">
        <f aca="false">B17/G17</f>
        <v>0.328008743016835</v>
      </c>
      <c r="I17" s="85"/>
      <c r="J17" s="85"/>
      <c r="K17" s="85"/>
      <c r="L17" s="85"/>
      <c r="M17" s="85"/>
      <c r="N17" s="85"/>
      <c r="O17" s="85"/>
      <c r="P17" s="85"/>
      <c r="Q17" s="85"/>
      <c r="R17" s="85"/>
      <c r="S17" s="85"/>
      <c r="T17" s="85"/>
      <c r="U17" s="85"/>
      <c r="V17" s="85"/>
      <c r="W17" s="85"/>
      <c r="X17" s="85"/>
      <c r="Y17" s="85"/>
      <c r="Z17" s="85"/>
    </row>
    <row r="18" customFormat="false" ht="12" hidden="false" customHeight="true" outlineLevel="0" collapsed="false">
      <c r="A18" s="85" t="n">
        <f aca="false">A5</f>
        <v>3</v>
      </c>
      <c r="B18" s="192" t="n">
        <f aca="false">H5</f>
        <v>90712.3574589951</v>
      </c>
      <c r="C18" s="192" t="n">
        <f aca="false">B5-B4</f>
        <v>34030.162738</v>
      </c>
      <c r="D18" s="193" t="n">
        <f aca="false">'Valuation output'!E38</f>
        <v>1.32614898627845</v>
      </c>
      <c r="E18" s="192" t="n">
        <f aca="false">C18/D18</f>
        <v>25660.889606</v>
      </c>
      <c r="F18" s="192" t="n">
        <f aca="false">B18-E18</f>
        <v>65051.4678529951</v>
      </c>
      <c r="G18" s="192" t="n">
        <f aca="false">G17+E18</f>
        <v>282269.785666</v>
      </c>
      <c r="H18" s="92" t="n">
        <f aca="false">B18/G18</f>
        <v>0.321367578343408</v>
      </c>
      <c r="I18" s="85"/>
      <c r="J18" s="85"/>
      <c r="K18" s="85"/>
      <c r="L18" s="85"/>
      <c r="M18" s="85"/>
      <c r="N18" s="85"/>
      <c r="O18" s="85"/>
      <c r="P18" s="85"/>
      <c r="Q18" s="85"/>
      <c r="R18" s="85"/>
      <c r="S18" s="85"/>
      <c r="T18" s="85"/>
      <c r="U18" s="85"/>
      <c r="V18" s="85"/>
      <c r="W18" s="85"/>
      <c r="X18" s="85"/>
      <c r="Y18" s="85"/>
      <c r="Z18" s="85"/>
    </row>
    <row r="19" customFormat="false" ht="12" hidden="false" customHeight="true" outlineLevel="0" collapsed="false">
      <c r="A19" s="85" t="n">
        <f aca="false">A6</f>
        <v>4</v>
      </c>
      <c r="B19" s="192" t="n">
        <f aca="false">H6</f>
        <v>97721.5330630596</v>
      </c>
      <c r="C19" s="192" t="n">
        <f aca="false">B6-B5</f>
        <v>37433.1790118</v>
      </c>
      <c r="D19" s="193" t="n">
        <f aca="false">'Valuation output'!F38</f>
        <v>1.32614898627845</v>
      </c>
      <c r="E19" s="192" t="n">
        <f aca="false">C19/D19</f>
        <v>28226.9785666</v>
      </c>
      <c r="F19" s="192" t="n">
        <f aca="false">B19-E19</f>
        <v>69494.5544964596</v>
      </c>
      <c r="G19" s="192" t="n">
        <f aca="false">G18+E19</f>
        <v>310496.7642326</v>
      </c>
      <c r="H19" s="92" t="n">
        <f aca="false">B19/G19</f>
        <v>0.31472641366998</v>
      </c>
      <c r="I19" s="85"/>
      <c r="J19" s="85"/>
      <c r="K19" s="85"/>
      <c r="L19" s="85"/>
      <c r="M19" s="85"/>
      <c r="N19" s="85"/>
      <c r="O19" s="85"/>
      <c r="P19" s="85"/>
      <c r="Q19" s="85"/>
      <c r="R19" s="85"/>
      <c r="S19" s="85"/>
      <c r="T19" s="85"/>
      <c r="U19" s="85"/>
      <c r="V19" s="85"/>
      <c r="W19" s="85"/>
      <c r="X19" s="85"/>
      <c r="Y19" s="85"/>
      <c r="Z19" s="85"/>
    </row>
    <row r="20" customFormat="false" ht="12" hidden="false" customHeight="true" outlineLevel="0" collapsed="false">
      <c r="A20" s="85" t="n">
        <f aca="false">A7</f>
        <v>5</v>
      </c>
      <c r="B20" s="192" t="n">
        <f aca="false">H7</f>
        <v>105225.420213347</v>
      </c>
      <c r="C20" s="192" t="n">
        <f aca="false">B7-B6</f>
        <v>41176.4969129801</v>
      </c>
      <c r="D20" s="193" t="n">
        <f aca="false">'Valuation output'!G38</f>
        <v>1.32614898627845</v>
      </c>
      <c r="E20" s="192" t="n">
        <f aca="false">C20/D20</f>
        <v>31049.67642326</v>
      </c>
      <c r="F20" s="192" t="n">
        <f aca="false">B20-E20</f>
        <v>74175.7437900871</v>
      </c>
      <c r="G20" s="192" t="n">
        <f aca="false">G19+E20</f>
        <v>341546.44065586</v>
      </c>
      <c r="H20" s="92" t="n">
        <f aca="false">B20/G20</f>
        <v>0.308085248996553</v>
      </c>
      <c r="I20" s="85"/>
      <c r="J20" s="85"/>
      <c r="K20" s="85"/>
      <c r="L20" s="85"/>
      <c r="M20" s="85"/>
      <c r="N20" s="85"/>
      <c r="O20" s="85"/>
      <c r="P20" s="85"/>
      <c r="Q20" s="85"/>
      <c r="R20" s="85"/>
      <c r="S20" s="85"/>
      <c r="T20" s="85"/>
      <c r="U20" s="85"/>
      <c r="V20" s="85"/>
      <c r="W20" s="85"/>
      <c r="X20" s="85"/>
      <c r="Y20" s="85"/>
      <c r="Z20" s="85"/>
    </row>
    <row r="21" customFormat="false" ht="12" hidden="false" customHeight="true" outlineLevel="0" collapsed="false">
      <c r="A21" s="85" t="n">
        <f aca="false">A8</f>
        <v>6</v>
      </c>
      <c r="B21" s="192" t="n">
        <f aca="false">H8</f>
        <v>108815.793258795</v>
      </c>
      <c r="C21" s="192" t="n">
        <f aca="false">B8-B7</f>
        <v>38500.0246136363</v>
      </c>
      <c r="D21" s="193" t="n">
        <f aca="false">'Valuation output'!H38</f>
        <v>1.32614898627845</v>
      </c>
      <c r="E21" s="192" t="n">
        <f aca="false">C21/D21</f>
        <v>29031.4474557481</v>
      </c>
      <c r="F21" s="192" t="n">
        <f aca="false">B21-E21</f>
        <v>79784.3458030465</v>
      </c>
      <c r="G21" s="192" t="n">
        <f aca="false">G20+E21</f>
        <v>370577.888111608</v>
      </c>
      <c r="H21" s="92" t="n">
        <f aca="false">B21/G21</f>
        <v>0.293638116978049</v>
      </c>
      <c r="I21" s="85"/>
      <c r="J21" s="85"/>
      <c r="K21" s="85"/>
      <c r="L21" s="85"/>
      <c r="M21" s="85"/>
      <c r="N21" s="85"/>
      <c r="O21" s="85"/>
      <c r="P21" s="85"/>
      <c r="Q21" s="85"/>
      <c r="R21" s="85"/>
      <c r="S21" s="85"/>
      <c r="T21" s="85"/>
      <c r="U21" s="85"/>
      <c r="V21" s="85"/>
      <c r="W21" s="85"/>
      <c r="X21" s="85"/>
      <c r="Y21" s="85"/>
      <c r="Z21" s="85"/>
    </row>
    <row r="22" customFormat="false" ht="12" hidden="false" customHeight="true" outlineLevel="0" collapsed="false">
      <c r="A22" s="85" t="n">
        <f aca="false">A9</f>
        <v>7</v>
      </c>
      <c r="B22" s="192" t="n">
        <f aca="false">H9</f>
        <v>109511.937183193</v>
      </c>
      <c r="C22" s="192" t="n">
        <f aca="false">B9-B8</f>
        <v>34400.9043459492</v>
      </c>
      <c r="D22" s="193" t="n">
        <f aca="false">'Valuation output'!I38</f>
        <v>1.32614898627845</v>
      </c>
      <c r="E22" s="192" t="n">
        <f aca="false">C22/D22</f>
        <v>25940.4521678126</v>
      </c>
      <c r="F22" s="192" t="n">
        <f aca="false">B22-E22</f>
        <v>83571.4850153802</v>
      </c>
      <c r="G22" s="192" t="n">
        <f aca="false">G21+E22</f>
        <v>396518.340279421</v>
      </c>
      <c r="H22" s="92" t="n">
        <f aca="false">B22/G22</f>
        <v>0.276183787882349</v>
      </c>
      <c r="I22" s="85"/>
      <c r="J22" s="85"/>
      <c r="K22" s="85"/>
      <c r="L22" s="85"/>
      <c r="M22" s="85"/>
      <c r="N22" s="85"/>
      <c r="O22" s="85"/>
      <c r="P22" s="85"/>
      <c r="Q22" s="85"/>
      <c r="R22" s="85"/>
      <c r="S22" s="85"/>
      <c r="T22" s="85"/>
      <c r="U22" s="85"/>
      <c r="V22" s="85"/>
      <c r="W22" s="85"/>
      <c r="X22" s="85"/>
      <c r="Y22" s="85"/>
      <c r="Z22" s="85"/>
    </row>
    <row r="23" customFormat="false" ht="12" hidden="false" customHeight="true" outlineLevel="0" collapsed="false">
      <c r="A23" s="85" t="n">
        <f aca="false">A10</f>
        <v>8</v>
      </c>
      <c r="B23" s="192" t="n">
        <f aca="false">H10</f>
        <v>111640.652366641</v>
      </c>
      <c r="C23" s="192" t="n">
        <f aca="false">B10-B9</f>
        <v>28921.3317251301</v>
      </c>
      <c r="D23" s="193" t="n">
        <f aca="false">'Valuation output'!J38</f>
        <v>1.32614898627845</v>
      </c>
      <c r="E23" s="192" t="n">
        <f aca="false">C23/D23</f>
        <v>21808.5087153681</v>
      </c>
      <c r="F23" s="192" t="n">
        <f aca="false">B23-E23</f>
        <v>89832.1436512732</v>
      </c>
      <c r="G23" s="192" t="n">
        <f aca="false">G22+E23</f>
        <v>418326.848994789</v>
      </c>
      <c r="H23" s="92" t="n">
        <f aca="false">B23/G23</f>
        <v>0.266874221998674</v>
      </c>
      <c r="I23" s="85"/>
      <c r="J23" s="85"/>
      <c r="K23" s="85"/>
      <c r="L23" s="85"/>
      <c r="M23" s="85"/>
      <c r="N23" s="85"/>
      <c r="O23" s="85"/>
      <c r="P23" s="85"/>
      <c r="Q23" s="85"/>
      <c r="R23" s="85"/>
      <c r="S23" s="85"/>
      <c r="T23" s="85"/>
      <c r="U23" s="85"/>
      <c r="V23" s="85"/>
      <c r="W23" s="85"/>
      <c r="X23" s="85"/>
      <c r="Y23" s="85"/>
      <c r="Z23" s="85"/>
    </row>
    <row r="24" customFormat="false" ht="12" hidden="false" customHeight="true" outlineLevel="0" collapsed="false">
      <c r="A24" s="85" t="n">
        <f aca="false">A11</f>
        <v>9</v>
      </c>
      <c r="B24" s="192" t="n">
        <f aca="false">H11</f>
        <v>112056.059445215</v>
      </c>
      <c r="C24" s="192" t="n">
        <f aca="false">B11-B10</f>
        <v>22190.5490690998</v>
      </c>
      <c r="D24" s="193" t="n">
        <f aca="false">'Valuation output'!K38</f>
        <v>1.32614898627845</v>
      </c>
      <c r="E24" s="192" t="n">
        <f aca="false">C24/D24</f>
        <v>16733.0739597916</v>
      </c>
      <c r="F24" s="192" t="n">
        <f aca="false">B24-E24</f>
        <v>95322.9854854233</v>
      </c>
      <c r="G24" s="192" t="n">
        <f aca="false">G23+E24</f>
        <v>435059.922954581</v>
      </c>
      <c r="H24" s="92" t="n">
        <f aca="false">B24/G24</f>
        <v>0.257564656115</v>
      </c>
      <c r="I24" s="85"/>
      <c r="J24" s="85"/>
      <c r="K24" s="85"/>
      <c r="L24" s="85"/>
      <c r="M24" s="85"/>
      <c r="N24" s="85"/>
      <c r="O24" s="85"/>
      <c r="P24" s="85"/>
      <c r="Q24" s="85"/>
      <c r="R24" s="85"/>
      <c r="S24" s="85"/>
      <c r="T24" s="85"/>
      <c r="U24" s="85"/>
      <c r="V24" s="85"/>
      <c r="W24" s="85"/>
      <c r="X24" s="85"/>
      <c r="Y24" s="85"/>
      <c r="Z24" s="85"/>
    </row>
    <row r="25" customFormat="false" ht="12" hidden="false" customHeight="true" outlineLevel="0" collapsed="false">
      <c r="A25" s="85" t="n">
        <f aca="false">A12</f>
        <v>10</v>
      </c>
      <c r="B25" s="192" t="n">
        <f aca="false">H12</f>
        <v>110705.986439851</v>
      </c>
      <c r="C25" s="192" t="n">
        <f aca="false">B12-B11</f>
        <v>14423.8568949149</v>
      </c>
      <c r="D25" s="193" t="n">
        <f aca="false">'Valuation output'!L38</f>
        <v>1.32614898627845</v>
      </c>
      <c r="E25" s="192" t="n">
        <f aca="false">C25/D25</f>
        <v>10876.4980738645</v>
      </c>
      <c r="F25" s="192" t="n">
        <f aca="false">B25-E25</f>
        <v>99829.4883659864</v>
      </c>
      <c r="G25" s="192" t="n">
        <f aca="false">G24+E25</f>
        <v>445936.421028445</v>
      </c>
      <c r="H25" s="92" t="n">
        <f aca="false">B25/G25</f>
        <v>0.248255090231325</v>
      </c>
      <c r="I25" s="85"/>
      <c r="J25" s="85"/>
      <c r="K25" s="85"/>
      <c r="L25" s="85"/>
      <c r="M25" s="85"/>
      <c r="N25" s="85"/>
      <c r="O25" s="85"/>
      <c r="P25" s="85"/>
      <c r="Q25" s="85"/>
      <c r="R25" s="85"/>
      <c r="S25" s="85"/>
      <c r="T25" s="85"/>
      <c r="U25" s="85"/>
      <c r="V25" s="85"/>
      <c r="W25" s="85"/>
      <c r="X25" s="85"/>
      <c r="Y25" s="85"/>
      <c r="Z25" s="85"/>
    </row>
    <row r="26" customFormat="false" ht="12" hidden="false" customHeight="true" outlineLevel="0" collapsed="false">
      <c r="A26" s="85"/>
      <c r="B26" s="85"/>
      <c r="C26" s="85"/>
      <c r="D26" s="85"/>
      <c r="E26" s="85"/>
      <c r="F26" s="85"/>
      <c r="G26" s="85"/>
      <c r="H26" s="85"/>
      <c r="I26" s="85"/>
      <c r="J26" s="85"/>
      <c r="K26" s="85"/>
      <c r="L26" s="85"/>
      <c r="M26" s="85"/>
      <c r="N26" s="85"/>
      <c r="O26" s="85"/>
      <c r="P26" s="85"/>
      <c r="Q26" s="85"/>
      <c r="R26" s="85"/>
      <c r="S26" s="85"/>
      <c r="T26" s="85"/>
      <c r="U26" s="85"/>
      <c r="V26" s="85"/>
      <c r="W26" s="85"/>
      <c r="X26" s="85"/>
      <c r="Y26" s="85"/>
      <c r="Z26" s="85"/>
    </row>
    <row r="27" customFormat="false" ht="12" hidden="false" customHeight="true" outlineLevel="0" collapsed="false">
      <c r="A27" s="191" t="s">
        <v>205</v>
      </c>
      <c r="B27" s="191" t="s">
        <v>217</v>
      </c>
      <c r="C27" s="191" t="s">
        <v>218</v>
      </c>
      <c r="D27" s="191" t="s">
        <v>219</v>
      </c>
      <c r="E27" s="191" t="s">
        <v>220</v>
      </c>
      <c r="F27" s="191" t="s">
        <v>221</v>
      </c>
      <c r="G27" s="191" t="s">
        <v>222</v>
      </c>
      <c r="H27" s="191" t="s">
        <v>223</v>
      </c>
      <c r="I27" s="85"/>
      <c r="J27" s="85"/>
      <c r="K27" s="85"/>
      <c r="L27" s="85"/>
      <c r="M27" s="85"/>
      <c r="N27" s="85"/>
      <c r="O27" s="85"/>
      <c r="P27" s="85"/>
      <c r="Q27" s="85"/>
      <c r="R27" s="85"/>
      <c r="S27" s="85"/>
      <c r="T27" s="85"/>
      <c r="U27" s="85"/>
      <c r="V27" s="85"/>
      <c r="W27" s="85"/>
      <c r="X27" s="85"/>
      <c r="Y27" s="85"/>
      <c r="Z27" s="85"/>
    </row>
    <row r="28" customFormat="false" ht="12" hidden="false" customHeight="true" outlineLevel="0" collapsed="false">
      <c r="A28" s="81" t="n">
        <f aca="false">A16</f>
        <v>1</v>
      </c>
      <c r="H28" s="194" t="n">
        <f aca="false">'Valuation output'!C12</f>
        <v>0.0829198173245978</v>
      </c>
    </row>
    <row r="29" customFormat="false" ht="12" hidden="false" customHeight="true" outlineLevel="0" collapsed="false">
      <c r="A29" s="81" t="n">
        <f aca="false">A17</f>
        <v>2</v>
      </c>
      <c r="H29" s="194" t="n">
        <f aca="false">'Valuation output'!D12</f>
        <v>0.0829198173245978</v>
      </c>
    </row>
    <row r="30" customFormat="false" ht="12" hidden="false" customHeight="true" outlineLevel="0" collapsed="false">
      <c r="A30" s="81" t="n">
        <f aca="false">A18</f>
        <v>3</v>
      </c>
      <c r="H30" s="194" t="n">
        <f aca="false">'Valuation output'!E12</f>
        <v>0.0829198173245978</v>
      </c>
    </row>
    <row r="31" customFormat="false" ht="12" hidden="false" customHeight="true" outlineLevel="0" collapsed="false">
      <c r="A31" s="81" t="n">
        <f aca="false">A19</f>
        <v>4</v>
      </c>
      <c r="H31" s="194" t="n">
        <f aca="false">'Valuation output'!F12</f>
        <v>0.0829198173245978</v>
      </c>
    </row>
    <row r="32" customFormat="false" ht="12" hidden="false" customHeight="true" outlineLevel="0" collapsed="false">
      <c r="A32" s="81" t="n">
        <f aca="false">A20</f>
        <v>5</v>
      </c>
      <c r="H32" s="194" t="n">
        <f aca="false">'Valuation output'!G12</f>
        <v>0.0829198173245978</v>
      </c>
    </row>
    <row r="33" customFormat="false" ht="12" hidden="false" customHeight="true" outlineLevel="0" collapsed="false">
      <c r="A33" s="81" t="n">
        <f aca="false">A21</f>
        <v>6</v>
      </c>
      <c r="H33" s="194" t="n">
        <f aca="false">'Valuation output'!H12</f>
        <v>0.0805158538596782</v>
      </c>
    </row>
    <row r="34" customFormat="false" ht="12" hidden="false" customHeight="true" outlineLevel="0" collapsed="false">
      <c r="A34" s="81" t="n">
        <f aca="false">A22</f>
        <v>7</v>
      </c>
      <c r="H34" s="194" t="n">
        <f aca="false">'Valuation output'!I12</f>
        <v>0.0781118903947587</v>
      </c>
    </row>
    <row r="35" customFormat="false" ht="12" hidden="false" customHeight="true" outlineLevel="0" collapsed="false">
      <c r="A35" s="81" t="n">
        <f aca="false">A23</f>
        <v>8</v>
      </c>
      <c r="H35" s="194" t="n">
        <f aca="false">'Valuation output'!J12</f>
        <v>0.0757079269298391</v>
      </c>
    </row>
    <row r="36" customFormat="false" ht="12" hidden="false" customHeight="true" outlineLevel="0" collapsed="false">
      <c r="A36" s="81" t="n">
        <f aca="false">A24</f>
        <v>9</v>
      </c>
      <c r="H36" s="194" t="n">
        <f aca="false">'Valuation output'!K12</f>
        <v>0.0733039634649196</v>
      </c>
    </row>
    <row r="37" customFormat="false" ht="12" hidden="false" customHeight="true" outlineLevel="0" collapsed="false">
      <c r="A37" s="81" t="n">
        <f aca="false">A25</f>
        <v>10</v>
      </c>
      <c r="H37" s="194" t="n">
        <f aca="false">'Valuation output'!L12</f>
        <v>0.0709</v>
      </c>
    </row>
    <row r="39" customFormat="false" ht="12" hidden="false" customHeight="true" outlineLevel="0" collapsed="false">
      <c r="A39" s="191" t="s">
        <v>205</v>
      </c>
      <c r="B39" s="191" t="s">
        <v>223</v>
      </c>
      <c r="C39" s="191" t="s">
        <v>224</v>
      </c>
      <c r="D39" s="191" t="s">
        <v>115</v>
      </c>
      <c r="E39" s="191" t="s">
        <v>225</v>
      </c>
      <c r="F39" s="191" t="s">
        <v>226</v>
      </c>
    </row>
    <row r="40" customFormat="false" ht="12" hidden="false" customHeight="true" outlineLevel="0" collapsed="false">
      <c r="A40" s="81" t="n">
        <f aca="false">A28</f>
        <v>1</v>
      </c>
      <c r="B40" s="194" t="n">
        <f aca="false">H28</f>
        <v>0.0829198173245978</v>
      </c>
      <c r="C40" s="195" t="n">
        <f aca="false">(1+'Summary Sheet'!B40)</f>
        <v>1.0829198173246</v>
      </c>
      <c r="D40" s="196" t="n">
        <f aca="false">F16</f>
        <v>59066.844776709</v>
      </c>
      <c r="F40" s="196" t="n">
        <f aca="false">D40/C40</f>
        <v>54544.0611869458</v>
      </c>
    </row>
    <row r="41" customFormat="false" ht="12" hidden="false" customHeight="true" outlineLevel="0" collapsed="false">
      <c r="A41" s="81" t="n">
        <f aca="false">A29</f>
        <v>2</v>
      </c>
      <c r="B41" s="194" t="n">
        <f aca="false">H29</f>
        <v>0.0829198173245978</v>
      </c>
      <c r="C41" s="195" t="n">
        <f aca="false">C40*(1+B41)</f>
        <v>1.17271533075434</v>
      </c>
      <c r="D41" s="196" t="n">
        <f aca="false">F17</f>
        <v>60841.8799835782</v>
      </c>
      <c r="F41" s="196" t="n">
        <f aca="false">D41/C41</f>
        <v>51881.2011645163</v>
      </c>
    </row>
    <row r="42" customFormat="false" ht="12" hidden="false" customHeight="true" outlineLevel="0" collapsed="false">
      <c r="A42" s="81" t="n">
        <f aca="false">A30</f>
        <v>3</v>
      </c>
      <c r="B42" s="194" t="n">
        <f aca="false">H30</f>
        <v>0.0829198173245978</v>
      </c>
      <c r="C42" s="195" t="n">
        <f aca="false">C41*(1+B42)</f>
        <v>1.26995667175425</v>
      </c>
      <c r="D42" s="196" t="n">
        <f aca="false">F18</f>
        <v>65051.4678529951</v>
      </c>
      <c r="F42" s="196" t="n">
        <f aca="false">D42/C42</f>
        <v>51223.3758047324</v>
      </c>
    </row>
    <row r="43" customFormat="false" ht="12" hidden="false" customHeight="true" outlineLevel="0" collapsed="false">
      <c r="A43" s="81" t="n">
        <f aca="false">A31</f>
        <v>4</v>
      </c>
      <c r="B43" s="194" t="n">
        <f aca="false">H31</f>
        <v>0.0829198173245978</v>
      </c>
      <c r="C43" s="195" t="n">
        <f aca="false">C42*(1+B43)</f>
        <v>1.37526124698626</v>
      </c>
      <c r="D43" s="196" t="n">
        <f aca="false">F19</f>
        <v>69494.5544964596</v>
      </c>
      <c r="F43" s="196" t="n">
        <f aca="false">D43/C43</f>
        <v>50531.893230286</v>
      </c>
    </row>
    <row r="44" customFormat="false" ht="12" hidden="false" customHeight="true" outlineLevel="0" collapsed="false">
      <c r="A44" s="81" t="n">
        <f aca="false">A32</f>
        <v>5</v>
      </c>
      <c r="B44" s="194" t="n">
        <f aca="false">H32</f>
        <v>0.0829198173245978</v>
      </c>
      <c r="C44" s="195" t="n">
        <f aca="false">C43*(1+B44)</f>
        <v>1.48929765835996</v>
      </c>
      <c r="D44" s="196" t="n">
        <f aca="false">F20</f>
        <v>74175.7437900871</v>
      </c>
      <c r="F44" s="196" t="n">
        <f aca="false">D44/C44</f>
        <v>49805.8553800257</v>
      </c>
    </row>
    <row r="45" customFormat="false" ht="12" hidden="false" customHeight="true" outlineLevel="0" collapsed="false">
      <c r="A45" s="81" t="n">
        <f aca="false">A33</f>
        <v>6</v>
      </c>
      <c r="B45" s="194" t="n">
        <f aca="false">H33</f>
        <v>0.0805158538596782</v>
      </c>
      <c r="C45" s="195" t="n">
        <f aca="false">C44*(1+B45)</f>
        <v>1.60920973097403</v>
      </c>
      <c r="D45" s="196" t="n">
        <f aca="false">F21</f>
        <v>79784.3458030465</v>
      </c>
      <c r="F45" s="196" t="n">
        <f aca="false">D45/C45</f>
        <v>49579.8305636359</v>
      </c>
    </row>
    <row r="46" customFormat="false" ht="12" hidden="false" customHeight="true" outlineLevel="0" collapsed="false">
      <c r="A46" s="81" t="n">
        <f aca="false">A34</f>
        <v>7</v>
      </c>
      <c r="B46" s="194" t="n">
        <f aca="false">H34</f>
        <v>0.0781118903947587</v>
      </c>
      <c r="C46" s="195" t="n">
        <f aca="false">C45*(1+B46)</f>
        <v>1.73490814510205</v>
      </c>
      <c r="D46" s="196" t="n">
        <f aca="false">F22</f>
        <v>83571.4850153802</v>
      </c>
      <c r="F46" s="196" t="n">
        <f aca="false">D46/C46</f>
        <v>48170.5531507919</v>
      </c>
    </row>
    <row r="47" customFormat="false" ht="12" hidden="false" customHeight="true" outlineLevel="0" collapsed="false">
      <c r="A47" s="81" t="n">
        <f aca="false">A35</f>
        <v>8</v>
      </c>
      <c r="B47" s="194" t="n">
        <f aca="false">H35</f>
        <v>0.0757079269298391</v>
      </c>
      <c r="C47" s="195" t="n">
        <f aca="false">C46*(1+B47)</f>
        <v>1.86625444418142</v>
      </c>
      <c r="D47" s="196" t="n">
        <f aca="false">F23</f>
        <v>89832.1436512732</v>
      </c>
      <c r="F47" s="196" t="n">
        <f aca="false">D47/C47</f>
        <v>48134.9924879485</v>
      </c>
    </row>
    <row r="48" customFormat="false" ht="12" hidden="false" customHeight="true" outlineLevel="0" collapsed="false">
      <c r="A48" s="81" t="n">
        <f aca="false">A36</f>
        <v>9</v>
      </c>
      <c r="B48" s="194" t="n">
        <f aca="false">H36</f>
        <v>0.0733039634649196</v>
      </c>
      <c r="C48" s="195" t="n">
        <f aca="false">C47*(1+B48)</f>
        <v>2.00305829177394</v>
      </c>
      <c r="D48" s="196" t="n">
        <f aca="false">F24</f>
        <v>95322.9854854233</v>
      </c>
      <c r="F48" s="196" t="n">
        <f aca="false">D48/C48</f>
        <v>47588.7226432156</v>
      </c>
    </row>
    <row r="49" customFormat="false" ht="12" hidden="false" customHeight="true" outlineLevel="0" collapsed="false">
      <c r="A49" s="81" t="n">
        <f aca="false">A37</f>
        <v>10</v>
      </c>
      <c r="B49" s="194" t="n">
        <f aca="false">H37</f>
        <v>0.0709</v>
      </c>
      <c r="C49" s="195" t="n">
        <f aca="false">C48*(1+B49)</f>
        <v>2.14507512466071</v>
      </c>
      <c r="D49" s="196" t="n">
        <f aca="false">F25</f>
        <v>99829.4883659864</v>
      </c>
      <c r="E49" s="196" t="n">
        <f aca="false">'Valuation output'!B18</f>
        <v>2163168.44418826</v>
      </c>
      <c r="F49" s="196" t="n">
        <f aca="false">(D49+E49)/C49</f>
        <v>1054973.7426619</v>
      </c>
    </row>
    <row r="50" customFormat="false" ht="12" hidden="false" customHeight="true" outlineLevel="0" collapsed="false">
      <c r="A50" s="81" t="s">
        <v>128</v>
      </c>
      <c r="F50" s="196" t="n">
        <f aca="false">SUM(F40:F49)</f>
        <v>1506434.228274</v>
      </c>
    </row>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Z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7" min="1" style="0" width="10.72"/>
    <col collapsed="false" customWidth="true" hidden="false" outlineLevel="0" max="26" min="8" style="0" width="8.72"/>
    <col collapsed="false" customWidth="true" hidden="false" outlineLevel="0" max="1025" min="27" style="0" width="14.43"/>
  </cols>
  <sheetData>
    <row r="1" customFormat="false" ht="12" hidden="false" customHeight="true" outlineLevel="0" collapsed="false">
      <c r="A1" s="197" t="s">
        <v>227</v>
      </c>
      <c r="B1" s="197"/>
      <c r="C1" s="198"/>
      <c r="D1" s="198"/>
      <c r="E1" s="198"/>
      <c r="F1" s="198"/>
      <c r="G1" s="198"/>
      <c r="H1" s="198"/>
      <c r="I1" s="198"/>
      <c r="J1" s="198"/>
      <c r="K1" s="198"/>
      <c r="L1" s="198"/>
      <c r="M1" s="198"/>
      <c r="N1" s="198"/>
      <c r="O1" s="198"/>
      <c r="P1" s="198"/>
      <c r="Q1" s="198"/>
      <c r="R1" s="198"/>
      <c r="S1" s="198"/>
      <c r="T1" s="198"/>
      <c r="U1" s="198"/>
      <c r="V1" s="198"/>
      <c r="W1" s="198"/>
      <c r="X1" s="198"/>
      <c r="Y1" s="198"/>
      <c r="Z1" s="198"/>
    </row>
    <row r="2" customFormat="false" ht="12" hidden="false" customHeight="true" outlineLevel="0" collapsed="false">
      <c r="A2" s="179" t="s">
        <v>228</v>
      </c>
      <c r="B2" s="179"/>
      <c r="D2" s="199" t="n">
        <f aca="false">'Input sheet'!B19</f>
        <v>86.7</v>
      </c>
    </row>
    <row r="3" customFormat="false" ht="12" hidden="false" customHeight="true" outlineLevel="0" collapsed="false">
      <c r="A3" s="179" t="s">
        <v>229</v>
      </c>
      <c r="B3" s="179"/>
      <c r="D3" s="199" t="n">
        <f aca="false">'Input sheet'!B35</f>
        <v>1.29</v>
      </c>
    </row>
    <row r="4" customFormat="false" ht="12" hidden="false" customHeight="true" outlineLevel="0" collapsed="false">
      <c r="A4" s="179" t="s">
        <v>230</v>
      </c>
      <c r="B4" s="179"/>
      <c r="D4" s="200" t="n">
        <f aca="false">'Input sheet'!B36</f>
        <v>7</v>
      </c>
    </row>
    <row r="5" customFormat="false" ht="12" hidden="false" customHeight="true" outlineLevel="0" collapsed="false">
      <c r="A5" s="179" t="s">
        <v>231</v>
      </c>
      <c r="B5" s="179"/>
      <c r="D5" s="201" t="n">
        <f aca="false">'Input sheet'!B37</f>
        <v>0.45</v>
      </c>
      <c r="E5" s="179" t="s">
        <v>232</v>
      </c>
    </row>
    <row r="6" customFormat="false" ht="12" hidden="false" customHeight="true" outlineLevel="0" collapsed="false">
      <c r="A6" s="179" t="s">
        <v>233</v>
      </c>
      <c r="B6" s="179"/>
      <c r="D6" s="201" t="n">
        <v>0</v>
      </c>
    </row>
    <row r="7" customFormat="false" ht="12" hidden="false" customHeight="true" outlineLevel="0" collapsed="false">
      <c r="A7" s="179" t="s">
        <v>234</v>
      </c>
      <c r="B7" s="179"/>
      <c r="D7" s="201" t="n">
        <f aca="false">'Input sheet'!B30</f>
        <v>0.0416</v>
      </c>
    </row>
    <row r="8" customFormat="false" ht="12" hidden="false" customHeight="true" outlineLevel="0" collapsed="false">
      <c r="A8" s="179" t="s">
        <v>235</v>
      </c>
      <c r="B8" s="179"/>
      <c r="D8" s="200" t="n">
        <f aca="false">'Input sheet'!B34</f>
        <v>7.72</v>
      </c>
    </row>
    <row r="9" customFormat="false" ht="12" hidden="false" customHeight="true" outlineLevel="0" collapsed="false">
      <c r="A9" s="179" t="s">
        <v>236</v>
      </c>
      <c r="B9" s="179"/>
      <c r="D9" s="202" t="n">
        <f aca="false">'Input sheet'!B18</f>
        <v>12943</v>
      </c>
    </row>
    <row r="10" customFormat="false" ht="12" hidden="false" customHeight="true" outlineLevel="0" collapsed="false">
      <c r="A10" s="179"/>
      <c r="B10" s="179"/>
    </row>
    <row r="11" customFormat="false" ht="12" hidden="false" customHeight="true" outlineLevel="0" collapsed="false">
      <c r="A11" s="203" t="s">
        <v>237</v>
      </c>
      <c r="B11" s="204"/>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row>
    <row r="12" customFormat="false" ht="12" hidden="false" customHeight="true" outlineLevel="0" collapsed="false">
      <c r="A12" s="206" t="s">
        <v>238</v>
      </c>
      <c r="B12" s="179"/>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row>
    <row r="13" customFormat="false" ht="12" hidden="false" customHeight="true" outlineLevel="0" collapsed="false">
      <c r="A13" s="179" t="s">
        <v>239</v>
      </c>
      <c r="B13" s="179"/>
      <c r="C13" s="207" t="n">
        <f aca="false">D2</f>
        <v>86.7</v>
      </c>
      <c r="D13" s="179" t="s">
        <v>240</v>
      </c>
      <c r="E13" s="179"/>
      <c r="F13" s="208" t="n">
        <f aca="false">D8</f>
        <v>7.72</v>
      </c>
      <c r="G13" s="209"/>
      <c r="H13" s="179"/>
      <c r="I13" s="179"/>
      <c r="J13" s="179"/>
      <c r="K13" s="179"/>
      <c r="L13" s="179"/>
      <c r="M13" s="179"/>
      <c r="N13" s="179"/>
      <c r="O13" s="179"/>
      <c r="P13" s="179"/>
      <c r="Q13" s="179"/>
      <c r="R13" s="179"/>
      <c r="S13" s="179"/>
      <c r="T13" s="179"/>
      <c r="U13" s="179"/>
      <c r="V13" s="179"/>
      <c r="W13" s="179"/>
      <c r="X13" s="179"/>
      <c r="Y13" s="179"/>
      <c r="Z13" s="179"/>
    </row>
    <row r="14" customFormat="false" ht="12" hidden="false" customHeight="true" outlineLevel="0" collapsed="false">
      <c r="A14" s="179" t="s">
        <v>241</v>
      </c>
      <c r="B14" s="179"/>
      <c r="C14" s="207" t="n">
        <f aca="false">D3</f>
        <v>1.29</v>
      </c>
      <c r="D14" s="179" t="s">
        <v>242</v>
      </c>
      <c r="E14" s="179"/>
      <c r="F14" s="210" t="n">
        <f aca="false">D9</f>
        <v>12943</v>
      </c>
      <c r="G14" s="209"/>
      <c r="H14" s="179"/>
      <c r="I14" s="179"/>
      <c r="J14" s="179"/>
      <c r="K14" s="179"/>
      <c r="L14" s="179"/>
      <c r="M14" s="179"/>
      <c r="N14" s="179"/>
      <c r="O14" s="179"/>
      <c r="P14" s="179"/>
      <c r="Q14" s="179"/>
      <c r="R14" s="179"/>
      <c r="S14" s="179"/>
      <c r="T14" s="179"/>
      <c r="U14" s="179"/>
      <c r="V14" s="179"/>
      <c r="W14" s="179"/>
      <c r="X14" s="179"/>
      <c r="Y14" s="179"/>
      <c r="Z14" s="179"/>
    </row>
    <row r="15" customFormat="false" ht="12" hidden="false" customHeight="true" outlineLevel="0" collapsed="false">
      <c r="A15" s="179" t="s">
        <v>243</v>
      </c>
      <c r="B15" s="179"/>
      <c r="C15" s="211" t="e">
        <f aca="false">(C13*F14+C26*F13)/(F14+F13)</f>
        <v>#VALUE!</v>
      </c>
      <c r="D15" s="179" t="s">
        <v>244</v>
      </c>
      <c r="E15" s="179"/>
      <c r="F15" s="212" t="n">
        <f aca="false">D7</f>
        <v>0.0416</v>
      </c>
      <c r="G15" s="179"/>
      <c r="H15" s="179"/>
      <c r="I15" s="179"/>
      <c r="J15" s="179"/>
      <c r="K15" s="179"/>
      <c r="L15" s="179"/>
      <c r="M15" s="179"/>
      <c r="N15" s="179"/>
      <c r="O15" s="179"/>
      <c r="P15" s="179"/>
      <c r="Q15" s="179"/>
      <c r="R15" s="179"/>
      <c r="S15" s="179"/>
      <c r="T15" s="179"/>
      <c r="U15" s="179"/>
      <c r="V15" s="179"/>
      <c r="W15" s="179"/>
      <c r="X15" s="179"/>
      <c r="Y15" s="179"/>
      <c r="Z15" s="179"/>
    </row>
    <row r="16" customFormat="false" ht="12" hidden="false" customHeight="true" outlineLevel="0" collapsed="false">
      <c r="A16" s="179" t="s">
        <v>245</v>
      </c>
      <c r="B16" s="179"/>
      <c r="C16" s="207" t="n">
        <f aca="false">C14</f>
        <v>1.29</v>
      </c>
      <c r="D16" s="179" t="s">
        <v>246</v>
      </c>
      <c r="E16" s="179"/>
      <c r="F16" s="213" t="n">
        <f aca="false">D5^2</f>
        <v>0.2025</v>
      </c>
      <c r="G16" s="179"/>
      <c r="H16" s="179"/>
      <c r="I16" s="179"/>
      <c r="J16" s="179"/>
      <c r="K16" s="179"/>
      <c r="L16" s="179"/>
      <c r="M16" s="179"/>
      <c r="N16" s="179"/>
      <c r="O16" s="179"/>
      <c r="P16" s="179"/>
      <c r="Q16" s="179"/>
      <c r="R16" s="179"/>
      <c r="S16" s="179"/>
      <c r="T16" s="179"/>
      <c r="U16" s="179"/>
      <c r="V16" s="179"/>
      <c r="W16" s="179"/>
      <c r="X16" s="179"/>
      <c r="Y16" s="179"/>
      <c r="Z16" s="179"/>
    </row>
    <row r="17" customFormat="false" ht="12" hidden="false" customHeight="true" outlineLevel="0" collapsed="false">
      <c r="A17" s="179" t="s">
        <v>247</v>
      </c>
      <c r="B17" s="179"/>
      <c r="C17" s="214" t="n">
        <f aca="false">D4</f>
        <v>7</v>
      </c>
      <c r="D17" s="179" t="s">
        <v>248</v>
      </c>
      <c r="E17" s="179"/>
      <c r="F17" s="212" t="n">
        <f aca="false">D6</f>
        <v>0</v>
      </c>
      <c r="G17" s="179"/>
      <c r="H17" s="179"/>
      <c r="I17" s="179"/>
      <c r="J17" s="179"/>
      <c r="K17" s="179"/>
      <c r="L17" s="179"/>
      <c r="M17" s="179"/>
      <c r="N17" s="179"/>
      <c r="O17" s="179"/>
      <c r="P17" s="179"/>
      <c r="Q17" s="179"/>
      <c r="R17" s="179"/>
      <c r="S17" s="179"/>
      <c r="T17" s="179"/>
      <c r="U17" s="179"/>
      <c r="V17" s="179"/>
      <c r="W17" s="179"/>
      <c r="X17" s="179"/>
      <c r="Y17" s="179"/>
      <c r="Z17" s="179"/>
    </row>
    <row r="18" customFormat="false" ht="12" hidden="false" customHeight="true" outlineLevel="0" collapsed="false">
      <c r="A18" s="179"/>
      <c r="B18" s="179"/>
      <c r="C18" s="206"/>
      <c r="D18" s="179" t="s">
        <v>249</v>
      </c>
      <c r="E18" s="179"/>
      <c r="F18" s="215" t="n">
        <f aca="false">F15-F17</f>
        <v>0.0416</v>
      </c>
      <c r="G18" s="179"/>
      <c r="H18" s="179"/>
      <c r="I18" s="179"/>
      <c r="J18" s="179"/>
      <c r="K18" s="179"/>
      <c r="L18" s="179"/>
      <c r="M18" s="179"/>
      <c r="N18" s="179"/>
      <c r="O18" s="179"/>
      <c r="P18" s="179"/>
      <c r="Q18" s="179"/>
      <c r="R18" s="179"/>
      <c r="S18" s="179"/>
      <c r="T18" s="179"/>
      <c r="U18" s="179"/>
      <c r="V18" s="179"/>
      <c r="W18" s="179"/>
      <c r="X18" s="179"/>
      <c r="Y18" s="179"/>
      <c r="Z18" s="179"/>
    </row>
    <row r="19" customFormat="false" ht="12" hidden="false" customHeight="true" outlineLevel="0" collapsed="false">
      <c r="A19" s="179"/>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row>
    <row r="20" customFormat="false" ht="12" hidden="false" customHeight="true" outlineLevel="0" collapsed="false">
      <c r="A20" s="179" t="s">
        <v>250</v>
      </c>
      <c r="B20" s="216" t="e">
        <f aca="false">(LN(C15/C16)+(F18+(F16/2))*C17)/(((F16)^(0.5))*(C17^0.5))</f>
        <v>#VALUE!</v>
      </c>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row>
    <row r="21" customFormat="false" ht="12" hidden="false" customHeight="true" outlineLevel="0" collapsed="false">
      <c r="A21" s="179" t="s">
        <v>251</v>
      </c>
      <c r="B21" s="216" t="e">
        <f aca="false">NORMSDIST(B20)</f>
        <v>#VALUE!</v>
      </c>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79"/>
    </row>
    <row r="22" customFormat="false" ht="12" hidden="false" customHeight="true" outlineLevel="0" collapsed="false">
      <c r="A22" s="179"/>
      <c r="B22" s="179"/>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79"/>
    </row>
    <row r="23" customFormat="false" ht="15.75" hidden="false" customHeight="true" outlineLevel="0" collapsed="false">
      <c r="A23" s="179" t="s">
        <v>252</v>
      </c>
      <c r="B23" s="216" t="e">
        <f aca="false">B20-((F16^0.5)*(C17^(0.5)))</f>
        <v>#VALUE!</v>
      </c>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row>
    <row r="24" customFormat="false" ht="12" hidden="false" customHeight="true" outlineLevel="0" collapsed="false">
      <c r="A24" s="179" t="s">
        <v>253</v>
      </c>
      <c r="B24" s="216" t="e">
        <f aca="false">NORMSDIST(B23)</f>
        <v>#VALUE!</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row>
    <row r="25" customFormat="false" ht="12" hidden="false" customHeight="true" outlineLevel="0" collapsed="false">
      <c r="A25" s="179"/>
      <c r="B25" s="179"/>
    </row>
    <row r="26" customFormat="false" ht="12" hidden="false" customHeight="true" outlineLevel="0" collapsed="false">
      <c r="A26" s="179" t="s">
        <v>254</v>
      </c>
      <c r="B26" s="179"/>
      <c r="C26" s="217" t="e">
        <f aca="false">((EXP((0-F17)*C17))*C15*B21-C16*(EXP((0-F15)*C17))*B24)</f>
        <v>#VALUE!</v>
      </c>
      <c r="D26" s="179"/>
      <c r="E26" s="179"/>
      <c r="F26" s="179"/>
      <c r="G26" s="218"/>
      <c r="H26" s="179"/>
      <c r="I26" s="179"/>
      <c r="J26" s="179"/>
      <c r="K26" s="179"/>
      <c r="L26" s="179"/>
      <c r="M26" s="179"/>
      <c r="N26" s="179"/>
      <c r="O26" s="179"/>
      <c r="P26" s="179"/>
      <c r="Q26" s="179"/>
      <c r="R26" s="179"/>
      <c r="S26" s="179"/>
      <c r="T26" s="179"/>
      <c r="U26" s="179"/>
      <c r="V26" s="179"/>
      <c r="W26" s="179"/>
      <c r="X26" s="179"/>
      <c r="Y26" s="179"/>
      <c r="Z26" s="179"/>
    </row>
    <row r="27" customFormat="false" ht="12" hidden="false" customHeight="true" outlineLevel="0" collapsed="false">
      <c r="A27" s="179" t="s">
        <v>255</v>
      </c>
      <c r="B27" s="179"/>
      <c r="C27" s="179"/>
      <c r="D27" s="219" t="e">
        <f aca="false">C26*D8</f>
        <v>#VALUE!</v>
      </c>
      <c r="E27" s="179"/>
      <c r="F27" s="179"/>
      <c r="G27" s="179"/>
      <c r="H27" s="179"/>
      <c r="I27" s="179"/>
      <c r="J27" s="179"/>
      <c r="K27" s="179"/>
      <c r="L27" s="179"/>
      <c r="M27" s="179"/>
      <c r="N27" s="179"/>
      <c r="O27" s="179"/>
      <c r="P27" s="179"/>
      <c r="Q27" s="179"/>
      <c r="R27" s="179"/>
      <c r="S27" s="179"/>
      <c r="T27" s="179"/>
      <c r="U27" s="179"/>
      <c r="V27" s="179"/>
      <c r="W27" s="179"/>
      <c r="X27" s="179"/>
      <c r="Y27" s="179"/>
      <c r="Z27" s="179"/>
    </row>
    <row r="28" customFormat="false" ht="12" hidden="false" customHeight="true" outlineLevel="0" collapsed="false"/>
    <row r="29" customFormat="false" ht="12" hidden="false" customHeight="true" outlineLevel="0" collapsed="false"/>
    <row r="30" customFormat="false" ht="12" hidden="false" customHeight="true" outlineLevel="0" collapsed="false"/>
    <row r="31" customFormat="false" ht="12" hidden="false" customHeight="true" outlineLevel="0" collapsed="false"/>
    <row r="32" customFormat="false" ht="12" hidden="false" customHeight="true" outlineLevel="0" collapsed="false"/>
    <row r="33" customFormat="false" ht="12" hidden="false" customHeight="true" outlineLevel="0" collapsed="false"/>
    <row r="34" customFormat="false" ht="12" hidden="false" customHeight="true" outlineLevel="0" collapsed="false"/>
    <row r="35" customFormat="false" ht="12" hidden="false" customHeight="true" outlineLevel="0" collapsed="false"/>
    <row r="36" customFormat="false" ht="12" hidden="false" customHeight="true" outlineLevel="0" collapsed="false"/>
    <row r="37" customFormat="false" ht="12" hidden="false" customHeight="true" outlineLevel="0" collapsed="false"/>
    <row r="38" customFormat="false" ht="12" hidden="false" customHeight="true" outlineLevel="0" collapsed="false"/>
    <row r="39" customFormat="false" ht="12" hidden="false" customHeight="true" outlineLevel="0" collapsed="false"/>
    <row r="40" customFormat="false" ht="12" hidden="false" customHeight="true" outlineLevel="0" collapsed="false"/>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Z65"/>
  <sheetViews>
    <sheetView showFormulas="false" showGridLines="true" showRowColHeaders="true" showZeros="true" rightToLeft="false" tabSelected="false" showOutlineSymbols="true" defaultGridColor="true" view="normal" topLeftCell="A19"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40.14"/>
    <col collapsed="false" customWidth="true" hidden="false" outlineLevel="0" max="2" min="2" style="0" width="17.29"/>
    <col collapsed="false" customWidth="true" hidden="false" outlineLevel="0" max="6" min="3" style="0" width="10.72"/>
    <col collapsed="false" customWidth="true" hidden="false" outlineLevel="0" max="7" min="7" style="0" width="19.43"/>
    <col collapsed="false" customWidth="true" hidden="false" outlineLevel="0" max="8" min="8" style="0" width="16.29"/>
    <col collapsed="false" customWidth="true" hidden="false" outlineLevel="0" max="10" min="9" style="0" width="10.72"/>
    <col collapsed="false" customWidth="true" hidden="false" outlineLevel="0" max="11" min="11" style="0" width="18.14"/>
    <col collapsed="false" customWidth="true" hidden="false" outlineLevel="0" max="17" min="12" style="0" width="10.72"/>
    <col collapsed="false" customWidth="true" hidden="false" outlineLevel="0" max="26" min="18" style="0" width="8.72"/>
    <col collapsed="false" customWidth="true" hidden="false" outlineLevel="0" max="1025" min="27" style="0" width="14.43"/>
  </cols>
  <sheetData>
    <row r="1" customFormat="false" ht="12" hidden="false" customHeight="true" outlineLevel="0" collapsed="false">
      <c r="A1" s="220" t="s">
        <v>256</v>
      </c>
      <c r="B1" s="220"/>
      <c r="C1" s="220"/>
      <c r="D1" s="220"/>
      <c r="E1" s="220"/>
      <c r="F1" s="220"/>
      <c r="G1" s="220"/>
      <c r="H1" s="220"/>
      <c r="I1" s="220"/>
      <c r="J1" s="220"/>
      <c r="K1" s="220"/>
    </row>
    <row r="2" customFormat="false" ht="12" hidden="false" customHeight="true" outlineLevel="0" collapsed="false">
      <c r="A2" s="220"/>
      <c r="B2" s="220"/>
      <c r="C2" s="220"/>
      <c r="D2" s="220"/>
      <c r="E2" s="220"/>
      <c r="F2" s="220"/>
      <c r="G2" s="220"/>
      <c r="H2" s="220"/>
      <c r="I2" s="220"/>
      <c r="J2" s="220"/>
      <c r="K2" s="220"/>
    </row>
    <row r="3" customFormat="false" ht="12" hidden="false" customHeight="true" outlineLevel="0" collapsed="false">
      <c r="A3" s="221" t="s">
        <v>257</v>
      </c>
      <c r="B3" s="222"/>
      <c r="C3" s="223"/>
      <c r="D3" s="221"/>
      <c r="E3" s="221"/>
      <c r="F3" s="221"/>
      <c r="G3" s="224" t="s">
        <v>258</v>
      </c>
      <c r="H3" s="221"/>
      <c r="I3" s="221"/>
      <c r="J3" s="221"/>
      <c r="K3" s="221"/>
      <c r="L3" s="221"/>
      <c r="M3" s="221"/>
      <c r="N3" s="221"/>
      <c r="O3" s="221"/>
      <c r="P3" s="221"/>
      <c r="Q3" s="221"/>
      <c r="R3" s="221"/>
      <c r="S3" s="221"/>
      <c r="T3" s="221"/>
      <c r="U3" s="221"/>
      <c r="V3" s="221"/>
      <c r="W3" s="221"/>
      <c r="X3" s="221"/>
      <c r="Y3" s="221"/>
      <c r="Z3" s="221"/>
    </row>
    <row r="4" customFormat="false" ht="15" hidden="false" customHeight="true" outlineLevel="0" collapsed="false">
      <c r="A4" s="203" t="s">
        <v>188</v>
      </c>
      <c r="B4" s="225"/>
      <c r="C4" s="223"/>
      <c r="D4" s="203"/>
      <c r="E4" s="203"/>
      <c r="F4" s="203"/>
      <c r="G4" s="226" t="s">
        <v>259</v>
      </c>
      <c r="H4" s="226" t="s">
        <v>15</v>
      </c>
      <c r="I4" s="226" t="s">
        <v>260</v>
      </c>
      <c r="J4" s="226" t="s">
        <v>261</v>
      </c>
      <c r="K4" s="226" t="s">
        <v>262</v>
      </c>
      <c r="L4" s="203"/>
      <c r="M4" s="203"/>
      <c r="N4" s="203"/>
      <c r="O4" s="203"/>
      <c r="P4" s="203"/>
      <c r="Q4" s="203"/>
      <c r="R4" s="203"/>
      <c r="S4" s="203"/>
      <c r="T4" s="203"/>
      <c r="U4" s="203"/>
      <c r="V4" s="203"/>
      <c r="W4" s="203"/>
      <c r="X4" s="203"/>
      <c r="Y4" s="203"/>
      <c r="Z4" s="203"/>
    </row>
    <row r="5" customFormat="false" ht="15" hidden="false" customHeight="true" outlineLevel="0" collapsed="false">
      <c r="A5" s="206" t="s">
        <v>263</v>
      </c>
      <c r="B5" s="179"/>
      <c r="C5" s="179"/>
      <c r="D5" s="179"/>
      <c r="E5" s="179"/>
      <c r="F5" s="179"/>
      <c r="G5" s="227" t="s">
        <v>264</v>
      </c>
      <c r="H5" s="227"/>
      <c r="I5" s="201" t="n">
        <f aca="false">IF(H5=0,0,VLOOKUP(G5,'Country equity risk premiums'!$A$5:$D$181,4))</f>
        <v>0</v>
      </c>
      <c r="J5" s="201" t="n">
        <f aca="false">IF(H5&gt;0,H5/$H$18,)</f>
        <v>0</v>
      </c>
      <c r="K5" s="201" t="n">
        <f aca="false">IF(J5=0,0,I5*J5)</f>
        <v>0</v>
      </c>
      <c r="L5" s="179"/>
      <c r="M5" s="228" t="s">
        <v>265</v>
      </c>
      <c r="N5" s="228"/>
      <c r="O5" s="228"/>
      <c r="P5" s="228"/>
      <c r="Q5" s="228"/>
      <c r="R5" s="179"/>
      <c r="S5" s="179"/>
      <c r="T5" s="179"/>
      <c r="U5" s="179"/>
      <c r="V5" s="179"/>
      <c r="W5" s="179"/>
      <c r="X5" s="179"/>
      <c r="Y5" s="179"/>
      <c r="Z5" s="179"/>
    </row>
    <row r="6" customFormat="false" ht="15" hidden="false" customHeight="true" outlineLevel="0" collapsed="false">
      <c r="A6" s="179" t="s">
        <v>266</v>
      </c>
      <c r="B6" s="200" t="n">
        <f aca="false">'Input sheet'!B18</f>
        <v>12943</v>
      </c>
      <c r="C6" s="179"/>
      <c r="D6" s="179"/>
      <c r="E6" s="179"/>
      <c r="F6" s="179"/>
      <c r="G6" s="227" t="s">
        <v>267</v>
      </c>
      <c r="H6" s="227"/>
      <c r="I6" s="201" t="n">
        <f aca="false">IF(H6=0,0,VLOOKUP(G6,'Country equity risk premiums'!$A$5:$D$181,4))</f>
        <v>0</v>
      </c>
      <c r="J6" s="201" t="n">
        <f aca="false">IF(H6&gt;0,H6/$H$18,)</f>
        <v>0</v>
      </c>
      <c r="K6" s="201" t="n">
        <f aca="false">IF(J6=0,0,I6*J6)</f>
        <v>0</v>
      </c>
      <c r="L6" s="179"/>
      <c r="M6" s="228"/>
      <c r="N6" s="228"/>
      <c r="O6" s="228"/>
      <c r="P6" s="228"/>
      <c r="Q6" s="228"/>
      <c r="R6" s="179"/>
      <c r="S6" s="179"/>
      <c r="T6" s="179"/>
      <c r="U6" s="179"/>
      <c r="V6" s="179"/>
      <c r="W6" s="179"/>
      <c r="X6" s="179"/>
      <c r="Y6" s="179"/>
      <c r="Z6" s="179"/>
    </row>
    <row r="7" customFormat="false" ht="15" hidden="false" customHeight="true" outlineLevel="0" collapsed="false">
      <c r="A7" s="179" t="s">
        <v>268</v>
      </c>
      <c r="B7" s="199" t="n">
        <f aca="false">'Input sheet'!B19</f>
        <v>86.7</v>
      </c>
      <c r="C7" s="179"/>
      <c r="D7" s="179"/>
      <c r="E7" s="179"/>
      <c r="F7" s="179"/>
      <c r="G7" s="227" t="s">
        <v>269</v>
      </c>
      <c r="H7" s="227"/>
      <c r="I7" s="201" t="n">
        <f aca="false">IF(H7=0,0,VLOOKUP(G7,'Country equity risk premiums'!$A$5:$D$181,4))</f>
        <v>0</v>
      </c>
      <c r="J7" s="201" t="n">
        <f aca="false">IF(H7&gt;0,H7/$H$18,)</f>
        <v>0</v>
      </c>
      <c r="K7" s="201" t="n">
        <f aca="false">IF(J7=0,0,I7*J7)</f>
        <v>0</v>
      </c>
      <c r="L7" s="179"/>
      <c r="M7" s="228"/>
      <c r="N7" s="228"/>
      <c r="O7" s="228"/>
      <c r="P7" s="228"/>
      <c r="Q7" s="228"/>
      <c r="R7" s="179"/>
      <c r="S7" s="179"/>
      <c r="T7" s="179"/>
      <c r="U7" s="179"/>
      <c r="V7" s="179"/>
      <c r="W7" s="179"/>
      <c r="X7" s="179"/>
      <c r="Y7" s="179"/>
      <c r="Z7" s="179"/>
    </row>
    <row r="8" customFormat="false" ht="15" hidden="false" customHeight="true" outlineLevel="0" collapsed="false">
      <c r="A8" s="179"/>
      <c r="B8" s="179"/>
      <c r="C8" s="179"/>
      <c r="D8" s="179"/>
      <c r="E8" s="179"/>
      <c r="F8" s="179"/>
      <c r="G8" s="227" t="s">
        <v>270</v>
      </c>
      <c r="H8" s="227"/>
      <c r="I8" s="201" t="n">
        <f aca="false">IF(H8=0,0,VLOOKUP(G8,'Country equity risk premiums'!$A$5:$D$181,4))</f>
        <v>0</v>
      </c>
      <c r="J8" s="201" t="n">
        <f aca="false">IF(H8&gt;0,H8/$H$18,)</f>
        <v>0</v>
      </c>
      <c r="K8" s="201" t="n">
        <f aca="false">IF(J8=0,0,I8*J8)</f>
        <v>0</v>
      </c>
      <c r="L8" s="179"/>
      <c r="M8" s="228"/>
      <c r="N8" s="228"/>
      <c r="O8" s="228"/>
      <c r="P8" s="228"/>
      <c r="Q8" s="228"/>
      <c r="R8" s="179"/>
      <c r="S8" s="179"/>
      <c r="T8" s="179"/>
      <c r="U8" s="179"/>
      <c r="V8" s="179"/>
      <c r="W8" s="179"/>
      <c r="X8" s="179"/>
      <c r="Y8" s="179"/>
      <c r="Z8" s="179"/>
    </row>
    <row r="9" customFormat="false" ht="15" hidden="false" customHeight="true" outlineLevel="0" collapsed="false">
      <c r="A9" s="179" t="s">
        <v>271</v>
      </c>
      <c r="B9" s="227" t="s">
        <v>272</v>
      </c>
      <c r="C9" s="179"/>
      <c r="D9" s="179"/>
      <c r="E9" s="179"/>
      <c r="F9" s="179"/>
      <c r="G9" s="227"/>
      <c r="H9" s="227"/>
      <c r="I9" s="201" t="n">
        <f aca="false">IF(H9=0,0,VLOOKUP(G9,'Country equity risk premiums'!$A$5:$D$181,4))</f>
        <v>0</v>
      </c>
      <c r="J9" s="201" t="n">
        <f aca="false">IF(H9&gt;0,H9/$H$18,)</f>
        <v>0</v>
      </c>
      <c r="K9" s="201" t="n">
        <f aca="false">IF(J9=0,0,I9*J9)</f>
        <v>0</v>
      </c>
      <c r="L9" s="179"/>
      <c r="M9" s="228"/>
      <c r="N9" s="228"/>
      <c r="O9" s="228"/>
      <c r="P9" s="228"/>
      <c r="Q9" s="228"/>
      <c r="R9" s="179"/>
      <c r="S9" s="179"/>
      <c r="T9" s="179"/>
      <c r="U9" s="179"/>
      <c r="V9" s="179"/>
      <c r="W9" s="179"/>
      <c r="X9" s="179"/>
      <c r="Y9" s="179"/>
      <c r="Z9" s="179"/>
    </row>
    <row r="10" customFormat="false" ht="15" hidden="false" customHeight="true" outlineLevel="0" collapsed="false">
      <c r="A10" s="179" t="s">
        <v>273</v>
      </c>
      <c r="B10" s="229" t="n">
        <v>1.2</v>
      </c>
      <c r="C10" s="179"/>
      <c r="D10" s="179"/>
      <c r="E10" s="179"/>
      <c r="F10" s="179"/>
      <c r="G10" s="227"/>
      <c r="H10" s="227"/>
      <c r="I10" s="201" t="n">
        <f aca="false">IF(H10=0,0,VLOOKUP(G10,'Country equity risk premiums'!$A$5:$D$181,4))</f>
        <v>0</v>
      </c>
      <c r="J10" s="201" t="n">
        <f aca="false">IF(H10&gt;0,H10/$H$18,)</f>
        <v>0</v>
      </c>
      <c r="K10" s="201" t="n">
        <f aca="false">IF(J10=0,0,I10*J10)</f>
        <v>0</v>
      </c>
      <c r="L10" s="179"/>
      <c r="M10" s="228"/>
      <c r="N10" s="228"/>
      <c r="O10" s="228"/>
      <c r="P10" s="228"/>
      <c r="Q10" s="228"/>
      <c r="R10" s="179"/>
      <c r="S10" s="179"/>
      <c r="T10" s="179"/>
      <c r="U10" s="179"/>
      <c r="V10" s="179"/>
      <c r="W10" s="179"/>
      <c r="X10" s="179"/>
      <c r="Y10" s="179"/>
      <c r="Z10" s="179"/>
    </row>
    <row r="11" customFormat="false" ht="15" hidden="false" customHeight="true" outlineLevel="0" collapsed="false">
      <c r="A11" s="179" t="s">
        <v>274</v>
      </c>
      <c r="B11" s="230" t="n">
        <f aca="false">IF(B9="Single Business(US)",VLOOKUP('Input sheet'!B6,'Industry Average Beta (US)'!A2:G95,7),IF(B9="Multibusiness(US)",K48,IF(B9="Single Business(Global)",VLOOKUP('Input sheet'!B7,'Industry Average Beta (Global)'!A2:G95,7),'Cost of capital worksheet'!K64)))</f>
        <v>0.774409401004097</v>
      </c>
      <c r="C11" s="179"/>
      <c r="D11" s="179"/>
      <c r="E11" s="179"/>
      <c r="F11" s="179"/>
      <c r="G11" s="227"/>
      <c r="H11" s="227"/>
      <c r="I11" s="201" t="n">
        <f aca="false">IF(H11=0,0,VLOOKUP(G11,'Country equity risk premiums'!$A$5:$D$181,4))</f>
        <v>0</v>
      </c>
      <c r="J11" s="201" t="n">
        <f aca="false">IF(H11&gt;0,H11/$H$18,)</f>
        <v>0</v>
      </c>
      <c r="K11" s="201" t="n">
        <f aca="false">IF(J11=0,0,I11*J11)</f>
        <v>0</v>
      </c>
      <c r="L11" s="179"/>
      <c r="M11" s="228"/>
      <c r="N11" s="228"/>
      <c r="O11" s="228"/>
      <c r="P11" s="228"/>
      <c r="Q11" s="228"/>
      <c r="R11" s="179"/>
      <c r="S11" s="179"/>
      <c r="T11" s="179"/>
      <c r="U11" s="179"/>
      <c r="V11" s="179"/>
      <c r="W11" s="179"/>
      <c r="X11" s="179"/>
      <c r="Y11" s="179"/>
      <c r="Z11" s="179"/>
    </row>
    <row r="12" customFormat="false" ht="15" hidden="false" customHeight="true" outlineLevel="0" collapsed="false">
      <c r="A12" s="179" t="s">
        <v>275</v>
      </c>
      <c r="B12" s="201" t="n">
        <f aca="false">'Input sheet'!B30</f>
        <v>0.0416</v>
      </c>
      <c r="C12" s="179"/>
      <c r="D12" s="179"/>
      <c r="E12" s="179"/>
      <c r="F12" s="179"/>
      <c r="G12" s="227"/>
      <c r="H12" s="227"/>
      <c r="I12" s="201" t="n">
        <f aca="false">IF(H12=0,0,VLOOKUP(G12,'Country equity risk premiums'!$A$5:$D$181,4))</f>
        <v>0</v>
      </c>
      <c r="J12" s="201" t="n">
        <f aca="false">IF(H12&gt;0,H12/$H$18,)</f>
        <v>0</v>
      </c>
      <c r="K12" s="201" t="n">
        <f aca="false">IF(J12=0,0,I12*J12)</f>
        <v>0</v>
      </c>
      <c r="L12" s="179"/>
      <c r="M12" s="228"/>
      <c r="N12" s="228"/>
      <c r="O12" s="228"/>
      <c r="P12" s="228"/>
      <c r="Q12" s="228"/>
      <c r="R12" s="179"/>
      <c r="S12" s="179"/>
      <c r="T12" s="179"/>
      <c r="U12" s="179"/>
      <c r="V12" s="179"/>
      <c r="W12" s="179"/>
      <c r="X12" s="179"/>
      <c r="Y12" s="179"/>
      <c r="Z12" s="179"/>
    </row>
    <row r="13" customFormat="false" ht="15" hidden="false" customHeight="true" outlineLevel="0" collapsed="false">
      <c r="A13" s="179" t="s">
        <v>276</v>
      </c>
      <c r="B13" s="231" t="s">
        <v>277</v>
      </c>
      <c r="C13" s="179"/>
      <c r="D13" s="179"/>
      <c r="E13" s="179"/>
      <c r="F13" s="179"/>
      <c r="G13" s="227"/>
      <c r="H13" s="227"/>
      <c r="I13" s="201" t="n">
        <f aca="false">IF(H13=0,0,VLOOKUP(G13,'Country equity risk premiums'!$A$5:$D$181,4))</f>
        <v>0</v>
      </c>
      <c r="J13" s="201" t="n">
        <f aca="false">IF(H13&gt;0,H13/$H$18,)</f>
        <v>0</v>
      </c>
      <c r="K13" s="201" t="n">
        <f aca="false">IF(J13=0,0,I13*J13)</f>
        <v>0</v>
      </c>
      <c r="L13" s="179"/>
      <c r="M13" s="228"/>
      <c r="N13" s="228"/>
      <c r="O13" s="228"/>
      <c r="P13" s="228"/>
      <c r="Q13" s="228"/>
      <c r="R13" s="179"/>
      <c r="S13" s="179"/>
      <c r="T13" s="179"/>
      <c r="U13" s="179"/>
      <c r="V13" s="179"/>
      <c r="W13" s="179"/>
      <c r="X13" s="179"/>
      <c r="Y13" s="179"/>
      <c r="Z13" s="179"/>
    </row>
    <row r="14" customFormat="false" ht="15" hidden="false" customHeight="true" outlineLevel="0" collapsed="false">
      <c r="A14" s="179" t="s">
        <v>278</v>
      </c>
      <c r="B14" s="231" t="n">
        <v>0.06</v>
      </c>
      <c r="C14" s="179"/>
      <c r="D14" s="179"/>
      <c r="E14" s="179"/>
      <c r="F14" s="179"/>
      <c r="G14" s="227"/>
      <c r="H14" s="227"/>
      <c r="I14" s="201" t="n">
        <f aca="false">IF(H14=0,0,VLOOKUP(G14,'Country equity risk premiums'!$A$5:$D$181,4))</f>
        <v>0</v>
      </c>
      <c r="J14" s="201" t="n">
        <f aca="false">IF(H14&gt;0,H14/$H$18,)</f>
        <v>0</v>
      </c>
      <c r="K14" s="201" t="n">
        <f aca="false">IF(J14=0,0,I14*J14)</f>
        <v>0</v>
      </c>
      <c r="L14" s="179"/>
      <c r="M14" s="228"/>
      <c r="N14" s="228"/>
      <c r="O14" s="228"/>
      <c r="P14" s="228"/>
      <c r="Q14" s="228"/>
      <c r="R14" s="179"/>
      <c r="S14" s="179"/>
      <c r="T14" s="179"/>
      <c r="U14" s="179"/>
      <c r="V14" s="179"/>
      <c r="W14" s="179"/>
      <c r="X14" s="179"/>
      <c r="Y14" s="179"/>
      <c r="Z14" s="179"/>
    </row>
    <row r="15" customFormat="false" ht="15" hidden="false" customHeight="true" outlineLevel="0" collapsed="false">
      <c r="A15" s="179" t="s">
        <v>279</v>
      </c>
      <c r="B15" s="232" t="n">
        <f aca="false">IF(B13="Will Input",B14,IF(B13="Country of Incorporation",VLOOKUP('Input sheet'!B5,'Country equity risk premiums'!A5:E181,4),IF(B13="Operating regions",'Cost of capital worksheet'!K32,'Cost of capital worksheet'!K18)))</f>
        <v>0.0538578692476067</v>
      </c>
      <c r="C15" s="179"/>
      <c r="D15" s="179"/>
      <c r="E15" s="179"/>
      <c r="F15" s="179"/>
      <c r="G15" s="227"/>
      <c r="H15" s="227"/>
      <c r="I15" s="201" t="n">
        <f aca="false">IF(H15=0,0,VLOOKUP(G15,'Country equity risk premiums'!$A$5:$D$181,4))</f>
        <v>0</v>
      </c>
      <c r="J15" s="201" t="n">
        <f aca="false">IF(H15&gt;0,H15/$H$18,)</f>
        <v>0</v>
      </c>
      <c r="K15" s="201" t="n">
        <f aca="false">IF(J15=0,0,I15*J15)</f>
        <v>0</v>
      </c>
      <c r="L15" s="179"/>
      <c r="M15" s="228"/>
      <c r="N15" s="228"/>
      <c r="O15" s="228"/>
      <c r="P15" s="228"/>
      <c r="Q15" s="228"/>
      <c r="R15" s="179"/>
      <c r="S15" s="179"/>
      <c r="T15" s="179"/>
      <c r="U15" s="179"/>
      <c r="V15" s="179"/>
      <c r="W15" s="179"/>
      <c r="X15" s="179"/>
      <c r="Y15" s="179"/>
      <c r="Z15" s="179"/>
    </row>
    <row r="16" customFormat="false" ht="15" hidden="false" customHeight="true" outlineLevel="0" collapsed="false">
      <c r="A16" s="179"/>
      <c r="B16" s="179"/>
      <c r="C16" s="179"/>
      <c r="D16" s="179"/>
      <c r="E16" s="179"/>
      <c r="F16" s="179"/>
      <c r="G16" s="233" t="s">
        <v>280</v>
      </c>
      <c r="H16" s="227"/>
      <c r="I16" s="234" t="n">
        <v>0.0654</v>
      </c>
      <c r="J16" s="201" t="n">
        <f aca="false">IF(H16&gt;0,H16/$H$18,)</f>
        <v>0</v>
      </c>
      <c r="K16" s="201" t="n">
        <f aca="false">IF(J16=0,0,I16*J16)</f>
        <v>0</v>
      </c>
      <c r="L16" s="179"/>
      <c r="M16" s="228"/>
      <c r="N16" s="228"/>
      <c r="O16" s="228"/>
      <c r="P16" s="228"/>
      <c r="Q16" s="228"/>
      <c r="R16" s="179"/>
      <c r="S16" s="179"/>
      <c r="T16" s="179"/>
      <c r="U16" s="179"/>
      <c r="V16" s="179"/>
      <c r="W16" s="179"/>
      <c r="X16" s="179"/>
      <c r="Y16" s="179"/>
      <c r="Z16" s="179"/>
    </row>
    <row r="17" customFormat="false" ht="15" hidden="false" customHeight="true" outlineLevel="0" collapsed="false">
      <c r="A17" s="206" t="s">
        <v>281</v>
      </c>
      <c r="B17" s="179"/>
      <c r="C17" s="179"/>
      <c r="D17" s="179"/>
      <c r="E17" s="179"/>
      <c r="F17" s="179"/>
      <c r="G17" s="233"/>
      <c r="H17" s="227"/>
      <c r="I17" s="233"/>
      <c r="J17" s="201" t="n">
        <f aca="false">IF(H17&gt;0,H17/$H$18,)</f>
        <v>0</v>
      </c>
      <c r="K17" s="201" t="n">
        <f aca="false">IF(J17=0,0,I17*J17)</f>
        <v>0</v>
      </c>
      <c r="L17" s="179"/>
      <c r="M17" s="228"/>
      <c r="N17" s="228"/>
      <c r="O17" s="228"/>
      <c r="P17" s="228"/>
      <c r="Q17" s="228"/>
      <c r="R17" s="179"/>
      <c r="S17" s="179"/>
      <c r="T17" s="179"/>
      <c r="U17" s="179"/>
      <c r="V17" s="179"/>
      <c r="W17" s="179"/>
      <c r="X17" s="179"/>
      <c r="Y17" s="179"/>
      <c r="Z17" s="179"/>
    </row>
    <row r="18" customFormat="false" ht="15" hidden="false" customHeight="true" outlineLevel="0" collapsed="false">
      <c r="A18" s="179" t="s">
        <v>282</v>
      </c>
      <c r="B18" s="199" t="n">
        <f aca="false">'Input sheet'!B12</f>
        <v>28922</v>
      </c>
      <c r="C18" s="179"/>
      <c r="D18" s="179"/>
      <c r="E18" s="179"/>
      <c r="F18" s="179"/>
      <c r="G18" s="235" t="s">
        <v>283</v>
      </c>
      <c r="H18" s="235" t="n">
        <f aca="false">SUM(H5:H17)</f>
        <v>0</v>
      </c>
      <c r="I18" s="235"/>
      <c r="J18" s="201" t="n">
        <f aca="false">SUM(J5:J17)</f>
        <v>0</v>
      </c>
      <c r="K18" s="201" t="n">
        <f aca="false">SUM(K5:K17)</f>
        <v>0</v>
      </c>
      <c r="L18" s="179"/>
      <c r="M18" s="228"/>
      <c r="N18" s="228"/>
      <c r="O18" s="228"/>
      <c r="P18" s="228"/>
      <c r="Q18" s="228"/>
      <c r="R18" s="179"/>
      <c r="S18" s="179"/>
      <c r="T18" s="179"/>
      <c r="U18" s="179"/>
      <c r="V18" s="179"/>
      <c r="W18" s="179"/>
      <c r="X18" s="179"/>
      <c r="Y18" s="179"/>
      <c r="Z18" s="179"/>
    </row>
    <row r="19" customFormat="false" ht="15" hidden="false" customHeight="true" outlineLevel="0" collapsed="false">
      <c r="A19" s="179" t="s">
        <v>284</v>
      </c>
      <c r="B19" s="199" t="n">
        <f aca="false">'Input sheet'!B10</f>
        <v>384</v>
      </c>
      <c r="C19" s="179"/>
      <c r="D19" s="179"/>
      <c r="E19" s="179"/>
      <c r="F19" s="179"/>
      <c r="G19" s="224" t="s">
        <v>285</v>
      </c>
      <c r="H19" s="179"/>
      <c r="I19" s="179"/>
      <c r="J19" s="179"/>
      <c r="K19" s="179"/>
      <c r="L19" s="179"/>
      <c r="M19" s="228"/>
      <c r="N19" s="228"/>
      <c r="O19" s="228"/>
      <c r="P19" s="228"/>
      <c r="Q19" s="228"/>
      <c r="R19" s="179"/>
      <c r="S19" s="179"/>
      <c r="T19" s="179"/>
      <c r="U19" s="179"/>
      <c r="V19" s="179"/>
      <c r="W19" s="179"/>
      <c r="X19" s="179"/>
      <c r="Y19" s="179"/>
      <c r="Z19" s="179"/>
    </row>
    <row r="20" customFormat="false" ht="15" hidden="false" customHeight="true" outlineLevel="0" collapsed="false">
      <c r="A20" s="179" t="s">
        <v>286</v>
      </c>
      <c r="B20" s="236" t="n">
        <v>3</v>
      </c>
      <c r="C20" s="179"/>
      <c r="D20" s="179"/>
      <c r="E20" s="179"/>
      <c r="F20" s="179"/>
      <c r="G20" s="216" t="s">
        <v>287</v>
      </c>
      <c r="H20" s="216" t="s">
        <v>15</v>
      </c>
      <c r="I20" s="216" t="s">
        <v>260</v>
      </c>
      <c r="J20" s="216" t="s">
        <v>261</v>
      </c>
      <c r="K20" s="216" t="s">
        <v>262</v>
      </c>
      <c r="L20" s="179"/>
      <c r="M20" s="179"/>
      <c r="N20" s="179"/>
      <c r="O20" s="179"/>
      <c r="P20" s="179"/>
      <c r="Q20" s="179"/>
      <c r="R20" s="179"/>
      <c r="S20" s="179"/>
      <c r="T20" s="179"/>
      <c r="U20" s="179"/>
      <c r="V20" s="179"/>
      <c r="W20" s="179"/>
      <c r="X20" s="179"/>
      <c r="Y20" s="179"/>
      <c r="Z20" s="179"/>
    </row>
    <row r="21" customFormat="false" ht="15" hidden="false" customHeight="true" outlineLevel="0" collapsed="false">
      <c r="A21" s="179" t="s">
        <v>288</v>
      </c>
      <c r="B21" s="237" t="s">
        <v>289</v>
      </c>
      <c r="C21" s="179"/>
      <c r="D21" s="179"/>
      <c r="E21" s="179"/>
      <c r="F21" s="179"/>
      <c r="G21" s="216" t="str">
        <f aca="false">'Country equity risk premiums'!A185</f>
        <v>Africa</v>
      </c>
      <c r="H21" s="227"/>
      <c r="I21" s="215" t="n">
        <f aca="false">'Country equity risk premiums'!B185</f>
        <v>0.0966419473670457</v>
      </c>
      <c r="J21" s="201" t="n">
        <f aca="false">H21/$H$32</f>
        <v>0</v>
      </c>
      <c r="K21" s="238" t="n">
        <f aca="false">I21*J21</f>
        <v>0</v>
      </c>
      <c r="L21" s="179"/>
      <c r="M21" s="179"/>
      <c r="N21" s="179"/>
      <c r="O21" s="179"/>
      <c r="P21" s="179"/>
      <c r="Q21" s="179"/>
      <c r="R21" s="179"/>
      <c r="S21" s="179"/>
      <c r="T21" s="179"/>
      <c r="U21" s="179"/>
      <c r="V21" s="179"/>
      <c r="W21" s="179"/>
      <c r="X21" s="179"/>
      <c r="Y21" s="179"/>
      <c r="Z21" s="179"/>
    </row>
    <row r="22" customFormat="false" ht="15" hidden="false" customHeight="true" outlineLevel="0" collapsed="false">
      <c r="A22" s="179" t="s">
        <v>290</v>
      </c>
      <c r="B22" s="239" t="n">
        <v>0.04</v>
      </c>
      <c r="C22" s="179"/>
      <c r="D22" s="179"/>
      <c r="E22" s="179"/>
      <c r="F22" s="179"/>
      <c r="G22" s="216" t="str">
        <f aca="false">'Country equity risk premiums'!A186</f>
        <v>Asia</v>
      </c>
      <c r="H22" s="227" t="n">
        <v>46123</v>
      </c>
      <c r="I22" s="215" t="n">
        <f aca="false">'Country equity risk premiums'!B186</f>
        <v>0.0574676924426885</v>
      </c>
      <c r="J22" s="201" t="n">
        <f aca="false">H22/$H$32</f>
        <v>0.179023199307553</v>
      </c>
      <c r="K22" s="238" t="n">
        <f aca="false">I22*J22</f>
        <v>0.0102880501579126</v>
      </c>
      <c r="L22" s="179"/>
      <c r="M22" s="179"/>
      <c r="N22" s="179"/>
      <c r="O22" s="179"/>
      <c r="P22" s="179"/>
      <c r="Q22" s="179"/>
      <c r="R22" s="179"/>
      <c r="S22" s="179"/>
      <c r="T22" s="179"/>
      <c r="U22" s="179"/>
      <c r="V22" s="179"/>
      <c r="W22" s="179"/>
      <c r="X22" s="179"/>
      <c r="Y22" s="179"/>
      <c r="Z22" s="179"/>
    </row>
    <row r="23" customFormat="false" ht="15" hidden="false" customHeight="true" outlineLevel="0" collapsed="false">
      <c r="A23" s="179" t="s">
        <v>291</v>
      </c>
      <c r="B23" s="237" t="s">
        <v>292</v>
      </c>
      <c r="C23" s="179"/>
      <c r="D23" s="179"/>
      <c r="E23" s="179"/>
      <c r="F23" s="179"/>
      <c r="G23" s="216" t="str">
        <f aca="false">'Country equity risk premiums'!A187</f>
        <v>Australia &amp; New Zealand</v>
      </c>
      <c r="H23" s="227"/>
      <c r="I23" s="215" t="n">
        <f aca="false">'Country equity risk premiums'!B187</f>
        <v>0.0472326829212255</v>
      </c>
      <c r="J23" s="201" t="n">
        <f aca="false">H23/$H$32</f>
        <v>0</v>
      </c>
      <c r="K23" s="238" t="n">
        <f aca="false">I23*J23</f>
        <v>0</v>
      </c>
      <c r="L23" s="179"/>
      <c r="M23" s="179"/>
      <c r="N23" s="179"/>
      <c r="O23" s="179"/>
      <c r="P23" s="179"/>
      <c r="Q23" s="179"/>
      <c r="R23" s="179"/>
      <c r="S23" s="179"/>
      <c r="T23" s="179"/>
      <c r="U23" s="179"/>
      <c r="V23" s="179"/>
      <c r="W23" s="179"/>
      <c r="X23" s="179"/>
      <c r="Y23" s="179"/>
      <c r="Z23" s="179"/>
    </row>
    <row r="24" customFormat="false" ht="15" hidden="false" customHeight="true" outlineLevel="0" collapsed="false">
      <c r="A24" s="179" t="s">
        <v>293</v>
      </c>
      <c r="B24" s="237" t="n">
        <v>1</v>
      </c>
      <c r="C24" s="179"/>
      <c r="D24" s="179"/>
      <c r="E24" s="179"/>
      <c r="F24" s="179"/>
      <c r="G24" s="216" t="str">
        <f aca="false">'Country equity risk premiums'!A188</f>
        <v>Caribbean</v>
      </c>
      <c r="H24" s="227"/>
      <c r="I24" s="215" t="n">
        <f aca="false">'Country equity risk premiums'!B188</f>
        <v>0.100312574623653</v>
      </c>
      <c r="J24" s="201" t="n">
        <f aca="false">H24/$H$32</f>
        <v>0</v>
      </c>
      <c r="K24" s="238" t="n">
        <f aca="false">I24*J24</f>
        <v>0</v>
      </c>
      <c r="L24" s="179"/>
      <c r="M24" s="179"/>
      <c r="N24" s="179"/>
      <c r="O24" s="179"/>
      <c r="P24" s="179"/>
      <c r="Q24" s="179"/>
      <c r="R24" s="179"/>
      <c r="S24" s="179"/>
      <c r="T24" s="179"/>
      <c r="U24" s="179"/>
      <c r="V24" s="179"/>
      <c r="W24" s="179"/>
      <c r="X24" s="179"/>
      <c r="Y24" s="179"/>
      <c r="Z24" s="179"/>
    </row>
    <row r="25" customFormat="false" ht="15" hidden="false" customHeight="true" outlineLevel="0" collapsed="false">
      <c r="A25" s="179" t="s">
        <v>294</v>
      </c>
      <c r="B25" s="232" t="n">
        <f aca="false">IF(B21="Direct Input",B22,IF(B21="Synthetic Rating",'Synthetic rating'!D13,B12+VLOOKUP('Cost of capital worksheet'!B23,'Synthetic rating'!G39:H53,2)))</f>
        <v>0.0502</v>
      </c>
      <c r="C25" s="179"/>
      <c r="D25" s="179"/>
      <c r="E25" s="179"/>
      <c r="F25" s="179"/>
      <c r="G25" s="216" t="str">
        <f aca="false">'Country equity risk premiums'!A189</f>
        <v>Central and South America</v>
      </c>
      <c r="H25" s="227" t="n">
        <v>14404</v>
      </c>
      <c r="I25" s="215" t="n">
        <f aca="false">'Country equity risk premiums'!B189</f>
        <v>0.087100431721071</v>
      </c>
      <c r="J25" s="201" t="n">
        <f aca="false">H25/$H$32</f>
        <v>0.055908118787286</v>
      </c>
      <c r="K25" s="238" t="n">
        <f aca="false">I25*J25</f>
        <v>0.00486962128308553</v>
      </c>
      <c r="L25" s="179"/>
      <c r="M25" s="179"/>
      <c r="N25" s="179"/>
      <c r="O25" s="179"/>
      <c r="P25" s="179"/>
      <c r="Q25" s="179"/>
      <c r="R25" s="179"/>
      <c r="S25" s="179"/>
      <c r="T25" s="179"/>
      <c r="U25" s="179"/>
      <c r="V25" s="179"/>
      <c r="W25" s="179"/>
      <c r="X25" s="179"/>
      <c r="Y25" s="179"/>
      <c r="Z25" s="179"/>
    </row>
    <row r="26" customFormat="false" ht="15" hidden="false" customHeight="true" outlineLevel="0" collapsed="false">
      <c r="A26" s="179" t="s">
        <v>295</v>
      </c>
      <c r="B26" s="240" t="n">
        <f aca="false">'Input sheet'!B21</f>
        <v>0.28</v>
      </c>
      <c r="C26" s="179"/>
      <c r="D26" s="179"/>
      <c r="E26" s="179"/>
      <c r="F26" s="179"/>
      <c r="G26" s="216" t="str">
        <f aca="false">'Country equity risk premiums'!A190</f>
        <v>Eastern Europe &amp; Russia</v>
      </c>
      <c r="H26" s="227"/>
      <c r="I26" s="215" t="n">
        <f aca="false">'Country equity risk premiums'!B190</f>
        <v>0.0679805410836004</v>
      </c>
      <c r="J26" s="201" t="n">
        <f aca="false">H26/$H$32</f>
        <v>0</v>
      </c>
      <c r="K26" s="238" t="n">
        <f aca="false">I26*J26</f>
        <v>0</v>
      </c>
      <c r="L26" s="179"/>
      <c r="M26" s="179"/>
      <c r="N26" s="179"/>
      <c r="O26" s="179"/>
      <c r="P26" s="179"/>
      <c r="Q26" s="179"/>
      <c r="R26" s="179"/>
      <c r="S26" s="179"/>
      <c r="T26" s="179"/>
      <c r="U26" s="179"/>
      <c r="V26" s="179"/>
      <c r="W26" s="179"/>
      <c r="X26" s="179"/>
      <c r="Y26" s="179"/>
      <c r="Z26" s="179"/>
    </row>
    <row r="27" customFormat="false" ht="15" hidden="false" customHeight="true" outlineLevel="0" collapsed="false">
      <c r="A27" s="179"/>
      <c r="B27" s="179"/>
      <c r="C27" s="179"/>
      <c r="D27" s="179"/>
      <c r="E27" s="179"/>
      <c r="F27" s="179"/>
      <c r="G27" s="216" t="str">
        <f aca="false">'Country equity risk premiums'!A191</f>
        <v>Middle East</v>
      </c>
      <c r="H27" s="227"/>
      <c r="I27" s="215" t="n">
        <f aca="false">'Country equity risk premiums'!B191</f>
        <v>0.0625017854339721</v>
      </c>
      <c r="J27" s="201" t="n">
        <f aca="false">H27/$H$32</f>
        <v>0</v>
      </c>
      <c r="K27" s="238" t="n">
        <f aca="false">I27*J27</f>
        <v>0</v>
      </c>
      <c r="L27" s="179"/>
      <c r="M27" s="179"/>
      <c r="N27" s="179"/>
      <c r="O27" s="179"/>
      <c r="P27" s="179"/>
      <c r="Q27" s="179"/>
      <c r="R27" s="179"/>
      <c r="S27" s="179"/>
      <c r="T27" s="179"/>
      <c r="U27" s="179"/>
      <c r="V27" s="179"/>
      <c r="W27" s="179"/>
      <c r="X27" s="179"/>
      <c r="Y27" s="179"/>
      <c r="Z27" s="179"/>
    </row>
    <row r="28" customFormat="false" ht="15" hidden="false" customHeight="true" outlineLevel="0" collapsed="false">
      <c r="A28" s="179" t="s">
        <v>296</v>
      </c>
      <c r="B28" s="236" t="n">
        <v>0</v>
      </c>
      <c r="C28" s="179"/>
      <c r="D28" s="179"/>
      <c r="E28" s="179"/>
      <c r="F28" s="179"/>
      <c r="G28" s="216" t="str">
        <f aca="false">'Country equity risk premiums'!A192</f>
        <v>North America</v>
      </c>
      <c r="H28" s="227" t="n">
        <v>117854</v>
      </c>
      <c r="I28" s="215" t="n">
        <f aca="false">'Country equity risk premiums'!B192</f>
        <v>0.0472</v>
      </c>
      <c r="J28" s="201" t="n">
        <f aca="false">H28/$H$32</f>
        <v>0.457442059952569</v>
      </c>
      <c r="K28" s="238" t="n">
        <f aca="false">I28*J28</f>
        <v>0.0215912652297613</v>
      </c>
      <c r="L28" s="179"/>
      <c r="M28" s="179"/>
      <c r="N28" s="179"/>
      <c r="O28" s="179"/>
      <c r="P28" s="179"/>
      <c r="Q28" s="179"/>
      <c r="R28" s="179"/>
      <c r="S28" s="179"/>
      <c r="T28" s="179"/>
      <c r="U28" s="179"/>
      <c r="V28" s="179"/>
      <c r="W28" s="179"/>
      <c r="X28" s="179"/>
      <c r="Y28" s="179"/>
      <c r="Z28" s="179"/>
    </row>
    <row r="29" customFormat="false" ht="15" hidden="false" customHeight="true" outlineLevel="0" collapsed="false">
      <c r="A29" s="179" t="s">
        <v>297</v>
      </c>
      <c r="B29" s="236" t="n">
        <v>0</v>
      </c>
      <c r="C29" s="179"/>
      <c r="D29" s="179"/>
      <c r="E29" s="179"/>
      <c r="F29" s="179"/>
      <c r="G29" s="216" t="str">
        <f aca="false">'Country equity risk premiums'!A193</f>
        <v>Western Europe</v>
      </c>
      <c r="H29" s="227" t="n">
        <v>79107</v>
      </c>
      <c r="I29" s="215" t="n">
        <f aca="false">'Country equity risk premiums'!B193</f>
        <v>0.0555974750945077</v>
      </c>
      <c r="J29" s="201" t="n">
        <f aca="false">H29/$H$32</f>
        <v>0.307048288871552</v>
      </c>
      <c r="K29" s="238" t="n">
        <f aca="false">I29*J29</f>
        <v>0.0170711095933473</v>
      </c>
      <c r="L29" s="179"/>
      <c r="M29" s="179"/>
      <c r="N29" s="179"/>
      <c r="O29" s="179"/>
      <c r="P29" s="179"/>
      <c r="Q29" s="179"/>
      <c r="R29" s="179"/>
      <c r="S29" s="179"/>
      <c r="T29" s="179"/>
      <c r="U29" s="179"/>
      <c r="V29" s="179"/>
      <c r="W29" s="179"/>
      <c r="X29" s="179"/>
      <c r="Y29" s="179"/>
      <c r="Z29" s="179"/>
    </row>
    <row r="30" customFormat="false" ht="15" hidden="false" customHeight="true" outlineLevel="0" collapsed="false">
      <c r="A30" s="179" t="s">
        <v>298</v>
      </c>
      <c r="B30" s="236" t="n">
        <v>0</v>
      </c>
      <c r="C30" s="179"/>
      <c r="D30" s="179"/>
      <c r="E30" s="179"/>
      <c r="F30" s="179"/>
      <c r="G30" s="227"/>
      <c r="H30" s="227"/>
      <c r="I30" s="241"/>
      <c r="J30" s="201" t="n">
        <f aca="false">H30/$H$32</f>
        <v>0</v>
      </c>
      <c r="K30" s="238" t="n">
        <f aca="false">I30*J30</f>
        <v>0</v>
      </c>
      <c r="L30" s="179"/>
      <c r="M30" s="179"/>
      <c r="N30" s="179"/>
      <c r="O30" s="179"/>
      <c r="P30" s="179"/>
      <c r="Q30" s="179"/>
      <c r="R30" s="179"/>
      <c r="S30" s="179"/>
      <c r="T30" s="179"/>
      <c r="U30" s="179"/>
      <c r="V30" s="179"/>
      <c r="W30" s="179"/>
      <c r="X30" s="179"/>
      <c r="Y30" s="179"/>
      <c r="Z30" s="179"/>
    </row>
    <row r="31" customFormat="false" ht="15" hidden="false" customHeight="true" outlineLevel="0" collapsed="false">
      <c r="A31" s="179" t="s">
        <v>299</v>
      </c>
      <c r="B31" s="236" t="n">
        <v>0</v>
      </c>
      <c r="C31" s="179"/>
      <c r="D31" s="179"/>
      <c r="E31" s="179"/>
      <c r="F31" s="179"/>
      <c r="G31" s="227" t="s">
        <v>280</v>
      </c>
      <c r="H31" s="227" t="n">
        <v>149</v>
      </c>
      <c r="I31" s="241" t="n">
        <v>0.0654</v>
      </c>
      <c r="J31" s="201" t="n">
        <f aca="false">H31/$H$32</f>
        <v>0.000578333081040378</v>
      </c>
      <c r="K31" s="238" t="n">
        <f aca="false">I31*J31</f>
        <v>3.78229835000407E-005</v>
      </c>
      <c r="L31" s="179"/>
      <c r="M31" s="179"/>
      <c r="N31" s="179"/>
      <c r="O31" s="179"/>
      <c r="P31" s="179"/>
      <c r="Q31" s="179"/>
      <c r="R31" s="179"/>
      <c r="S31" s="179"/>
      <c r="T31" s="179"/>
      <c r="U31" s="179"/>
      <c r="V31" s="179"/>
      <c r="W31" s="179"/>
      <c r="X31" s="179"/>
      <c r="Y31" s="179"/>
      <c r="Z31" s="179"/>
    </row>
    <row r="32" customFormat="false" ht="15" hidden="false" customHeight="true" outlineLevel="0" collapsed="false">
      <c r="A32" s="179"/>
      <c r="B32" s="179"/>
      <c r="C32" s="179"/>
      <c r="D32" s="179"/>
      <c r="E32" s="179"/>
      <c r="F32" s="179"/>
      <c r="G32" s="235" t="s">
        <v>283</v>
      </c>
      <c r="H32" s="235" t="n">
        <f aca="false">SUM(H21:H31)</f>
        <v>257637</v>
      </c>
      <c r="I32" s="201"/>
      <c r="J32" s="201" t="n">
        <f aca="false">SUM(J21:J31)</f>
        <v>1</v>
      </c>
      <c r="K32" s="238" t="n">
        <f aca="false">SUM(K21:K31)</f>
        <v>0.0538578692476067</v>
      </c>
      <c r="L32" s="179"/>
      <c r="M32" s="179"/>
      <c r="N32" s="179"/>
      <c r="O32" s="179"/>
      <c r="P32" s="179"/>
      <c r="Q32" s="179"/>
      <c r="R32" s="179"/>
      <c r="S32" s="179"/>
      <c r="T32" s="179"/>
      <c r="U32" s="179"/>
      <c r="V32" s="179"/>
      <c r="W32" s="179"/>
      <c r="X32" s="179"/>
      <c r="Y32" s="179"/>
      <c r="Z32" s="179"/>
    </row>
    <row r="33" customFormat="false" ht="15" hidden="false" customHeight="true" outlineLevel="0" collapsed="false">
      <c r="A33" s="179" t="s">
        <v>300</v>
      </c>
      <c r="B33" s="199" t="n">
        <f aca="false">IF('Input sheet'!B14="Yes",'Operating lease converter'!F33,0)</f>
        <v>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row>
    <row r="34" customFormat="false" ht="15" hidden="false" customHeight="true" outlineLevel="0" collapsed="false">
      <c r="A34" s="179"/>
      <c r="B34" s="179"/>
      <c r="C34" s="179"/>
      <c r="D34" s="179"/>
      <c r="E34" s="179"/>
      <c r="F34" s="179"/>
      <c r="G34" s="221" t="s">
        <v>301</v>
      </c>
      <c r="H34" s="179"/>
      <c r="I34" s="179"/>
      <c r="J34" s="179"/>
      <c r="K34" s="179"/>
      <c r="L34" s="179"/>
      <c r="M34" s="179"/>
      <c r="N34" s="179"/>
      <c r="O34" s="179"/>
      <c r="P34" s="179"/>
      <c r="Q34" s="179"/>
      <c r="R34" s="179"/>
      <c r="S34" s="179"/>
      <c r="T34" s="179"/>
      <c r="U34" s="179"/>
      <c r="V34" s="179"/>
      <c r="W34" s="179"/>
      <c r="X34" s="179"/>
      <c r="Y34" s="179"/>
      <c r="Z34" s="179"/>
    </row>
    <row r="35" customFormat="false" ht="15" hidden="false" customHeight="true" outlineLevel="0" collapsed="false">
      <c r="A35" s="206" t="s">
        <v>302</v>
      </c>
      <c r="B35" s="179"/>
      <c r="C35" s="179"/>
      <c r="D35" s="179"/>
      <c r="E35" s="179"/>
      <c r="F35" s="179"/>
      <c r="G35" s="216" t="s">
        <v>303</v>
      </c>
      <c r="H35" s="216" t="s">
        <v>15</v>
      </c>
      <c r="I35" s="216" t="s">
        <v>304</v>
      </c>
      <c r="J35" s="216" t="s">
        <v>305</v>
      </c>
      <c r="K35" s="216" t="s">
        <v>306</v>
      </c>
      <c r="L35" s="179"/>
      <c r="M35" s="179"/>
      <c r="N35" s="179"/>
      <c r="O35" s="179"/>
      <c r="P35" s="179"/>
      <c r="Q35" s="179"/>
      <c r="R35" s="179"/>
      <c r="S35" s="179"/>
      <c r="T35" s="179"/>
      <c r="U35" s="179"/>
      <c r="V35" s="179"/>
      <c r="W35" s="179"/>
      <c r="X35" s="179"/>
      <c r="Y35" s="179"/>
      <c r="Z35" s="179"/>
    </row>
    <row r="36" customFormat="false" ht="15" hidden="false" customHeight="true" outlineLevel="0" collapsed="false">
      <c r="A36" s="179" t="s">
        <v>307</v>
      </c>
      <c r="B36" s="236" t="n">
        <v>0</v>
      </c>
      <c r="C36" s="179"/>
      <c r="D36" s="179"/>
      <c r="E36" s="179"/>
      <c r="F36" s="179"/>
      <c r="G36" s="227" t="s">
        <v>11</v>
      </c>
      <c r="H36" s="242" t="n">
        <v>257637</v>
      </c>
      <c r="I36" s="243" t="n">
        <f aca="false">IF(G36=0,,VLOOKUP(G36,'Industry Average Beta (US)'!$A$2:$S$95,15))</f>
        <v>1.82797484639527</v>
      </c>
      <c r="J36" s="244" t="n">
        <f aca="false">H36*I36</f>
        <v>470953.955500738</v>
      </c>
      <c r="K36" s="243" t="n">
        <f aca="false">IF(I36=0,0,VLOOKUP(G36,'Industry Average Beta (US)'!$A$2:$S$95,7))</f>
        <v>0.774409401004097</v>
      </c>
      <c r="L36" s="179"/>
      <c r="M36" s="179"/>
      <c r="N36" s="179"/>
      <c r="O36" s="179"/>
      <c r="P36" s="179"/>
      <c r="Q36" s="179"/>
      <c r="R36" s="179"/>
      <c r="S36" s="179"/>
      <c r="T36" s="179"/>
      <c r="U36" s="179"/>
      <c r="V36" s="179"/>
      <c r="W36" s="179"/>
      <c r="X36" s="179"/>
      <c r="Y36" s="179"/>
      <c r="Z36" s="179"/>
    </row>
    <row r="37" customFormat="false" ht="15" hidden="false" customHeight="true" outlineLevel="0" collapsed="false">
      <c r="A37" s="179" t="s">
        <v>308</v>
      </c>
      <c r="B37" s="236" t="n">
        <v>70</v>
      </c>
      <c r="C37" s="179"/>
      <c r="D37" s="179"/>
      <c r="E37" s="179"/>
      <c r="F37" s="179"/>
      <c r="G37" s="227"/>
      <c r="H37" s="242"/>
      <c r="I37" s="243" t="n">
        <f aca="false">IF(G37=0,,VLOOKUP(G37,'Industry Average Beta (US)'!$A$2:$S$95,15))</f>
        <v>0</v>
      </c>
      <c r="J37" s="244" t="n">
        <f aca="false">H37*I37</f>
        <v>0</v>
      </c>
      <c r="K37" s="243" t="n">
        <f aca="false">IF(I37=0,0,VLOOKUP(G37,'Industry Average Beta (US)'!$A$2:$S$95,7))</f>
        <v>0</v>
      </c>
      <c r="L37" s="179"/>
      <c r="M37" s="179"/>
      <c r="N37" s="179"/>
      <c r="O37" s="179"/>
      <c r="P37" s="179"/>
      <c r="Q37" s="179"/>
      <c r="R37" s="179"/>
      <c r="S37" s="179"/>
      <c r="T37" s="179"/>
      <c r="U37" s="179"/>
      <c r="V37" s="179"/>
      <c r="W37" s="179"/>
      <c r="X37" s="179"/>
      <c r="Y37" s="179"/>
      <c r="Z37" s="179"/>
    </row>
    <row r="38" customFormat="false" ht="15" hidden="false" customHeight="true" outlineLevel="0" collapsed="false">
      <c r="A38" s="179" t="s">
        <v>309</v>
      </c>
      <c r="B38" s="236" t="n">
        <v>5</v>
      </c>
      <c r="C38" s="179"/>
      <c r="D38" s="179"/>
      <c r="E38" s="179"/>
      <c r="F38" s="179"/>
      <c r="G38" s="227"/>
      <c r="H38" s="242"/>
      <c r="I38" s="243" t="n">
        <f aca="false">IF(G38=0,,VLOOKUP(G38,'Industry Average Beta (US)'!$A$2:$S$95,15))</f>
        <v>0</v>
      </c>
      <c r="J38" s="244" t="n">
        <f aca="false">H38*I38</f>
        <v>0</v>
      </c>
      <c r="K38" s="243" t="n">
        <f aca="false">IF(I38=0,0,VLOOKUP(G38,'Industry Average Beta (US)'!$A$2:$S$95,7))</f>
        <v>0</v>
      </c>
      <c r="L38" s="179"/>
      <c r="M38" s="179"/>
      <c r="N38" s="179"/>
      <c r="O38" s="179"/>
      <c r="P38" s="179"/>
      <c r="Q38" s="179"/>
      <c r="R38" s="179"/>
      <c r="S38" s="179"/>
      <c r="T38" s="179"/>
      <c r="U38" s="179"/>
      <c r="V38" s="179"/>
      <c r="W38" s="179"/>
      <c r="X38" s="179"/>
      <c r="Y38" s="179"/>
      <c r="Z38" s="179"/>
    </row>
    <row r="39" customFormat="false" ht="15" hidden="false" customHeight="true" outlineLevel="0" collapsed="false">
      <c r="A39" s="179"/>
      <c r="B39" s="179"/>
      <c r="C39" s="179"/>
      <c r="D39" s="179"/>
      <c r="E39" s="179"/>
      <c r="F39" s="179"/>
      <c r="G39" s="227"/>
      <c r="H39" s="242"/>
      <c r="I39" s="243" t="n">
        <f aca="false">IF(G39=0,,VLOOKUP(G39,'Industry Average Beta (US)'!$A$2:$S$95,15))</f>
        <v>0</v>
      </c>
      <c r="J39" s="244" t="n">
        <f aca="false">H39*I39</f>
        <v>0</v>
      </c>
      <c r="K39" s="243" t="n">
        <f aca="false">IF(I39=0,0,VLOOKUP(G39,'Industry Average Beta (US)'!$A$2:$S$95,7))</f>
        <v>0</v>
      </c>
      <c r="L39" s="179"/>
      <c r="M39" s="179"/>
      <c r="N39" s="179"/>
      <c r="O39" s="179"/>
      <c r="P39" s="179"/>
      <c r="Q39" s="179"/>
      <c r="R39" s="179"/>
      <c r="S39" s="179"/>
      <c r="T39" s="179"/>
      <c r="U39" s="179"/>
      <c r="V39" s="179"/>
      <c r="W39" s="179"/>
      <c r="X39" s="179"/>
      <c r="Y39" s="179"/>
      <c r="Z39" s="179"/>
    </row>
    <row r="40" customFormat="false" ht="15" hidden="false" customHeight="true" outlineLevel="0" collapsed="false">
      <c r="A40" s="203" t="s">
        <v>310</v>
      </c>
      <c r="B40" s="179"/>
      <c r="C40" s="179"/>
      <c r="D40" s="179"/>
      <c r="E40" s="179"/>
      <c r="F40" s="179"/>
      <c r="G40" s="227"/>
      <c r="H40" s="242"/>
      <c r="I40" s="243" t="n">
        <f aca="false">IF(G40=0,,VLOOKUP(G40,'Industry Average Beta (US)'!$A$2:$S$95,15))</f>
        <v>0</v>
      </c>
      <c r="J40" s="244" t="n">
        <f aca="false">H40*I40</f>
        <v>0</v>
      </c>
      <c r="K40" s="243" t="n">
        <f aca="false">IF(I40=0,0,VLOOKUP(G40,'Industry Average Beta (US)'!$A$2:$S$95,7))</f>
        <v>0</v>
      </c>
      <c r="L40" s="245"/>
      <c r="M40" s="245"/>
      <c r="N40" s="245"/>
      <c r="O40" s="245"/>
      <c r="P40" s="245"/>
      <c r="Q40" s="245"/>
      <c r="R40" s="245"/>
      <c r="S40" s="245"/>
      <c r="T40" s="245"/>
      <c r="U40" s="245"/>
      <c r="V40" s="245"/>
      <c r="W40" s="245"/>
      <c r="X40" s="245"/>
      <c r="Y40" s="245"/>
      <c r="Z40" s="245"/>
    </row>
    <row r="41" customFormat="false" ht="15" hidden="false" customHeight="true" outlineLevel="0" collapsed="false">
      <c r="A41" s="216" t="s">
        <v>311</v>
      </c>
      <c r="B41" s="216"/>
      <c r="C41" s="199" t="n">
        <f aca="false">B19*(1-(1+B25)^(-B20))/B25+B18/(1+B25)^B20</f>
        <v>26014.9754117526</v>
      </c>
      <c r="D41" s="179"/>
      <c r="E41" s="179"/>
      <c r="F41" s="179"/>
      <c r="G41" s="227"/>
      <c r="H41" s="242"/>
      <c r="I41" s="243" t="n">
        <f aca="false">IF(G41=0,,VLOOKUP(G41,'Industry Average Beta (US)'!$A$2:$S$95,15))</f>
        <v>0</v>
      </c>
      <c r="J41" s="244" t="n">
        <f aca="false">H41*I41</f>
        <v>0</v>
      </c>
      <c r="K41" s="243" t="n">
        <f aca="false">IF(I41=0,0,VLOOKUP(G41,'Industry Average Beta (US)'!$A$2:$S$95,7))</f>
        <v>0</v>
      </c>
      <c r="L41" s="179"/>
      <c r="M41" s="179"/>
      <c r="N41" s="179"/>
      <c r="O41" s="179"/>
      <c r="P41" s="179"/>
      <c r="Q41" s="179"/>
      <c r="R41" s="179"/>
      <c r="S41" s="179"/>
      <c r="T41" s="179"/>
      <c r="U41" s="179"/>
      <c r="V41" s="179"/>
      <c r="W41" s="179"/>
      <c r="X41" s="179"/>
      <c r="Y41" s="179"/>
      <c r="Z41" s="179"/>
    </row>
    <row r="42" customFormat="false" ht="15" hidden="false" customHeight="true" outlineLevel="0" collapsed="false">
      <c r="A42" s="216" t="s">
        <v>312</v>
      </c>
      <c r="B42" s="216"/>
      <c r="C42" s="199" t="n">
        <f aca="false">B29*(1-(1+B25)^(-B30))/B25+B28/(1+B25)^B30</f>
        <v>0</v>
      </c>
      <c r="D42" s="179"/>
      <c r="E42" s="179"/>
      <c r="F42" s="179"/>
      <c r="G42" s="227"/>
      <c r="H42" s="242"/>
      <c r="I42" s="243" t="n">
        <f aca="false">IF(G42=0,,VLOOKUP(G42,'Industry Average Beta (US)'!$A$2:$S$95,15))</f>
        <v>0</v>
      </c>
      <c r="J42" s="244" t="n">
        <f aca="false">H42*I42</f>
        <v>0</v>
      </c>
      <c r="K42" s="243" t="n">
        <f aca="false">IF(I42=0,0,VLOOKUP(G42,'Industry Average Beta (US)'!$A$2:$S$95,7))</f>
        <v>0</v>
      </c>
      <c r="L42" s="179"/>
      <c r="M42" s="179"/>
      <c r="N42" s="179"/>
      <c r="O42" s="179"/>
      <c r="P42" s="179"/>
      <c r="Q42" s="179"/>
      <c r="R42" s="179"/>
      <c r="S42" s="179"/>
      <c r="T42" s="179"/>
      <c r="U42" s="179"/>
      <c r="V42" s="179"/>
      <c r="W42" s="179"/>
      <c r="X42" s="179"/>
      <c r="Y42" s="179"/>
      <c r="Z42" s="179"/>
    </row>
    <row r="43" customFormat="false" ht="15" hidden="false" customHeight="true" outlineLevel="0" collapsed="false">
      <c r="A43" s="216" t="s">
        <v>313</v>
      </c>
      <c r="B43" s="216"/>
      <c r="C43" s="199" t="n">
        <f aca="false">B33</f>
        <v>0</v>
      </c>
      <c r="D43" s="179"/>
      <c r="E43" s="179"/>
      <c r="F43" s="179"/>
      <c r="G43" s="227"/>
      <c r="H43" s="242"/>
      <c r="I43" s="243" t="n">
        <f aca="false">IF(G43=0,,VLOOKUP(G43,'Industry Average Beta (US)'!$A$2:$S$95,15))</f>
        <v>0</v>
      </c>
      <c r="J43" s="244" t="n">
        <f aca="false">H43*I43</f>
        <v>0</v>
      </c>
      <c r="K43" s="243" t="n">
        <f aca="false">IF(I43=0,0,VLOOKUP(G43,'Industry Average Beta (US)'!$A$2:$S$95,7))</f>
        <v>0</v>
      </c>
      <c r="L43" s="179"/>
      <c r="M43" s="179"/>
      <c r="N43" s="179"/>
      <c r="O43" s="179"/>
      <c r="P43" s="179"/>
      <c r="Q43" s="179"/>
      <c r="R43" s="179"/>
      <c r="S43" s="179"/>
      <c r="T43" s="179"/>
      <c r="U43" s="179"/>
      <c r="V43" s="179"/>
      <c r="W43" s="179"/>
      <c r="X43" s="179"/>
      <c r="Y43" s="179"/>
      <c r="Z43" s="179"/>
    </row>
    <row r="44" customFormat="false" ht="12" hidden="false" customHeight="true" outlineLevel="0" collapsed="false">
      <c r="A44" s="216" t="s">
        <v>314</v>
      </c>
      <c r="B44" s="216"/>
      <c r="C44" s="199" t="n">
        <f aca="false">B31-C42</f>
        <v>0</v>
      </c>
      <c r="D44" s="179"/>
      <c r="E44" s="179"/>
      <c r="F44" s="179"/>
      <c r="G44" s="227"/>
      <c r="H44" s="242"/>
      <c r="I44" s="243" t="n">
        <f aca="false">IF(G44=0,,VLOOKUP(G44,'Industry Average Beta (US)'!$A$2:$S$95,15))</f>
        <v>0</v>
      </c>
      <c r="J44" s="244" t="n">
        <f aca="false">H44*I44</f>
        <v>0</v>
      </c>
      <c r="K44" s="243" t="n">
        <f aca="false">IF(I44=0,0,VLOOKUP(G44,'Industry Average Beta (US)'!$A$2:$S$95,7))</f>
        <v>0</v>
      </c>
    </row>
    <row r="45" customFormat="false" ht="12" hidden="false" customHeight="true" outlineLevel="0" collapsed="false">
      <c r="A45" s="216" t="s">
        <v>315</v>
      </c>
      <c r="B45" s="216"/>
      <c r="C45" s="200" t="n">
        <f aca="false">IF(B9="Direct Input",B10,B11*(1+(1-B26)*(C48/B48)))</f>
        <v>0.787335649006532</v>
      </c>
      <c r="D45" s="179"/>
      <c r="E45" s="179"/>
      <c r="F45" s="179"/>
      <c r="G45" s="227"/>
      <c r="H45" s="242"/>
      <c r="I45" s="243" t="n">
        <f aca="false">IF(G45=0,,VLOOKUP(G45,'Industry Average Beta (US)'!$A$2:$S$95,15))</f>
        <v>0</v>
      </c>
      <c r="J45" s="244" t="n">
        <f aca="false">H45*I45</f>
        <v>0</v>
      </c>
      <c r="K45" s="243" t="n">
        <f aca="false">IF(I45=0,0,VLOOKUP(G45,'Industry Average Beta (US)'!$A$2:$S$95,7))</f>
        <v>0</v>
      </c>
    </row>
    <row r="46" customFormat="false" ht="12" hidden="false" customHeight="true" outlineLevel="0" collapsed="false">
      <c r="A46" s="179"/>
      <c r="B46" s="179"/>
      <c r="C46" s="200"/>
      <c r="D46" s="179"/>
      <c r="E46" s="179"/>
      <c r="F46" s="179"/>
      <c r="G46" s="227"/>
      <c r="H46" s="242"/>
      <c r="I46" s="243" t="n">
        <f aca="false">IF(G46=0,,VLOOKUP(G46,'Industry Average Beta (US)'!$A$2:$S$95,15))</f>
        <v>0</v>
      </c>
      <c r="J46" s="244" t="n">
        <f aca="false">H46*I46</f>
        <v>0</v>
      </c>
      <c r="K46" s="243" t="n">
        <f aca="false">IF(I46=0,0,VLOOKUP(G46,'Industry Average Beta (US)'!$A$2:$S$95,7))</f>
        <v>0</v>
      </c>
    </row>
    <row r="47" customFormat="false" ht="12" hidden="false" customHeight="true" outlineLevel="0" collapsed="false">
      <c r="A47" s="245"/>
      <c r="B47" s="246" t="s">
        <v>263</v>
      </c>
      <c r="C47" s="246" t="s">
        <v>316</v>
      </c>
      <c r="D47" s="246" t="s">
        <v>302</v>
      </c>
      <c r="E47" s="246" t="s">
        <v>317</v>
      </c>
      <c r="F47" s="245"/>
      <c r="G47" s="227"/>
      <c r="H47" s="242"/>
      <c r="I47" s="243" t="n">
        <f aca="false">IF(G47=0,,VLOOKUP(G47,'Industry Average Beta (US)'!$A$2:$S$95,15))</f>
        <v>0</v>
      </c>
      <c r="J47" s="244" t="n">
        <f aca="false">H47*I47</f>
        <v>0</v>
      </c>
      <c r="K47" s="243" t="n">
        <f aca="false">IF(I47=0,0,VLOOKUP(G47,'Industry Average Beta (US)'!$A$2:$S$95,7))</f>
        <v>0</v>
      </c>
    </row>
    <row r="48" customFormat="false" ht="12" hidden="false" customHeight="true" outlineLevel="0" collapsed="false">
      <c r="A48" s="216" t="s">
        <v>318</v>
      </c>
      <c r="B48" s="199" t="n">
        <f aca="false">B6*B7</f>
        <v>1122158.1</v>
      </c>
      <c r="C48" s="199" t="n">
        <f aca="false">C41+C42+C43</f>
        <v>26014.9754117526</v>
      </c>
      <c r="D48" s="199" t="n">
        <f aca="false">B36*B37</f>
        <v>0</v>
      </c>
      <c r="E48" s="199" t="n">
        <f aca="false">SUM(B48:D48)</f>
        <v>1148173.07541175</v>
      </c>
      <c r="F48" s="179"/>
      <c r="G48" s="247" t="s">
        <v>35</v>
      </c>
      <c r="H48" s="248" t="n">
        <f aca="false">SUM(H36:H47)</f>
        <v>257637</v>
      </c>
      <c r="I48" s="249"/>
      <c r="J48" s="244" t="n">
        <f aca="false">SUM(J36:J47)</f>
        <v>470953.955500738</v>
      </c>
      <c r="K48" s="249" t="n">
        <f aca="false">K36*(J36/J48)+K37*J37/J48+K38*J38/J48+K39*J39/J48+K40*J40/J48+K41*J41/J48+K42*J42/J48+K43*J43/J48+K44*J44/J48+K45*J45/J48+K46*J46/J48+K47*J47/J48</f>
        <v>0.774409401004097</v>
      </c>
    </row>
    <row r="49" customFormat="false" ht="12" hidden="false" customHeight="true" outlineLevel="0" collapsed="false">
      <c r="A49" s="216" t="s">
        <v>319</v>
      </c>
      <c r="B49" s="201" t="n">
        <f aca="false">B48/$E$48</f>
        <v>0.977342287527145</v>
      </c>
      <c r="C49" s="201" t="n">
        <f aca="false">C48/$E$48</f>
        <v>0.0226577124728545</v>
      </c>
      <c r="D49" s="201" t="n">
        <f aca="false">D48/$E$48</f>
        <v>0</v>
      </c>
      <c r="E49" s="250" t="n">
        <f aca="false">SUM(B49:D49)</f>
        <v>1</v>
      </c>
      <c r="F49" s="179"/>
    </row>
    <row r="50" customFormat="false" ht="12" hidden="false" customHeight="true" outlineLevel="0" collapsed="false">
      <c r="A50" s="216" t="s">
        <v>320</v>
      </c>
      <c r="B50" s="201" t="n">
        <f aca="false">B12+C45*B15</f>
        <v>0.0840042204381734</v>
      </c>
      <c r="C50" s="201" t="n">
        <f aca="false">B25*(1-B26)</f>
        <v>0.036144</v>
      </c>
      <c r="D50" s="251" t="n">
        <f aca="false">B38/B37</f>
        <v>0.0714285714285714</v>
      </c>
      <c r="E50" s="252" t="n">
        <f aca="false">B49*B50+C49*C50+D49*D50</f>
        <v>0.0829198173245978</v>
      </c>
      <c r="F50" s="179"/>
      <c r="G50" s="253" t="s">
        <v>321</v>
      </c>
    </row>
    <row r="51" customFormat="false" ht="12" hidden="false" customHeight="true" outlineLevel="0" collapsed="false">
      <c r="G51" s="216" t="s">
        <v>303</v>
      </c>
      <c r="H51" s="216" t="s">
        <v>15</v>
      </c>
      <c r="I51" s="216" t="s">
        <v>304</v>
      </c>
      <c r="J51" s="216" t="s">
        <v>305</v>
      </c>
      <c r="K51" s="216" t="s">
        <v>306</v>
      </c>
    </row>
    <row r="52" customFormat="false" ht="12" hidden="false" customHeight="true" outlineLevel="0" collapsed="false">
      <c r="G52" s="227" t="s">
        <v>322</v>
      </c>
      <c r="H52" s="242" t="n">
        <v>0</v>
      </c>
      <c r="I52" s="243" t="n">
        <f aca="false">IF(G52=0,,VLOOKUP(G52,'Industry Average Beta (Global)'!$A$2:$O$95,15))</f>
        <v>4.26920230012924</v>
      </c>
      <c r="J52" s="244" t="n">
        <f aca="false">H52*I52</f>
        <v>0</v>
      </c>
      <c r="K52" s="243" t="n">
        <f aca="false">IF(G52=0,,VLOOKUP(G52,'Industry Average Beta (Global)'!$A$2:$O$95,7))</f>
        <v>0.800587637762375</v>
      </c>
    </row>
    <row r="53" customFormat="false" ht="12" hidden="false" customHeight="true" outlineLevel="0" collapsed="false">
      <c r="G53" s="227"/>
      <c r="H53" s="242"/>
      <c r="I53" s="243" t="n">
        <f aca="false">IF(G53=0,,VLOOKUP(G53,'Industry Average Beta (Global)'!$A$2:$O$95,15))</f>
        <v>0</v>
      </c>
      <c r="J53" s="244" t="n">
        <f aca="false">H53*I53</f>
        <v>0</v>
      </c>
      <c r="K53" s="243" t="n">
        <f aca="false">IF(G53=0,,VLOOKUP(G53,'Industry Average Beta (Global)'!$A$2:$O$95,7))</f>
        <v>0</v>
      </c>
    </row>
    <row r="54" customFormat="false" ht="12" hidden="false" customHeight="true" outlineLevel="0" collapsed="false">
      <c r="G54" s="227"/>
      <c r="H54" s="242"/>
      <c r="I54" s="243" t="n">
        <f aca="false">IF(G54=0,,VLOOKUP(G54,'Industry Average Beta (Global)'!$A$2:$O$95,15))</f>
        <v>0</v>
      </c>
      <c r="J54" s="244" t="n">
        <f aca="false">H54*I54</f>
        <v>0</v>
      </c>
      <c r="K54" s="243" t="n">
        <f aca="false">IF(G54=0,,VLOOKUP(G54,'Industry Average Beta (Global)'!$A$2:$O$95,7))</f>
        <v>0</v>
      </c>
    </row>
    <row r="55" customFormat="false" ht="12" hidden="false" customHeight="true" outlineLevel="0" collapsed="false">
      <c r="G55" s="227"/>
      <c r="H55" s="242"/>
      <c r="I55" s="243" t="n">
        <f aca="false">IF(G55=0,,VLOOKUP(G55,'Industry Average Beta (Global)'!$A$2:$O$95,15))</f>
        <v>0</v>
      </c>
      <c r="J55" s="244" t="n">
        <f aca="false">H55*I55</f>
        <v>0</v>
      </c>
      <c r="K55" s="243" t="n">
        <f aca="false">IF(G55=0,,VLOOKUP(G55,'Industry Average Beta (Global)'!$A$2:$O$95,7))</f>
        <v>0</v>
      </c>
    </row>
    <row r="56" customFormat="false" ht="12" hidden="false" customHeight="true" outlineLevel="0" collapsed="false">
      <c r="G56" s="227"/>
      <c r="H56" s="242"/>
      <c r="I56" s="243" t="n">
        <f aca="false">IF(G56=0,,VLOOKUP(G56,'Industry Average Beta (Global)'!$A$2:$O$95,15))</f>
        <v>0</v>
      </c>
      <c r="J56" s="244" t="n">
        <f aca="false">H56*I56</f>
        <v>0</v>
      </c>
      <c r="K56" s="243" t="n">
        <f aca="false">IF(G56=0,,VLOOKUP(G56,'Industry Average Beta (Global)'!$A$2:$O$95,7))</f>
        <v>0</v>
      </c>
    </row>
    <row r="57" customFormat="false" ht="12" hidden="false" customHeight="true" outlineLevel="0" collapsed="false">
      <c r="G57" s="227"/>
      <c r="H57" s="242"/>
      <c r="I57" s="243" t="n">
        <f aca="false">IF(G57=0,,VLOOKUP(G57,'Industry Average Beta (Global)'!$A$2:$O$95,15))</f>
        <v>0</v>
      </c>
      <c r="J57" s="244" t="n">
        <f aca="false">H57*I57</f>
        <v>0</v>
      </c>
      <c r="K57" s="243" t="n">
        <f aca="false">IF(G57=0,,VLOOKUP(G57,'Industry Average Beta (Global)'!$A$2:$O$95,7))</f>
        <v>0</v>
      </c>
    </row>
    <row r="58" customFormat="false" ht="12" hidden="false" customHeight="true" outlineLevel="0" collapsed="false">
      <c r="G58" s="227"/>
      <c r="H58" s="242"/>
      <c r="I58" s="243" t="n">
        <f aca="false">IF(G58=0,,VLOOKUP(G58,'Industry Average Beta (Global)'!$A$2:$O$95,15))</f>
        <v>0</v>
      </c>
      <c r="J58" s="244" t="n">
        <f aca="false">H58*I58</f>
        <v>0</v>
      </c>
      <c r="K58" s="243" t="n">
        <f aca="false">IF(G58=0,,VLOOKUP(G58,'Industry Average Beta (Global)'!$A$2:$O$95,7))</f>
        <v>0</v>
      </c>
    </row>
    <row r="59" customFormat="false" ht="12" hidden="false" customHeight="true" outlineLevel="0" collapsed="false">
      <c r="G59" s="227"/>
      <c r="H59" s="242"/>
      <c r="I59" s="243" t="n">
        <f aca="false">IF(G59=0,,VLOOKUP(G59,'Industry Average Beta (Global)'!$A$2:$O$95,15))</f>
        <v>0</v>
      </c>
      <c r="J59" s="244" t="n">
        <f aca="false">H59*I59</f>
        <v>0</v>
      </c>
      <c r="K59" s="243" t="n">
        <f aca="false">IF(G59=0,,VLOOKUP(G59,'Industry Average Beta (Global)'!$A$2:$O$95,7))</f>
        <v>0</v>
      </c>
    </row>
    <row r="60" customFormat="false" ht="12" hidden="false" customHeight="true" outlineLevel="0" collapsed="false">
      <c r="G60" s="227"/>
      <c r="H60" s="242"/>
      <c r="I60" s="243" t="n">
        <f aca="false">IF(G60=0,,VLOOKUP(G60,'Industry Average Beta (Global)'!$A$2:$O$95,15))</f>
        <v>0</v>
      </c>
      <c r="J60" s="244" t="n">
        <f aca="false">H60*I60</f>
        <v>0</v>
      </c>
      <c r="K60" s="243" t="n">
        <f aca="false">IF(G60=0,,VLOOKUP(G60,'Industry Average Beta (Global)'!$A$2:$O$95,7))</f>
        <v>0</v>
      </c>
    </row>
    <row r="61" customFormat="false" ht="12" hidden="false" customHeight="true" outlineLevel="0" collapsed="false">
      <c r="G61" s="227"/>
      <c r="H61" s="242"/>
      <c r="I61" s="243" t="n">
        <f aca="false">IF(G61=0,,VLOOKUP(G61,'Industry Average Beta (Global)'!$A$2:$O$95,15))</f>
        <v>0</v>
      </c>
      <c r="J61" s="244" t="n">
        <f aca="false">H61*I61</f>
        <v>0</v>
      </c>
      <c r="K61" s="243" t="n">
        <f aca="false">IF(G61=0,,VLOOKUP(G61,'Industry Average Beta (Global)'!$A$2:$O$95,7))</f>
        <v>0</v>
      </c>
    </row>
    <row r="62" customFormat="false" ht="12" hidden="false" customHeight="true" outlineLevel="0" collapsed="false">
      <c r="G62" s="227"/>
      <c r="H62" s="242"/>
      <c r="I62" s="243" t="n">
        <f aca="false">IF(G62=0,,VLOOKUP(G62,'Industry Average Beta (Global)'!$A$2:$O$95,15))</f>
        <v>0</v>
      </c>
      <c r="J62" s="244" t="n">
        <f aca="false">H62*I62</f>
        <v>0</v>
      </c>
      <c r="K62" s="243" t="n">
        <f aca="false">IF(G62=0,,VLOOKUP(G62,'Industry Average Beta (Global)'!$A$2:$O$95,7))</f>
        <v>0</v>
      </c>
    </row>
    <row r="63" customFormat="false" ht="12" hidden="false" customHeight="true" outlineLevel="0" collapsed="false">
      <c r="G63" s="227"/>
      <c r="H63" s="242"/>
      <c r="I63" s="243" t="n">
        <f aca="false">IF(G63=0,,VLOOKUP(G63,'Industry Average Beta (Global)'!$A$2:$O$95,15))</f>
        <v>0</v>
      </c>
      <c r="J63" s="244" t="n">
        <f aca="false">H63*I63</f>
        <v>0</v>
      </c>
      <c r="K63" s="243" t="n">
        <f aca="false">IF(G63=0,,VLOOKUP(G63,'Industry Average Beta (Global)'!$A$2:$O$95,7))</f>
        <v>0</v>
      </c>
    </row>
    <row r="64" customFormat="false" ht="12" hidden="false" customHeight="true" outlineLevel="0" collapsed="false">
      <c r="G64" s="247" t="s">
        <v>35</v>
      </c>
      <c r="H64" s="248" t="n">
        <f aca="false">SUM(H52:H63)</f>
        <v>0</v>
      </c>
      <c r="I64" s="249"/>
      <c r="J64" s="244" t="n">
        <f aca="false">SUM(J52:J63)</f>
        <v>0</v>
      </c>
      <c r="K64" s="249" t="e">
        <f aca="false">K52*(J52/J64)+K53*J53/J64+K54*J54/J64+K55*J55/J64+K56*J56/J64+K57*J57/J64+K58*J58/J64+K59*J59/J64+K60*J60/J64+K61*J61/J64+K62*J62/J64+K63*J63/J64</f>
        <v>#DIV/0!</v>
      </c>
    </row>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2">
    <mergeCell ref="A1:K2"/>
    <mergeCell ref="M5:Q19"/>
  </mergeCells>
  <dataValidations count="8">
    <dataValidation allowBlank="true" operator="between" showDropDown="false" showErrorMessage="true" showInputMessage="false" sqref="B9" type="list">
      <formula1>'Answer keys'!$F$2:$F$6</formula1>
      <formula2>0</formula2>
    </dataValidation>
    <dataValidation allowBlank="true" operator="between" showDropDown="false" showErrorMessage="true" showInputMessage="false" sqref="G5:G15" type="list">
      <formula1>'Country equity risk premiums'!$A$5:$A$181</formula1>
      <formula2>0</formula2>
    </dataValidation>
    <dataValidation allowBlank="true" operator="between" showDropDown="false" showErrorMessage="true" showInputMessage="false" sqref="G36:G47" type="list">
      <formula1>'Industry Average Beta (US)'!$A$2:$A$95</formula1>
      <formula2>0</formula2>
    </dataValidation>
    <dataValidation allowBlank="true" operator="between" showDropDown="false" showErrorMessage="true" showInputMessage="false" sqref="B23" type="list">
      <formula1>'Answer keys'!$G$2:$G$16</formula1>
      <formula2>0</formula2>
    </dataValidation>
    <dataValidation allowBlank="true" operator="between" showDropDown="false" showErrorMessage="true" showInputMessage="false" sqref="B13" type="list">
      <formula1>'Answer keys'!$C$2:$C$5</formula1>
      <formula2>0</formula2>
    </dataValidation>
    <dataValidation allowBlank="true" operator="between" showDropDown="false" showErrorMessage="true" showInputMessage="false" sqref="B24" type="list">
      <formula1>'Answer keys'!$E$2:$E$3</formula1>
      <formula2>0</formula2>
    </dataValidation>
    <dataValidation allowBlank="true" operator="between" showDropDown="false" showErrorMessage="true" showInputMessage="false" sqref="B21" type="list">
      <formula1>'Answer keys'!$D$2:$D$4</formula1>
      <formula2>0</formula2>
    </dataValidation>
    <dataValidation allowBlank="true" operator="between" showDropDown="false" showErrorMessage="true" showInputMessage="false" sqref="G52:G63" type="list">
      <formula1>'Industry Average Beta (Global)'!$A$2:$A$95</formula1>
      <formula2>0</formula2>
    </dataValidation>
  </dataValidations>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sheetPr filterMode="false">
    <pageSetUpPr fitToPage="false"/>
  </sheetPr>
  <dimension ref="A1:Z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5" activeCellId="0" sqref="B15"/>
    </sheetView>
  </sheetViews>
  <sheetFormatPr defaultRowHeight="15" zeroHeight="false" outlineLevelRow="0" outlineLevelCol="0"/>
  <cols>
    <col collapsed="false" customWidth="true" hidden="false" outlineLevel="0" max="10" min="1" style="0" width="10.72"/>
    <col collapsed="false" customWidth="true" hidden="false" outlineLevel="0" max="26" min="11" style="0" width="8.72"/>
    <col collapsed="false" customWidth="true" hidden="false" outlineLevel="0" max="1025" min="27" style="0" width="14.43"/>
  </cols>
  <sheetData>
    <row r="1" customFormat="false" ht="12" hidden="false" customHeight="true" outlineLevel="0" collapsed="false">
      <c r="A1" s="254" t="s">
        <v>323</v>
      </c>
      <c r="B1" s="254"/>
      <c r="C1" s="254"/>
      <c r="D1" s="254"/>
      <c r="E1" s="254"/>
      <c r="F1" s="254"/>
      <c r="G1" s="254"/>
      <c r="H1" s="254"/>
      <c r="I1" s="254"/>
      <c r="J1" s="254"/>
      <c r="K1" s="197"/>
      <c r="L1" s="197"/>
      <c r="M1" s="197"/>
      <c r="N1" s="197"/>
      <c r="O1" s="197"/>
      <c r="P1" s="197"/>
      <c r="Q1" s="197"/>
      <c r="R1" s="197"/>
      <c r="S1" s="197"/>
      <c r="T1" s="197"/>
      <c r="U1" s="197"/>
      <c r="V1" s="197"/>
      <c r="W1" s="197"/>
      <c r="X1" s="197"/>
      <c r="Y1" s="197"/>
      <c r="Z1" s="197"/>
    </row>
    <row r="2" customFormat="false" ht="12" hidden="false" customHeight="true" outlineLevel="0" collapsed="false">
      <c r="A2" s="179" t="s">
        <v>324</v>
      </c>
      <c r="B2" s="179"/>
      <c r="C2" s="179"/>
      <c r="D2" s="179"/>
      <c r="E2" s="179"/>
      <c r="F2" s="179"/>
      <c r="G2" s="179"/>
      <c r="H2" s="179"/>
      <c r="I2" s="179"/>
      <c r="J2" s="179"/>
      <c r="K2" s="179"/>
      <c r="L2" s="179"/>
      <c r="M2" s="179"/>
      <c r="N2" s="179"/>
      <c r="O2" s="179"/>
      <c r="P2" s="179"/>
      <c r="Q2" s="179"/>
      <c r="R2" s="179"/>
      <c r="S2" s="179"/>
      <c r="T2" s="179"/>
      <c r="U2" s="179"/>
      <c r="V2" s="179"/>
      <c r="W2" s="179"/>
      <c r="X2" s="179"/>
      <c r="Y2" s="179"/>
      <c r="Z2" s="179"/>
    </row>
    <row r="3" customFormat="false" ht="12" hidden="false" customHeight="true" outlineLevel="0" collapsed="false">
      <c r="A3" s="179" t="s">
        <v>325</v>
      </c>
      <c r="B3" s="179"/>
      <c r="C3" s="179"/>
      <c r="D3" s="179"/>
      <c r="E3" s="179"/>
      <c r="F3" s="179"/>
      <c r="G3" s="179"/>
      <c r="H3" s="179"/>
      <c r="I3" s="179"/>
      <c r="J3" s="179"/>
      <c r="K3" s="179"/>
      <c r="L3" s="179"/>
      <c r="M3" s="179"/>
      <c r="N3" s="179"/>
      <c r="O3" s="179"/>
      <c r="P3" s="179"/>
      <c r="Q3" s="179"/>
      <c r="R3" s="179"/>
      <c r="S3" s="179"/>
      <c r="T3" s="179"/>
      <c r="U3" s="179"/>
      <c r="V3" s="179"/>
      <c r="W3" s="179"/>
      <c r="X3" s="179"/>
      <c r="Y3" s="179"/>
      <c r="Z3" s="179"/>
    </row>
    <row r="4" customFormat="false" ht="12" hidden="false" customHeight="true" outlineLevel="0" collapsed="false">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row>
    <row r="5" customFormat="false" ht="12" hidden="false" customHeight="true" outlineLevel="0" collapsed="false">
      <c r="A5" s="206" t="s">
        <v>188</v>
      </c>
      <c r="B5" s="179"/>
      <c r="C5" s="179"/>
      <c r="D5" s="179"/>
      <c r="E5" s="179"/>
      <c r="F5" s="179"/>
      <c r="G5" s="179"/>
      <c r="H5" s="179"/>
      <c r="I5" s="179"/>
      <c r="J5" s="179"/>
      <c r="K5" s="179"/>
      <c r="L5" s="179"/>
      <c r="M5" s="179"/>
      <c r="N5" s="179"/>
      <c r="O5" s="179"/>
      <c r="P5" s="179"/>
      <c r="Q5" s="179"/>
      <c r="R5" s="179"/>
      <c r="S5" s="179"/>
      <c r="T5" s="179"/>
      <c r="U5" s="179"/>
      <c r="V5" s="179"/>
      <c r="W5" s="179"/>
      <c r="X5" s="179"/>
      <c r="Y5" s="179"/>
      <c r="Z5" s="179"/>
    </row>
    <row r="6" customFormat="false" ht="12" hidden="false" customHeight="true" outlineLevel="0" collapsed="false">
      <c r="A6" s="179" t="s">
        <v>326</v>
      </c>
      <c r="B6" s="179"/>
      <c r="C6" s="179"/>
      <c r="D6" s="179"/>
      <c r="E6" s="179"/>
      <c r="F6" s="237" t="n">
        <v>3</v>
      </c>
      <c r="G6" s="179" t="s">
        <v>327</v>
      </c>
      <c r="H6" s="179"/>
      <c r="I6" s="179"/>
      <c r="J6" s="179"/>
      <c r="K6" s="179"/>
      <c r="L6" s="179"/>
      <c r="M6" s="179"/>
      <c r="N6" s="179"/>
      <c r="O6" s="179"/>
      <c r="P6" s="179"/>
      <c r="Q6" s="179"/>
      <c r="R6" s="179"/>
      <c r="S6" s="179"/>
      <c r="T6" s="179"/>
      <c r="U6" s="179"/>
      <c r="V6" s="179"/>
      <c r="W6" s="179"/>
      <c r="X6" s="179"/>
      <c r="Y6" s="179"/>
      <c r="Z6" s="179"/>
    </row>
    <row r="7" customFormat="false" ht="12" hidden="false" customHeight="true" outlineLevel="0" collapsed="false">
      <c r="A7" s="179" t="s">
        <v>328</v>
      </c>
      <c r="B7" s="179"/>
      <c r="C7" s="179"/>
      <c r="D7" s="179"/>
      <c r="E7" s="179"/>
      <c r="F7" s="255" t="n">
        <v>37941</v>
      </c>
      <c r="G7" s="179" t="s">
        <v>329</v>
      </c>
      <c r="H7" s="179"/>
      <c r="I7" s="179"/>
      <c r="J7" s="179"/>
      <c r="K7" s="179"/>
      <c r="L7" s="179"/>
      <c r="M7" s="179"/>
      <c r="N7" s="179"/>
      <c r="O7" s="179"/>
      <c r="P7" s="179"/>
      <c r="Q7" s="179"/>
      <c r="R7" s="179"/>
      <c r="S7" s="179"/>
      <c r="T7" s="179"/>
      <c r="U7" s="179"/>
      <c r="V7" s="179"/>
      <c r="W7" s="179"/>
      <c r="X7" s="179"/>
      <c r="Y7" s="179"/>
      <c r="Z7" s="179"/>
    </row>
    <row r="8" customFormat="false" ht="12" hidden="false" customHeight="true" outlineLevel="0" collapsed="false">
      <c r="A8" s="179" t="s">
        <v>330</v>
      </c>
      <c r="B8" s="179"/>
      <c r="C8" s="179"/>
      <c r="D8" s="179"/>
      <c r="E8" s="179"/>
      <c r="F8" s="179"/>
      <c r="G8" s="179"/>
      <c r="H8" s="179"/>
      <c r="I8" s="179"/>
      <c r="J8" s="179"/>
      <c r="K8" s="179"/>
      <c r="L8" s="179"/>
      <c r="M8" s="179"/>
      <c r="N8" s="179"/>
      <c r="O8" s="179"/>
      <c r="P8" s="179"/>
      <c r="Q8" s="179"/>
      <c r="R8" s="179"/>
      <c r="S8" s="179"/>
      <c r="T8" s="179"/>
      <c r="U8" s="179"/>
      <c r="V8" s="179"/>
      <c r="W8" s="179"/>
      <c r="X8" s="179"/>
      <c r="Y8" s="179"/>
      <c r="Z8" s="179"/>
    </row>
    <row r="9" customFormat="false" ht="12" hidden="false" customHeight="true" outlineLevel="0" collapsed="false">
      <c r="A9" s="179" t="s">
        <v>331</v>
      </c>
      <c r="B9" s="179"/>
      <c r="C9" s="179"/>
      <c r="D9" s="179"/>
      <c r="E9" s="179"/>
      <c r="F9" s="179"/>
      <c r="G9" s="179"/>
      <c r="H9" s="179"/>
      <c r="I9" s="179"/>
      <c r="J9" s="179"/>
      <c r="K9" s="179"/>
      <c r="L9" s="179"/>
      <c r="M9" s="179"/>
      <c r="N9" s="179"/>
      <c r="O9" s="179"/>
      <c r="P9" s="179"/>
      <c r="Q9" s="179"/>
      <c r="R9" s="179"/>
      <c r="S9" s="179"/>
      <c r="T9" s="179"/>
      <c r="U9" s="179"/>
      <c r="V9" s="179"/>
      <c r="W9" s="179"/>
      <c r="X9" s="179"/>
      <c r="Y9" s="179"/>
      <c r="Z9" s="179"/>
    </row>
    <row r="10" customFormat="false" ht="12" hidden="false" customHeight="true" outlineLevel="0" collapsed="false">
      <c r="A10" s="256" t="s">
        <v>205</v>
      </c>
      <c r="B10" s="256" t="s">
        <v>332</v>
      </c>
      <c r="C10" s="257"/>
      <c r="D10" s="257"/>
      <c r="E10" s="257"/>
      <c r="F10" s="257"/>
      <c r="G10" s="257"/>
      <c r="H10" s="257"/>
      <c r="I10" s="257"/>
      <c r="J10" s="258"/>
      <c r="K10" s="258"/>
      <c r="L10" s="258"/>
      <c r="M10" s="258"/>
      <c r="N10" s="258"/>
      <c r="O10" s="258"/>
      <c r="P10" s="258"/>
      <c r="Q10" s="258"/>
      <c r="R10" s="258"/>
      <c r="S10" s="258"/>
      <c r="T10" s="258"/>
      <c r="U10" s="258"/>
      <c r="V10" s="258"/>
      <c r="W10" s="258"/>
      <c r="X10" s="258"/>
      <c r="Y10" s="258"/>
      <c r="Z10" s="258"/>
    </row>
    <row r="11" customFormat="false" ht="12" hidden="false" customHeight="true" outlineLevel="0" collapsed="false">
      <c r="A11" s="259" t="n">
        <v>-1</v>
      </c>
      <c r="B11" s="255" t="n">
        <v>31941</v>
      </c>
      <c r="C11" s="257" t="s">
        <v>333</v>
      </c>
      <c r="D11" s="257"/>
      <c r="E11" s="257"/>
      <c r="F11" s="257"/>
      <c r="G11" s="257"/>
      <c r="H11" s="257"/>
      <c r="I11" s="257"/>
      <c r="J11" s="258"/>
      <c r="K11" s="258"/>
      <c r="L11" s="258"/>
      <c r="M11" s="258"/>
      <c r="N11" s="258"/>
      <c r="O11" s="258"/>
      <c r="P11" s="258"/>
      <c r="Q11" s="258"/>
      <c r="R11" s="258"/>
      <c r="S11" s="258"/>
      <c r="T11" s="258"/>
      <c r="U11" s="258"/>
      <c r="V11" s="258"/>
      <c r="W11" s="258"/>
      <c r="X11" s="258"/>
      <c r="Y11" s="258"/>
      <c r="Z11" s="258"/>
    </row>
    <row r="12" customFormat="false" ht="12" hidden="false" customHeight="true" outlineLevel="0" collapsed="false">
      <c r="A12" s="259" t="n">
        <f aca="false">IF((0-A11)&lt;$F$6,IF(A11&gt;-1,,A11-1),)</f>
        <v>-2</v>
      </c>
      <c r="B12" s="260" t="n">
        <v>27573</v>
      </c>
      <c r="C12" s="257" t="s">
        <v>334</v>
      </c>
      <c r="D12" s="257"/>
      <c r="E12" s="257"/>
      <c r="F12" s="257"/>
      <c r="G12" s="257"/>
      <c r="H12" s="257"/>
      <c r="I12" s="257"/>
      <c r="J12" s="258"/>
      <c r="K12" s="258"/>
      <c r="L12" s="258"/>
      <c r="M12" s="258"/>
      <c r="N12" s="258"/>
      <c r="O12" s="258"/>
      <c r="P12" s="258"/>
      <c r="Q12" s="258"/>
      <c r="R12" s="258"/>
      <c r="S12" s="258"/>
      <c r="T12" s="258"/>
      <c r="U12" s="258"/>
      <c r="V12" s="258"/>
      <c r="W12" s="258"/>
      <c r="X12" s="258"/>
      <c r="Y12" s="258"/>
      <c r="Z12" s="258"/>
    </row>
    <row r="13" customFormat="false" ht="12" hidden="false" customHeight="true" outlineLevel="0" collapsed="false">
      <c r="A13" s="259" t="n">
        <f aca="false">IF((0-A12)&lt;$F$6,IF(A12&gt;-1,,A12-1),)</f>
        <v>-3</v>
      </c>
      <c r="B13" s="260" t="n">
        <v>26018</v>
      </c>
      <c r="C13" s="257"/>
      <c r="D13" s="257"/>
      <c r="E13" s="257"/>
      <c r="F13" s="257"/>
      <c r="G13" s="257"/>
      <c r="H13" s="257"/>
      <c r="I13" s="257"/>
      <c r="J13" s="258"/>
      <c r="K13" s="258"/>
      <c r="L13" s="258"/>
      <c r="M13" s="258"/>
      <c r="N13" s="258"/>
      <c r="O13" s="258"/>
      <c r="P13" s="258"/>
      <c r="Q13" s="258"/>
      <c r="R13" s="258"/>
      <c r="S13" s="258"/>
      <c r="T13" s="258"/>
      <c r="U13" s="258"/>
      <c r="V13" s="258"/>
      <c r="W13" s="258"/>
      <c r="X13" s="258"/>
      <c r="Y13" s="258"/>
      <c r="Z13" s="258"/>
    </row>
    <row r="14" customFormat="false" ht="12" hidden="false" customHeight="true" outlineLevel="0" collapsed="false">
      <c r="A14" s="259" t="n">
        <f aca="false">IF((0-A13)&lt;$F$6,IF(A13&gt;-1,,A13-1),)</f>
        <v>0</v>
      </c>
      <c r="B14" s="260"/>
      <c r="C14" s="257"/>
      <c r="D14" s="257"/>
      <c r="E14" s="257"/>
      <c r="F14" s="257"/>
      <c r="G14" s="257"/>
      <c r="H14" s="257"/>
      <c r="I14" s="257"/>
      <c r="J14" s="258"/>
      <c r="K14" s="258"/>
      <c r="L14" s="258"/>
      <c r="M14" s="258"/>
      <c r="N14" s="258"/>
      <c r="O14" s="258"/>
      <c r="P14" s="258"/>
      <c r="Q14" s="258"/>
      <c r="R14" s="258"/>
      <c r="S14" s="258"/>
      <c r="T14" s="258"/>
      <c r="U14" s="258"/>
      <c r="V14" s="258"/>
      <c r="W14" s="258"/>
      <c r="X14" s="258"/>
      <c r="Y14" s="258"/>
      <c r="Z14" s="258"/>
    </row>
    <row r="15" customFormat="false" ht="12" hidden="false" customHeight="true" outlineLevel="0" collapsed="false">
      <c r="A15" s="259" t="n">
        <f aca="false">IF((0-A14)&lt;$F$6,IF(A14&gt;-1,,A14-1),)</f>
        <v>0</v>
      </c>
      <c r="B15" s="260"/>
      <c r="C15" s="257"/>
      <c r="D15" s="257"/>
      <c r="E15" s="257"/>
      <c r="F15" s="257"/>
      <c r="G15" s="257"/>
      <c r="H15" s="257"/>
      <c r="I15" s="257"/>
      <c r="J15" s="258"/>
      <c r="K15" s="258"/>
      <c r="L15" s="258"/>
      <c r="M15" s="258"/>
      <c r="N15" s="258"/>
      <c r="O15" s="258"/>
      <c r="P15" s="258"/>
      <c r="Q15" s="258"/>
      <c r="R15" s="258"/>
      <c r="S15" s="258"/>
      <c r="T15" s="258"/>
      <c r="U15" s="258"/>
      <c r="V15" s="258"/>
      <c r="W15" s="258"/>
      <c r="X15" s="258"/>
      <c r="Y15" s="258"/>
      <c r="Z15" s="258"/>
    </row>
    <row r="16" customFormat="false" ht="12" hidden="false" customHeight="true" outlineLevel="0" collapsed="false">
      <c r="A16" s="259" t="n">
        <f aca="false">IF((0-A15)&lt;$F$6,IF(A15&gt;-1,,A15-1),)</f>
        <v>0</v>
      </c>
      <c r="B16" s="260"/>
      <c r="C16" s="257"/>
      <c r="D16" s="257"/>
      <c r="E16" s="257"/>
      <c r="F16" s="257"/>
      <c r="G16" s="257"/>
      <c r="H16" s="257"/>
      <c r="I16" s="257"/>
      <c r="J16" s="258"/>
      <c r="K16" s="258"/>
      <c r="L16" s="258"/>
      <c r="M16" s="258"/>
      <c r="N16" s="258"/>
      <c r="O16" s="258"/>
      <c r="P16" s="258"/>
      <c r="Q16" s="258"/>
      <c r="R16" s="258"/>
      <c r="S16" s="258"/>
      <c r="T16" s="258"/>
      <c r="U16" s="258"/>
      <c r="V16" s="258"/>
      <c r="W16" s="258"/>
      <c r="X16" s="258"/>
      <c r="Y16" s="258"/>
      <c r="Z16" s="258"/>
    </row>
    <row r="17" customFormat="false" ht="12" hidden="false" customHeight="true" outlineLevel="0" collapsed="false">
      <c r="A17" s="259" t="n">
        <f aca="false">IF((0-A16)&lt;$F$6,IF(A16&gt;-1,,A16-1),)</f>
        <v>0</v>
      </c>
      <c r="B17" s="260"/>
      <c r="C17" s="257"/>
      <c r="D17" s="257"/>
      <c r="E17" s="257"/>
      <c r="F17" s="257"/>
      <c r="G17" s="257"/>
      <c r="H17" s="257"/>
      <c r="I17" s="257"/>
      <c r="J17" s="258"/>
      <c r="K17" s="258"/>
      <c r="L17" s="258"/>
      <c r="M17" s="258"/>
      <c r="N17" s="258"/>
      <c r="O17" s="258"/>
      <c r="P17" s="258"/>
      <c r="Q17" s="258"/>
      <c r="R17" s="258"/>
      <c r="S17" s="258"/>
      <c r="T17" s="258"/>
      <c r="U17" s="258"/>
      <c r="V17" s="258"/>
      <c r="W17" s="258"/>
      <c r="X17" s="258"/>
      <c r="Y17" s="258"/>
      <c r="Z17" s="258"/>
    </row>
    <row r="18" customFormat="false" ht="12" hidden="false" customHeight="true" outlineLevel="0" collapsed="false">
      <c r="A18" s="259" t="n">
        <f aca="false">IF((0-A17)&lt;$F$6,IF(A17&gt;-1,,A17-1),)</f>
        <v>0</v>
      </c>
      <c r="B18" s="260"/>
      <c r="C18" s="257"/>
      <c r="D18" s="257"/>
      <c r="E18" s="257"/>
      <c r="F18" s="257"/>
      <c r="G18" s="257"/>
      <c r="H18" s="257"/>
      <c r="I18" s="257"/>
      <c r="J18" s="258"/>
      <c r="K18" s="258"/>
      <c r="L18" s="258"/>
      <c r="M18" s="258"/>
      <c r="N18" s="258"/>
      <c r="O18" s="258"/>
      <c r="P18" s="258"/>
      <c r="Q18" s="258"/>
      <c r="R18" s="258"/>
      <c r="S18" s="258"/>
      <c r="T18" s="258"/>
      <c r="U18" s="258"/>
      <c r="V18" s="258"/>
      <c r="W18" s="258"/>
      <c r="X18" s="258"/>
      <c r="Y18" s="258"/>
      <c r="Z18" s="258"/>
    </row>
    <row r="19" customFormat="false" ht="12" hidden="false" customHeight="true" outlineLevel="0" collapsed="false">
      <c r="A19" s="259" t="n">
        <f aca="false">IF((0-A18)&lt;$F$6,IF(A18&gt;-1,,A18-1),)</f>
        <v>0</v>
      </c>
      <c r="B19" s="260"/>
      <c r="C19" s="257"/>
      <c r="D19" s="257"/>
      <c r="E19" s="257"/>
      <c r="F19" s="257"/>
      <c r="G19" s="257"/>
      <c r="H19" s="257"/>
      <c r="I19" s="257"/>
      <c r="J19" s="258"/>
      <c r="K19" s="258"/>
      <c r="L19" s="258"/>
      <c r="M19" s="258"/>
      <c r="N19" s="258"/>
      <c r="O19" s="258"/>
      <c r="P19" s="258"/>
      <c r="Q19" s="258"/>
      <c r="R19" s="258"/>
      <c r="S19" s="258"/>
      <c r="T19" s="258"/>
      <c r="U19" s="258"/>
      <c r="V19" s="258"/>
      <c r="W19" s="258"/>
      <c r="X19" s="258"/>
      <c r="Y19" s="258"/>
      <c r="Z19" s="258"/>
    </row>
    <row r="20" customFormat="false" ht="12" hidden="false" customHeight="true" outlineLevel="0" collapsed="false">
      <c r="A20" s="259" t="n">
        <f aca="false">IF((0-A19)&lt;$F$6,IF(A19&gt;-1,,A19-1),)</f>
        <v>0</v>
      </c>
      <c r="B20" s="260"/>
      <c r="C20" s="257"/>
      <c r="D20" s="257"/>
      <c r="E20" s="257"/>
      <c r="F20" s="257"/>
      <c r="G20" s="257"/>
      <c r="H20" s="257"/>
      <c r="I20" s="257"/>
      <c r="J20" s="258"/>
      <c r="K20" s="258"/>
      <c r="L20" s="258"/>
      <c r="M20" s="258"/>
      <c r="N20" s="258"/>
      <c r="O20" s="258"/>
      <c r="P20" s="258"/>
      <c r="Q20" s="258"/>
      <c r="R20" s="258"/>
      <c r="S20" s="258"/>
      <c r="T20" s="258"/>
      <c r="U20" s="258"/>
      <c r="V20" s="258"/>
      <c r="W20" s="258"/>
      <c r="X20" s="258"/>
      <c r="Y20" s="258"/>
      <c r="Z20" s="258"/>
    </row>
    <row r="21" customFormat="false" ht="12" hidden="false" customHeight="true" outlineLevel="0" collapsed="false">
      <c r="A21" s="257"/>
      <c r="B21" s="257"/>
      <c r="C21" s="257"/>
      <c r="D21" s="257"/>
      <c r="E21" s="257"/>
      <c r="F21" s="257"/>
      <c r="G21" s="257"/>
      <c r="H21" s="257"/>
      <c r="I21" s="257"/>
      <c r="J21" s="258"/>
      <c r="K21" s="258"/>
      <c r="L21" s="258"/>
      <c r="M21" s="258"/>
      <c r="N21" s="258"/>
      <c r="O21" s="258"/>
      <c r="P21" s="258"/>
      <c r="Q21" s="258"/>
      <c r="R21" s="258"/>
      <c r="S21" s="258"/>
      <c r="T21" s="258"/>
      <c r="U21" s="258"/>
      <c r="V21" s="258"/>
      <c r="W21" s="258"/>
      <c r="X21" s="258"/>
      <c r="Y21" s="258"/>
      <c r="Z21" s="258"/>
    </row>
    <row r="22" customFormat="false" ht="12" hidden="false" customHeight="true" outlineLevel="0" collapsed="false">
      <c r="A22" s="261" t="s">
        <v>310</v>
      </c>
      <c r="B22" s="257"/>
      <c r="C22" s="257"/>
      <c r="D22" s="257"/>
      <c r="E22" s="257"/>
      <c r="F22" s="257"/>
      <c r="G22" s="257"/>
      <c r="H22" s="257"/>
      <c r="I22" s="257"/>
      <c r="J22" s="258"/>
      <c r="K22" s="258"/>
      <c r="L22" s="258"/>
      <c r="M22" s="258"/>
      <c r="N22" s="258"/>
      <c r="O22" s="258"/>
      <c r="P22" s="258"/>
      <c r="Q22" s="258"/>
      <c r="R22" s="258"/>
      <c r="S22" s="258"/>
      <c r="T22" s="258"/>
      <c r="U22" s="258"/>
      <c r="V22" s="258"/>
      <c r="W22" s="258"/>
      <c r="X22" s="258"/>
      <c r="Y22" s="258"/>
      <c r="Z22" s="258"/>
    </row>
    <row r="23" customFormat="false" ht="12" hidden="false" customHeight="true" outlineLevel="0" collapsed="false">
      <c r="A23" s="256" t="s">
        <v>205</v>
      </c>
      <c r="B23" s="256" t="s">
        <v>335</v>
      </c>
      <c r="C23" s="256" t="s">
        <v>336</v>
      </c>
      <c r="D23" s="256"/>
      <c r="E23" s="257" t="s">
        <v>337</v>
      </c>
      <c r="F23" s="257"/>
      <c r="G23" s="257"/>
      <c r="H23" s="257"/>
      <c r="I23" s="257"/>
      <c r="J23" s="258"/>
      <c r="K23" s="258"/>
      <c r="L23" s="258"/>
      <c r="M23" s="258"/>
      <c r="N23" s="258"/>
      <c r="O23" s="258"/>
      <c r="P23" s="258"/>
      <c r="Q23" s="258"/>
      <c r="R23" s="258"/>
      <c r="S23" s="258"/>
      <c r="T23" s="258"/>
      <c r="U23" s="258"/>
      <c r="V23" s="258"/>
      <c r="W23" s="258"/>
      <c r="X23" s="258"/>
      <c r="Y23" s="258"/>
      <c r="Z23" s="258"/>
    </row>
    <row r="24" customFormat="false" ht="12" hidden="false" customHeight="true" outlineLevel="0" collapsed="false">
      <c r="A24" s="256" t="s">
        <v>338</v>
      </c>
      <c r="B24" s="256" t="n">
        <f aca="false">F7</f>
        <v>37941</v>
      </c>
      <c r="C24" s="256" t="n">
        <f aca="false">1</f>
        <v>1</v>
      </c>
      <c r="D24" s="256" t="n">
        <f aca="false">B24*C24</f>
        <v>37941</v>
      </c>
      <c r="E24" s="257"/>
      <c r="F24" s="257"/>
      <c r="G24" s="257"/>
      <c r="H24" s="257"/>
      <c r="I24" s="257"/>
      <c r="J24" s="258"/>
      <c r="K24" s="258"/>
      <c r="L24" s="258"/>
      <c r="M24" s="258"/>
      <c r="N24" s="258"/>
      <c r="O24" s="258"/>
      <c r="P24" s="258"/>
      <c r="Q24" s="258"/>
      <c r="R24" s="258"/>
      <c r="S24" s="258"/>
      <c r="T24" s="258"/>
      <c r="U24" s="258"/>
      <c r="V24" s="258"/>
      <c r="W24" s="258"/>
      <c r="X24" s="258"/>
      <c r="Y24" s="258"/>
      <c r="Z24" s="258"/>
    </row>
    <row r="25" customFormat="false" ht="12" hidden="false" customHeight="true" outlineLevel="0" collapsed="false">
      <c r="A25" s="259" t="n">
        <f aca="false">A11</f>
        <v>-1</v>
      </c>
      <c r="B25" s="256" t="n">
        <f aca="false">B11</f>
        <v>31941</v>
      </c>
      <c r="C25" s="256" t="n">
        <f aca="false">IF(A25&lt;0,($F$6+A25)/$F$6,0)</f>
        <v>0.666666666666667</v>
      </c>
      <c r="D25" s="256" t="n">
        <f aca="false">B25*C25</f>
        <v>21294</v>
      </c>
      <c r="E25" s="262" t="n">
        <f aca="false">IF(A25&lt;0,B25/$F$6,0)</f>
        <v>10647</v>
      </c>
      <c r="F25" s="257"/>
      <c r="G25" s="257"/>
      <c r="H25" s="257"/>
      <c r="I25" s="257"/>
      <c r="J25" s="258"/>
      <c r="K25" s="258"/>
      <c r="L25" s="258"/>
      <c r="M25" s="258"/>
      <c r="N25" s="258"/>
      <c r="O25" s="258"/>
      <c r="P25" s="258"/>
      <c r="Q25" s="258"/>
      <c r="R25" s="258"/>
      <c r="S25" s="258"/>
      <c r="T25" s="258"/>
      <c r="U25" s="258"/>
      <c r="V25" s="258"/>
      <c r="W25" s="258"/>
      <c r="X25" s="258"/>
      <c r="Y25" s="258"/>
      <c r="Z25" s="258"/>
    </row>
    <row r="26" customFormat="false" ht="12" hidden="false" customHeight="true" outlineLevel="0" collapsed="false">
      <c r="A26" s="259" t="n">
        <f aca="false">A12</f>
        <v>-2</v>
      </c>
      <c r="B26" s="256" t="n">
        <f aca="false">B12</f>
        <v>27573</v>
      </c>
      <c r="C26" s="256" t="n">
        <f aca="false">IF(A26&lt;0,($F$6+A26)/$F$6,0)</f>
        <v>0.333333333333333</v>
      </c>
      <c r="D26" s="256" t="n">
        <f aca="false">B26*C26</f>
        <v>9191</v>
      </c>
      <c r="E26" s="262" t="n">
        <f aca="false">IF(A26&lt;0,B26/$F$6,0)</f>
        <v>9191</v>
      </c>
      <c r="F26" s="257"/>
      <c r="G26" s="257"/>
      <c r="H26" s="257"/>
      <c r="I26" s="257"/>
      <c r="J26" s="258"/>
      <c r="K26" s="258"/>
      <c r="L26" s="258"/>
      <c r="M26" s="258"/>
      <c r="N26" s="258"/>
      <c r="O26" s="258"/>
      <c r="P26" s="258"/>
      <c r="Q26" s="258"/>
      <c r="R26" s="258"/>
      <c r="S26" s="258"/>
      <c r="T26" s="258"/>
      <c r="U26" s="258"/>
      <c r="V26" s="258"/>
      <c r="W26" s="258"/>
      <c r="X26" s="258"/>
      <c r="Y26" s="258"/>
      <c r="Z26" s="258"/>
    </row>
    <row r="27" customFormat="false" ht="12" hidden="false" customHeight="true" outlineLevel="0" collapsed="false">
      <c r="A27" s="259" t="n">
        <f aca="false">A13</f>
        <v>-3</v>
      </c>
      <c r="B27" s="256" t="n">
        <f aca="false">B13</f>
        <v>26018</v>
      </c>
      <c r="C27" s="256" t="n">
        <f aca="false">IF(A27&lt;0,($F$6+A27)/$F$6,0)</f>
        <v>0</v>
      </c>
      <c r="D27" s="256" t="n">
        <f aca="false">B27*C27</f>
        <v>0</v>
      </c>
      <c r="E27" s="262" t="n">
        <f aca="false">IF(A27&lt;0,B27/$F$6,0)</f>
        <v>8672.66666666667</v>
      </c>
      <c r="F27" s="257"/>
      <c r="G27" s="257"/>
      <c r="H27" s="257"/>
      <c r="I27" s="257"/>
      <c r="J27" s="258"/>
      <c r="K27" s="258"/>
      <c r="L27" s="258"/>
      <c r="M27" s="258"/>
      <c r="N27" s="258"/>
      <c r="O27" s="258"/>
      <c r="P27" s="258"/>
      <c r="Q27" s="258"/>
      <c r="R27" s="258"/>
      <c r="S27" s="258"/>
      <c r="T27" s="258"/>
      <c r="U27" s="258"/>
      <c r="V27" s="258"/>
      <c r="W27" s="258"/>
      <c r="X27" s="258"/>
      <c r="Y27" s="258"/>
      <c r="Z27" s="258"/>
    </row>
    <row r="28" customFormat="false" ht="12" hidden="false" customHeight="true" outlineLevel="0" collapsed="false">
      <c r="A28" s="259" t="n">
        <f aca="false">A14</f>
        <v>0</v>
      </c>
      <c r="B28" s="256" t="n">
        <f aca="false">B14</f>
        <v>0</v>
      </c>
      <c r="C28" s="256" t="n">
        <f aca="false">IF(A28&lt;0,($F$6+A28)/$F$6,0)</f>
        <v>0</v>
      </c>
      <c r="D28" s="256" t="n">
        <f aca="false">B28*C28</f>
        <v>0</v>
      </c>
      <c r="E28" s="262" t="n">
        <f aca="false">IF(A28&lt;0,B28/$F$6,0)</f>
        <v>0</v>
      </c>
      <c r="F28" s="257"/>
      <c r="G28" s="257"/>
      <c r="H28" s="257"/>
      <c r="I28" s="257"/>
      <c r="J28" s="258"/>
      <c r="K28" s="258"/>
      <c r="L28" s="258"/>
      <c r="M28" s="258"/>
      <c r="N28" s="258"/>
      <c r="O28" s="258"/>
      <c r="P28" s="258"/>
      <c r="Q28" s="258"/>
      <c r="R28" s="258"/>
      <c r="S28" s="258"/>
      <c r="T28" s="258"/>
      <c r="U28" s="258"/>
      <c r="V28" s="258"/>
      <c r="W28" s="258"/>
      <c r="X28" s="258"/>
      <c r="Y28" s="258"/>
      <c r="Z28" s="258"/>
    </row>
    <row r="29" customFormat="false" ht="12" hidden="false" customHeight="true" outlineLevel="0" collapsed="false">
      <c r="A29" s="259" t="n">
        <f aca="false">A15</f>
        <v>0</v>
      </c>
      <c r="B29" s="256" t="n">
        <f aca="false">B15</f>
        <v>0</v>
      </c>
      <c r="C29" s="256" t="n">
        <f aca="false">IF(A29&lt;0,($F$6+A29)/$F$6,0)</f>
        <v>0</v>
      </c>
      <c r="D29" s="256" t="n">
        <f aca="false">B29*C29</f>
        <v>0</v>
      </c>
      <c r="E29" s="262" t="n">
        <f aca="false">IF(A29&lt;0,B29/$F$6,0)</f>
        <v>0</v>
      </c>
      <c r="F29" s="257"/>
      <c r="G29" s="257"/>
      <c r="H29" s="257"/>
      <c r="I29" s="257"/>
      <c r="J29" s="258"/>
      <c r="K29" s="258"/>
      <c r="L29" s="258"/>
      <c r="M29" s="258"/>
      <c r="N29" s="258"/>
      <c r="O29" s="258"/>
      <c r="P29" s="258"/>
      <c r="Q29" s="258"/>
      <c r="R29" s="258"/>
      <c r="S29" s="258"/>
      <c r="T29" s="258"/>
      <c r="U29" s="258"/>
      <c r="V29" s="258"/>
      <c r="W29" s="258"/>
      <c r="X29" s="258"/>
      <c r="Y29" s="258"/>
      <c r="Z29" s="258"/>
    </row>
    <row r="30" customFormat="false" ht="12" hidden="false" customHeight="true" outlineLevel="0" collapsed="false">
      <c r="A30" s="259" t="n">
        <f aca="false">A16</f>
        <v>0</v>
      </c>
      <c r="B30" s="256" t="n">
        <f aca="false">B16</f>
        <v>0</v>
      </c>
      <c r="C30" s="256" t="n">
        <f aca="false">IF(A30&lt;0,($F$6+A30)/$F$6,0)</f>
        <v>0</v>
      </c>
      <c r="D30" s="256" t="n">
        <f aca="false">B30*C30</f>
        <v>0</v>
      </c>
      <c r="E30" s="262" t="n">
        <f aca="false">IF(A30&lt;0,B30/$F$6,0)</f>
        <v>0</v>
      </c>
      <c r="F30" s="257"/>
      <c r="G30" s="257"/>
      <c r="H30" s="257"/>
      <c r="I30" s="257"/>
      <c r="J30" s="258"/>
      <c r="K30" s="258"/>
      <c r="L30" s="258"/>
      <c r="M30" s="258"/>
      <c r="N30" s="258"/>
      <c r="O30" s="258"/>
      <c r="P30" s="258"/>
      <c r="Q30" s="258"/>
      <c r="R30" s="258"/>
      <c r="S30" s="258"/>
      <c r="T30" s="258"/>
      <c r="U30" s="258"/>
      <c r="V30" s="258"/>
      <c r="W30" s="258"/>
      <c r="X30" s="258"/>
      <c r="Y30" s="258"/>
      <c r="Z30" s="258"/>
    </row>
    <row r="31" customFormat="false" ht="12" hidden="false" customHeight="true" outlineLevel="0" collapsed="false">
      <c r="A31" s="259" t="n">
        <f aca="false">A17</f>
        <v>0</v>
      </c>
      <c r="B31" s="256" t="n">
        <f aca="false">B17</f>
        <v>0</v>
      </c>
      <c r="C31" s="256" t="n">
        <f aca="false">IF(A31&lt;0,($F$6+A31)/$F$6,0)</f>
        <v>0</v>
      </c>
      <c r="D31" s="256" t="n">
        <f aca="false">B31*C31</f>
        <v>0</v>
      </c>
      <c r="E31" s="262" t="n">
        <f aca="false">IF(A31&lt;0,B31/$F$6,0)</f>
        <v>0</v>
      </c>
      <c r="F31" s="257"/>
      <c r="G31" s="257"/>
      <c r="H31" s="257"/>
      <c r="I31" s="257"/>
      <c r="J31" s="258"/>
      <c r="K31" s="258"/>
      <c r="L31" s="258"/>
      <c r="M31" s="258"/>
      <c r="N31" s="258"/>
      <c r="O31" s="258"/>
      <c r="P31" s="258"/>
      <c r="Q31" s="258"/>
      <c r="R31" s="258"/>
      <c r="S31" s="258"/>
      <c r="T31" s="258"/>
      <c r="U31" s="258"/>
      <c r="V31" s="258"/>
      <c r="W31" s="258"/>
      <c r="X31" s="258"/>
      <c r="Y31" s="258"/>
      <c r="Z31" s="258"/>
    </row>
    <row r="32" customFormat="false" ht="12" hidden="false" customHeight="true" outlineLevel="0" collapsed="false">
      <c r="A32" s="259" t="n">
        <f aca="false">A18</f>
        <v>0</v>
      </c>
      <c r="B32" s="256" t="n">
        <f aca="false">B18</f>
        <v>0</v>
      </c>
      <c r="C32" s="256" t="n">
        <f aca="false">IF(A32&lt;0,($F$6+A32)/$F$6,0)</f>
        <v>0</v>
      </c>
      <c r="D32" s="256" t="n">
        <f aca="false">B32*C32</f>
        <v>0</v>
      </c>
      <c r="E32" s="262" t="n">
        <f aca="false">IF(A32&lt;0,B32/$F$6,0)</f>
        <v>0</v>
      </c>
      <c r="F32" s="257"/>
      <c r="G32" s="257"/>
      <c r="H32" s="257"/>
      <c r="I32" s="257"/>
      <c r="J32" s="258"/>
      <c r="K32" s="258"/>
      <c r="L32" s="258"/>
      <c r="M32" s="258"/>
      <c r="N32" s="258"/>
      <c r="O32" s="258"/>
      <c r="P32" s="258"/>
      <c r="Q32" s="258"/>
      <c r="R32" s="258"/>
      <c r="S32" s="258"/>
      <c r="T32" s="258"/>
      <c r="U32" s="258"/>
      <c r="V32" s="258"/>
      <c r="W32" s="258"/>
      <c r="X32" s="258"/>
      <c r="Y32" s="258"/>
      <c r="Z32" s="258"/>
    </row>
    <row r="33" customFormat="false" ht="12" hidden="false" customHeight="true" outlineLevel="0" collapsed="false">
      <c r="A33" s="259" t="n">
        <f aca="false">A19</f>
        <v>0</v>
      </c>
      <c r="B33" s="256" t="n">
        <f aca="false">B19</f>
        <v>0</v>
      </c>
      <c r="C33" s="256" t="n">
        <f aca="false">IF(A33&lt;0,($F$6+A33)/$F$6,0)</f>
        <v>0</v>
      </c>
      <c r="D33" s="256" t="n">
        <f aca="false">B33*C33</f>
        <v>0</v>
      </c>
      <c r="E33" s="262" t="n">
        <f aca="false">IF(A33&lt;0,B33/$F$6,0)</f>
        <v>0</v>
      </c>
      <c r="F33" s="257"/>
      <c r="G33" s="257"/>
      <c r="H33" s="257"/>
      <c r="I33" s="257"/>
      <c r="J33" s="258"/>
      <c r="K33" s="258"/>
      <c r="L33" s="258"/>
      <c r="M33" s="258"/>
      <c r="N33" s="258"/>
      <c r="O33" s="258"/>
      <c r="P33" s="258"/>
      <c r="Q33" s="258"/>
      <c r="R33" s="258"/>
      <c r="S33" s="258"/>
      <c r="T33" s="258"/>
      <c r="U33" s="258"/>
      <c r="V33" s="258"/>
      <c r="W33" s="258"/>
      <c r="X33" s="258"/>
      <c r="Y33" s="258"/>
      <c r="Z33" s="258"/>
    </row>
    <row r="34" customFormat="false" ht="15.75" hidden="false" customHeight="true" outlineLevel="0" collapsed="false">
      <c r="A34" s="259" t="n">
        <f aca="false">A20</f>
        <v>0</v>
      </c>
      <c r="B34" s="256" t="n">
        <f aca="false">B20</f>
        <v>0</v>
      </c>
      <c r="C34" s="256" t="n">
        <f aca="false">IF(A34&lt;0,($F$6+A34)/$F$6,0)</f>
        <v>0</v>
      </c>
      <c r="D34" s="263" t="n">
        <f aca="false">B34*C34</f>
        <v>0</v>
      </c>
      <c r="E34" s="264" t="n">
        <f aca="false">IF(A34&lt;0,B34/$F$6,0)</f>
        <v>0</v>
      </c>
      <c r="F34" s="257"/>
      <c r="G34" s="257"/>
      <c r="H34" s="257"/>
      <c r="I34" s="257"/>
      <c r="J34" s="258"/>
      <c r="K34" s="258"/>
      <c r="L34" s="258"/>
      <c r="M34" s="258"/>
      <c r="N34" s="258"/>
      <c r="O34" s="258"/>
      <c r="P34" s="258"/>
      <c r="Q34" s="258"/>
      <c r="R34" s="258"/>
      <c r="S34" s="258"/>
      <c r="T34" s="258"/>
      <c r="U34" s="258"/>
      <c r="V34" s="258"/>
      <c r="W34" s="258"/>
      <c r="X34" s="258"/>
      <c r="Y34" s="258"/>
      <c r="Z34" s="258"/>
    </row>
    <row r="35" customFormat="false" ht="12" hidden="false" customHeight="true" outlineLevel="0" collapsed="false">
      <c r="A35" s="179" t="s">
        <v>339</v>
      </c>
      <c r="B35" s="179"/>
      <c r="C35" s="179"/>
      <c r="D35" s="265" t="n">
        <f aca="false">SUM(D24:D34)</f>
        <v>68426</v>
      </c>
      <c r="E35" s="217" t="n">
        <f aca="false">SUM(E25:E34)</f>
        <v>28510.6666666667</v>
      </c>
      <c r="F35" s="179"/>
      <c r="G35" s="179"/>
      <c r="H35" s="179"/>
      <c r="I35" s="179"/>
      <c r="J35" s="179"/>
      <c r="K35" s="179"/>
      <c r="L35" s="179"/>
      <c r="M35" s="179"/>
      <c r="N35" s="179"/>
      <c r="O35" s="179"/>
      <c r="P35" s="179"/>
      <c r="Q35" s="179"/>
      <c r="R35" s="179"/>
      <c r="S35" s="179"/>
      <c r="T35" s="179"/>
      <c r="U35" s="179"/>
      <c r="V35" s="179"/>
      <c r="W35" s="179"/>
      <c r="X35" s="179"/>
      <c r="Y35" s="179"/>
      <c r="Z35" s="179"/>
    </row>
    <row r="37" customFormat="false" ht="12" hidden="false" customHeight="true" outlineLevel="0" collapsed="false">
      <c r="A37" s="179" t="s">
        <v>340</v>
      </c>
      <c r="B37" s="179"/>
      <c r="C37" s="179"/>
      <c r="D37" s="265" t="n">
        <f aca="false">E35</f>
        <v>28510.6666666667</v>
      </c>
      <c r="E37" s="179"/>
      <c r="F37" s="179"/>
      <c r="G37" s="179"/>
      <c r="H37" s="179"/>
      <c r="I37" s="179"/>
      <c r="J37" s="179"/>
      <c r="K37" s="179"/>
      <c r="L37" s="179"/>
      <c r="M37" s="179"/>
      <c r="N37" s="179"/>
      <c r="O37" s="179"/>
      <c r="P37" s="179"/>
      <c r="Q37" s="179"/>
      <c r="R37" s="179"/>
      <c r="S37" s="179"/>
      <c r="T37" s="179"/>
      <c r="U37" s="179"/>
      <c r="V37" s="179"/>
      <c r="W37" s="179"/>
      <c r="X37" s="179"/>
      <c r="Y37" s="179"/>
      <c r="Z37" s="179"/>
    </row>
    <row r="38" customFormat="false" ht="12" hidden="false" customHeight="true" outlineLevel="0" collapsed="false">
      <c r="A38" s="179"/>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row>
    <row r="39" customFormat="false" ht="12" hidden="false" customHeight="true" outlineLevel="0" collapsed="false">
      <c r="A39" s="179" t="s">
        <v>341</v>
      </c>
      <c r="B39" s="179"/>
      <c r="C39" s="179"/>
      <c r="D39" s="266" t="n">
        <f aca="false">F7-D37</f>
        <v>9430.33333333334</v>
      </c>
      <c r="E39" s="179" t="s">
        <v>342</v>
      </c>
      <c r="F39" s="179"/>
      <c r="G39" s="179"/>
      <c r="H39" s="179"/>
      <c r="I39" s="179"/>
      <c r="J39" s="179"/>
      <c r="K39" s="179"/>
      <c r="L39" s="179"/>
      <c r="M39" s="179"/>
      <c r="N39" s="179"/>
      <c r="O39" s="179"/>
      <c r="P39" s="179"/>
      <c r="Q39" s="179"/>
      <c r="R39" s="179"/>
      <c r="S39" s="179"/>
      <c r="T39" s="179"/>
      <c r="U39" s="179"/>
      <c r="V39" s="179"/>
      <c r="W39" s="179"/>
      <c r="X39" s="179"/>
      <c r="Y39" s="179"/>
      <c r="Z39" s="179"/>
    </row>
    <row r="40" customFormat="false" ht="12" hidden="false" customHeight="true" outlineLevel="0" collapsed="false">
      <c r="A40" s="81" t="s">
        <v>343</v>
      </c>
      <c r="D40" s="267" t="n">
        <f aca="false">D39*'Input sheet'!B21</f>
        <v>2640.49333333333</v>
      </c>
      <c r="E40" s="179"/>
    </row>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2">
    <mergeCell ref="A1:J1"/>
    <mergeCell ref="C23:D23"/>
  </mergeCells>
  <conditionalFormatting sqref="B12:B20">
    <cfRule type="cellIs" priority="2" operator="equal" aboveAverage="0" equalAverage="0" bottom="0" percent="0" rank="0" text="" dxfId="0">
      <formula>0</formula>
    </cfRule>
  </conditionalFormatting>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9.xml><?xml version="1.0" encoding="utf-8"?>
<worksheet xmlns="http://schemas.openxmlformats.org/spreadsheetml/2006/main" xmlns:r="http://schemas.openxmlformats.org/officeDocument/2006/relationships">
  <sheetPr filterMode="false">
    <pageSetUpPr fitToPage="false"/>
  </sheetPr>
  <dimension ref="A1:Z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1" min="1" style="0" width="10.72"/>
    <col collapsed="false" customWidth="true" hidden="false" outlineLevel="0" max="26" min="12" style="0" width="8.72"/>
    <col collapsed="false" customWidth="true" hidden="false" outlineLevel="0" max="1025" min="27" style="0" width="14.43"/>
  </cols>
  <sheetData>
    <row r="1" customFormat="false" ht="12" hidden="false" customHeight="true" outlineLevel="0" collapsed="false">
      <c r="A1" s="254" t="s">
        <v>344</v>
      </c>
      <c r="B1" s="254"/>
      <c r="C1" s="254"/>
      <c r="D1" s="254"/>
      <c r="E1" s="254"/>
      <c r="F1" s="254"/>
      <c r="G1" s="254"/>
      <c r="H1" s="254"/>
      <c r="I1" s="254"/>
      <c r="J1" s="254"/>
      <c r="K1" s="254"/>
      <c r="L1" s="197"/>
      <c r="M1" s="197"/>
      <c r="N1" s="197"/>
      <c r="O1" s="197"/>
      <c r="P1" s="197"/>
      <c r="Q1" s="197"/>
      <c r="R1" s="197"/>
      <c r="S1" s="197"/>
      <c r="T1" s="197"/>
      <c r="U1" s="197"/>
      <c r="V1" s="197"/>
      <c r="W1" s="197"/>
      <c r="X1" s="197"/>
      <c r="Y1" s="197"/>
      <c r="Z1" s="197"/>
    </row>
    <row r="2" customFormat="false" ht="12" hidden="false" customHeight="true" outlineLevel="0" collapsed="false">
      <c r="A2" s="254" t="s">
        <v>345</v>
      </c>
      <c r="B2" s="254"/>
      <c r="C2" s="254"/>
      <c r="D2" s="254"/>
      <c r="E2" s="254"/>
      <c r="F2" s="254"/>
      <c r="G2" s="254"/>
      <c r="H2" s="254"/>
      <c r="I2" s="254"/>
      <c r="J2" s="254"/>
      <c r="K2" s="254"/>
      <c r="L2" s="197"/>
      <c r="M2" s="197"/>
      <c r="N2" s="197"/>
      <c r="O2" s="197"/>
      <c r="P2" s="197"/>
      <c r="Q2" s="197"/>
      <c r="R2" s="197"/>
      <c r="S2" s="197"/>
      <c r="T2" s="197"/>
      <c r="U2" s="197"/>
      <c r="V2" s="197"/>
      <c r="W2" s="197"/>
      <c r="X2" s="197"/>
      <c r="Y2" s="197"/>
      <c r="Z2" s="197"/>
    </row>
    <row r="3" customFormat="false" ht="12" hidden="false" customHeight="true" outlineLevel="0" collapsed="false">
      <c r="A3" s="206" t="s">
        <v>188</v>
      </c>
      <c r="B3" s="206"/>
      <c r="C3" s="206"/>
      <c r="D3" s="206"/>
      <c r="E3" s="206"/>
      <c r="F3" s="206"/>
      <c r="G3" s="206"/>
      <c r="H3" s="206"/>
      <c r="I3" s="206"/>
      <c r="J3" s="206"/>
      <c r="K3" s="206"/>
      <c r="L3" s="206"/>
      <c r="M3" s="206"/>
      <c r="N3" s="206"/>
      <c r="O3" s="206"/>
      <c r="P3" s="206"/>
      <c r="Q3" s="206"/>
      <c r="R3" s="206"/>
      <c r="S3" s="206"/>
      <c r="T3" s="206"/>
      <c r="U3" s="206"/>
      <c r="V3" s="206"/>
      <c r="W3" s="206"/>
      <c r="X3" s="206"/>
      <c r="Y3" s="206"/>
      <c r="Z3" s="206"/>
    </row>
    <row r="4" customFormat="false" ht="12" hidden="false" customHeight="true" outlineLevel="0" collapsed="false">
      <c r="A4" s="179" t="s">
        <v>346</v>
      </c>
      <c r="B4" s="179"/>
      <c r="C4" s="179"/>
      <c r="D4" s="179"/>
      <c r="E4" s="255" t="n">
        <v>295</v>
      </c>
      <c r="F4" s="179"/>
      <c r="G4" s="179"/>
      <c r="H4" s="179"/>
      <c r="I4" s="179"/>
      <c r="J4" s="179"/>
      <c r="K4" s="179"/>
      <c r="L4" s="179"/>
      <c r="M4" s="179"/>
      <c r="N4" s="179"/>
      <c r="O4" s="179"/>
      <c r="P4" s="179"/>
      <c r="Q4" s="179"/>
      <c r="R4" s="179"/>
      <c r="S4" s="179"/>
      <c r="T4" s="179"/>
      <c r="U4" s="179"/>
      <c r="V4" s="179"/>
      <c r="W4" s="179"/>
      <c r="X4" s="179"/>
      <c r="Y4" s="179"/>
      <c r="Z4" s="179"/>
    </row>
    <row r="5" customFormat="false" ht="12" hidden="false" customHeight="true" outlineLevel="0" collapsed="false">
      <c r="A5" s="204" t="s">
        <v>347</v>
      </c>
      <c r="B5" s="204"/>
      <c r="C5" s="204"/>
      <c r="D5" s="204"/>
      <c r="E5" s="204"/>
      <c r="F5" s="204"/>
      <c r="G5" s="204"/>
      <c r="H5" s="204"/>
      <c r="I5" s="204"/>
      <c r="J5" s="204"/>
      <c r="K5" s="204"/>
      <c r="L5" s="204"/>
      <c r="M5" s="204"/>
      <c r="N5" s="204"/>
      <c r="O5" s="204"/>
      <c r="P5" s="204"/>
      <c r="Q5" s="204"/>
      <c r="R5" s="204"/>
      <c r="S5" s="204"/>
      <c r="T5" s="204"/>
      <c r="U5" s="204"/>
      <c r="V5" s="204"/>
      <c r="W5" s="204"/>
      <c r="X5" s="204"/>
      <c r="Y5" s="204"/>
      <c r="Z5" s="204"/>
    </row>
    <row r="6" customFormat="false" ht="12" hidden="false" customHeight="true" outlineLevel="0" collapsed="false">
      <c r="A6" s="268" t="s">
        <v>205</v>
      </c>
      <c r="B6" s="268" t="s">
        <v>348</v>
      </c>
      <c r="C6" s="179" t="s">
        <v>349</v>
      </c>
      <c r="D6" s="179"/>
      <c r="E6" s="179"/>
      <c r="F6" s="179"/>
      <c r="G6" s="179"/>
      <c r="H6" s="179"/>
      <c r="I6" s="179"/>
      <c r="J6" s="179"/>
      <c r="K6" s="179"/>
      <c r="L6" s="179"/>
      <c r="M6" s="179"/>
      <c r="N6" s="179"/>
      <c r="O6" s="179"/>
      <c r="P6" s="179"/>
      <c r="Q6" s="179"/>
      <c r="R6" s="179"/>
      <c r="S6" s="179"/>
      <c r="T6" s="179"/>
      <c r="U6" s="179"/>
      <c r="V6" s="179"/>
      <c r="W6" s="179"/>
      <c r="X6" s="179"/>
      <c r="Y6" s="179"/>
      <c r="Z6" s="179"/>
    </row>
    <row r="7" customFormat="false" ht="12" hidden="false" customHeight="true" outlineLevel="0" collapsed="false">
      <c r="A7" s="268" t="n">
        <v>1</v>
      </c>
      <c r="B7" s="269" t="n">
        <v>287</v>
      </c>
      <c r="C7" s="179"/>
      <c r="D7" s="179"/>
      <c r="E7" s="179"/>
      <c r="F7" s="179"/>
      <c r="G7" s="179"/>
      <c r="H7" s="179"/>
      <c r="I7" s="179"/>
      <c r="J7" s="179"/>
      <c r="K7" s="179"/>
      <c r="L7" s="179"/>
      <c r="M7" s="179"/>
      <c r="N7" s="179"/>
      <c r="O7" s="179"/>
      <c r="P7" s="179"/>
      <c r="Q7" s="179"/>
      <c r="R7" s="179"/>
      <c r="S7" s="179"/>
      <c r="T7" s="179"/>
      <c r="U7" s="179"/>
      <c r="V7" s="179"/>
      <c r="W7" s="179"/>
      <c r="X7" s="179"/>
      <c r="Y7" s="179"/>
      <c r="Z7" s="179"/>
    </row>
    <row r="8" customFormat="false" ht="12" hidden="false" customHeight="true" outlineLevel="0" collapsed="false">
      <c r="A8" s="268" t="n">
        <v>2</v>
      </c>
      <c r="B8" s="269" t="n">
        <v>235</v>
      </c>
      <c r="C8" s="179"/>
      <c r="D8" s="179"/>
      <c r="E8" s="179"/>
      <c r="F8" s="179"/>
      <c r="G8" s="179"/>
      <c r="H8" s="179"/>
      <c r="I8" s="179"/>
      <c r="J8" s="179"/>
      <c r="K8" s="179"/>
      <c r="L8" s="179"/>
      <c r="M8" s="179"/>
      <c r="N8" s="179"/>
      <c r="O8" s="179"/>
      <c r="P8" s="179"/>
      <c r="Q8" s="179"/>
      <c r="R8" s="179"/>
      <c r="S8" s="179"/>
      <c r="T8" s="179"/>
      <c r="U8" s="179"/>
      <c r="V8" s="179"/>
      <c r="W8" s="179"/>
      <c r="X8" s="179"/>
      <c r="Y8" s="179"/>
      <c r="Z8" s="179"/>
    </row>
    <row r="9" customFormat="false" ht="12" hidden="false" customHeight="true" outlineLevel="0" collapsed="false">
      <c r="A9" s="268" t="n">
        <v>3</v>
      </c>
      <c r="B9" s="269" t="n">
        <v>194</v>
      </c>
      <c r="C9" s="179"/>
      <c r="D9" s="179"/>
      <c r="E9" s="179"/>
      <c r="F9" s="179"/>
      <c r="G9" s="179"/>
      <c r="H9" s="179"/>
      <c r="I9" s="179"/>
      <c r="J9" s="179"/>
      <c r="K9" s="179"/>
      <c r="L9" s="179"/>
      <c r="M9" s="179"/>
      <c r="N9" s="179"/>
      <c r="O9" s="179"/>
      <c r="P9" s="179"/>
      <c r="Q9" s="179"/>
      <c r="R9" s="179"/>
      <c r="S9" s="179"/>
      <c r="T9" s="179"/>
      <c r="U9" s="179"/>
      <c r="V9" s="179"/>
      <c r="W9" s="179"/>
      <c r="X9" s="179"/>
      <c r="Y9" s="179"/>
      <c r="Z9" s="179"/>
    </row>
    <row r="10" customFormat="false" ht="12" hidden="false" customHeight="true" outlineLevel="0" collapsed="false">
      <c r="A10" s="268" t="n">
        <v>4</v>
      </c>
      <c r="B10" s="269" t="n">
        <v>151</v>
      </c>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row>
    <row r="11" customFormat="false" ht="12" hidden="false" customHeight="true" outlineLevel="0" collapsed="false">
      <c r="A11" s="268" t="n">
        <v>5</v>
      </c>
      <c r="B11" s="269" t="n">
        <v>98</v>
      </c>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row>
    <row r="12" customFormat="false" ht="12" hidden="false" customHeight="true" outlineLevel="0" collapsed="false">
      <c r="A12" s="268" t="s">
        <v>350</v>
      </c>
      <c r="B12" s="270" t="n">
        <v>605</v>
      </c>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row>
    <row r="13" customFormat="false" ht="12" hidden="false" customHeight="true" outlineLevel="0" collapsed="false">
      <c r="A13" s="179"/>
      <c r="B13" s="179"/>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79"/>
    </row>
    <row r="14" customFormat="false" ht="12" hidden="false" customHeight="true" outlineLevel="0" collapsed="false">
      <c r="A14" s="271" t="s">
        <v>310</v>
      </c>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row>
    <row r="15" customFormat="false" ht="12" hidden="false" customHeight="true" outlineLevel="0" collapsed="false">
      <c r="A15" s="179" t="s">
        <v>294</v>
      </c>
      <c r="B15" s="179"/>
      <c r="C15" s="272" t="n">
        <f aca="false">'Cost of capital worksheet'!B25</f>
        <v>0.0502</v>
      </c>
      <c r="D15" s="179" t="s">
        <v>351</v>
      </c>
      <c r="E15" s="179"/>
      <c r="F15" s="179"/>
      <c r="G15" s="179"/>
      <c r="H15" s="179"/>
      <c r="I15" s="179"/>
      <c r="J15" s="179"/>
      <c r="K15" s="179"/>
      <c r="L15" s="179"/>
      <c r="M15" s="179"/>
      <c r="N15" s="179"/>
      <c r="O15" s="179"/>
      <c r="P15" s="179"/>
      <c r="Q15" s="179"/>
      <c r="R15" s="179"/>
      <c r="S15" s="179"/>
      <c r="T15" s="179"/>
      <c r="U15" s="179"/>
      <c r="V15" s="179"/>
      <c r="W15" s="179"/>
      <c r="X15" s="179"/>
      <c r="Y15" s="179"/>
      <c r="Z15" s="179"/>
    </row>
    <row r="16" customFormat="false" ht="12" hidden="false" customHeight="true" outlineLevel="0" collapsed="false">
      <c r="A16" s="179"/>
      <c r="B16" s="179"/>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row>
    <row r="17" customFormat="false" ht="12" hidden="false" customHeight="true" outlineLevel="0" collapsed="false">
      <c r="A17" s="179"/>
      <c r="B17" s="179"/>
      <c r="C17" s="179"/>
      <c r="D17" s="218"/>
      <c r="E17" s="179"/>
      <c r="F17" s="179"/>
      <c r="G17" s="179"/>
      <c r="H17" s="179"/>
      <c r="I17" s="179"/>
      <c r="J17" s="179"/>
      <c r="K17" s="179"/>
      <c r="L17" s="179"/>
      <c r="M17" s="179"/>
      <c r="N17" s="179"/>
      <c r="O17" s="179"/>
      <c r="P17" s="179"/>
      <c r="Q17" s="179"/>
      <c r="R17" s="179"/>
      <c r="S17" s="179"/>
      <c r="T17" s="179"/>
      <c r="U17" s="179"/>
      <c r="V17" s="179"/>
      <c r="W17" s="179"/>
      <c r="X17" s="179"/>
      <c r="Y17" s="179"/>
      <c r="Z17" s="179"/>
    </row>
    <row r="18" customFormat="false" ht="12" hidden="false" customHeight="true" outlineLevel="0" collapsed="false">
      <c r="A18" s="179" t="s">
        <v>352</v>
      </c>
      <c r="B18" s="179"/>
      <c r="C18" s="179"/>
      <c r="D18" s="273" t="n">
        <f aca="false">IF(B12&gt;0,ROUND(B12/AVERAGE(B7:B11),0),0)</f>
        <v>3</v>
      </c>
      <c r="E18" s="179" t="s">
        <v>353</v>
      </c>
      <c r="F18" s="179"/>
      <c r="G18" s="179"/>
      <c r="H18" s="179"/>
      <c r="I18" s="179"/>
      <c r="J18" s="179"/>
      <c r="K18" s="179"/>
      <c r="L18" s="179"/>
      <c r="M18" s="179"/>
      <c r="N18" s="179"/>
      <c r="O18" s="179"/>
      <c r="P18" s="179"/>
      <c r="Q18" s="179"/>
      <c r="R18" s="179"/>
      <c r="S18" s="179"/>
      <c r="T18" s="179"/>
      <c r="U18" s="179"/>
      <c r="V18" s="179"/>
      <c r="W18" s="179"/>
      <c r="X18" s="179"/>
      <c r="Y18" s="179"/>
      <c r="Z18" s="179"/>
    </row>
    <row r="19" customFormat="false" ht="12" hidden="false" customHeight="true" outlineLevel="0" collapsed="false">
      <c r="A19" s="206"/>
      <c r="B19" s="206"/>
      <c r="C19" s="206"/>
      <c r="D19" s="206"/>
      <c r="E19" s="179" t="s">
        <v>354</v>
      </c>
      <c r="F19" s="206"/>
      <c r="G19" s="206"/>
      <c r="H19" s="206"/>
      <c r="I19" s="206"/>
      <c r="J19" s="206"/>
      <c r="K19" s="206"/>
      <c r="L19" s="206"/>
      <c r="M19" s="206"/>
      <c r="N19" s="206"/>
      <c r="O19" s="206"/>
      <c r="P19" s="206"/>
      <c r="Q19" s="206"/>
      <c r="R19" s="206"/>
      <c r="S19" s="206"/>
      <c r="T19" s="206"/>
      <c r="U19" s="206"/>
      <c r="V19" s="206"/>
      <c r="W19" s="206"/>
      <c r="X19" s="206"/>
      <c r="Y19" s="206"/>
      <c r="Z19" s="206"/>
    </row>
    <row r="20" customFormat="false" ht="12" hidden="false" customHeight="true" outlineLevel="0" collapsed="false">
      <c r="A20" s="204" t="s">
        <v>355</v>
      </c>
      <c r="B20" s="204"/>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row>
    <row r="21" customFormat="false" ht="12" hidden="false" customHeight="true" outlineLevel="0" collapsed="false">
      <c r="A21" s="268" t="s">
        <v>205</v>
      </c>
      <c r="B21" s="268" t="s">
        <v>348</v>
      </c>
      <c r="C21" s="268" t="s">
        <v>226</v>
      </c>
      <c r="D21" s="179"/>
      <c r="E21" s="179"/>
      <c r="F21" s="179"/>
      <c r="G21" s="179"/>
      <c r="H21" s="179"/>
      <c r="I21" s="179"/>
      <c r="J21" s="179"/>
      <c r="K21" s="179"/>
      <c r="L21" s="179"/>
      <c r="M21" s="179"/>
      <c r="N21" s="179"/>
      <c r="O21" s="179"/>
      <c r="P21" s="179"/>
      <c r="Q21" s="179"/>
      <c r="R21" s="179"/>
      <c r="S21" s="179"/>
      <c r="T21" s="179"/>
      <c r="U21" s="179"/>
      <c r="V21" s="179"/>
      <c r="W21" s="179"/>
      <c r="X21" s="179"/>
      <c r="Y21" s="179"/>
      <c r="Z21" s="179"/>
    </row>
    <row r="22" customFormat="false" ht="12" hidden="false" customHeight="true" outlineLevel="0" collapsed="false">
      <c r="A22" s="216" t="n">
        <f aca="false">A7</f>
        <v>1</v>
      </c>
      <c r="B22" s="199" t="n">
        <f aca="false">B7</f>
        <v>287</v>
      </c>
      <c r="C22" s="199" t="n">
        <f aca="false">B22/(1+$C$15)^A22</f>
        <v>273.281279756237</v>
      </c>
      <c r="D22" s="179"/>
      <c r="E22" s="179"/>
      <c r="F22" s="179"/>
      <c r="G22" s="179"/>
      <c r="H22" s="179"/>
      <c r="I22" s="179"/>
      <c r="J22" s="179"/>
      <c r="K22" s="179"/>
      <c r="L22" s="179"/>
      <c r="M22" s="179"/>
      <c r="N22" s="179"/>
      <c r="O22" s="179"/>
      <c r="P22" s="179"/>
      <c r="Q22" s="179"/>
      <c r="R22" s="179"/>
      <c r="S22" s="179"/>
      <c r="T22" s="179"/>
      <c r="U22" s="179"/>
      <c r="V22" s="179"/>
      <c r="W22" s="179"/>
      <c r="X22" s="179"/>
      <c r="Y22" s="179"/>
      <c r="Z22" s="179"/>
    </row>
    <row r="23" customFormat="false" ht="12" hidden="false" customHeight="true" outlineLevel="0" collapsed="false">
      <c r="A23" s="216" t="n">
        <f aca="false">A8</f>
        <v>2</v>
      </c>
      <c r="B23" s="199" t="n">
        <f aca="false">B8</f>
        <v>235</v>
      </c>
      <c r="C23" s="199" t="n">
        <f aca="false">B23/(1+$C$15)^A23</f>
        <v>213.070749897699</v>
      </c>
      <c r="D23" s="179"/>
      <c r="E23" s="179"/>
      <c r="F23" s="179"/>
      <c r="G23" s="179"/>
      <c r="H23" s="179"/>
      <c r="I23" s="179"/>
      <c r="J23" s="179"/>
      <c r="K23" s="179"/>
      <c r="L23" s="179"/>
      <c r="M23" s="179"/>
      <c r="N23" s="179"/>
      <c r="O23" s="179"/>
      <c r="P23" s="179"/>
      <c r="Q23" s="179"/>
      <c r="R23" s="179"/>
      <c r="S23" s="179"/>
      <c r="T23" s="179"/>
      <c r="U23" s="179"/>
      <c r="V23" s="179"/>
      <c r="W23" s="179"/>
      <c r="X23" s="179"/>
      <c r="Y23" s="179"/>
      <c r="Z23" s="179"/>
    </row>
    <row r="24" customFormat="false" ht="12" hidden="false" customHeight="true" outlineLevel="0" collapsed="false">
      <c r="A24" s="216" t="n">
        <f aca="false">A9</f>
        <v>3</v>
      </c>
      <c r="B24" s="199" t="n">
        <f aca="false">B9</f>
        <v>194</v>
      </c>
      <c r="C24" s="199" t="n">
        <f aca="false">B24/(1+$C$15)^A24</f>
        <v>167.488768016441</v>
      </c>
      <c r="D24" s="179"/>
      <c r="E24" s="179"/>
      <c r="F24" s="179"/>
      <c r="G24" s="179"/>
      <c r="H24" s="179"/>
      <c r="I24" s="179"/>
      <c r="J24" s="179"/>
      <c r="K24" s="179"/>
      <c r="L24" s="179"/>
      <c r="M24" s="179"/>
      <c r="N24" s="179"/>
      <c r="O24" s="179"/>
      <c r="P24" s="179"/>
      <c r="Q24" s="179"/>
      <c r="R24" s="179"/>
      <c r="S24" s="179"/>
      <c r="T24" s="179"/>
      <c r="U24" s="179"/>
      <c r="V24" s="179"/>
      <c r="W24" s="179"/>
      <c r="X24" s="179"/>
      <c r="Y24" s="179"/>
      <c r="Z24" s="179"/>
    </row>
    <row r="25" customFormat="false" ht="12" hidden="false" customHeight="true" outlineLevel="0" collapsed="false">
      <c r="A25" s="216" t="n">
        <f aca="false">A10</f>
        <v>4</v>
      </c>
      <c r="B25" s="199" t="n">
        <f aca="false">B10</f>
        <v>151</v>
      </c>
      <c r="C25" s="199" t="n">
        <f aca="false">B25/(1+$C$15)^A25</f>
        <v>124.13346878691</v>
      </c>
      <c r="D25" s="179"/>
      <c r="E25" s="179"/>
      <c r="F25" s="179"/>
      <c r="G25" s="179"/>
      <c r="H25" s="179"/>
      <c r="I25" s="179"/>
      <c r="J25" s="179"/>
      <c r="K25" s="179"/>
      <c r="L25" s="179"/>
      <c r="M25" s="179"/>
      <c r="N25" s="179"/>
      <c r="O25" s="179"/>
      <c r="P25" s="179"/>
      <c r="Q25" s="179"/>
      <c r="R25" s="179"/>
      <c r="S25" s="179"/>
      <c r="T25" s="179"/>
      <c r="U25" s="179"/>
      <c r="V25" s="179"/>
      <c r="W25" s="179"/>
      <c r="X25" s="179"/>
      <c r="Y25" s="179"/>
      <c r="Z25" s="179"/>
    </row>
    <row r="26" customFormat="false" ht="12" hidden="false" customHeight="true" outlineLevel="0" collapsed="false">
      <c r="A26" s="216" t="n">
        <f aca="false">A11</f>
        <v>5</v>
      </c>
      <c r="B26" s="199" t="n">
        <f aca="false">B11</f>
        <v>98</v>
      </c>
      <c r="C26" s="199" t="n">
        <f aca="false">B26/(1+$C$15)^A26</f>
        <v>76.7124769745354</v>
      </c>
      <c r="D26" s="179"/>
      <c r="E26" s="179"/>
      <c r="F26" s="179"/>
      <c r="G26" s="179"/>
      <c r="H26" s="179"/>
      <c r="I26" s="179"/>
      <c r="J26" s="179"/>
      <c r="K26" s="179"/>
      <c r="L26" s="179"/>
      <c r="M26" s="179"/>
      <c r="N26" s="179"/>
      <c r="O26" s="179"/>
      <c r="P26" s="179"/>
      <c r="Q26" s="179"/>
      <c r="R26" s="179"/>
      <c r="S26" s="179"/>
      <c r="T26" s="179"/>
      <c r="U26" s="179"/>
      <c r="V26" s="179"/>
      <c r="W26" s="179"/>
      <c r="X26" s="179"/>
      <c r="Y26" s="179"/>
      <c r="Z26" s="179"/>
    </row>
    <row r="27" customFormat="false" ht="12" hidden="false" customHeight="true" outlineLevel="0" collapsed="false">
      <c r="A27" s="274" t="str">
        <f aca="false">A12</f>
        <v>6 and beyond</v>
      </c>
      <c r="B27" s="275" t="n">
        <f aca="false">IF(B12&gt;0,IF(D18&gt;0,B12/D18,B12),0)</f>
        <v>201.666666666667</v>
      </c>
      <c r="C27" s="275" t="n">
        <f aca="false">IF(D18&gt;0,(B27*(1-(1+C15)^(-D18))/C15)/(1+$C$15)^5,B27/(1+C15)^6)</f>
        <v>429.732809846501</v>
      </c>
      <c r="D27" s="179" t="s">
        <v>356</v>
      </c>
      <c r="E27" s="179"/>
      <c r="F27" s="179"/>
      <c r="G27" s="179"/>
      <c r="H27" s="179"/>
      <c r="I27" s="179"/>
      <c r="J27" s="179"/>
      <c r="K27" s="179"/>
      <c r="L27" s="179"/>
      <c r="M27" s="179"/>
      <c r="N27" s="179"/>
      <c r="O27" s="179"/>
      <c r="P27" s="179"/>
      <c r="Q27" s="179"/>
      <c r="R27" s="179"/>
      <c r="S27" s="179"/>
      <c r="T27" s="179"/>
      <c r="U27" s="179"/>
      <c r="V27" s="179"/>
      <c r="W27" s="179"/>
      <c r="X27" s="179"/>
      <c r="Y27" s="179"/>
      <c r="Z27" s="179"/>
    </row>
    <row r="28" customFormat="false" ht="12" hidden="false" customHeight="true" outlineLevel="0" collapsed="false">
      <c r="A28" s="276" t="s">
        <v>357</v>
      </c>
      <c r="B28" s="277"/>
      <c r="C28" s="278" t="n">
        <f aca="false">SUM(C22:C27)</f>
        <v>1284.41955327832</v>
      </c>
      <c r="D28" s="179"/>
      <c r="E28" s="179"/>
      <c r="F28" s="179"/>
      <c r="G28" s="179"/>
      <c r="H28" s="179"/>
      <c r="I28" s="179"/>
      <c r="J28" s="179"/>
      <c r="K28" s="179"/>
      <c r="L28" s="179"/>
      <c r="M28" s="179"/>
      <c r="N28" s="179"/>
      <c r="O28" s="179"/>
      <c r="P28" s="179"/>
      <c r="Q28" s="179"/>
      <c r="R28" s="179"/>
      <c r="S28" s="179"/>
      <c r="T28" s="179"/>
      <c r="U28" s="179"/>
      <c r="V28" s="179"/>
      <c r="W28" s="179"/>
      <c r="X28" s="179"/>
      <c r="Y28" s="179"/>
      <c r="Z28" s="179"/>
    </row>
    <row r="29" customFormat="false" ht="12" hidden="false" customHeight="true" outlineLevel="0" collapsed="false">
      <c r="A29" s="179"/>
      <c r="B29" s="179"/>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row>
    <row r="30" customFormat="false" ht="12" hidden="false" customHeight="true" outlineLevel="0" collapsed="false">
      <c r="A30" s="204" t="s">
        <v>358</v>
      </c>
      <c r="B30" s="179"/>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row>
    <row r="31" customFormat="false" ht="12" hidden="false" customHeight="true" outlineLevel="0" collapsed="false">
      <c r="A31" s="179" t="s">
        <v>359</v>
      </c>
      <c r="B31" s="179"/>
      <c r="C31" s="179"/>
      <c r="D31" s="179"/>
      <c r="E31" s="179"/>
      <c r="F31" s="275" t="n">
        <f aca="false">C28/(5+D18)</f>
        <v>160.55244415979</v>
      </c>
      <c r="G31" s="179" t="s">
        <v>360</v>
      </c>
      <c r="H31" s="179"/>
      <c r="I31" s="179"/>
      <c r="J31" s="179"/>
      <c r="K31" s="179"/>
      <c r="L31" s="179"/>
      <c r="M31" s="179"/>
      <c r="N31" s="179"/>
      <c r="O31" s="179"/>
      <c r="P31" s="179"/>
      <c r="Q31" s="179"/>
      <c r="R31" s="179"/>
      <c r="S31" s="179"/>
      <c r="T31" s="179"/>
      <c r="U31" s="179"/>
      <c r="V31" s="179"/>
      <c r="W31" s="179"/>
      <c r="X31" s="179"/>
      <c r="Y31" s="179"/>
      <c r="Z31" s="179"/>
    </row>
    <row r="32" customFormat="false" ht="12" hidden="false" customHeight="true" outlineLevel="0" collapsed="false">
      <c r="A32" s="179" t="s">
        <v>361</v>
      </c>
      <c r="B32" s="179"/>
      <c r="C32" s="179"/>
      <c r="D32" s="179"/>
      <c r="E32" s="179"/>
      <c r="F32" s="279" t="n">
        <f aca="false">E4-F31</f>
        <v>134.44755584021</v>
      </c>
      <c r="G32" s="179" t="s">
        <v>362</v>
      </c>
      <c r="H32" s="179"/>
      <c r="I32" s="179"/>
      <c r="J32" s="179"/>
      <c r="K32" s="179"/>
      <c r="L32" s="179"/>
      <c r="M32" s="179"/>
      <c r="N32" s="179"/>
      <c r="O32" s="179"/>
      <c r="P32" s="179"/>
      <c r="Q32" s="179"/>
      <c r="R32" s="179"/>
      <c r="S32" s="179"/>
      <c r="T32" s="179"/>
      <c r="U32" s="179"/>
      <c r="V32" s="179"/>
      <c r="W32" s="179"/>
      <c r="X32" s="179"/>
      <c r="Y32" s="179"/>
      <c r="Z32" s="179"/>
    </row>
    <row r="33" customFormat="false" ht="12" hidden="false" customHeight="true" outlineLevel="0" collapsed="false">
      <c r="A33" s="179" t="s">
        <v>363</v>
      </c>
      <c r="B33" s="179"/>
      <c r="C33" s="179"/>
      <c r="D33" s="179"/>
      <c r="E33" s="179"/>
      <c r="F33" s="280" t="n">
        <f aca="false">C28</f>
        <v>1284.41955327832</v>
      </c>
      <c r="G33" s="179" t="s">
        <v>364</v>
      </c>
      <c r="H33" s="179"/>
      <c r="I33" s="179"/>
      <c r="J33" s="179"/>
      <c r="K33" s="179"/>
      <c r="L33" s="179"/>
      <c r="M33" s="179"/>
      <c r="N33" s="179"/>
      <c r="O33" s="179"/>
      <c r="P33" s="179"/>
      <c r="Q33" s="179"/>
      <c r="R33" s="179"/>
      <c r="S33" s="179"/>
      <c r="T33" s="179"/>
      <c r="U33" s="179"/>
      <c r="V33" s="179"/>
      <c r="W33" s="179"/>
      <c r="X33" s="179"/>
      <c r="Y33" s="179"/>
      <c r="Z33" s="179"/>
    </row>
    <row r="34" customFormat="false" ht="12" hidden="false" customHeight="true" outlineLevel="0" collapsed="false">
      <c r="A34" s="179" t="s">
        <v>365</v>
      </c>
      <c r="F34" s="281" t="n">
        <f aca="false">C28/(5+D18)</f>
        <v>160.55244415979</v>
      </c>
    </row>
    <row r="35" customFormat="false" ht="12" hidden="false" customHeight="true" outlineLevel="0" collapsed="false"/>
    <row r="36" customFormat="false" ht="12" hidden="false" customHeight="true" outlineLevel="0" collapsed="false"/>
    <row r="37" customFormat="false" ht="12" hidden="false" customHeight="true" outlineLevel="0" collapsed="false"/>
    <row r="38" customFormat="false" ht="12" hidden="false" customHeight="true" outlineLevel="0" collapsed="false"/>
    <row r="39" customFormat="false" ht="12" hidden="false" customHeight="true" outlineLevel="0" collapsed="false"/>
    <row r="40" customFormat="false" ht="12" hidden="false" customHeight="true" outlineLevel="0" collapsed="false"/>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2">
    <mergeCell ref="A1:K1"/>
    <mergeCell ref="A2:K2"/>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de-DE</dc:language>
  <cp:lastModifiedBy/>
  <dcterms:modified xsi:type="dcterms:W3CDTF">2022-11-05T10:38:11Z</dcterms:modified>
  <cp:revision>5</cp:revision>
  <dc:subject/>
  <dc:title/>
</cp:coreProperties>
</file>