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il\Desktop\"/>
    </mc:Choice>
  </mc:AlternateContent>
  <bookViews>
    <workbookView xWindow="0" yWindow="0" windowWidth="28800" windowHeight="118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3" i="1" l="1"/>
  <c r="Y13" i="1" s="1"/>
  <c r="X13" i="1"/>
  <c r="Z13" i="1" s="1"/>
  <c r="AA13" i="1" s="1"/>
  <c r="AC12" i="1"/>
  <c r="AB12" i="1"/>
  <c r="Z12" i="1"/>
  <c r="X12" i="1"/>
  <c r="Y12" i="1" s="1"/>
  <c r="AC11" i="1"/>
  <c r="AB11" i="1"/>
  <c r="AA11" i="1"/>
  <c r="Z11" i="1"/>
  <c r="Y11" i="1"/>
  <c r="X11" i="1"/>
  <c r="O12" i="1"/>
  <c r="W11" i="1"/>
  <c r="U26" i="1"/>
  <c r="O13" i="1"/>
  <c r="U12" i="1"/>
  <c r="P12" i="1"/>
  <c r="P13" i="1"/>
  <c r="Q12" i="1"/>
  <c r="Q11" i="1"/>
  <c r="R11" i="1"/>
  <c r="O11" i="1"/>
  <c r="T11" i="1"/>
  <c r="S11" i="1"/>
  <c r="C12" i="1"/>
  <c r="U11" i="1"/>
  <c r="P11" i="1"/>
  <c r="C3" i="1"/>
  <c r="B3" i="1"/>
  <c r="C11" i="1" s="1"/>
  <c r="D11" i="1" s="1"/>
  <c r="J3" i="1"/>
  <c r="I3" i="1"/>
  <c r="H11" i="1"/>
  <c r="I11" i="1" s="1"/>
  <c r="G11" i="1"/>
  <c r="B11" i="1"/>
  <c r="AB13" i="1" l="1"/>
  <c r="W14" i="1" s="1"/>
  <c r="AC13" i="1"/>
  <c r="X14" i="1" s="1"/>
  <c r="AA12" i="1"/>
  <c r="R12" i="1"/>
  <c r="S12" i="1" s="1"/>
  <c r="B12" i="1"/>
  <c r="G12" i="1"/>
  <c r="H12" i="1" s="1"/>
  <c r="J11" i="1"/>
  <c r="E11" i="1"/>
  <c r="Y14" i="1" l="1"/>
  <c r="Z14" i="1"/>
  <c r="AA14" i="1" s="1"/>
  <c r="AB14" i="1" s="1"/>
  <c r="AC14" i="1"/>
  <c r="X15" i="1" s="1"/>
  <c r="W12" i="1"/>
  <c r="R13" i="1"/>
  <c r="T12" i="1"/>
  <c r="J12" i="1"/>
  <c r="I12" i="1"/>
  <c r="E12" i="1"/>
  <c r="D12" i="1"/>
  <c r="B13" i="1" s="1"/>
  <c r="Z15" i="1" l="1"/>
  <c r="W15" i="1"/>
  <c r="Q13" i="1"/>
  <c r="U13" i="1"/>
  <c r="P14" i="1" s="1"/>
  <c r="S13" i="1"/>
  <c r="T13" i="1" s="1"/>
  <c r="C13" i="1"/>
  <c r="D13" i="1" s="1"/>
  <c r="B14" i="1" s="1"/>
  <c r="G13" i="1"/>
  <c r="H13" i="1" s="1"/>
  <c r="J13" i="1" s="1"/>
  <c r="AA15" i="1" l="1"/>
  <c r="AB15" i="1" s="1"/>
  <c r="Y15" i="1"/>
  <c r="AC15" i="1"/>
  <c r="X16" i="1" s="1"/>
  <c r="R14" i="1"/>
  <c r="U14" i="1" s="1"/>
  <c r="P15" i="1" s="1"/>
  <c r="O14" i="1"/>
  <c r="E13" i="1"/>
  <c r="I13" i="1"/>
  <c r="G14" i="1" s="1"/>
  <c r="C14" i="1"/>
  <c r="E14" i="1" s="1"/>
  <c r="W16" i="1" l="1"/>
  <c r="Z16" i="1"/>
  <c r="AA16" i="1" s="1"/>
  <c r="AB16" i="1" s="1"/>
  <c r="AC16" i="1"/>
  <c r="X17" i="1" s="1"/>
  <c r="R15" i="1"/>
  <c r="U15" i="1" s="1"/>
  <c r="P16" i="1" s="1"/>
  <c r="S14" i="1"/>
  <c r="T14" i="1" s="1"/>
  <c r="Q14" i="1"/>
  <c r="H14" i="1"/>
  <c r="D14" i="1"/>
  <c r="B15" i="1" s="1"/>
  <c r="Z17" i="1" l="1"/>
  <c r="AA17" i="1" s="1"/>
  <c r="AB17" i="1" s="1"/>
  <c r="W17" i="1"/>
  <c r="Y16" i="1"/>
  <c r="R16" i="1"/>
  <c r="U16" i="1"/>
  <c r="P17" i="1" s="1"/>
  <c r="O15" i="1"/>
  <c r="J14" i="1"/>
  <c r="I14" i="1"/>
  <c r="G15" i="1" s="1"/>
  <c r="C15" i="1"/>
  <c r="W18" i="1" l="1"/>
  <c r="Y17" i="1"/>
  <c r="AC17" i="1"/>
  <c r="X18" i="1" s="1"/>
  <c r="R17" i="1"/>
  <c r="U17" i="1"/>
  <c r="P18" i="1" s="1"/>
  <c r="Q15" i="1"/>
  <c r="S15" i="1"/>
  <c r="T15" i="1" s="1"/>
  <c r="O16" i="1"/>
  <c r="H15" i="1"/>
  <c r="D15" i="1"/>
  <c r="B16" i="1" s="1"/>
  <c r="E15" i="1"/>
  <c r="Y18" i="1" l="1"/>
  <c r="Z18" i="1"/>
  <c r="AA18" i="1" s="1"/>
  <c r="AB18" i="1" s="1"/>
  <c r="R18" i="1"/>
  <c r="U18" i="1"/>
  <c r="P19" i="1" s="1"/>
  <c r="Q16" i="1"/>
  <c r="S16" i="1"/>
  <c r="T16" i="1" s="1"/>
  <c r="O17" i="1" s="1"/>
  <c r="J15" i="1"/>
  <c r="I15" i="1"/>
  <c r="C16" i="1"/>
  <c r="AC18" i="1" l="1"/>
  <c r="X19" i="1" s="1"/>
  <c r="R19" i="1"/>
  <c r="U19" i="1"/>
  <c r="P20" i="1" s="1"/>
  <c r="Q17" i="1"/>
  <c r="S17" i="1"/>
  <c r="T17" i="1" s="1"/>
  <c r="O18" i="1" s="1"/>
  <c r="G16" i="1"/>
  <c r="H16" i="1" s="1"/>
  <c r="E16" i="1"/>
  <c r="D16" i="1"/>
  <c r="B17" i="1" s="1"/>
  <c r="Z19" i="1" l="1"/>
  <c r="AA19" i="1" s="1"/>
  <c r="AB19" i="1" s="1"/>
  <c r="W19" i="1"/>
  <c r="R20" i="1"/>
  <c r="U20" i="1"/>
  <c r="P21" i="1" s="1"/>
  <c r="R21" i="1" s="1"/>
  <c r="U21" i="1" s="1"/>
  <c r="P22" i="1" s="1"/>
  <c r="R22" i="1" s="1"/>
  <c r="Q18" i="1"/>
  <c r="S18" i="1"/>
  <c r="T18" i="1" s="1"/>
  <c r="U22" i="1"/>
  <c r="P23" i="1" s="1"/>
  <c r="R23" i="1" s="1"/>
  <c r="J16" i="1"/>
  <c r="I16" i="1"/>
  <c r="G17" i="1" s="1"/>
  <c r="C17" i="1"/>
  <c r="AC19" i="1" l="1"/>
  <c r="X20" i="1" s="1"/>
  <c r="Y19" i="1"/>
  <c r="O19" i="1"/>
  <c r="Q19" i="1"/>
  <c r="S19" i="1"/>
  <c r="T19" i="1" s="1"/>
  <c r="O20" i="1" s="1"/>
  <c r="U23" i="1"/>
  <c r="P24" i="1" s="1"/>
  <c r="R24" i="1" s="1"/>
  <c r="U24" i="1" s="1"/>
  <c r="P25" i="1" s="1"/>
  <c r="H17" i="1"/>
  <c r="E17" i="1"/>
  <c r="D17" i="1"/>
  <c r="B18" i="1" s="1"/>
  <c r="Z20" i="1" l="1"/>
  <c r="AA20" i="1" s="1"/>
  <c r="AB20" i="1" s="1"/>
  <c r="AC20" i="1"/>
  <c r="X21" i="1" s="1"/>
  <c r="W20" i="1"/>
  <c r="S20" i="1"/>
  <c r="T20" i="1" s="1"/>
  <c r="Q20" i="1"/>
  <c r="O21" i="1"/>
  <c r="R25" i="1"/>
  <c r="I17" i="1"/>
  <c r="G18" i="1" s="1"/>
  <c r="J17" i="1"/>
  <c r="C18" i="1"/>
  <c r="Z21" i="1" l="1"/>
  <c r="AA21" i="1" s="1"/>
  <c r="AB21" i="1" s="1"/>
  <c r="W21" i="1"/>
  <c r="Y20" i="1"/>
  <c r="S21" i="1"/>
  <c r="T21" i="1" s="1"/>
  <c r="Q21" i="1"/>
  <c r="O22" i="1"/>
  <c r="U25" i="1"/>
  <c r="P26" i="1" s="1"/>
  <c r="R26" i="1"/>
  <c r="H18" i="1"/>
  <c r="E18" i="1"/>
  <c r="D18" i="1"/>
  <c r="B19" i="1" s="1"/>
  <c r="Y21" i="1" l="1"/>
  <c r="W22" i="1"/>
  <c r="AC21" i="1"/>
  <c r="X22" i="1" s="1"/>
  <c r="Q22" i="1"/>
  <c r="S22" i="1"/>
  <c r="T22" i="1" s="1"/>
  <c r="O23" i="1" s="1"/>
  <c r="P27" i="1"/>
  <c r="J18" i="1"/>
  <c r="I18" i="1"/>
  <c r="G19" i="1" s="1"/>
  <c r="C19" i="1"/>
  <c r="Y22" i="1" l="1"/>
  <c r="W23" i="1"/>
  <c r="Z22" i="1"/>
  <c r="AA22" i="1" s="1"/>
  <c r="AB22" i="1" s="1"/>
  <c r="AC22" i="1"/>
  <c r="X23" i="1" s="1"/>
  <c r="R27" i="1"/>
  <c r="U27" i="1" s="1"/>
  <c r="Q23" i="1"/>
  <c r="S23" i="1"/>
  <c r="T23" i="1" s="1"/>
  <c r="O24" i="1" s="1"/>
  <c r="H19" i="1"/>
  <c r="E19" i="1"/>
  <c r="D19" i="1"/>
  <c r="B20" i="1" s="1"/>
  <c r="Z23" i="1" l="1"/>
  <c r="AA23" i="1" s="1"/>
  <c r="AB23" i="1" s="1"/>
  <c r="Y23" i="1"/>
  <c r="P28" i="1"/>
  <c r="Q24" i="1"/>
  <c r="S24" i="1"/>
  <c r="T24" i="1" s="1"/>
  <c r="O25" i="1" s="1"/>
  <c r="Q25" i="1" s="1"/>
  <c r="I19" i="1"/>
  <c r="G20" i="1" s="1"/>
  <c r="J19" i="1"/>
  <c r="C20" i="1"/>
  <c r="AC23" i="1" l="1"/>
  <c r="X24" i="1" s="1"/>
  <c r="R28" i="1"/>
  <c r="U28" i="1" s="1"/>
  <c r="P29" i="1" s="1"/>
  <c r="S25" i="1"/>
  <c r="T25" i="1" s="1"/>
  <c r="H20" i="1"/>
  <c r="E20" i="1"/>
  <c r="D20" i="1"/>
  <c r="B21" i="1" s="1"/>
  <c r="Z24" i="1" l="1"/>
  <c r="AA24" i="1" s="1"/>
  <c r="AB24" i="1" s="1"/>
  <c r="AC24" i="1"/>
  <c r="X25" i="1" s="1"/>
  <c r="W24" i="1"/>
  <c r="R29" i="1"/>
  <c r="U29" i="1"/>
  <c r="O26" i="1"/>
  <c r="Q26" i="1" s="1"/>
  <c r="J20" i="1"/>
  <c r="I20" i="1"/>
  <c r="G21" i="1" s="1"/>
  <c r="C21" i="1"/>
  <c r="W25" i="1" l="1"/>
  <c r="Y24" i="1"/>
  <c r="Z25" i="1"/>
  <c r="P30" i="1"/>
  <c r="S26" i="1"/>
  <c r="T26" i="1" s="1"/>
  <c r="H21" i="1"/>
  <c r="E21" i="1"/>
  <c r="D21" i="1"/>
  <c r="B22" i="1" s="1"/>
  <c r="Y25" i="1" l="1"/>
  <c r="AA25" i="1"/>
  <c r="AB25" i="1" s="1"/>
  <c r="AC25" i="1"/>
  <c r="X26" i="1" s="1"/>
  <c r="R30" i="1"/>
  <c r="U30" i="1" s="1"/>
  <c r="O27" i="1"/>
  <c r="Q27" i="1" s="1"/>
  <c r="J21" i="1"/>
  <c r="I21" i="1"/>
  <c r="G22" i="1" s="1"/>
  <c r="C22" i="1"/>
  <c r="AC26" i="1" l="1"/>
  <c r="X27" i="1" s="1"/>
  <c r="Z26" i="1"/>
  <c r="W26" i="1"/>
  <c r="S27" i="1"/>
  <c r="T27" i="1" s="1"/>
  <c r="H22" i="1"/>
  <c r="D22" i="1"/>
  <c r="B23" i="1" s="1"/>
  <c r="E22" i="1"/>
  <c r="Y26" i="1" l="1"/>
  <c r="Z27" i="1"/>
  <c r="AC27" i="1" s="1"/>
  <c r="X28" i="1" s="1"/>
  <c r="AA26" i="1"/>
  <c r="AB26" i="1" s="1"/>
  <c r="O28" i="1"/>
  <c r="Q28" i="1" s="1"/>
  <c r="I22" i="1"/>
  <c r="G23" i="1" s="1"/>
  <c r="J22" i="1"/>
  <c r="C23" i="1"/>
  <c r="Z28" i="1" l="1"/>
  <c r="W27" i="1"/>
  <c r="AA27" i="1" s="1"/>
  <c r="AB27" i="1" s="1"/>
  <c r="S28" i="1"/>
  <c r="T28" i="1" s="1"/>
  <c r="H23" i="1"/>
  <c r="E23" i="1"/>
  <c r="D23" i="1"/>
  <c r="B24" i="1" s="1"/>
  <c r="Y27" i="1" l="1"/>
  <c r="W28" i="1"/>
  <c r="AA28" i="1"/>
  <c r="AB28" i="1" s="1"/>
  <c r="AC28" i="1"/>
  <c r="X29" i="1" s="1"/>
  <c r="O29" i="1"/>
  <c r="Q29" i="1" s="1"/>
  <c r="J23" i="1"/>
  <c r="I23" i="1"/>
  <c r="G24" i="1" s="1"/>
  <c r="C24" i="1"/>
  <c r="Z29" i="1" l="1"/>
  <c r="AC29" i="1"/>
  <c r="X30" i="1" s="1"/>
  <c r="Y28" i="1"/>
  <c r="W29" i="1"/>
  <c r="S29" i="1"/>
  <c r="T29" i="1" s="1"/>
  <c r="H24" i="1"/>
  <c r="D24" i="1"/>
  <c r="B25" i="1" s="1"/>
  <c r="E24" i="1"/>
  <c r="Y29" i="1" l="1"/>
  <c r="Z30" i="1"/>
  <c r="AA29" i="1"/>
  <c r="AB29" i="1" s="1"/>
  <c r="O30" i="1"/>
  <c r="I24" i="1"/>
  <c r="G25" i="1" s="1"/>
  <c r="J24" i="1"/>
  <c r="C25" i="1"/>
  <c r="AA30" i="1" l="1"/>
  <c r="AB30" i="1" s="1"/>
  <c r="W30" i="1"/>
  <c r="Y30" i="1" s="1"/>
  <c r="AC30" i="1"/>
  <c r="S30" i="1"/>
  <c r="T30" i="1" s="1"/>
  <c r="Q30" i="1"/>
  <c r="H25" i="1"/>
  <c r="E25" i="1"/>
  <c r="D25" i="1"/>
  <c r="B26" i="1" s="1"/>
  <c r="I25" i="1" l="1"/>
  <c r="G26" i="1" s="1"/>
  <c r="J25" i="1"/>
  <c r="C26" i="1"/>
  <c r="H26" i="1" l="1"/>
  <c r="E26" i="1"/>
  <c r="D26" i="1"/>
  <c r="B27" i="1" s="1"/>
  <c r="I26" i="1" l="1"/>
  <c r="G27" i="1" s="1"/>
  <c r="J26" i="1"/>
  <c r="C27" i="1"/>
  <c r="H27" i="1" l="1"/>
  <c r="E27" i="1"/>
  <c r="D27" i="1"/>
  <c r="B28" i="1" s="1"/>
  <c r="C28" i="1" l="1"/>
  <c r="I27" i="1"/>
  <c r="G28" i="1" s="1"/>
  <c r="J27" i="1"/>
  <c r="H28" i="1" l="1"/>
  <c r="E28" i="1"/>
  <c r="D28" i="1"/>
  <c r="B29" i="1" l="1"/>
  <c r="I28" i="1"/>
  <c r="G29" i="1" s="1"/>
  <c r="H29" i="1" s="1"/>
  <c r="J28" i="1"/>
  <c r="C29" i="1" l="1"/>
  <c r="E29" i="1" s="1"/>
  <c r="D29" i="1" l="1"/>
  <c r="B30" i="1" s="1"/>
  <c r="C30" i="1" s="1"/>
  <c r="B33" i="1" s="1"/>
  <c r="J29" i="1"/>
  <c r="I29" i="1"/>
  <c r="G30" i="1" s="1"/>
  <c r="H30" i="1" s="1"/>
  <c r="G33" i="1" l="1"/>
  <c r="H33" i="1" s="1"/>
  <c r="D33" i="1"/>
  <c r="B34" i="1" s="1"/>
  <c r="G34" i="1" s="1"/>
  <c r="H34" i="1" s="1"/>
  <c r="I30" i="1"/>
  <c r="J30" i="1"/>
  <c r="E30" i="1"/>
  <c r="D30" i="1"/>
  <c r="I33" i="1"/>
  <c r="J33" i="1"/>
  <c r="J34" i="1" l="1"/>
  <c r="I34" i="1"/>
</calcChain>
</file>

<file path=xl/sharedStrings.xml><?xml version="1.0" encoding="utf-8"?>
<sst xmlns="http://schemas.openxmlformats.org/spreadsheetml/2006/main" count="97" uniqueCount="84">
  <si>
    <t>divi</t>
  </si>
  <si>
    <t>gesamt</t>
  </si>
  <si>
    <t>divi growth</t>
  </si>
  <si>
    <t>Jahr</t>
  </si>
  <si>
    <t>Start invest</t>
  </si>
  <si>
    <t>Vaneck</t>
  </si>
  <si>
    <t xml:space="preserve">developed world </t>
  </si>
  <si>
    <t>Vangaurd</t>
  </si>
  <si>
    <t>Kurs (10,11%)</t>
  </si>
  <si>
    <t>Divi + Growth</t>
  </si>
  <si>
    <t>Kurs (8,94%)</t>
  </si>
  <si>
    <t>Pers. Rendite</t>
  </si>
  <si>
    <t>Steuerfreibetrag</t>
  </si>
  <si>
    <t>Steuer nach FB</t>
  </si>
  <si>
    <t>Verkauf Vanguard und alles rein (nach Steuern) in Vaneck</t>
  </si>
  <si>
    <t>Zu Versteuen</t>
  </si>
  <si>
    <t>Nach Steuer</t>
  </si>
  <si>
    <t>ohne Steuer:</t>
  </si>
  <si>
    <t>Teilfreistellung ETF</t>
  </si>
  <si>
    <t>Vanguard mit Steuer</t>
  </si>
  <si>
    <t>Stoxx select 100</t>
  </si>
  <si>
    <t>Rechnung</t>
  </si>
  <si>
    <t>us divi aristo</t>
  </si>
  <si>
    <t>Annahme ETF Stückpreis</t>
  </si>
  <si>
    <t>Stück Anzahl</t>
  </si>
  <si>
    <t>Stückwert</t>
  </si>
  <si>
    <t>Steuer</t>
  </si>
  <si>
    <t>Stückwert Ex</t>
  </si>
  <si>
    <t>Dividende/Stueck</t>
  </si>
  <si>
    <t>Gesamtdividende</t>
  </si>
  <si>
    <t>Gesamtwert</t>
  </si>
  <si>
    <t>Vanguard anders gerechnet mit Stück (jeden 01.01. geht der ETF jahreskomplett EX-Div)</t>
  </si>
  <si>
    <t>(B14-D14)*(1+$B$2)</t>
  </si>
  <si>
    <t>B14*$B$3*(1+$B$4)^A14</t>
  </si>
  <si>
    <t>WENN(C14&lt;$L$9;0;(C14-$L$9)*26,375/100)</t>
  </si>
  <si>
    <t>C14/B14</t>
  </si>
  <si>
    <t>(G13-I13)*(1+$G$2)</t>
  </si>
  <si>
    <t>G14*$G$3*(1+$G$4)^A14</t>
  </si>
  <si>
    <t>WENN(H14&lt;$L$9;0;(H14-$L$9)*26,375/100)</t>
  </si>
  <si>
    <t>H14/G14</t>
  </si>
  <si>
    <t>O13+(S13-T13)/U13</t>
  </si>
  <si>
    <t>U13*(1+$B$2)</t>
  </si>
  <si>
    <t>O14*P14</t>
  </si>
  <si>
    <t>P14*$B$3*(1+$B$4)^A14</t>
  </si>
  <si>
    <t>R14*O14</t>
  </si>
  <si>
    <t>WENN(S14&lt;$L$9;0;(S14-$L$9)*0,26375)</t>
  </si>
  <si>
    <t>P14-R14</t>
  </si>
  <si>
    <t>Vergleichs ETF (jeden 1.1. komplett Jahesdividenen EX Tag und zeitgleich komplette Reinvestion)</t>
  </si>
  <si>
    <t>W14+(AA14-AB14)/AC14</t>
  </si>
  <si>
    <t>AC14*(1+$G$2)</t>
  </si>
  <si>
    <t>W14*X14</t>
  </si>
  <si>
    <t>X14*$G$3*(1+$G$4)^A14</t>
  </si>
  <si>
    <t>Z14*W14</t>
  </si>
  <si>
    <t>WENN(AA14&lt;$L$9;0;(AA14-$L$9)*0,26375)</t>
  </si>
  <si>
    <t>X14-Z14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</si>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</sst>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72" formatCode="_-* #,##0.00\ [$€-407]_-;\-* #,##0.00\ [$€-407]_-;_-* &quot;-&quot;??\ [$€-407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9C6500"/>
      <name val="Calibri"/>
      <family val="2"/>
      <scheme val="minor"/>
    </font>
    <font>
      <b/>
      <i/>
      <sz val="11"/>
      <color rgb="FF00B0F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</cellStyleXfs>
  <cellXfs count="42">
    <xf numFmtId="0" fontId="0" fillId="0" borderId="0" xfId="0"/>
    <xf numFmtId="44" fontId="0" fillId="0" borderId="0" xfId="1" applyFont="1"/>
    <xf numFmtId="9" fontId="0" fillId="0" borderId="0" xfId="0" applyNumberFormat="1"/>
    <xf numFmtId="10" fontId="0" fillId="0" borderId="0" xfId="0" applyNumberFormat="1"/>
    <xf numFmtId="44" fontId="0" fillId="0" borderId="0" xfId="0" applyNumberFormat="1"/>
    <xf numFmtId="10" fontId="0" fillId="0" borderId="0" xfId="2" applyNumberFormat="1" applyFont="1"/>
    <xf numFmtId="0" fontId="6" fillId="0" borderId="0" xfId="0" applyFont="1"/>
    <xf numFmtId="0" fontId="5" fillId="0" borderId="0" xfId="0" applyFont="1"/>
    <xf numFmtId="10" fontId="5" fillId="0" borderId="0" xfId="2" applyNumberFormat="1" applyFont="1"/>
    <xf numFmtId="44" fontId="5" fillId="0" borderId="0" xfId="0" applyNumberFormat="1" applyFont="1"/>
    <xf numFmtId="0" fontId="3" fillId="3" borderId="0" xfId="4"/>
    <xf numFmtId="10" fontId="3" fillId="3" borderId="0" xfId="4" applyNumberFormat="1"/>
    <xf numFmtId="44" fontId="3" fillId="3" borderId="0" xfId="4" applyNumberFormat="1"/>
    <xf numFmtId="0" fontId="2" fillId="2" borderId="0" xfId="3"/>
    <xf numFmtId="0" fontId="2" fillId="2" borderId="0" xfId="3" applyAlignment="1">
      <alignment horizontal="center"/>
    </xf>
    <xf numFmtId="0" fontId="2" fillId="2" borderId="0" xfId="3" applyAlignment="1">
      <alignment horizontal="center"/>
    </xf>
    <xf numFmtId="0" fontId="7" fillId="2" borderId="0" xfId="3" applyFont="1" applyAlignment="1">
      <alignment horizontal="center"/>
    </xf>
    <xf numFmtId="0" fontId="4" fillId="4" borderId="1" xfId="5"/>
    <xf numFmtId="172" fontId="0" fillId="0" borderId="0" xfId="0" applyNumberFormat="1"/>
    <xf numFmtId="0" fontId="0" fillId="5" borderId="0" xfId="0" applyFill="1"/>
    <xf numFmtId="0" fontId="4" fillId="4" borderId="2" xfId="5" applyBorder="1" applyAlignment="1">
      <alignment horizontal="center"/>
    </xf>
    <xf numFmtId="0" fontId="4" fillId="4" borderId="3" xfId="5" applyBorder="1" applyAlignment="1">
      <alignment horizontal="center"/>
    </xf>
    <xf numFmtId="0" fontId="4" fillId="4" borderId="4" xfId="5" applyBorder="1" applyAlignment="1">
      <alignment horizontal="center"/>
    </xf>
    <xf numFmtId="44" fontId="8" fillId="0" borderId="0" xfId="1" applyFont="1"/>
    <xf numFmtId="44" fontId="9" fillId="0" borderId="0" xfId="1" applyFont="1"/>
    <xf numFmtId="10" fontId="9" fillId="0" borderId="0" xfId="2" applyNumberFormat="1" applyFont="1"/>
    <xf numFmtId="44" fontId="9" fillId="0" borderId="0" xfId="0" applyNumberFormat="1" applyFont="1"/>
    <xf numFmtId="0" fontId="3" fillId="3" borderId="0" xfId="4" applyAlignment="1">
      <alignment wrapText="1"/>
    </xf>
    <xf numFmtId="0" fontId="0" fillId="0" borderId="0" xfId="0" applyFill="1"/>
    <xf numFmtId="44" fontId="4" fillId="4" borderId="1" xfId="1" applyFont="1" applyFill="1" applyBorder="1"/>
    <xf numFmtId="2" fontId="0" fillId="0" borderId="0" xfId="1" applyNumberFormat="1" applyFont="1"/>
    <xf numFmtId="44" fontId="6" fillId="0" borderId="0" xfId="1" applyFont="1"/>
    <xf numFmtId="6" fontId="3" fillId="3" borderId="0" xfId="4" applyNumberFormat="1"/>
    <xf numFmtId="0" fontId="3" fillId="3" borderId="1" xfId="4" applyBorder="1"/>
    <xf numFmtId="0" fontId="10" fillId="0" borderId="0" xfId="0" applyFont="1"/>
    <xf numFmtId="9" fontId="10" fillId="0" borderId="0" xfId="0" applyNumberFormat="1" applyFont="1"/>
    <xf numFmtId="44" fontId="10" fillId="0" borderId="0" xfId="1" applyFont="1"/>
    <xf numFmtId="0" fontId="0" fillId="0" borderId="0" xfId="1" applyNumberFormat="1" applyFont="1"/>
    <xf numFmtId="0" fontId="11" fillId="0" borderId="0" xfId="0" applyFont="1"/>
    <xf numFmtId="0" fontId="12" fillId="3" borderId="0" xfId="4" applyFont="1"/>
    <xf numFmtId="0" fontId="13" fillId="0" borderId="0" xfId="0" applyFont="1"/>
    <xf numFmtId="44" fontId="13" fillId="0" borderId="0" xfId="1" applyFont="1"/>
  </cellXfs>
  <cellStyles count="6">
    <cellStyle name="Ausgabe" xfId="5" builtinId="21"/>
    <cellStyle name="Gut" xfId="3" builtinId="26"/>
    <cellStyle name="Neutral" xfId="4" builtinId="28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zoomScale="85" zoomScaleNormal="85" workbookViewId="0">
      <selection activeCell="AE7" sqref="AE7"/>
    </sheetView>
  </sheetViews>
  <sheetFormatPr baseColWidth="10" defaultRowHeight="15" x14ac:dyDescent="0.25"/>
  <cols>
    <col min="1" max="1" width="22.85546875" bestFit="1" customWidth="1"/>
    <col min="2" max="2" width="18.85546875" bestFit="1" customWidth="1"/>
    <col min="3" max="3" width="23" bestFit="1" customWidth="1"/>
    <col min="4" max="4" width="39.140625" bestFit="1" customWidth="1"/>
    <col min="5" max="5" width="12.85546875" bestFit="1" customWidth="1"/>
    <col min="6" max="6" width="12.42578125" style="10" bestFit="1" customWidth="1"/>
    <col min="7" max="7" width="17.85546875" bestFit="1" customWidth="1"/>
    <col min="8" max="8" width="22.85546875" bestFit="1" customWidth="1"/>
    <col min="9" max="9" width="38.85546875" bestFit="1" customWidth="1"/>
    <col min="10" max="10" width="12.85546875" bestFit="1" customWidth="1"/>
    <col min="11" max="11" width="7.42578125" bestFit="1" customWidth="1"/>
    <col min="12" max="12" width="18.140625" bestFit="1" customWidth="1"/>
    <col min="13" max="13" width="6.28515625" customWidth="1"/>
    <col min="14" max="14" width="2.42578125" style="10" customWidth="1"/>
    <col min="15" max="15" width="18.5703125" bestFit="1" customWidth="1"/>
    <col min="16" max="16" width="15" style="1" bestFit="1" customWidth="1"/>
    <col min="17" max="17" width="16.42578125" style="1" bestFit="1" customWidth="1"/>
    <col min="18" max="18" width="24.42578125" style="1" bestFit="1" customWidth="1"/>
    <col min="19" max="19" width="18.28515625" style="1" bestFit="1" customWidth="1"/>
    <col min="20" max="20" width="35.85546875" bestFit="1" customWidth="1"/>
    <col min="21" max="21" width="12.28515625" bestFit="1" customWidth="1"/>
    <col min="22" max="22" width="11.42578125" style="10"/>
    <col min="23" max="23" width="22.5703125" bestFit="1" customWidth="1"/>
    <col min="24" max="24" width="14.140625" bestFit="1" customWidth="1"/>
    <col min="25" max="25" width="13.5703125" bestFit="1" customWidth="1"/>
    <col min="26" max="26" width="22.85546875" bestFit="1" customWidth="1"/>
    <col min="27" max="27" width="19" bestFit="1" customWidth="1"/>
    <col min="28" max="28" width="38.5703125" bestFit="1" customWidth="1"/>
    <col min="29" max="29" width="12.28515625" bestFit="1" customWidth="1"/>
  </cols>
  <sheetData>
    <row r="1" spans="1:30" x14ac:dyDescent="0.25">
      <c r="B1" s="19" t="s">
        <v>21</v>
      </c>
      <c r="C1" s="28" t="s">
        <v>6</v>
      </c>
      <c r="D1" s="28"/>
      <c r="G1" s="19" t="s">
        <v>21</v>
      </c>
      <c r="H1" t="s">
        <v>5</v>
      </c>
      <c r="I1" t="s">
        <v>20</v>
      </c>
      <c r="J1" t="s">
        <v>22</v>
      </c>
    </row>
    <row r="2" spans="1:30" x14ac:dyDescent="0.25">
      <c r="A2" s="7" t="s">
        <v>1</v>
      </c>
      <c r="B2" s="5">
        <v>0.1017</v>
      </c>
      <c r="C2" s="3">
        <v>0.1017</v>
      </c>
      <c r="D2" s="3"/>
      <c r="E2" s="3"/>
      <c r="F2" s="11"/>
      <c r="G2" s="3">
        <v>6.4199999999999993E-2</v>
      </c>
      <c r="H2" s="3">
        <v>8.9399999999999993E-2</v>
      </c>
      <c r="I2" s="3">
        <v>6.4199999999999993E-2</v>
      </c>
      <c r="J2" s="3">
        <v>9.2999999999999999E-2</v>
      </c>
    </row>
    <row r="3" spans="1:30" x14ac:dyDescent="0.25">
      <c r="A3" s="7" t="s">
        <v>0</v>
      </c>
      <c r="B3" s="3">
        <f>(1.69+1.99+1.78+2.48+2.29+2.18)/6/100</f>
        <v>2.0683333333333335E-2</v>
      </c>
      <c r="C3" s="3">
        <f>(1.69+1.99+1.78+2.48+2.29+2.18)/6/100</f>
        <v>2.0683333333333335E-2</v>
      </c>
      <c r="D3" s="3"/>
      <c r="E3" s="3"/>
      <c r="F3" s="11"/>
      <c r="G3" s="3">
        <v>4.0779999999999997E-2</v>
      </c>
      <c r="H3" s="3">
        <v>4.6399999999999997E-2</v>
      </c>
      <c r="I3">
        <f>(4.55+3.92+3.54+4.78+3.6)/5</f>
        <v>4.0780000000000003</v>
      </c>
      <c r="J3" s="5">
        <f>(2.15+2.92+2.36+2.53+2.35)/5/100</f>
        <v>2.4619999999999996E-2</v>
      </c>
    </row>
    <row r="4" spans="1:30" x14ac:dyDescent="0.25">
      <c r="A4" s="7" t="s">
        <v>2</v>
      </c>
      <c r="B4" s="3">
        <v>5.5899999999999998E-2</v>
      </c>
      <c r="C4" s="3">
        <v>5.5899999999999998E-2</v>
      </c>
      <c r="D4" s="3"/>
      <c r="E4" s="3"/>
      <c r="F4" s="11"/>
      <c r="G4" s="3">
        <v>6.1600000000000002E-2</v>
      </c>
      <c r="H4" s="3">
        <v>6.6600000000000006E-2</v>
      </c>
      <c r="I4" s="3">
        <v>6.1600000000000002E-2</v>
      </c>
      <c r="J4" s="3">
        <v>7.2000000000000008E-2</v>
      </c>
    </row>
    <row r="5" spans="1:30" x14ac:dyDescent="0.25">
      <c r="A5" s="7" t="s">
        <v>4</v>
      </c>
      <c r="B5" s="18">
        <v>10000</v>
      </c>
    </row>
    <row r="6" spans="1:30" x14ac:dyDescent="0.25">
      <c r="A6" s="7" t="s">
        <v>23</v>
      </c>
      <c r="B6" s="1">
        <v>100</v>
      </c>
    </row>
    <row r="7" spans="1:30" x14ac:dyDescent="0.25">
      <c r="A7" s="40" t="s">
        <v>55</v>
      </c>
      <c r="B7" s="41" t="s">
        <v>56</v>
      </c>
      <c r="C7" s="40" t="s">
        <v>57</v>
      </c>
      <c r="D7" s="40" t="s">
        <v>58</v>
      </c>
      <c r="E7" s="41" t="s">
        <v>59</v>
      </c>
      <c r="F7" s="40" t="s">
        <v>60</v>
      </c>
      <c r="G7" s="40" t="s">
        <v>61</v>
      </c>
      <c r="H7" s="41" t="s">
        <v>62</v>
      </c>
      <c r="I7" s="40" t="s">
        <v>63</v>
      </c>
      <c r="J7" s="40" t="s">
        <v>64</v>
      </c>
      <c r="K7" s="40" t="s">
        <v>65</v>
      </c>
      <c r="L7" s="41" t="s">
        <v>66</v>
      </c>
      <c r="M7" s="40" t="s">
        <v>67</v>
      </c>
      <c r="N7" s="41" t="s">
        <v>68</v>
      </c>
      <c r="O7" s="40" t="s">
        <v>69</v>
      </c>
      <c r="P7" s="40" t="s">
        <v>70</v>
      </c>
      <c r="Q7" s="41" t="s">
        <v>71</v>
      </c>
      <c r="R7" s="40" t="s">
        <v>72</v>
      </c>
      <c r="S7" s="40" t="s">
        <v>73</v>
      </c>
      <c r="T7" s="41" t="s">
        <v>74</v>
      </c>
      <c r="U7" s="40" t="s">
        <v>75</v>
      </c>
      <c r="V7" s="40" t="s">
        <v>76</v>
      </c>
      <c r="W7" s="41" t="s">
        <v>77</v>
      </c>
      <c r="X7" s="40" t="s">
        <v>78</v>
      </c>
      <c r="Y7" s="40" t="s">
        <v>79</v>
      </c>
      <c r="Z7" s="41" t="s">
        <v>80</v>
      </c>
      <c r="AA7" s="40" t="s">
        <v>81</v>
      </c>
      <c r="AB7" s="40" t="s">
        <v>82</v>
      </c>
      <c r="AC7" s="41" t="s">
        <v>83</v>
      </c>
    </row>
    <row r="8" spans="1:30" s="13" customFormat="1" x14ac:dyDescent="0.25">
      <c r="B8" s="16" t="s">
        <v>7</v>
      </c>
      <c r="C8" s="16"/>
      <c r="D8" s="16"/>
      <c r="E8" s="16"/>
      <c r="F8" s="15"/>
      <c r="G8" s="16" t="s">
        <v>5</v>
      </c>
      <c r="H8" s="16"/>
      <c r="I8" s="16"/>
      <c r="J8" s="16"/>
      <c r="N8" s="10"/>
      <c r="O8" s="14" t="s">
        <v>31</v>
      </c>
      <c r="P8" s="14"/>
      <c r="Q8" s="14"/>
      <c r="R8" s="14"/>
      <c r="S8" s="14"/>
      <c r="T8" s="14"/>
      <c r="U8" s="14"/>
      <c r="V8" s="10"/>
      <c r="W8" s="14" t="s">
        <v>47</v>
      </c>
      <c r="X8" s="14"/>
      <c r="Y8" s="14"/>
      <c r="Z8" s="14"/>
      <c r="AA8" s="14"/>
      <c r="AB8" s="14"/>
      <c r="AC8" s="14"/>
    </row>
    <row r="9" spans="1:30" x14ac:dyDescent="0.25">
      <c r="B9" s="6" t="s">
        <v>8</v>
      </c>
      <c r="C9" s="6" t="s">
        <v>9</v>
      </c>
      <c r="D9" s="6" t="s">
        <v>13</v>
      </c>
      <c r="E9" s="6" t="s">
        <v>11</v>
      </c>
      <c r="G9" s="6" t="s">
        <v>10</v>
      </c>
      <c r="H9" s="6" t="s">
        <v>9</v>
      </c>
      <c r="I9" s="6" t="s">
        <v>13</v>
      </c>
      <c r="J9" s="6" t="s">
        <v>11</v>
      </c>
      <c r="K9" s="6"/>
      <c r="L9" s="6" t="s">
        <v>12</v>
      </c>
      <c r="O9" s="6" t="s">
        <v>24</v>
      </c>
      <c r="P9" s="31" t="s">
        <v>25</v>
      </c>
      <c r="Q9" s="31" t="s">
        <v>30</v>
      </c>
      <c r="R9" s="31" t="s">
        <v>28</v>
      </c>
      <c r="S9" s="31" t="s">
        <v>29</v>
      </c>
      <c r="T9" s="6" t="s">
        <v>26</v>
      </c>
      <c r="U9" s="6" t="s">
        <v>27</v>
      </c>
      <c r="W9" s="6" t="s">
        <v>24</v>
      </c>
      <c r="X9" s="31" t="s">
        <v>25</v>
      </c>
      <c r="Y9" s="31" t="s">
        <v>30</v>
      </c>
      <c r="Z9" s="31" t="s">
        <v>28</v>
      </c>
      <c r="AA9" s="31" t="s">
        <v>29</v>
      </c>
      <c r="AB9" s="6" t="s">
        <v>26</v>
      </c>
      <c r="AC9" s="6" t="s">
        <v>27</v>
      </c>
    </row>
    <row r="10" spans="1:30" s="34" customFormat="1" x14ac:dyDescent="0.25">
      <c r="A10" s="38" t="s">
        <v>3</v>
      </c>
      <c r="B10" s="34" t="s">
        <v>32</v>
      </c>
      <c r="C10" s="34" t="s">
        <v>33</v>
      </c>
      <c r="D10" s="34" t="s">
        <v>34</v>
      </c>
      <c r="E10" s="34" t="s">
        <v>35</v>
      </c>
      <c r="F10" s="39"/>
      <c r="G10" s="34" t="s">
        <v>36</v>
      </c>
      <c r="H10" s="34" t="s">
        <v>37</v>
      </c>
      <c r="I10" s="34" t="s">
        <v>38</v>
      </c>
      <c r="J10" s="34" t="s">
        <v>39</v>
      </c>
      <c r="L10" s="36">
        <v>2000</v>
      </c>
      <c r="N10" s="39"/>
      <c r="O10" s="35" t="s">
        <v>40</v>
      </c>
      <c r="P10" s="36" t="s">
        <v>41</v>
      </c>
      <c r="Q10" s="36" t="s">
        <v>42</v>
      </c>
      <c r="R10" s="36" t="s">
        <v>43</v>
      </c>
      <c r="S10" s="36" t="s">
        <v>44</v>
      </c>
      <c r="T10" s="34" t="s">
        <v>45</v>
      </c>
      <c r="U10" s="34" t="s">
        <v>46</v>
      </c>
      <c r="V10" s="39"/>
      <c r="W10" s="34" t="s">
        <v>48</v>
      </c>
      <c r="X10" s="34" t="s">
        <v>49</v>
      </c>
      <c r="Y10" s="34" t="s">
        <v>50</v>
      </c>
      <c r="Z10" s="34" t="s">
        <v>51</v>
      </c>
      <c r="AA10" s="34" t="s">
        <v>52</v>
      </c>
      <c r="AB10" s="34" t="s">
        <v>53</v>
      </c>
      <c r="AC10" s="34" t="s">
        <v>54</v>
      </c>
    </row>
    <row r="11" spans="1:30" x14ac:dyDescent="0.25">
      <c r="A11" s="7">
        <v>1</v>
      </c>
      <c r="B11" s="1">
        <f>B5*(1+$B$2)</f>
        <v>11016.999999999998</v>
      </c>
      <c r="C11" s="1">
        <f>B5*B3</f>
        <v>206.83333333333334</v>
      </c>
      <c r="D11" s="1">
        <f>IF(C11&lt;$L$10,0,(C11-$L$10)*26.375/100)</f>
        <v>0</v>
      </c>
      <c r="E11" s="5">
        <f>C11/B11</f>
        <v>1.8774015914798346E-2</v>
      </c>
      <c r="F11" s="12"/>
      <c r="G11" s="1">
        <f>B5*G2+B5</f>
        <v>10642</v>
      </c>
      <c r="H11" s="1">
        <f>B5*G3</f>
        <v>407.79999999999995</v>
      </c>
      <c r="I11" s="1">
        <f>IF(H11&lt;$L$10,0,(H11-$L$10)*26.375/100)</f>
        <v>0</v>
      </c>
      <c r="J11" s="5">
        <f>H11/G11</f>
        <v>3.8319864687088888E-2</v>
      </c>
      <c r="L11" s="6" t="s">
        <v>18</v>
      </c>
      <c r="O11" s="30">
        <f>B5/B6</f>
        <v>100</v>
      </c>
      <c r="P11" s="1">
        <f>B6</f>
        <v>100</v>
      </c>
      <c r="Q11" s="1">
        <f>O11*P11</f>
        <v>10000</v>
      </c>
      <c r="R11" s="1">
        <f>P11*B3</f>
        <v>2.0683333333333334</v>
      </c>
      <c r="S11" s="1">
        <f>R11*O11</f>
        <v>206.83333333333334</v>
      </c>
      <c r="T11" s="1">
        <f>IF(S11&lt;$L$10,0,(S11-$L$10)*0.26375)</f>
        <v>0</v>
      </c>
      <c r="U11" s="4">
        <f>P11-R11</f>
        <v>97.931666666666672</v>
      </c>
      <c r="W11" s="30">
        <f>B5/B6</f>
        <v>100</v>
      </c>
      <c r="X11" s="1">
        <f>B6</f>
        <v>100</v>
      </c>
      <c r="Y11" s="1">
        <f>W11*X11</f>
        <v>10000</v>
      </c>
      <c r="Z11" s="1">
        <f>X11*G3</f>
        <v>4.0779999999999994</v>
      </c>
      <c r="AA11" s="1">
        <f>Z11*W11</f>
        <v>407.79999999999995</v>
      </c>
      <c r="AB11" s="1">
        <f>IF(AA11&lt;$L$10,0,(AA11-$L$10)*0.26375)</f>
        <v>0</v>
      </c>
      <c r="AC11" s="4">
        <f>X11-Z11</f>
        <v>95.921999999999997</v>
      </c>
    </row>
    <row r="12" spans="1:30" x14ac:dyDescent="0.25">
      <c r="A12" s="7">
        <v>2</v>
      </c>
      <c r="B12" s="1">
        <f>(B11-D11)*(1+$B$2)</f>
        <v>12137.428899999997</v>
      </c>
      <c r="C12" s="1">
        <f>B12*$B$3*(1+$B$4)^A12</f>
        <v>279.89349795473788</v>
      </c>
      <c r="D12" s="1">
        <f t="shared" ref="D12:D30" si="0">IF(C12&lt;$L$10,0,(C12-$L$10)*26.375/100)</f>
        <v>0</v>
      </c>
      <c r="E12" s="5">
        <f t="shared" ref="E12:E16" si="1">C12/B12</f>
        <v>2.3060361486833339E-2</v>
      </c>
      <c r="F12" s="12"/>
      <c r="G12" s="1">
        <f>(G11-I11)*(1+$G$2)</f>
        <v>11325.216400000001</v>
      </c>
      <c r="H12" s="1">
        <f>G12*$G$3*(1+$G$4)^A12</f>
        <v>520.49378761833725</v>
      </c>
      <c r="I12" s="1">
        <f t="shared" ref="I12:I30" si="2">IF(H12&lt;$L$10,0,(H12-$L$10)*26.375/100)</f>
        <v>0</v>
      </c>
      <c r="J12" s="5">
        <f t="shared" ref="J12:J16" si="3">H12/G12</f>
        <v>4.5958838156800005E-2</v>
      </c>
      <c r="L12" s="2">
        <v>0.7</v>
      </c>
      <c r="N12" s="32"/>
      <c r="O12" s="30">
        <f>O11+(S11-T11)/U11</f>
        <v>102.11201688252012</v>
      </c>
      <c r="P12" s="1">
        <f>U11*(1+$B$2)</f>
        <v>107.89131716666667</v>
      </c>
      <c r="Q12" s="1">
        <f t="shared" ref="Q12:Q30" si="4">O12*P12</f>
        <v>11017</v>
      </c>
      <c r="R12" s="1">
        <f>P12*$B$3*(1+$B$4)^A12</f>
        <v>2.4880127751539209</v>
      </c>
      <c r="S12" s="1">
        <f>R12*O12</f>
        <v>254.05600250044293</v>
      </c>
      <c r="T12" s="1">
        <f t="shared" ref="T12:T30" si="5">IF(S12&lt;$L$10,0,(S12-$L$10)*0.26375)</f>
        <v>0</v>
      </c>
      <c r="U12" s="4">
        <f>P12-R12</f>
        <v>105.40330439151275</v>
      </c>
      <c r="W12" s="37">
        <f>W11+(AA11-AB11)/AC11</f>
        <v>104.25137090552741</v>
      </c>
      <c r="X12" s="1">
        <f>AC11*(1+$G$2)</f>
        <v>102.0801924</v>
      </c>
      <c r="Y12" s="1">
        <f t="shared" ref="Y12" si="6">W12*X12</f>
        <v>10642</v>
      </c>
      <c r="Z12" s="1">
        <f>X12*$G$3*(1+$G$4)^A12</f>
        <v>4.6914870415266057</v>
      </c>
      <c r="AA12" s="1">
        <f>Z12*W12</f>
        <v>489.09395566466566</v>
      </c>
      <c r="AB12" s="1">
        <f>IF(AA12&lt;$L$10,0,(AA12-$L$10)*0.26375)</f>
        <v>0</v>
      </c>
      <c r="AC12" s="4">
        <f>X12-Z12</f>
        <v>97.388705358473402</v>
      </c>
      <c r="AD12" s="4"/>
    </row>
    <row r="13" spans="1:30" x14ac:dyDescent="0.25">
      <c r="A13" s="7">
        <v>3</v>
      </c>
      <c r="B13" s="1">
        <f>(B12-D12)*(1+$B$2)</f>
        <v>13371.805419129996</v>
      </c>
      <c r="C13" s="1">
        <f>B13*$B$3*(1+$B$4)^A13</f>
        <v>325.5959161650822</v>
      </c>
      <c r="D13" s="1">
        <f t="shared" si="0"/>
        <v>0</v>
      </c>
      <c r="E13" s="5">
        <f t="shared" si="1"/>
        <v>2.4349435693947326E-2</v>
      </c>
      <c r="F13" s="12"/>
      <c r="G13" s="1">
        <f>(G12-I12)*(1+$G$2)</f>
        <v>12052.295292880002</v>
      </c>
      <c r="H13" s="1">
        <f>G13*$G$3*(1+$G$4)^A13</f>
        <v>588.03031329249416</v>
      </c>
      <c r="I13" s="1">
        <f t="shared" si="2"/>
        <v>0</v>
      </c>
      <c r="J13" s="5">
        <f t="shared" si="3"/>
        <v>4.878990258725889E-2</v>
      </c>
      <c r="O13" s="30">
        <f>O12+(S12-T12)/U12</f>
        <v>104.52233982227133</v>
      </c>
      <c r="P13" s="1">
        <f t="shared" ref="P13:P30" si="7">U12*(1+$B$2)</f>
        <v>116.12282044812959</v>
      </c>
      <c r="Q13" s="1">
        <f t="shared" si="4"/>
        <v>12137.428899999999</v>
      </c>
      <c r="R13" s="1">
        <f t="shared" ref="R13:R30" si="8">P13*$B$3*(1+$B$4)^A13</f>
        <v>2.8275251491015228</v>
      </c>
      <c r="S13" s="1">
        <f>R13*O13</f>
        <v>295.53954449040776</v>
      </c>
      <c r="T13" s="1">
        <f t="shared" si="5"/>
        <v>0</v>
      </c>
      <c r="U13" s="4">
        <f t="shared" ref="U13:U30" si="9">P13-R13</f>
        <v>113.29529529902807</v>
      </c>
      <c r="W13" s="37">
        <f t="shared" ref="W13:W30" si="10">W12+(AA12-AB12)/AC12</f>
        <v>109.2734517912357</v>
      </c>
      <c r="X13" s="1">
        <f t="shared" ref="X13:X30" si="11">AC12*(1+$G$2)</f>
        <v>103.6410602424874</v>
      </c>
      <c r="Y13" s="1">
        <f t="shared" ref="Y13:Y30" si="12">W13*X13</f>
        <v>11325.216400000001</v>
      </c>
      <c r="Z13" s="1">
        <f t="shared" ref="Z13:Z30" si="13">X13*$G$3*(1+$G$4)^A13</f>
        <v>5.0566372332711902</v>
      </c>
      <c r="AA13" s="1">
        <f t="shared" ref="AA13:AA30" si="14">Z13*W13</f>
        <v>552.55620493562685</v>
      </c>
      <c r="AB13" s="1">
        <f t="shared" ref="AB13:AB30" si="15">IF(AA13&lt;$L$10,0,(AA13-$L$10)*0.26375)</f>
        <v>0</v>
      </c>
      <c r="AC13" s="4">
        <f t="shared" ref="AC13:AC30" si="16">X13-Z13</f>
        <v>98.584423009216209</v>
      </c>
    </row>
    <row r="14" spans="1:30" x14ac:dyDescent="0.25">
      <c r="A14" s="7">
        <v>4</v>
      </c>
      <c r="B14" s="1">
        <f>(B13-D13)*(1+$B$2)</f>
        <v>14731.718030255515</v>
      </c>
      <c r="C14" s="1">
        <f>B14*$B$3*(1+$B$4)^A14</f>
        <v>378.76085510397513</v>
      </c>
      <c r="D14" s="1">
        <f t="shared" si="0"/>
        <v>0</v>
      </c>
      <c r="E14" s="5">
        <f t="shared" si="1"/>
        <v>2.5710569149238985E-2</v>
      </c>
      <c r="F14" s="12"/>
      <c r="G14" s="1">
        <f>(G13-I13)*(1+$G$2)</f>
        <v>12826.052650682899</v>
      </c>
      <c r="H14" s="1">
        <f>G14*$G$3*(1+$G$4)^A14</f>
        <v>664.3300219452741</v>
      </c>
      <c r="I14" s="1">
        <f t="shared" si="2"/>
        <v>0</v>
      </c>
      <c r="J14" s="5">
        <f t="shared" si="3"/>
        <v>5.1795360586634039E-2</v>
      </c>
      <c r="O14" s="30">
        <f t="shared" ref="O14:O30" si="17">O13+(S13-T13)/U13</f>
        <v>107.13091720150292</v>
      </c>
      <c r="P14" s="1">
        <f t="shared" si="7"/>
        <v>124.81742683093921</v>
      </c>
      <c r="Q14" s="1">
        <f t="shared" si="4"/>
        <v>13371.805419129998</v>
      </c>
      <c r="R14" s="1">
        <f t="shared" si="8"/>
        <v>3.2091270835669401</v>
      </c>
      <c r="S14" s="1">
        <f>R14*O14</f>
        <v>343.79672787871044</v>
      </c>
      <c r="T14" s="1">
        <f t="shared" si="5"/>
        <v>0</v>
      </c>
      <c r="U14" s="4">
        <f t="shared" si="9"/>
        <v>121.60829974737227</v>
      </c>
      <c r="W14" s="37">
        <f t="shared" si="10"/>
        <v>114.87835556882307</v>
      </c>
      <c r="X14" s="1">
        <f t="shared" si="11"/>
        <v>104.91354296640789</v>
      </c>
      <c r="Y14" s="1">
        <f t="shared" si="12"/>
        <v>12052.295292880002</v>
      </c>
      <c r="Z14" s="1">
        <f t="shared" si="13"/>
        <v>5.4340347883664206</v>
      </c>
      <c r="AA14" s="1">
        <f t="shared" si="14"/>
        <v>624.25298059131183</v>
      </c>
      <c r="AB14" s="1">
        <f t="shared" si="15"/>
        <v>0</v>
      </c>
      <c r="AC14" s="4">
        <f t="shared" si="16"/>
        <v>99.479508178041471</v>
      </c>
    </row>
    <row r="15" spans="1:30" x14ac:dyDescent="0.25">
      <c r="A15" s="7">
        <v>5</v>
      </c>
      <c r="B15" s="1">
        <f>(B14-D14)*(1+$B$2)</f>
        <v>16229.933753932499</v>
      </c>
      <c r="C15" s="1">
        <f>B15*$B$3*(1+$B$4)^A15</f>
        <v>440.60683269245328</v>
      </c>
      <c r="D15" s="1">
        <f t="shared" si="0"/>
        <v>0</v>
      </c>
      <c r="E15" s="5">
        <f t="shared" si="1"/>
        <v>2.7147789964681441E-2</v>
      </c>
      <c r="F15" s="12"/>
      <c r="G15" s="1">
        <f>(G14-I14)*(1+$G$2)</f>
        <v>13649.485230856742</v>
      </c>
      <c r="H15" s="1">
        <f>G15*$G$3*(1+$G$4)^A15</f>
        <v>750.52997793037719</v>
      </c>
      <c r="I15" s="1">
        <f t="shared" si="2"/>
        <v>0</v>
      </c>
      <c r="J15" s="5">
        <f t="shared" si="3"/>
        <v>5.4985954798770706E-2</v>
      </c>
      <c r="O15" s="30">
        <f t="shared" si="17"/>
        <v>109.95799996306533</v>
      </c>
      <c r="P15" s="1">
        <f t="shared" si="7"/>
        <v>133.97586383168002</v>
      </c>
      <c r="Q15" s="1">
        <f t="shared" si="4"/>
        <v>14731.718030255517</v>
      </c>
      <c r="R15" s="1">
        <f t="shared" si="8"/>
        <v>3.6371486116392102</v>
      </c>
      <c r="S15" s="1">
        <f>R15*O15</f>
        <v>399.93358690428738</v>
      </c>
      <c r="T15" s="1">
        <f t="shared" si="5"/>
        <v>0</v>
      </c>
      <c r="U15" s="4">
        <f t="shared" si="9"/>
        <v>130.3387152200408</v>
      </c>
      <c r="W15" s="37">
        <f t="shared" si="10"/>
        <v>121.15354723416652</v>
      </c>
      <c r="X15" s="1">
        <f t="shared" si="11"/>
        <v>105.86609260307173</v>
      </c>
      <c r="Y15" s="1">
        <f t="shared" si="12"/>
        <v>12826.052650682899</v>
      </c>
      <c r="Z15" s="1">
        <f t="shared" si="13"/>
        <v>5.8211481825949773</v>
      </c>
      <c r="AA15" s="1">
        <f t="shared" si="14"/>
        <v>705.25275129710326</v>
      </c>
      <c r="AB15" s="1">
        <f t="shared" si="15"/>
        <v>0</v>
      </c>
      <c r="AC15" s="4">
        <f t="shared" si="16"/>
        <v>100.04494442047675</v>
      </c>
    </row>
    <row r="16" spans="1:30" x14ac:dyDescent="0.25">
      <c r="A16" s="7">
        <v>6</v>
      </c>
      <c r="B16" s="1">
        <f>(B15-D15)*(1+$B$2)</f>
        <v>17880.518016707432</v>
      </c>
      <c r="C16" s="1">
        <f>B16*$B$3*(1+$B$4)^A16</f>
        <v>512.55133258684555</v>
      </c>
      <c r="D16" s="1">
        <f t="shared" si="0"/>
        <v>0</v>
      </c>
      <c r="E16" s="5">
        <f t="shared" si="1"/>
        <v>2.8665351423707141E-2</v>
      </c>
      <c r="F16" s="12"/>
      <c r="G16" s="1">
        <f>(G15-I15)*(1+$G$2)</f>
        <v>14525.782182677745</v>
      </c>
      <c r="H16" s="1">
        <f>G16*$G$3*(1+$G$4)^A16</f>
        <v>847.9147850683396</v>
      </c>
      <c r="I16" s="1">
        <f t="shared" si="2"/>
        <v>0</v>
      </c>
      <c r="J16" s="5">
        <f t="shared" si="3"/>
        <v>5.8373089614374991E-2</v>
      </c>
      <c r="O16" s="30">
        <f t="shared" si="17"/>
        <v>113.02641740318748</v>
      </c>
      <c r="P16" s="1">
        <f t="shared" si="7"/>
        <v>143.59416255791893</v>
      </c>
      <c r="Q16" s="1">
        <f t="shared" si="4"/>
        <v>16229.933753932501</v>
      </c>
      <c r="R16" s="1">
        <f t="shared" si="8"/>
        <v>4.1161771321156762</v>
      </c>
      <c r="S16" s="1">
        <f>R16*O16</f>
        <v>465.23675463996159</v>
      </c>
      <c r="T16" s="1">
        <f t="shared" si="5"/>
        <v>0</v>
      </c>
      <c r="U16" s="4">
        <f t="shared" si="9"/>
        <v>139.47798542580327</v>
      </c>
      <c r="W16" s="37">
        <f t="shared" si="10"/>
        <v>128.20290645348911</v>
      </c>
      <c r="X16" s="1">
        <f t="shared" si="11"/>
        <v>106.46782985227136</v>
      </c>
      <c r="Y16" s="1">
        <f t="shared" si="12"/>
        <v>13649.485230856741</v>
      </c>
      <c r="Z16" s="1">
        <f t="shared" si="13"/>
        <v>6.2148561730146641</v>
      </c>
      <c r="AA16" s="1">
        <f t="shared" si="14"/>
        <v>796.76262457088831</v>
      </c>
      <c r="AB16" s="1">
        <f t="shared" si="15"/>
        <v>0</v>
      </c>
      <c r="AC16" s="4">
        <f t="shared" si="16"/>
        <v>100.2529736792567</v>
      </c>
    </row>
    <row r="17" spans="1:29" x14ac:dyDescent="0.25">
      <c r="A17" s="7">
        <v>7</v>
      </c>
      <c r="B17" s="1">
        <f>(B16-D16)*(1+$B$2)</f>
        <v>19698.966699006578</v>
      </c>
      <c r="C17" s="1">
        <f>B17*$B$3*(1+$B$4)^A17</f>
        <v>596.24329230482863</v>
      </c>
      <c r="D17" s="1">
        <f t="shared" si="0"/>
        <v>0</v>
      </c>
      <c r="E17" s="5">
        <f t="shared" ref="E17:E26" si="18">C17/B17</f>
        <v>3.0267744568292371E-2</v>
      </c>
      <c r="F17" s="12"/>
      <c r="G17" s="1">
        <f>(G16-I16)*(1+$G$2)</f>
        <v>15458.337398805657</v>
      </c>
      <c r="H17" s="1">
        <f>G17*$G$3*(1+$G$4)^A17</f>
        <v>957.93573058874222</v>
      </c>
      <c r="I17" s="1">
        <f t="shared" si="2"/>
        <v>0</v>
      </c>
      <c r="J17" s="5">
        <f t="shared" ref="J17:J26" si="19">H17/G17</f>
        <v>6.1968871934620494E-2</v>
      </c>
      <c r="O17" s="30">
        <f t="shared" si="17"/>
        <v>116.36197428852441</v>
      </c>
      <c r="P17" s="1">
        <f t="shared" si="7"/>
        <v>153.66289654360745</v>
      </c>
      <c r="Q17" s="1">
        <f t="shared" si="4"/>
        <v>17880.518016707436</v>
      </c>
      <c r="R17" s="1">
        <f t="shared" si="8"/>
        <v>4.6510293022058464</v>
      </c>
      <c r="S17" s="1">
        <f>R17*O17</f>
        <v>541.20295207845027</v>
      </c>
      <c r="T17" s="1">
        <f t="shared" si="5"/>
        <v>0</v>
      </c>
      <c r="U17" s="4">
        <f t="shared" si="9"/>
        <v>149.0118672414016</v>
      </c>
      <c r="W17" s="37">
        <f t="shared" si="10"/>
        <v>136.15042756263847</v>
      </c>
      <c r="X17" s="1">
        <f t="shared" si="11"/>
        <v>106.68921458946498</v>
      </c>
      <c r="Y17" s="1">
        <f t="shared" si="12"/>
        <v>14525.782182677744</v>
      </c>
      <c r="Z17" s="1">
        <f t="shared" si="13"/>
        <v>6.6114102756998001</v>
      </c>
      <c r="AA17" s="1">
        <f t="shared" si="14"/>
        <v>900.14633582854924</v>
      </c>
      <c r="AB17" s="1">
        <f t="shared" si="15"/>
        <v>0</v>
      </c>
      <c r="AC17" s="4">
        <f t="shared" si="16"/>
        <v>100.07780431376518</v>
      </c>
    </row>
    <row r="18" spans="1:29" x14ac:dyDescent="0.25">
      <c r="A18" s="7">
        <v>8</v>
      </c>
      <c r="B18" s="1">
        <f>(B17-D17)*(1+$B$2)</f>
        <v>21702.351612295544</v>
      </c>
      <c r="C18" s="1">
        <f>B18*$B$3*(1+$B$4)^A18</f>
        <v>693.6008961761213</v>
      </c>
      <c r="D18" s="1">
        <f t="shared" si="0"/>
        <v>0</v>
      </c>
      <c r="E18" s="5">
        <f t="shared" si="18"/>
        <v>3.1959711489659919E-2</v>
      </c>
      <c r="F18" s="12"/>
      <c r="G18" s="1">
        <f>(G17-I17)*(1+$G$2)</f>
        <v>16450.762659808981</v>
      </c>
      <c r="H18" s="1">
        <f>G18*$G$3*(1+$G$4)^A18</f>
        <v>1082.23241308928</v>
      </c>
      <c r="I18" s="1">
        <f t="shared" si="2"/>
        <v>0</v>
      </c>
      <c r="J18" s="5">
        <f t="shared" si="19"/>
        <v>6.5786154445793124E-2</v>
      </c>
      <c r="O18" s="30">
        <f t="shared" si="17"/>
        <v>119.99391959662321</v>
      </c>
      <c r="P18" s="1">
        <f t="shared" si="7"/>
        <v>164.16637413985214</v>
      </c>
      <c r="Q18" s="1">
        <f t="shared" si="4"/>
        <v>19698.966699006582</v>
      </c>
      <c r="R18" s="1">
        <f t="shared" si="8"/>
        <v>5.2467099538132409</v>
      </c>
      <c r="S18" s="1">
        <f>R18*O18</f>
        <v>629.57329234466874</v>
      </c>
      <c r="T18" s="1">
        <f t="shared" si="5"/>
        <v>0</v>
      </c>
      <c r="U18" s="4">
        <f t="shared" si="9"/>
        <v>158.91966418603889</v>
      </c>
      <c r="W18" s="37">
        <f t="shared" si="10"/>
        <v>145.14489283893889</v>
      </c>
      <c r="X18" s="1">
        <f t="shared" si="11"/>
        <v>106.50279935070891</v>
      </c>
      <c r="Y18" s="1">
        <f t="shared" si="12"/>
        <v>15458.337398805656</v>
      </c>
      <c r="Z18" s="1">
        <f t="shared" si="13"/>
        <v>7.0064096069950521</v>
      </c>
      <c r="AA18" s="1">
        <f t="shared" si="14"/>
        <v>1016.9445715930087</v>
      </c>
      <c r="AB18" s="1">
        <f t="shared" si="15"/>
        <v>0</v>
      </c>
      <c r="AC18" s="4">
        <f t="shared" si="16"/>
        <v>99.496389743713863</v>
      </c>
    </row>
    <row r="19" spans="1:29" x14ac:dyDescent="0.25">
      <c r="A19" s="7">
        <v>9</v>
      </c>
      <c r="B19" s="1">
        <f>(B18-D18)*(1+$B$2)</f>
        <v>23909.480771266</v>
      </c>
      <c r="C19" s="1">
        <f>B19*$B$3*(1+$B$4)^A19</f>
        <v>806.85553931626612</v>
      </c>
      <c r="D19" s="1">
        <f t="shared" si="0"/>
        <v>0</v>
      </c>
      <c r="E19" s="5">
        <f t="shared" si="18"/>
        <v>3.3746259361931902E-2</v>
      </c>
      <c r="F19" s="12"/>
      <c r="G19" s="1">
        <f>(G18-I18)*(1+$G$2)</f>
        <v>17506.901622568719</v>
      </c>
      <c r="H19" s="1">
        <f>G19*$G$3*(1+$G$4)^A19</f>
        <v>1222.6571768246042</v>
      </c>
      <c r="I19" s="1">
        <f t="shared" si="2"/>
        <v>0</v>
      </c>
      <c r="J19" s="5">
        <f t="shared" si="19"/>
        <v>6.9838581559653987E-2</v>
      </c>
      <c r="O19" s="30">
        <f t="shared" si="17"/>
        <v>123.95550166747167</v>
      </c>
      <c r="P19" s="1">
        <f t="shared" si="7"/>
        <v>175.08179403375902</v>
      </c>
      <c r="Q19" s="1">
        <f t="shared" si="4"/>
        <v>21702.351612295548</v>
      </c>
      <c r="R19" s="1">
        <f t="shared" si="8"/>
        <v>5.9083556310155743</v>
      </c>
      <c r="S19" s="1">
        <f>R19*O19</f>
        <v>732.37318627236664</v>
      </c>
      <c r="T19" s="1">
        <f t="shared" si="5"/>
        <v>0</v>
      </c>
      <c r="U19" s="4">
        <f t="shared" si="9"/>
        <v>169.17343840274344</v>
      </c>
      <c r="W19" s="37">
        <f t="shared" si="10"/>
        <v>155.36581215282041</v>
      </c>
      <c r="X19" s="1">
        <f t="shared" si="11"/>
        <v>105.8840579652603</v>
      </c>
      <c r="Y19" s="1">
        <f t="shared" si="12"/>
        <v>16450.762659808977</v>
      </c>
      <c r="Z19" s="1">
        <f t="shared" si="13"/>
        <v>7.3947924180739628</v>
      </c>
      <c r="AA19" s="1">
        <f t="shared" si="14"/>
        <v>1148.89792973558</v>
      </c>
      <c r="AB19" s="1">
        <f t="shared" si="15"/>
        <v>0</v>
      </c>
      <c r="AC19" s="4">
        <f t="shared" si="16"/>
        <v>98.489265547186335</v>
      </c>
    </row>
    <row r="20" spans="1:29" x14ac:dyDescent="0.25">
      <c r="A20" s="7">
        <v>10</v>
      </c>
      <c r="B20" s="1">
        <f>(B19-D19)*(1+$B$2)</f>
        <v>26341.074965703749</v>
      </c>
      <c r="C20" s="1">
        <f>B20*$B$3*(1+$B$4)^A20</f>
        <v>938.60297025918896</v>
      </c>
      <c r="D20" s="1">
        <f t="shared" si="0"/>
        <v>0</v>
      </c>
      <c r="E20" s="5">
        <f t="shared" si="18"/>
        <v>3.563267526026391E-2</v>
      </c>
      <c r="F20" s="12"/>
      <c r="G20" s="1">
        <f>(G19-I19)*(1+$G$2)</f>
        <v>18630.844706737633</v>
      </c>
      <c r="H20" s="1">
        <f>G20*$G$3*(1+$G$4)^A20</f>
        <v>1381.3027164594714</v>
      </c>
      <c r="I20" s="1">
        <f t="shared" si="2"/>
        <v>0</v>
      </c>
      <c r="J20" s="5">
        <f t="shared" si="19"/>
        <v>7.414063818372868E-2</v>
      </c>
      <c r="O20" s="30">
        <f t="shared" si="17"/>
        <v>128.2846279959727</v>
      </c>
      <c r="P20" s="1">
        <f t="shared" si="7"/>
        <v>186.37837708830244</v>
      </c>
      <c r="Q20" s="1">
        <f t="shared" si="4"/>
        <v>23909.480771266</v>
      </c>
      <c r="R20" s="1">
        <f t="shared" si="8"/>
        <v>6.6411601863224918</v>
      </c>
      <c r="S20" s="1">
        <f>R20*O20</f>
        <v>851.9587639640456</v>
      </c>
      <c r="T20" s="1">
        <f t="shared" si="5"/>
        <v>0</v>
      </c>
      <c r="U20" s="4">
        <f t="shared" si="9"/>
        <v>179.73721690197996</v>
      </c>
      <c r="W20" s="37">
        <f t="shared" si="10"/>
        <v>167.03102179117579</v>
      </c>
      <c r="X20" s="1">
        <f t="shared" si="11"/>
        <v>104.81227639531571</v>
      </c>
      <c r="Y20" s="1">
        <f t="shared" si="12"/>
        <v>17506.901622568719</v>
      </c>
      <c r="Z20" s="1">
        <f t="shared" si="13"/>
        <v>7.770849061438069</v>
      </c>
      <c r="AA20" s="1">
        <f t="shared" si="14"/>
        <v>1297.9728589169999</v>
      </c>
      <c r="AB20" s="1">
        <f t="shared" si="15"/>
        <v>0</v>
      </c>
      <c r="AC20" s="4">
        <f t="shared" si="16"/>
        <v>97.041427333877635</v>
      </c>
    </row>
    <row r="21" spans="1:29" x14ac:dyDescent="0.25">
      <c r="A21" s="7">
        <v>11</v>
      </c>
      <c r="B21" s="1">
        <f>(B20-D20)*(1+$B$2)</f>
        <v>29019.962289715819</v>
      </c>
      <c r="C21" s="1">
        <f>B21*$B$3*(1+$B$4)^A21</f>
        <v>1091.8627844160496</v>
      </c>
      <c r="D21" s="1">
        <f t="shared" si="0"/>
        <v>0</v>
      </c>
      <c r="E21" s="5">
        <f t="shared" si="18"/>
        <v>3.7624541807312659E-2</v>
      </c>
      <c r="F21" s="12"/>
      <c r="G21" s="1">
        <f>(G20-I20)*(1+$G$2)</f>
        <v>19826.944936910189</v>
      </c>
      <c r="H21" s="1">
        <f>G21*$G$3*(1+$G$4)^A21</f>
        <v>1560.5332636689097</v>
      </c>
      <c r="I21" s="1">
        <f t="shared" si="2"/>
        <v>0</v>
      </c>
      <c r="J21" s="5">
        <f t="shared" si="19"/>
        <v>7.8707701495846369E-2</v>
      </c>
      <c r="O21" s="30">
        <f t="shared" si="17"/>
        <v>133.02465223051209</v>
      </c>
      <c r="P21" s="1">
        <f t="shared" si="7"/>
        <v>198.01649186091132</v>
      </c>
      <c r="Q21" s="1">
        <f t="shared" si="4"/>
        <v>26341.074965703756</v>
      </c>
      <c r="R21" s="1">
        <f t="shared" si="8"/>
        <v>7.4502797765582454</v>
      </c>
      <c r="S21" s="1">
        <f>R21*O21</f>
        <v>991.07087629667785</v>
      </c>
      <c r="T21" s="1">
        <f t="shared" si="5"/>
        <v>0</v>
      </c>
      <c r="U21" s="4">
        <f t="shared" si="9"/>
        <v>190.56621208435308</v>
      </c>
      <c r="W21" s="37">
        <f t="shared" si="10"/>
        <v>180.40647281840808</v>
      </c>
      <c r="X21" s="1">
        <f t="shared" si="11"/>
        <v>103.27148696871258</v>
      </c>
      <c r="Y21" s="1">
        <f t="shared" si="12"/>
        <v>18630.844706737629</v>
      </c>
      <c r="Z21" s="1">
        <f t="shared" si="13"/>
        <v>8.1282613693656174</v>
      </c>
      <c r="AA21" s="1">
        <f t="shared" si="14"/>
        <v>1466.3909637933746</v>
      </c>
      <c r="AB21" s="1">
        <f t="shared" si="15"/>
        <v>0</v>
      </c>
      <c r="AC21" s="4">
        <f t="shared" si="16"/>
        <v>95.143225599346962</v>
      </c>
    </row>
    <row r="22" spans="1:29" x14ac:dyDescent="0.25">
      <c r="A22" s="7">
        <v>12</v>
      </c>
      <c r="B22" s="1">
        <f>(B21-D21)*(1+$B$2)</f>
        <v>31971.292454579914</v>
      </c>
      <c r="C22" s="1">
        <f>B22*$B$3*(1+$B$4)^A22</f>
        <v>1270.1476319253079</v>
      </c>
      <c r="D22" s="1">
        <f t="shared" si="0"/>
        <v>0</v>
      </c>
      <c r="E22" s="5">
        <f t="shared" si="18"/>
        <v>3.9727753694341443E-2</v>
      </c>
      <c r="F22" s="12"/>
      <c r="G22" s="1">
        <f>(G21-I21)*(1+$G$2)</f>
        <v>21099.834801859823</v>
      </c>
      <c r="H22" s="1">
        <f>G22*$G$3*(1+$G$4)^A22</f>
        <v>1763.0198203469556</v>
      </c>
      <c r="I22" s="1">
        <f t="shared" si="2"/>
        <v>0</v>
      </c>
      <c r="J22" s="5">
        <f t="shared" si="19"/>
        <v>8.3556095907990527E-2</v>
      </c>
      <c r="O22" s="30">
        <f t="shared" si="17"/>
        <v>138.22531642725849</v>
      </c>
      <c r="P22" s="1">
        <f t="shared" si="7"/>
        <v>209.94679585333176</v>
      </c>
      <c r="Q22" s="1">
        <f t="shared" si="4"/>
        <v>29019.962289715822</v>
      </c>
      <c r="R22" s="1">
        <f t="shared" si="8"/>
        <v>8.3407145945773493</v>
      </c>
      <c r="S22" s="1">
        <f>R22*O22</f>
        <v>1152.8979140649071</v>
      </c>
      <c r="T22" s="1">
        <f t="shared" si="5"/>
        <v>0</v>
      </c>
      <c r="U22" s="4">
        <f t="shared" si="9"/>
        <v>201.60608125875441</v>
      </c>
      <c r="W22" s="37">
        <f t="shared" si="10"/>
        <v>195.81893076857705</v>
      </c>
      <c r="X22" s="1">
        <f t="shared" si="11"/>
        <v>101.25142068282504</v>
      </c>
      <c r="Y22" s="1">
        <f t="shared" si="12"/>
        <v>19826.944936910186</v>
      </c>
      <c r="Z22" s="1">
        <f t="shared" si="13"/>
        <v>8.4601734173944241</v>
      </c>
      <c r="AA22" s="1">
        <f t="shared" si="14"/>
        <v>1656.6621127109147</v>
      </c>
      <c r="AB22" s="1">
        <f t="shared" si="15"/>
        <v>0</v>
      </c>
      <c r="AC22" s="4">
        <f t="shared" si="16"/>
        <v>92.791247265430613</v>
      </c>
    </row>
    <row r="23" spans="1:29" x14ac:dyDescent="0.25">
      <c r="A23" s="7">
        <v>13</v>
      </c>
      <c r="B23" s="1">
        <f>(B22-D22)*(1+$B$2)</f>
        <v>35222.772897210685</v>
      </c>
      <c r="C23" s="1">
        <f>B23*$B$3*(1+$B$4)^A23</f>
        <v>1477.5437261086606</v>
      </c>
      <c r="D23" s="1">
        <f t="shared" si="0"/>
        <v>0</v>
      </c>
      <c r="E23" s="5">
        <f t="shared" si="18"/>
        <v>4.1948535125855134E-2</v>
      </c>
      <c r="F23" s="12"/>
      <c r="G23" s="1">
        <f>(G22-I22)*(1+$G$2)</f>
        <v>22454.444196139222</v>
      </c>
      <c r="H23" s="1">
        <f>G23*$G$3*(1+$G$4)^A23</f>
        <v>1991.7799634905255</v>
      </c>
      <c r="I23" s="1">
        <f t="shared" si="2"/>
        <v>0</v>
      </c>
      <c r="J23" s="5">
        <f t="shared" si="19"/>
        <v>8.8703151415922762E-2</v>
      </c>
      <c r="O23" s="30">
        <f t="shared" si="17"/>
        <v>143.94388357992887</v>
      </c>
      <c r="P23" s="1">
        <f t="shared" si="7"/>
        <v>222.10941972276973</v>
      </c>
      <c r="Q23" s="1">
        <f t="shared" si="4"/>
        <v>31971.292454579921</v>
      </c>
      <c r="R23" s="1">
        <f t="shared" si="8"/>
        <v>9.3171647950239063</v>
      </c>
      <c r="S23" s="1">
        <f>R23*O23</f>
        <v>1341.148884549933</v>
      </c>
      <c r="T23" s="1">
        <f t="shared" si="5"/>
        <v>0</v>
      </c>
      <c r="U23" s="4">
        <f t="shared" si="9"/>
        <v>212.79225492774583</v>
      </c>
      <c r="W23" s="37">
        <f t="shared" si="10"/>
        <v>213.67257711489688</v>
      </c>
      <c r="X23" s="1">
        <f t="shared" si="11"/>
        <v>98.748445339871267</v>
      </c>
      <c r="Y23" s="1">
        <f t="shared" si="12"/>
        <v>21099.834801859823</v>
      </c>
      <c r="Z23" s="1">
        <f t="shared" si="13"/>
        <v>8.7592982990695738</v>
      </c>
      <c r="AA23" s="1">
        <f t="shared" si="14"/>
        <v>1871.6218412803287</v>
      </c>
      <c r="AB23" s="1">
        <f t="shared" si="15"/>
        <v>0</v>
      </c>
      <c r="AC23" s="4">
        <f t="shared" si="16"/>
        <v>89.989147040801697</v>
      </c>
    </row>
    <row r="24" spans="1:29" x14ac:dyDescent="0.25">
      <c r="A24" s="7">
        <v>14</v>
      </c>
      <c r="B24" s="1">
        <f>(B23-D23)*(1+$B$2)</f>
        <v>38804.928900857005</v>
      </c>
      <c r="C24" s="1">
        <f>B24*$B$3*(1+$B$4)^A24</f>
        <v>1718.8044977526249</v>
      </c>
      <c r="D24" s="1">
        <f t="shared" si="0"/>
        <v>0</v>
      </c>
      <c r="E24" s="5">
        <f t="shared" si="18"/>
        <v>4.4293458239390439E-2</v>
      </c>
      <c r="F24" s="12"/>
      <c r="G24" s="1">
        <f>(G23-I23)*(1+$G$2)</f>
        <v>23896.019513531362</v>
      </c>
      <c r="H24" s="1">
        <f>G24*$G$3*(1+$G$4)^A24</f>
        <v>2250.2228149548487</v>
      </c>
      <c r="I24" s="1">
        <f t="shared" si="2"/>
        <v>65.996267444341342</v>
      </c>
      <c r="J24" s="5">
        <f t="shared" si="19"/>
        <v>9.4167265543143586E-2</v>
      </c>
      <c r="O24" s="30">
        <f t="shared" si="17"/>
        <v>150.24650434498125</v>
      </c>
      <c r="P24" s="1">
        <f t="shared" si="7"/>
        <v>234.43322725389757</v>
      </c>
      <c r="Q24" s="1">
        <f t="shared" si="4"/>
        <v>35222.7728972107</v>
      </c>
      <c r="R24" s="1">
        <f t="shared" si="8"/>
        <v>10.38385836129604</v>
      </c>
      <c r="S24" s="1">
        <f>R24*O24</f>
        <v>1560.1384203981354</v>
      </c>
      <c r="T24" s="1">
        <f t="shared" si="5"/>
        <v>0</v>
      </c>
      <c r="U24" s="4">
        <f t="shared" si="9"/>
        <v>224.04936889260154</v>
      </c>
      <c r="W24" s="37">
        <f t="shared" si="10"/>
        <v>234.4708833865601</v>
      </c>
      <c r="X24" s="1">
        <f t="shared" si="11"/>
        <v>95.766450280821175</v>
      </c>
      <c r="Y24" s="1">
        <f t="shared" si="12"/>
        <v>22454.444196139229</v>
      </c>
      <c r="Z24" s="1">
        <f t="shared" si="13"/>
        <v>9.0180647537183454</v>
      </c>
      <c r="AA24" s="1">
        <f t="shared" si="14"/>
        <v>2114.4736092415419</v>
      </c>
      <c r="AB24" s="1">
        <f t="shared" si="15"/>
        <v>30.192414437456677</v>
      </c>
      <c r="AC24" s="4">
        <f t="shared" si="16"/>
        <v>86.748385527102826</v>
      </c>
    </row>
    <row r="25" spans="1:29" x14ac:dyDescent="0.25">
      <c r="A25" s="7">
        <v>15</v>
      </c>
      <c r="B25" s="1">
        <f>(B24-D24)*(1+$B$2)</f>
        <v>42751.390170074155</v>
      </c>
      <c r="C25" s="1">
        <f>B25*$B$3*(1+$B$4)^A25</f>
        <v>1999.4595417322969</v>
      </c>
      <c r="D25" s="1">
        <f t="shared" si="0"/>
        <v>0</v>
      </c>
      <c r="E25" s="5">
        <f t="shared" si="18"/>
        <v>4.6769462554972364E-2</v>
      </c>
      <c r="F25" s="12"/>
      <c r="G25" s="1">
        <f>(G24-I24)*(1+$G$2)</f>
        <v>25359.910738485807</v>
      </c>
      <c r="H25" s="1">
        <f>G25*$G$3*(1+$G$4)^A25</f>
        <v>2535.1787730989549</v>
      </c>
      <c r="I25" s="1">
        <f t="shared" si="2"/>
        <v>141.15340140484935</v>
      </c>
      <c r="J25" s="5">
        <f t="shared" si="19"/>
        <v>9.9967969100601253E-2</v>
      </c>
      <c r="O25" s="30">
        <f t="shared" si="17"/>
        <v>157.20987330294511</v>
      </c>
      <c r="P25" s="1">
        <f t="shared" si="7"/>
        <v>246.8351897089791</v>
      </c>
      <c r="Q25" s="1">
        <f t="shared" si="4"/>
        <v>38804.928900857027</v>
      </c>
      <c r="R25" s="1">
        <f t="shared" si="8"/>
        <v>11.544349162343599</v>
      </c>
      <c r="S25" s="1">
        <f>R25*O25</f>
        <v>1814.8856691769977</v>
      </c>
      <c r="T25" s="1">
        <f t="shared" si="5"/>
        <v>0</v>
      </c>
      <c r="U25" s="4">
        <f t="shared" si="9"/>
        <v>235.29084054663551</v>
      </c>
      <c r="W25" s="37">
        <f t="shared" si="10"/>
        <v>258.49762673330395</v>
      </c>
      <c r="X25" s="1">
        <f t="shared" si="11"/>
        <v>92.31763187794283</v>
      </c>
      <c r="Y25" s="1">
        <f t="shared" si="12"/>
        <v>23863.888746087028</v>
      </c>
      <c r="Z25" s="1">
        <f t="shared" si="13"/>
        <v>9.2288061710148703</v>
      </c>
      <c r="AA25" s="1">
        <f t="shared" si="14"/>
        <v>2385.6244927890139</v>
      </c>
      <c r="AB25" s="1">
        <f t="shared" si="15"/>
        <v>101.70845997310239</v>
      </c>
      <c r="AC25" s="4">
        <f t="shared" si="16"/>
        <v>83.088825706927963</v>
      </c>
    </row>
    <row r="26" spans="1:29" x14ac:dyDescent="0.25">
      <c r="A26" s="7">
        <v>16</v>
      </c>
      <c r="B26" s="1">
        <f>(B25-D25)*(1+$B$2)</f>
        <v>47099.206550370691</v>
      </c>
      <c r="C26" s="1">
        <f>B26*$B$3*(1+$B$4)^A26</f>
        <v>2325.9413529878416</v>
      </c>
      <c r="D26" s="1">
        <f t="shared" si="0"/>
        <v>85.967031850543222</v>
      </c>
      <c r="E26" s="5">
        <f t="shared" si="18"/>
        <v>4.9383875511795336E-2</v>
      </c>
      <c r="F26" s="12"/>
      <c r="G26" s="1">
        <f>(G25-I25)*(1+$G$2)</f>
        <v>26837.801558121559</v>
      </c>
      <c r="H26" s="1">
        <f>G26*$G$3*(1+$G$4)^A26</f>
        <v>2848.1884207308112</v>
      </c>
      <c r="I26" s="1">
        <f t="shared" si="2"/>
        <v>223.70969596775146</v>
      </c>
      <c r="J26" s="5">
        <f t="shared" si="19"/>
        <v>0.10612599599719831</v>
      </c>
      <c r="O26" s="30">
        <f t="shared" si="17"/>
        <v>164.92324482629297</v>
      </c>
      <c r="P26" s="1">
        <f t="shared" si="7"/>
        <v>259.21991903022831</v>
      </c>
      <c r="Q26" s="1">
        <f t="shared" si="4"/>
        <v>42751.390170074184</v>
      </c>
      <c r="R26" s="1">
        <f t="shared" si="8"/>
        <v>12.801284211566459</v>
      </c>
      <c r="S26" s="1">
        <f>R26*O26</f>
        <v>2111.229330115134</v>
      </c>
      <c r="T26" s="1">
        <f t="shared" si="5"/>
        <v>29.336735817866582</v>
      </c>
      <c r="U26" s="4">
        <f t="shared" si="9"/>
        <v>246.41863481866184</v>
      </c>
      <c r="W26" s="37">
        <f t="shared" si="10"/>
        <v>285.98527038916416</v>
      </c>
      <c r="X26" s="1">
        <f t="shared" si="11"/>
        <v>88.423128317312745</v>
      </c>
      <c r="Y26" s="1">
        <f t="shared" si="12"/>
        <v>25287.712260482444</v>
      </c>
      <c r="Z26" s="1">
        <f t="shared" si="13"/>
        <v>9.3839925618628843</v>
      </c>
      <c r="AA26" s="1">
        <f t="shared" si="14"/>
        <v>2683.6836501342623</v>
      </c>
      <c r="AB26" s="1">
        <f t="shared" si="15"/>
        <v>180.32156272291166</v>
      </c>
      <c r="AC26" s="4">
        <f t="shared" si="16"/>
        <v>79.039135755449863</v>
      </c>
    </row>
    <row r="27" spans="1:29" x14ac:dyDescent="0.25">
      <c r="A27" s="7">
        <v>17</v>
      </c>
      <c r="B27" s="1">
        <f>(B26-D26)*(1+$B$2)</f>
        <v>51794.485977553639</v>
      </c>
      <c r="C27" s="1">
        <f>B27*$B$3*(1+$B$4)^A27</f>
        <v>2700.7941635400916</v>
      </c>
      <c r="D27" s="1">
        <f t="shared" si="0"/>
        <v>184.83446063369917</v>
      </c>
      <c r="E27" s="5">
        <f t="shared" ref="E27:E30" si="20">C27/B27</f>
        <v>5.2144434152904699E-2</v>
      </c>
      <c r="F27" s="12"/>
      <c r="G27" s="1">
        <f>(G26-I26)*(1+$G$2)</f>
        <v>28322.716559704084</v>
      </c>
      <c r="H27" s="1">
        <f>G27*$G$3*(1+$G$4)^A27</f>
        <v>3190.9323369064259</v>
      </c>
      <c r="I27" s="1">
        <f t="shared" si="2"/>
        <v>314.10840385906982</v>
      </c>
      <c r="J27" s="5">
        <f t="shared" ref="J27:J30" si="21">H27/G27</f>
        <v>0.11266335735062571</v>
      </c>
      <c r="O27" s="30">
        <f t="shared" si="17"/>
        <v>173.37184529771966</v>
      </c>
      <c r="P27" s="1">
        <f t="shared" si="7"/>
        <v>271.47940997971972</v>
      </c>
      <c r="Q27" s="1">
        <f t="shared" si="4"/>
        <v>47066.886268520175</v>
      </c>
      <c r="R27" s="1">
        <f t="shared" si="8"/>
        <v>14.156140217556912</v>
      </c>
      <c r="S27" s="1">
        <f>R27*O27</f>
        <v>2454.2761518111042</v>
      </c>
      <c r="T27" s="1">
        <f t="shared" si="5"/>
        <v>119.81533504017874</v>
      </c>
      <c r="U27" s="4">
        <f t="shared" si="9"/>
        <v>257.32326976216279</v>
      </c>
      <c r="W27" s="37">
        <f t="shared" si="10"/>
        <v>317.65770789097149</v>
      </c>
      <c r="X27" s="1">
        <f t="shared" si="11"/>
        <v>84.113448270949746</v>
      </c>
      <c r="Y27" s="1">
        <f t="shared" si="12"/>
        <v>26719.285180555697</v>
      </c>
      <c r="Z27" s="1">
        <f t="shared" si="13"/>
        <v>9.4765034805433821</v>
      </c>
      <c r="AA27" s="1">
        <f t="shared" si="14"/>
        <v>3010.2843744502243</v>
      </c>
      <c r="AB27" s="1">
        <f t="shared" si="15"/>
        <v>266.46250376124664</v>
      </c>
      <c r="AC27" s="4">
        <f t="shared" si="16"/>
        <v>74.636944790406361</v>
      </c>
    </row>
    <row r="28" spans="1:29" x14ac:dyDescent="0.25">
      <c r="A28" s="7">
        <v>18</v>
      </c>
      <c r="B28" s="1">
        <f>(B27-D27)*(1+$B$2)</f>
        <v>56858.353076190695</v>
      </c>
      <c r="C28" s="1">
        <f>B28*$B$3*(1+$B$4)^A28</f>
        <v>3130.5815756485754</v>
      </c>
      <c r="D28" s="1">
        <f t="shared" si="0"/>
        <v>298.19089057731179</v>
      </c>
      <c r="E28" s="5">
        <f t="shared" si="20"/>
        <v>5.505930802205207E-2</v>
      </c>
      <c r="F28" s="12"/>
      <c r="G28" s="1">
        <f>(G27-I27)*(1+$G$2)</f>
        <v>29806.760799450265</v>
      </c>
      <c r="H28" s="1">
        <f>G28*$G$3*(1+$G$4)^A28</f>
        <v>3564.9905356073341</v>
      </c>
      <c r="I28" s="1">
        <f t="shared" si="2"/>
        <v>412.76625376643437</v>
      </c>
      <c r="J28" s="5">
        <f t="shared" si="21"/>
        <v>0.11960342016342428</v>
      </c>
      <c r="O28" s="30">
        <f t="shared" si="17"/>
        <v>182.44393900665088</v>
      </c>
      <c r="P28" s="1">
        <f t="shared" si="7"/>
        <v>283.49304629697474</v>
      </c>
      <c r="Q28" s="1">
        <f t="shared" si="4"/>
        <v>51721.588047414916</v>
      </c>
      <c r="R28" s="1">
        <f t="shared" si="8"/>
        <v>15.608930958175</v>
      </c>
      <c r="S28" s="1">
        <f>R28*O28</f>
        <v>2847.7548476923043</v>
      </c>
      <c r="T28" s="1">
        <f t="shared" si="5"/>
        <v>223.59534107884525</v>
      </c>
      <c r="U28" s="4">
        <f t="shared" si="9"/>
        <v>267.88411533879975</v>
      </c>
      <c r="W28" s="37">
        <f t="shared" si="10"/>
        <v>354.41995584195757</v>
      </c>
      <c r="X28" s="1">
        <f t="shared" si="11"/>
        <v>79.428636645950448</v>
      </c>
      <c r="Y28" s="1">
        <f t="shared" si="12"/>
        <v>28151.093892644651</v>
      </c>
      <c r="Z28" s="1">
        <f t="shared" si="13"/>
        <v>9.4999366017735714</v>
      </c>
      <c r="AA28" s="1">
        <f t="shared" si="14"/>
        <v>3366.9671109019855</v>
      </c>
      <c r="AB28" s="1">
        <f t="shared" si="15"/>
        <v>360.53757550039865</v>
      </c>
      <c r="AC28" s="4">
        <f t="shared" si="16"/>
        <v>69.928700044176878</v>
      </c>
    </row>
    <row r="29" spans="1:29" x14ac:dyDescent="0.25">
      <c r="A29" s="7">
        <v>19</v>
      </c>
      <c r="B29" s="1">
        <f>(B28-D28)*(1+$B$2)</f>
        <v>62312.330679890263</v>
      </c>
      <c r="C29" s="1">
        <f>B29*$B$3*(1+$B$4)^A29</f>
        <v>3622.6596543698547</v>
      </c>
      <c r="D29" s="1">
        <f t="shared" si="0"/>
        <v>427.97648384004918</v>
      </c>
      <c r="E29" s="5">
        <f t="shared" si="20"/>
        <v>5.8137123340484792E-2</v>
      </c>
      <c r="F29" s="12"/>
      <c r="G29" s="1">
        <f>(G28-I28)*(1+$G$2)</f>
        <v>31281.088995516737</v>
      </c>
      <c r="H29" s="1">
        <f>G29*$G$3*(1+$G$4)^A29</f>
        <v>3971.7908644867521</v>
      </c>
      <c r="I29" s="1">
        <f t="shared" si="2"/>
        <v>520.05984050838083</v>
      </c>
      <c r="J29" s="5">
        <f t="shared" si="21"/>
        <v>0.12697099084549124</v>
      </c>
      <c r="O29" s="30">
        <f t="shared" si="17"/>
        <v>192.23981474678061</v>
      </c>
      <c r="P29" s="1">
        <f t="shared" si="7"/>
        <v>295.12792986875564</v>
      </c>
      <c r="Q29" s="1">
        <f t="shared" si="4"/>
        <v>56735.338564570447</v>
      </c>
      <c r="R29" s="1">
        <f t="shared" si="8"/>
        <v>17.157888860001794</v>
      </c>
      <c r="S29" s="1">
        <f>R29*O29</f>
        <v>3298.4293758925955</v>
      </c>
      <c r="T29" s="1">
        <f t="shared" si="5"/>
        <v>342.46074789167204</v>
      </c>
      <c r="U29" s="4">
        <f t="shared" si="9"/>
        <v>277.97004100875387</v>
      </c>
      <c r="W29" s="37">
        <f t="shared" si="10"/>
        <v>397.41274039968994</v>
      </c>
      <c r="X29" s="1">
        <f t="shared" si="11"/>
        <v>74.418122587013031</v>
      </c>
      <c r="Y29" s="1">
        <f t="shared" si="12"/>
        <v>29574.710032704912</v>
      </c>
      <c r="Z29" s="1">
        <f t="shared" si="13"/>
        <v>9.4489427617342763</v>
      </c>
      <c r="AA29" s="1">
        <f t="shared" si="14"/>
        <v>3755.1302368206334</v>
      </c>
      <c r="AB29" s="1">
        <f t="shared" si="15"/>
        <v>462.91559996144201</v>
      </c>
      <c r="AC29" s="4">
        <f t="shared" si="16"/>
        <v>64.969179825278758</v>
      </c>
    </row>
    <row r="30" spans="1:29" x14ac:dyDescent="0.25">
      <c r="A30" s="7">
        <v>20</v>
      </c>
      <c r="B30" s="1">
        <f>(B29-D29)*(1+$B$2)</f>
        <v>68177.993017788511</v>
      </c>
      <c r="C30" s="1">
        <f>B30*$B$3*(1+$B$4)^A30</f>
        <v>4185.2416757371484</v>
      </c>
      <c r="D30" s="1">
        <f t="shared" si="0"/>
        <v>576.35749197567293</v>
      </c>
      <c r="E30" s="5">
        <f t="shared" si="20"/>
        <v>6.1386988535217887E-2</v>
      </c>
      <c r="F30" s="12" t="s">
        <v>5</v>
      </c>
      <c r="G30" s="24">
        <f>(G29-I29)*(1+$G$2)</f>
        <v>32735.887226759893</v>
      </c>
      <c r="H30" s="24">
        <f>G30*$G$3*(1+$G$4)^A30</f>
        <v>4412.5489324910632</v>
      </c>
      <c r="I30" s="24">
        <f t="shared" si="2"/>
        <v>636.30978094451791</v>
      </c>
      <c r="J30" s="25">
        <f t="shared" si="21"/>
        <v>0.13479240388157351</v>
      </c>
      <c r="O30" s="30">
        <f t="shared" si="17"/>
        <v>202.87394142199247</v>
      </c>
      <c r="P30" s="1">
        <f t="shared" si="7"/>
        <v>306.23959417934412</v>
      </c>
      <c r="Q30" s="24">
        <f t="shared" si="4"/>
        <v>62128.033490635004</v>
      </c>
      <c r="R30" s="1">
        <f t="shared" si="8"/>
        <v>18.799126456917179</v>
      </c>
      <c r="S30" s="24">
        <f>R30*O30</f>
        <v>3813.8528796052447</v>
      </c>
      <c r="T30" s="1">
        <f t="shared" si="5"/>
        <v>478.40369699588325</v>
      </c>
      <c r="U30" s="4">
        <f t="shared" si="9"/>
        <v>287.44046772242694</v>
      </c>
      <c r="W30" s="37">
        <f t="shared" si="10"/>
        <v>448.08622351449799</v>
      </c>
      <c r="X30" s="1">
        <f t="shared" si="11"/>
        <v>69.140201170061658</v>
      </c>
      <c r="Y30" s="23">
        <f t="shared" si="12"/>
        <v>30980.771635325604</v>
      </c>
      <c r="Z30" s="1">
        <f t="shared" si="13"/>
        <v>9.3195739205681924</v>
      </c>
      <c r="AA30" s="23">
        <f t="shared" si="14"/>
        <v>4175.9726828316052</v>
      </c>
      <c r="AB30" s="1">
        <f t="shared" si="15"/>
        <v>573.91279509683579</v>
      </c>
      <c r="AC30" s="4">
        <f t="shared" si="16"/>
        <v>59.820627249493469</v>
      </c>
    </row>
    <row r="31" spans="1:29" x14ac:dyDescent="0.25">
      <c r="B31" s="1"/>
    </row>
    <row r="32" spans="1:29" s="17" customFormat="1" x14ac:dyDescent="0.25">
      <c r="A32" s="20" t="s">
        <v>14</v>
      </c>
      <c r="B32" s="21"/>
      <c r="C32" s="21"/>
      <c r="D32" s="21"/>
      <c r="E32" s="21"/>
      <c r="F32" s="21"/>
      <c r="G32" s="21"/>
      <c r="H32" s="21"/>
      <c r="I32" s="21"/>
      <c r="J32" s="22"/>
      <c r="N32" s="33"/>
      <c r="P32" s="29"/>
      <c r="Q32" s="29"/>
      <c r="R32" s="29"/>
      <c r="S32" s="29"/>
      <c r="V32" s="33"/>
    </row>
    <row r="33" spans="1:10" x14ac:dyDescent="0.25">
      <c r="A33" t="s">
        <v>15</v>
      </c>
      <c r="B33" s="4">
        <f>B30-SUM(C11:C30)-B5</f>
        <v>29475.411947677232</v>
      </c>
      <c r="C33" s="4"/>
      <c r="D33" s="4">
        <f>B33*L12*26.375/100</f>
        <v>5441.8979308399084</v>
      </c>
      <c r="F33" s="10" t="s">
        <v>17</v>
      </c>
      <c r="G33" s="9">
        <f>B30</f>
        <v>68177.993017788511</v>
      </c>
      <c r="H33" s="9">
        <f>G33*G3</f>
        <v>2780.2985552654154</v>
      </c>
      <c r="I33" s="1">
        <f>IF(H33&lt;$L$10,0,(H33-$L$10)*26.375/100)</f>
        <v>205.8037439512533</v>
      </c>
      <c r="J33" s="8">
        <f>H33/G33</f>
        <v>4.0779999999999997E-2</v>
      </c>
    </row>
    <row r="34" spans="1:10" ht="30" x14ac:dyDescent="0.25">
      <c r="A34" t="s">
        <v>16</v>
      </c>
      <c r="B34" s="4">
        <f>B30-D33</f>
        <v>62736.095086948604</v>
      </c>
      <c r="C34" s="4"/>
      <c r="F34" s="27" t="s">
        <v>19</v>
      </c>
      <c r="G34" s="26">
        <f>B34</f>
        <v>62736.095086948604</v>
      </c>
      <c r="H34" s="26">
        <f>G34*G3</f>
        <v>2558.3779576457637</v>
      </c>
      <c r="I34" s="24">
        <f>IF(H34&lt;$L$10,0,(H34-$L$10)*26.375/100)</f>
        <v>147.27218632907017</v>
      </c>
      <c r="J34" s="25">
        <f>H34/G34</f>
        <v>4.0779999999999997E-2</v>
      </c>
    </row>
  </sheetData>
  <mergeCells count="5">
    <mergeCell ref="B8:E8"/>
    <mergeCell ref="G8:J8"/>
    <mergeCell ref="A32:J32"/>
    <mergeCell ref="O8:U8"/>
    <mergeCell ref="W8:AC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F</dc:creator>
  <cp:lastModifiedBy>Phil F</cp:lastModifiedBy>
  <dcterms:created xsi:type="dcterms:W3CDTF">2023-07-08T09:56:49Z</dcterms:created>
  <dcterms:modified xsi:type="dcterms:W3CDTF">2023-07-08T13:03:02Z</dcterms:modified>
</cp:coreProperties>
</file>