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hil\Desktop\"/>
    </mc:Choice>
  </mc:AlternateContent>
  <bookViews>
    <workbookView xWindow="0" yWindow="0" windowWidth="28800" windowHeight="11835" activeTab="2"/>
  </bookViews>
  <sheets>
    <sheet name="Stueck,Kurs" sheetId="4" r:id="rId1"/>
    <sheet name="Vaneck" sheetId="5" r:id="rId2"/>
    <sheet name="GesamtKurs,schlecht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4" l="1"/>
  <c r="T23" i="4"/>
  <c r="T22" i="4"/>
  <c r="T18" i="4"/>
  <c r="V17" i="4"/>
  <c r="S15" i="4"/>
  <c r="H20" i="5"/>
  <c r="G21" i="5"/>
  <c r="G22" i="5"/>
  <c r="G23" i="5"/>
  <c r="G24" i="5"/>
  <c r="G25" i="5"/>
  <c r="G20" i="5"/>
  <c r="J25" i="5"/>
  <c r="C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12" i="4"/>
  <c r="E11" i="4"/>
  <c r="H7" i="4"/>
  <c r="M16" i="4" s="1"/>
  <c r="C7" i="4"/>
  <c r="K11" i="4"/>
  <c r="J11" i="4"/>
  <c r="C11" i="4"/>
  <c r="B11" i="4"/>
  <c r="K3" i="4"/>
  <c r="J3" i="4"/>
  <c r="E3" i="4"/>
  <c r="D3" i="4"/>
  <c r="C3" i="1"/>
  <c r="D3" i="1"/>
  <c r="Z11" i="1"/>
  <c r="AA11" i="1" s="1"/>
  <c r="AB11" i="1" s="1"/>
  <c r="Y11" i="1"/>
  <c r="X11" i="1"/>
  <c r="W11" i="1"/>
  <c r="Q11" i="1"/>
  <c r="R11" i="1"/>
  <c r="S11" i="1" s="1"/>
  <c r="O11" i="1"/>
  <c r="P11" i="1"/>
  <c r="C11" i="1"/>
  <c r="D11" i="1" s="1"/>
  <c r="J3" i="1"/>
  <c r="I3" i="1"/>
  <c r="H11" i="1"/>
  <c r="I11" i="1" s="1"/>
  <c r="G11" i="1"/>
  <c r="B11" i="1"/>
  <c r="M12" i="4" l="1"/>
  <c r="M23" i="4"/>
  <c r="M15" i="4"/>
  <c r="M30" i="4"/>
  <c r="M22" i="4"/>
  <c r="M14" i="4"/>
  <c r="M29" i="4"/>
  <c r="M21" i="4"/>
  <c r="M13" i="4"/>
  <c r="M28" i="4"/>
  <c r="M20" i="4"/>
  <c r="M18" i="4"/>
  <c r="M11" i="4"/>
  <c r="M25" i="4"/>
  <c r="M17" i="4"/>
  <c r="M27" i="4"/>
  <c r="M19" i="4"/>
  <c r="M26" i="4"/>
  <c r="M24" i="4"/>
  <c r="D11" i="4"/>
  <c r="L11" i="4"/>
  <c r="H11" i="4"/>
  <c r="F11" i="4"/>
  <c r="G11" i="4" s="1"/>
  <c r="AD11" i="1"/>
  <c r="T11" i="1"/>
  <c r="U11" i="1"/>
  <c r="P12" i="1" s="1"/>
  <c r="AC11" i="1"/>
  <c r="X12" i="1" s="1"/>
  <c r="R12" i="1"/>
  <c r="B12" i="1"/>
  <c r="C12" i="1" s="1"/>
  <c r="G12" i="1"/>
  <c r="H12" i="1" s="1"/>
  <c r="J11" i="1"/>
  <c r="E11" i="1"/>
  <c r="P11" i="4" l="1"/>
  <c r="P12" i="4" s="1"/>
  <c r="K13" i="4" s="1"/>
  <c r="N11" i="4"/>
  <c r="Q11" i="4" s="1"/>
  <c r="O11" i="4"/>
  <c r="B12" i="4"/>
  <c r="D12" i="4" s="1"/>
  <c r="H12" i="4"/>
  <c r="C13" i="4" s="1"/>
  <c r="O12" i="1"/>
  <c r="Q12" i="1" s="1"/>
  <c r="U12" i="1"/>
  <c r="P13" i="1" s="1"/>
  <c r="Z12" i="1"/>
  <c r="W12" i="1"/>
  <c r="Y12" i="1" s="1"/>
  <c r="R13" i="1"/>
  <c r="J12" i="1"/>
  <c r="I12" i="1"/>
  <c r="E12" i="1"/>
  <c r="D12" i="1"/>
  <c r="B13" i="1" s="1"/>
  <c r="L12" i="4" l="1"/>
  <c r="J12" i="4"/>
  <c r="F12" i="4"/>
  <c r="G12" i="4" s="1"/>
  <c r="N12" i="4"/>
  <c r="O12" i="4" s="1"/>
  <c r="J13" i="4" s="1"/>
  <c r="S12" i="1"/>
  <c r="T12" i="1" s="1"/>
  <c r="O13" i="1"/>
  <c r="Q13" i="1" s="1"/>
  <c r="AC12" i="1"/>
  <c r="X13" i="1" s="1"/>
  <c r="AA12" i="1"/>
  <c r="U13" i="1"/>
  <c r="P14" i="1" s="1"/>
  <c r="S13" i="1"/>
  <c r="T13" i="1" s="1"/>
  <c r="C13" i="1"/>
  <c r="D13" i="1" s="1"/>
  <c r="B14" i="1" s="1"/>
  <c r="G13" i="1"/>
  <c r="H13" i="1" s="1"/>
  <c r="J13" i="1" s="1"/>
  <c r="H13" i="4" l="1"/>
  <c r="C14" i="4" s="1"/>
  <c r="Q12" i="4"/>
  <c r="B13" i="4"/>
  <c r="F13" i="4" s="1"/>
  <c r="G13" i="4" s="1"/>
  <c r="L13" i="4"/>
  <c r="N13" i="4"/>
  <c r="P13" i="4"/>
  <c r="K14" i="4" s="1"/>
  <c r="AB12" i="1"/>
  <c r="W13" i="1" s="1"/>
  <c r="Y13" i="1" s="1"/>
  <c r="AD12" i="1"/>
  <c r="Z13" i="1"/>
  <c r="AC13" i="1" s="1"/>
  <c r="X14" i="1" s="1"/>
  <c r="Z14" i="1" s="1"/>
  <c r="AC14" i="1" s="1"/>
  <c r="X15" i="1" s="1"/>
  <c r="Z15" i="1" s="1"/>
  <c r="R14" i="1"/>
  <c r="U14" i="1" s="1"/>
  <c r="P15" i="1" s="1"/>
  <c r="O14" i="1"/>
  <c r="E13" i="1"/>
  <c r="I13" i="1"/>
  <c r="G14" i="1" s="1"/>
  <c r="C14" i="1"/>
  <c r="E14" i="1" s="1"/>
  <c r="D13" i="4" l="1"/>
  <c r="B14" i="4"/>
  <c r="D14" i="4" s="1"/>
  <c r="O13" i="4"/>
  <c r="J14" i="4" s="1"/>
  <c r="Q13" i="4"/>
  <c r="P14" i="4"/>
  <c r="K15" i="4" s="1"/>
  <c r="H14" i="4"/>
  <c r="C15" i="4" s="1"/>
  <c r="AA13" i="1"/>
  <c r="AC15" i="1"/>
  <c r="X16" i="1" s="1"/>
  <c r="Z16" i="1" s="1"/>
  <c r="R15" i="1"/>
  <c r="U15" i="1" s="1"/>
  <c r="P16" i="1" s="1"/>
  <c r="S14" i="1"/>
  <c r="T14" i="1" s="1"/>
  <c r="Q14" i="1"/>
  <c r="H14" i="1"/>
  <c r="D14" i="1"/>
  <c r="B15" i="1" s="1"/>
  <c r="F14" i="4" l="1"/>
  <c r="G14" i="4" s="1"/>
  <c r="L14" i="4"/>
  <c r="N14" i="4"/>
  <c r="AB13" i="1"/>
  <c r="W14" i="1" s="1"/>
  <c r="Y14" i="1" s="1"/>
  <c r="AD13" i="1"/>
  <c r="AC16" i="1"/>
  <c r="X17" i="1" s="1"/>
  <c r="Z17" i="1" s="1"/>
  <c r="R16" i="1"/>
  <c r="U16" i="1"/>
  <c r="P17" i="1" s="1"/>
  <c r="O15" i="1"/>
  <c r="J14" i="1"/>
  <c r="I14" i="1"/>
  <c r="G15" i="1" s="1"/>
  <c r="C15" i="1"/>
  <c r="B15" i="4" l="1"/>
  <c r="F15" i="4" s="1"/>
  <c r="G15" i="4" s="1"/>
  <c r="Q14" i="4"/>
  <c r="O14" i="4"/>
  <c r="J15" i="4" s="1"/>
  <c r="N15" i="4" s="1"/>
  <c r="H15" i="4"/>
  <c r="C16" i="4" s="1"/>
  <c r="P15" i="4"/>
  <c r="K16" i="4" s="1"/>
  <c r="AA14" i="1"/>
  <c r="AB14" i="1" s="1"/>
  <c r="W15" i="1" s="1"/>
  <c r="AA15" i="1" s="1"/>
  <c r="AB15" i="1" s="1"/>
  <c r="W16" i="1" s="1"/>
  <c r="AC17" i="1"/>
  <c r="X18" i="1" s="1"/>
  <c r="R17" i="1"/>
  <c r="U17" i="1" s="1"/>
  <c r="P18" i="1" s="1"/>
  <c r="Q15" i="1"/>
  <c r="S15" i="1"/>
  <c r="T15" i="1" s="1"/>
  <c r="O16" i="1" s="1"/>
  <c r="H15" i="1"/>
  <c r="D15" i="1"/>
  <c r="B16" i="1" s="1"/>
  <c r="E15" i="1"/>
  <c r="D15" i="4" l="1"/>
  <c r="B16" i="4"/>
  <c r="D16" i="4" s="1"/>
  <c r="P16" i="4"/>
  <c r="K17" i="4" s="1"/>
  <c r="L15" i="4"/>
  <c r="Q15" i="4" s="1"/>
  <c r="O15" i="4"/>
  <c r="J16" i="4" s="1"/>
  <c r="AD14" i="1"/>
  <c r="Y15" i="1"/>
  <c r="AD15" i="1"/>
  <c r="AA16" i="1"/>
  <c r="Y16" i="1"/>
  <c r="Z18" i="1"/>
  <c r="R18" i="1"/>
  <c r="U18" i="1" s="1"/>
  <c r="P19" i="1" s="1"/>
  <c r="Q16" i="1"/>
  <c r="S16" i="1"/>
  <c r="T16" i="1" s="1"/>
  <c r="O17" i="1" s="1"/>
  <c r="J15" i="1"/>
  <c r="I15" i="1"/>
  <c r="C16" i="1"/>
  <c r="F16" i="4" l="1"/>
  <c r="G16" i="4" s="1"/>
  <c r="H16" i="4"/>
  <c r="C17" i="4" s="1"/>
  <c r="P17" i="4"/>
  <c r="K18" i="4" s="1"/>
  <c r="L16" i="4"/>
  <c r="N16" i="4"/>
  <c r="AB16" i="1"/>
  <c r="W17" i="1" s="1"/>
  <c r="AA17" i="1" s="1"/>
  <c r="AD16" i="1"/>
  <c r="AC18" i="1"/>
  <c r="X19" i="1" s="1"/>
  <c r="R19" i="1"/>
  <c r="U19" i="1" s="1"/>
  <c r="P20" i="1" s="1"/>
  <c r="Q17" i="1"/>
  <c r="S17" i="1"/>
  <c r="T17" i="1" s="1"/>
  <c r="O18" i="1" s="1"/>
  <c r="G16" i="1"/>
  <c r="H16" i="1" s="1"/>
  <c r="E16" i="1"/>
  <c r="D16" i="1"/>
  <c r="B17" i="1" s="1"/>
  <c r="B17" i="4" l="1"/>
  <c r="F17" i="4" s="1"/>
  <c r="G17" i="4" s="1"/>
  <c r="H17" i="4"/>
  <c r="C18" i="4" s="1"/>
  <c r="Q16" i="4"/>
  <c r="O16" i="4"/>
  <c r="J17" i="4" s="1"/>
  <c r="P18" i="4"/>
  <c r="K19" i="4" s="1"/>
  <c r="AB17" i="1"/>
  <c r="W18" i="1" s="1"/>
  <c r="Y18" i="1" s="1"/>
  <c r="Y17" i="1"/>
  <c r="AD17" i="1" s="1"/>
  <c r="Z19" i="1"/>
  <c r="R20" i="1"/>
  <c r="U20" i="1" s="1"/>
  <c r="P21" i="1" s="1"/>
  <c r="R21" i="1" s="1"/>
  <c r="U21" i="1" s="1"/>
  <c r="P22" i="1" s="1"/>
  <c r="R22" i="1" s="1"/>
  <c r="Q18" i="1"/>
  <c r="S18" i="1"/>
  <c r="T18" i="1" s="1"/>
  <c r="J16" i="1"/>
  <c r="I16" i="1"/>
  <c r="G17" i="1" s="1"/>
  <c r="C17" i="1"/>
  <c r="D17" i="4" l="1"/>
  <c r="L17" i="4"/>
  <c r="N17" i="4"/>
  <c r="P19" i="4"/>
  <c r="K20" i="4" s="1"/>
  <c r="B18" i="4"/>
  <c r="AA18" i="1"/>
  <c r="AB18" i="1" s="1"/>
  <c r="W19" i="1" s="1"/>
  <c r="U22" i="1"/>
  <c r="P23" i="1" s="1"/>
  <c r="R23" i="1" s="1"/>
  <c r="AC19" i="1"/>
  <c r="X20" i="1" s="1"/>
  <c r="O19" i="1"/>
  <c r="Q19" i="1"/>
  <c r="S19" i="1"/>
  <c r="T19" i="1" s="1"/>
  <c r="O20" i="1" s="1"/>
  <c r="H17" i="1"/>
  <c r="E17" i="1"/>
  <c r="D17" i="1"/>
  <c r="B18" i="1" s="1"/>
  <c r="F18" i="4" l="1"/>
  <c r="G18" i="4" s="1"/>
  <c r="P20" i="4"/>
  <c r="K21" i="4" s="1"/>
  <c r="H18" i="4"/>
  <c r="C19" i="4" s="1"/>
  <c r="D18" i="4"/>
  <c r="O17" i="4"/>
  <c r="J18" i="4" s="1"/>
  <c r="Q17" i="4"/>
  <c r="AA19" i="1"/>
  <c r="AB19" i="1" s="1"/>
  <c r="W20" i="1" s="1"/>
  <c r="Y19" i="1"/>
  <c r="AD18" i="1"/>
  <c r="U23" i="1"/>
  <c r="P24" i="1" s="1"/>
  <c r="R24" i="1" s="1"/>
  <c r="U24" i="1" s="1"/>
  <c r="P25" i="1" s="1"/>
  <c r="R25" i="1" s="1"/>
  <c r="Z20" i="1"/>
  <c r="AC20" i="1" s="1"/>
  <c r="X21" i="1" s="1"/>
  <c r="S20" i="1"/>
  <c r="T20" i="1" s="1"/>
  <c r="O21" i="1" s="1"/>
  <c r="Q20" i="1"/>
  <c r="I17" i="1"/>
  <c r="G18" i="1" s="1"/>
  <c r="J17" i="1"/>
  <c r="C18" i="1"/>
  <c r="B19" i="4" l="1"/>
  <c r="D19" i="4" s="1"/>
  <c r="H19" i="4"/>
  <c r="C20" i="4" s="1"/>
  <c r="L18" i="4"/>
  <c r="N18" i="4"/>
  <c r="AD19" i="1"/>
  <c r="AA20" i="1"/>
  <c r="Z21" i="1"/>
  <c r="Y20" i="1"/>
  <c r="S21" i="1"/>
  <c r="T21" i="1" s="1"/>
  <c r="O22" i="1" s="1"/>
  <c r="Q21" i="1"/>
  <c r="U25" i="1"/>
  <c r="P26" i="1" s="1"/>
  <c r="R26" i="1" s="1"/>
  <c r="H18" i="1"/>
  <c r="E18" i="1"/>
  <c r="D18" i="1"/>
  <c r="B19" i="1" s="1"/>
  <c r="F19" i="4" l="1"/>
  <c r="G19" i="4" s="1"/>
  <c r="P21" i="4"/>
  <c r="K22" i="4" s="1"/>
  <c r="Q18" i="4"/>
  <c r="O18" i="4"/>
  <c r="J19" i="4" s="1"/>
  <c r="AB20" i="1"/>
  <c r="W21" i="1" s="1"/>
  <c r="AA21" i="1" s="1"/>
  <c r="AD20" i="1"/>
  <c r="U26" i="1"/>
  <c r="AC21" i="1"/>
  <c r="X22" i="1" s="1"/>
  <c r="Q22" i="1"/>
  <c r="S22" i="1"/>
  <c r="T22" i="1" s="1"/>
  <c r="O23" i="1" s="1"/>
  <c r="P27" i="1"/>
  <c r="J18" i="1"/>
  <c r="I18" i="1"/>
  <c r="G19" i="1" s="1"/>
  <c r="C19" i="1"/>
  <c r="B20" i="4" l="1"/>
  <c r="D20" i="4" s="1"/>
  <c r="H20" i="4"/>
  <c r="C21" i="4" s="1"/>
  <c r="L19" i="4"/>
  <c r="N19" i="4"/>
  <c r="AB21" i="1"/>
  <c r="W22" i="1" s="1"/>
  <c r="Y22" i="1" s="1"/>
  <c r="Y21" i="1"/>
  <c r="AD21" i="1" s="1"/>
  <c r="Z22" i="1"/>
  <c r="R27" i="1"/>
  <c r="U27" i="1" s="1"/>
  <c r="Q23" i="1"/>
  <c r="S23" i="1"/>
  <c r="T23" i="1" s="1"/>
  <c r="O24" i="1" s="1"/>
  <c r="H19" i="1"/>
  <c r="E19" i="1"/>
  <c r="D19" i="1"/>
  <c r="B20" i="1" s="1"/>
  <c r="H21" i="4" l="1"/>
  <c r="C22" i="4" s="1"/>
  <c r="F20" i="4"/>
  <c r="G20" i="4" s="1"/>
  <c r="Q19" i="4"/>
  <c r="O19" i="4"/>
  <c r="J20" i="4" s="1"/>
  <c r="P22" i="4"/>
  <c r="K23" i="4" s="1"/>
  <c r="AA22" i="1"/>
  <c r="AC22" i="1"/>
  <c r="X23" i="1" s="1"/>
  <c r="Z23" i="1" s="1"/>
  <c r="P28" i="1"/>
  <c r="Q24" i="1"/>
  <c r="S24" i="1"/>
  <c r="T24" i="1" s="1"/>
  <c r="O25" i="1" s="1"/>
  <c r="Q25" i="1" s="1"/>
  <c r="I19" i="1"/>
  <c r="G20" i="1" s="1"/>
  <c r="J19" i="1"/>
  <c r="C20" i="1"/>
  <c r="B21" i="4" l="1"/>
  <c r="D21" i="4" s="1"/>
  <c r="L20" i="4"/>
  <c r="N20" i="4"/>
  <c r="P23" i="4"/>
  <c r="K24" i="4" s="1"/>
  <c r="AB22" i="1"/>
  <c r="W23" i="1" s="1"/>
  <c r="Y23" i="1" s="1"/>
  <c r="AD22" i="1"/>
  <c r="AC23" i="1"/>
  <c r="X24" i="1" s="1"/>
  <c r="R28" i="1"/>
  <c r="U28" i="1" s="1"/>
  <c r="P29" i="1" s="1"/>
  <c r="S25" i="1"/>
  <c r="T25" i="1" s="1"/>
  <c r="H20" i="1"/>
  <c r="E20" i="1"/>
  <c r="D20" i="1"/>
  <c r="B21" i="1" s="1"/>
  <c r="F21" i="4" l="1"/>
  <c r="G21" i="4" s="1"/>
  <c r="H22" i="4"/>
  <c r="C23" i="4" s="1"/>
  <c r="P24" i="4"/>
  <c r="K25" i="4" s="1"/>
  <c r="O20" i="4"/>
  <c r="J21" i="4" s="1"/>
  <c r="Q20" i="4"/>
  <c r="AA23" i="1"/>
  <c r="Z24" i="1"/>
  <c r="AC24" i="1" s="1"/>
  <c r="X25" i="1" s="1"/>
  <c r="R29" i="1"/>
  <c r="U29" i="1" s="1"/>
  <c r="O26" i="1"/>
  <c r="Q26" i="1" s="1"/>
  <c r="J20" i="1"/>
  <c r="I20" i="1"/>
  <c r="G21" i="1" s="1"/>
  <c r="C21" i="1"/>
  <c r="B22" i="4" l="1"/>
  <c r="D22" i="4" s="1"/>
  <c r="L21" i="4"/>
  <c r="N21" i="4"/>
  <c r="AB23" i="1"/>
  <c r="W24" i="1" s="1"/>
  <c r="AA24" i="1" s="1"/>
  <c r="AD23" i="1"/>
  <c r="Z25" i="1"/>
  <c r="P30" i="1"/>
  <c r="S26" i="1"/>
  <c r="T26" i="1" s="1"/>
  <c r="H21" i="1"/>
  <c r="E21" i="1"/>
  <c r="D21" i="1"/>
  <c r="B22" i="1" s="1"/>
  <c r="F22" i="4" l="1"/>
  <c r="G22" i="4" s="1"/>
  <c r="B23" i="4" s="1"/>
  <c r="D23" i="4" s="1"/>
  <c r="O21" i="4"/>
  <c r="J22" i="4" s="1"/>
  <c r="Q21" i="4"/>
  <c r="P25" i="4"/>
  <c r="K26" i="4" s="1"/>
  <c r="H23" i="4"/>
  <c r="C24" i="4" s="1"/>
  <c r="AB24" i="1"/>
  <c r="W25" i="1" s="1"/>
  <c r="Y25" i="1" s="1"/>
  <c r="Y24" i="1"/>
  <c r="AD24" i="1" s="1"/>
  <c r="AC25" i="1"/>
  <c r="X26" i="1" s="1"/>
  <c r="R30" i="1"/>
  <c r="U30" i="1" s="1"/>
  <c r="O27" i="1"/>
  <c r="Q27" i="1" s="1"/>
  <c r="J21" i="1"/>
  <c r="I21" i="1"/>
  <c r="G22" i="1" s="1"/>
  <c r="C22" i="1"/>
  <c r="F23" i="4" l="1"/>
  <c r="G23" i="4" s="1"/>
  <c r="L22" i="4"/>
  <c r="N22" i="4"/>
  <c r="AA25" i="1"/>
  <c r="AB25" i="1" s="1"/>
  <c r="Z26" i="1"/>
  <c r="AC26" i="1" s="1"/>
  <c r="X27" i="1" s="1"/>
  <c r="S27" i="1"/>
  <c r="T27" i="1" s="1"/>
  <c r="H22" i="1"/>
  <c r="D22" i="1"/>
  <c r="B23" i="1" s="1"/>
  <c r="E22" i="1"/>
  <c r="B24" i="4" l="1"/>
  <c r="F24" i="4"/>
  <c r="G24" i="4" s="1"/>
  <c r="D24" i="4"/>
  <c r="P26" i="4"/>
  <c r="K27" i="4" s="1"/>
  <c r="Q22" i="4"/>
  <c r="O22" i="4"/>
  <c r="J23" i="4" s="1"/>
  <c r="H24" i="4"/>
  <c r="C25" i="4" s="1"/>
  <c r="W26" i="1"/>
  <c r="Y26" i="1" s="1"/>
  <c r="AD25" i="1"/>
  <c r="Z27" i="1"/>
  <c r="AC27" i="1" s="1"/>
  <c r="X28" i="1" s="1"/>
  <c r="O28" i="1"/>
  <c r="Q28" i="1" s="1"/>
  <c r="I22" i="1"/>
  <c r="G23" i="1" s="1"/>
  <c r="J22" i="1"/>
  <c r="C23" i="1"/>
  <c r="L23" i="4" l="1"/>
  <c r="N23" i="4"/>
  <c r="P27" i="4"/>
  <c r="K28" i="4" s="1"/>
  <c r="B25" i="4"/>
  <c r="AA26" i="1"/>
  <c r="AB26" i="1" s="1"/>
  <c r="W27" i="1" s="1"/>
  <c r="AA27" i="1" s="1"/>
  <c r="Z28" i="1"/>
  <c r="S28" i="1"/>
  <c r="T28" i="1" s="1"/>
  <c r="H23" i="1"/>
  <c r="E23" i="1"/>
  <c r="D23" i="1"/>
  <c r="B24" i="1" s="1"/>
  <c r="F25" i="4" l="1"/>
  <c r="G25" i="4" s="1"/>
  <c r="H25" i="4"/>
  <c r="C26" i="4" s="1"/>
  <c r="Q23" i="4"/>
  <c r="O23" i="4"/>
  <c r="J24" i="4" s="1"/>
  <c r="D25" i="4"/>
  <c r="AD26" i="1"/>
  <c r="AB27" i="1"/>
  <c r="Y27" i="1"/>
  <c r="AD27" i="1" s="1"/>
  <c r="W28" i="1"/>
  <c r="AA28" i="1" s="1"/>
  <c r="AC28" i="1"/>
  <c r="X29" i="1" s="1"/>
  <c r="O29" i="1"/>
  <c r="Q29" i="1" s="1"/>
  <c r="J23" i="1"/>
  <c r="I23" i="1"/>
  <c r="G24" i="1" s="1"/>
  <c r="C24" i="1"/>
  <c r="B26" i="4" l="1"/>
  <c r="D26" i="4" s="1"/>
  <c r="L24" i="4"/>
  <c r="N24" i="4"/>
  <c r="P28" i="4"/>
  <c r="K29" i="4" s="1"/>
  <c r="AB28" i="1"/>
  <c r="W29" i="1" s="1"/>
  <c r="Z29" i="1"/>
  <c r="AC29" i="1" s="1"/>
  <c r="X30" i="1" s="1"/>
  <c r="Y28" i="1"/>
  <c r="AD28" i="1" s="1"/>
  <c r="S29" i="1"/>
  <c r="T29" i="1" s="1"/>
  <c r="H24" i="1"/>
  <c r="D24" i="1"/>
  <c r="B25" i="1" s="1"/>
  <c r="E24" i="1"/>
  <c r="F26" i="4" l="1"/>
  <c r="G26" i="4" s="1"/>
  <c r="H26" i="4"/>
  <c r="C27" i="4" s="1"/>
  <c r="Q24" i="4"/>
  <c r="O24" i="4"/>
  <c r="J25" i="4" s="1"/>
  <c r="Y29" i="1"/>
  <c r="Z30" i="1"/>
  <c r="Z34" i="1" s="1"/>
  <c r="AA29" i="1"/>
  <c r="O30" i="1"/>
  <c r="I24" i="1"/>
  <c r="G25" i="1" s="1"/>
  <c r="J24" i="1"/>
  <c r="C25" i="1"/>
  <c r="L25" i="4" l="1"/>
  <c r="N25" i="4"/>
  <c r="P29" i="4"/>
  <c r="K30" i="4" s="1"/>
  <c r="B27" i="4"/>
  <c r="AB29" i="1"/>
  <c r="W30" i="1" s="1"/>
  <c r="Y30" i="1" s="1"/>
  <c r="AD29" i="1"/>
  <c r="AC30" i="1"/>
  <c r="S30" i="1"/>
  <c r="T30" i="1" s="1"/>
  <c r="Q30" i="1"/>
  <c r="H25" i="1"/>
  <c r="E25" i="1"/>
  <c r="D25" i="1"/>
  <c r="B26" i="1" s="1"/>
  <c r="F27" i="4" l="1"/>
  <c r="G27" i="4" s="1"/>
  <c r="D27" i="4"/>
  <c r="H27" i="4"/>
  <c r="C28" i="4" s="1"/>
  <c r="Q25" i="4"/>
  <c r="O25" i="4"/>
  <c r="J26" i="4" s="1"/>
  <c r="X34" i="1"/>
  <c r="X35" i="1" s="1"/>
  <c r="Y34" i="1" s="1"/>
  <c r="AA34" i="1" s="1"/>
  <c r="AA30" i="1"/>
  <c r="I25" i="1"/>
  <c r="G26" i="1" s="1"/>
  <c r="J25" i="1"/>
  <c r="C26" i="1"/>
  <c r="L26" i="4" l="1"/>
  <c r="N26" i="4"/>
  <c r="M34" i="4"/>
  <c r="B28" i="4"/>
  <c r="P30" i="4"/>
  <c r="AB30" i="1"/>
  <c r="AD30" i="1"/>
  <c r="H26" i="1"/>
  <c r="E26" i="1"/>
  <c r="D26" i="1"/>
  <c r="B27" i="1" s="1"/>
  <c r="F28" i="4" l="1"/>
  <c r="G28" i="4" s="1"/>
  <c r="Q26" i="4"/>
  <c r="O26" i="4"/>
  <c r="J27" i="4" s="1"/>
  <c r="D28" i="4"/>
  <c r="H28" i="4"/>
  <c r="C29" i="4" s="1"/>
  <c r="I26" i="1"/>
  <c r="G27" i="1" s="1"/>
  <c r="J26" i="1"/>
  <c r="C27" i="1"/>
  <c r="B29" i="4" l="1"/>
  <c r="L27" i="4"/>
  <c r="N27" i="4"/>
  <c r="H27" i="1"/>
  <c r="E27" i="1"/>
  <c r="D27" i="1"/>
  <c r="B28" i="1" s="1"/>
  <c r="D29" i="4" l="1"/>
  <c r="F29" i="4"/>
  <c r="G29" i="4" s="1"/>
  <c r="H29" i="4"/>
  <c r="Q27" i="4"/>
  <c r="O27" i="4"/>
  <c r="J28" i="4" s="1"/>
  <c r="C28" i="1"/>
  <c r="I27" i="1"/>
  <c r="G28" i="1" s="1"/>
  <c r="J27" i="1"/>
  <c r="C30" i="4" l="1"/>
  <c r="C32" i="4" s="1"/>
  <c r="B30" i="4"/>
  <c r="B32" i="4" s="1"/>
  <c r="L28" i="4"/>
  <c r="N28" i="4"/>
  <c r="H28" i="1"/>
  <c r="E28" i="1"/>
  <c r="D28" i="1"/>
  <c r="E32" i="4" l="1"/>
  <c r="D30" i="4"/>
  <c r="O28" i="4"/>
  <c r="J29" i="4" s="1"/>
  <c r="Q28" i="4"/>
  <c r="B29" i="1"/>
  <c r="I28" i="1"/>
  <c r="G29" i="1" s="1"/>
  <c r="H29" i="1" s="1"/>
  <c r="J28" i="1"/>
  <c r="H30" i="4" l="1"/>
  <c r="F30" i="4"/>
  <c r="D32" i="4"/>
  <c r="G30" i="4"/>
  <c r="G32" i="4" s="1"/>
  <c r="F32" i="4"/>
  <c r="H32" i="4"/>
  <c r="L29" i="4"/>
  <c r="N29" i="4"/>
  <c r="C29" i="1"/>
  <c r="E29" i="1" s="1"/>
  <c r="K34" i="4" l="1"/>
  <c r="K35" i="4" s="1"/>
  <c r="L34" i="4" s="1"/>
  <c r="N34" i="4" s="1"/>
  <c r="O29" i="4"/>
  <c r="J30" i="4" s="1"/>
  <c r="Q29" i="4"/>
  <c r="D29" i="1"/>
  <c r="B30" i="1" s="1"/>
  <c r="C30" i="1" s="1"/>
  <c r="B33" i="1" s="1"/>
  <c r="J29" i="1"/>
  <c r="I29" i="1"/>
  <c r="G30" i="1" s="1"/>
  <c r="H30" i="1" s="1"/>
  <c r="L30" i="4" l="1"/>
  <c r="N30" i="4"/>
  <c r="G33" i="1"/>
  <c r="H33" i="1" s="1"/>
  <c r="I33" i="1" s="1"/>
  <c r="D33" i="1"/>
  <c r="B34" i="1" s="1"/>
  <c r="G34" i="1" s="1"/>
  <c r="H34" i="1" s="1"/>
  <c r="I30" i="1"/>
  <c r="J30" i="1"/>
  <c r="E30" i="1"/>
  <c r="D30" i="1"/>
  <c r="P32" i="4" l="1"/>
  <c r="Q30" i="4"/>
  <c r="O30" i="4"/>
  <c r="J33" i="1"/>
  <c r="J34" i="1"/>
  <c r="I34" i="1"/>
</calcChain>
</file>

<file path=xl/sharedStrings.xml><?xml version="1.0" encoding="utf-8"?>
<sst xmlns="http://schemas.openxmlformats.org/spreadsheetml/2006/main" count="169" uniqueCount="115">
  <si>
    <t>divi</t>
  </si>
  <si>
    <t>gesamt</t>
  </si>
  <si>
    <t>divi growth</t>
  </si>
  <si>
    <t>Jahr</t>
  </si>
  <si>
    <t>Start invest</t>
  </si>
  <si>
    <t>Vaneck</t>
  </si>
  <si>
    <t xml:space="preserve">developed world </t>
  </si>
  <si>
    <t>Vangaurd</t>
  </si>
  <si>
    <t>Kurs (10,11%)</t>
  </si>
  <si>
    <t>Divi + Growth</t>
  </si>
  <si>
    <t>Kurs (8,94%)</t>
  </si>
  <si>
    <t>Pers. Rendite</t>
  </si>
  <si>
    <t>Steuerfreibetrag</t>
  </si>
  <si>
    <t>Steuer nach FB</t>
  </si>
  <si>
    <t>Verkauf Vanguard und alles rein (nach Steuern) in Vaneck</t>
  </si>
  <si>
    <t>Zu Versteuen</t>
  </si>
  <si>
    <t>Nach Steuer</t>
  </si>
  <si>
    <t>ohne Steuer:</t>
  </si>
  <si>
    <t>Teilfreistellung ETF</t>
  </si>
  <si>
    <t>Vanguard mit Steuer</t>
  </si>
  <si>
    <t>Stoxx select 100</t>
  </si>
  <si>
    <t>Rechnung</t>
  </si>
  <si>
    <t>us divi aristo</t>
  </si>
  <si>
    <t>Annahme ETF Stückpreis</t>
  </si>
  <si>
    <t>Stück Anzahl</t>
  </si>
  <si>
    <t>Stückwert</t>
  </si>
  <si>
    <t>Steuer</t>
  </si>
  <si>
    <t>Stückwert Ex</t>
  </si>
  <si>
    <t>Dividende/Stueck</t>
  </si>
  <si>
    <t>Gesamtdividende</t>
  </si>
  <si>
    <t>Gesamtwert</t>
  </si>
  <si>
    <t>Vanguard anders gerechnet mit Stück (jeden 01.01. geht der ETF jahreskomplett EX-Div)</t>
  </si>
  <si>
    <t>(B14-D14)*(1+$B$2)</t>
  </si>
  <si>
    <t>B14*$B$3*(1+$B$4)^A14</t>
  </si>
  <si>
    <t>WENN(C14&lt;$L$9;0;(C14-$L$9)*26,375/100)</t>
  </si>
  <si>
    <t>C14/B14</t>
  </si>
  <si>
    <t>(G13-I13)*(1+$G$2)</t>
  </si>
  <si>
    <t>G14*$G$3*(1+$G$4)^A14</t>
  </si>
  <si>
    <t>WENN(H14&lt;$L$9;0;(H14-$L$9)*26,375/100)</t>
  </si>
  <si>
    <t>H14/G14</t>
  </si>
  <si>
    <t>O13+(S13-T13)/U13</t>
  </si>
  <si>
    <t>U13*(1+$B$2)</t>
  </si>
  <si>
    <t>O14*P14</t>
  </si>
  <si>
    <t>P14*$B$3*(1+$B$4)^A14</t>
  </si>
  <si>
    <t>R14*O14</t>
  </si>
  <si>
    <t>WENN(S14&lt;$L$9;0;(S14-$L$9)*0,26375)</t>
  </si>
  <si>
    <t>P14-R14</t>
  </si>
  <si>
    <t>Vergleichs ETF (jeden 1.1. komplett Jahesdividenen EX Tag und zeitgleich komplette Reinvestion)</t>
  </si>
  <si>
    <t>W14+(AA14-AB14)/AC14</t>
  </si>
  <si>
    <t>AC14*(1+$G$2)</t>
  </si>
  <si>
    <t>W14*X14</t>
  </si>
  <si>
    <t>X14*$G$3*(1+$G$4)^A14</t>
  </si>
  <si>
    <t>Z14*W14</t>
  </si>
  <si>
    <t>WENN(AA14&lt;$L$9;0;(AA14-$L$9)*0,26375)</t>
  </si>
  <si>
    <t>X14-Z14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</si>
  <si>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</si>
  <si>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</si>
  <si>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</si>
  <si>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</si>
  <si>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</si>
  <si>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</si>
  <si>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</si>
  <si>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</si>
  <si>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</si>
  <si>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</si>
  <si>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</si>
  <si>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</si>
  <si>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</si>
  <si>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</si>
  <si>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</si>
  <si>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</si>
  <si>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</si>
  <si>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</si>
  <si>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</si>
  <si>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</si>
  <si>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</si>
  <si>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</si>
  <si>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</si>
  <si>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</si>
  <si>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</si>
  <si>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</si>
  <si>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</si>
  <si>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</si>
  <si>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</si>
  <si>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 xml:space="preserve">Verkauf Vanguard: </t>
  </si>
  <si>
    <t>all world</t>
  </si>
  <si>
    <t xml:space="preserve">Verkauf LINKS:  </t>
  </si>
  <si>
    <t>Dividenden Start</t>
  </si>
  <si>
    <t>Zeit­raum</t>
  </si>
  <si>
    <t>Betrag</t>
  </si>
  <si>
    <t>Aus­schüttungs­rendite</t>
  </si>
  <si>
    <t>2023 (Prognose)</t>
  </si>
  <si>
    <t>1,64 €</t>
  </si>
  <si>
    <t>4,92 %</t>
  </si>
  <si>
    <t>5,06 %</t>
  </si>
  <si>
    <t>4,85 %</t>
  </si>
  <si>
    <t>3,52 %</t>
  </si>
  <si>
    <t>5,11 %</t>
  </si>
  <si>
    <t>Zeitraum</t>
  </si>
  <si>
    <t>Wachstum</t>
  </si>
  <si>
    <t>1 Jahr</t>
  </si>
  <si>
    <t>+26,83 % p.a.</t>
  </si>
  <si>
    <t>2 Jahre</t>
  </si>
  <si>
    <t>+22,47 % p.a.</t>
  </si>
  <si>
    <t>3 Jahre</t>
  </si>
  <si>
    <t>+6,54 % p.a.</t>
  </si>
  <si>
    <t>4 Jahre</t>
  </si>
  <si>
    <t>+5,69 % p.a.</t>
  </si>
  <si>
    <t>5 Jahre</t>
  </si>
  <si>
    <t>+6,66 % p.a.</t>
  </si>
  <si>
    <t>Seit Auflage</t>
  </si>
  <si>
    <t>+6,66 % p.a</t>
  </si>
  <si>
    <t>—</t>
  </si>
  <si>
    <t xml:space="preserve">Kende = Anfang (1+ zins)^n </t>
  </si>
  <si>
    <t>(kende/anfang)^1/n-1 = zins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</si>
</sst>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44" formatCode="_-* #,##0.00\ &quot;€&quot;_-;\-* #,##0.00\ &quot;€&quot;_-;_-* &quot;-&quot;??\ &quot;€&quot;_-;_-@_-"/>
    <numFmt numFmtId="172" formatCode="_-* #,##0.00\ [$€-407]_-;\-* #,##0.00\ [$€-407]_-;_-* &quot;-&quot;??\ [$€-407]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9C6500"/>
      <name val="Calibri"/>
      <family val="2"/>
      <scheme val="minor"/>
    </font>
    <font>
      <b/>
      <i/>
      <sz val="11"/>
      <color rgb="FF00B0F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sz val="11"/>
      <color rgb="FF324148"/>
      <name val="Segoe UI"/>
      <family val="2"/>
    </font>
    <font>
      <sz val="11"/>
      <color rgb="FF324148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E5E5E5"/>
      </bottom>
      <diagonal/>
    </border>
    <border>
      <left/>
      <right/>
      <top/>
      <bottom style="medium">
        <color rgb="FF000000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</cellStyleXfs>
  <cellXfs count="68">
    <xf numFmtId="0" fontId="0" fillId="0" borderId="0" xfId="0"/>
    <xf numFmtId="44" fontId="0" fillId="0" borderId="0" xfId="1" applyFont="1"/>
    <xf numFmtId="9" fontId="0" fillId="0" borderId="0" xfId="0" applyNumberFormat="1"/>
    <xf numFmtId="10" fontId="0" fillId="0" borderId="0" xfId="0" applyNumberFormat="1"/>
    <xf numFmtId="44" fontId="0" fillId="0" borderId="0" xfId="0" applyNumberFormat="1"/>
    <xf numFmtId="10" fontId="0" fillId="0" borderId="0" xfId="2" applyNumberFormat="1" applyFont="1"/>
    <xf numFmtId="0" fontId="6" fillId="0" borderId="0" xfId="0" applyFont="1"/>
    <xf numFmtId="0" fontId="5" fillId="0" borderId="0" xfId="0" applyFont="1"/>
    <xf numFmtId="10" fontId="5" fillId="0" borderId="0" xfId="2" applyNumberFormat="1" applyFont="1"/>
    <xf numFmtId="44" fontId="5" fillId="0" borderId="0" xfId="0" applyNumberFormat="1" applyFont="1"/>
    <xf numFmtId="0" fontId="3" fillId="3" borderId="0" xfId="4"/>
    <xf numFmtId="10" fontId="3" fillId="3" borderId="0" xfId="4" applyNumberFormat="1"/>
    <xf numFmtId="44" fontId="3" fillId="3" borderId="0" xfId="4" applyNumberFormat="1"/>
    <xf numFmtId="0" fontId="2" fillId="2" borderId="0" xfId="3"/>
    <xf numFmtId="0" fontId="2" fillId="2" borderId="0" xfId="3" applyAlignment="1">
      <alignment horizontal="center"/>
    </xf>
    <xf numFmtId="0" fontId="2" fillId="2" borderId="0" xfId="3" applyAlignment="1">
      <alignment horizontal="center"/>
    </xf>
    <xf numFmtId="0" fontId="7" fillId="2" borderId="0" xfId="3" applyFont="1" applyAlignment="1">
      <alignment horizontal="center"/>
    </xf>
    <xf numFmtId="0" fontId="4" fillId="4" borderId="1" xfId="5"/>
    <xf numFmtId="172" fontId="0" fillId="0" borderId="0" xfId="0" applyNumberFormat="1"/>
    <xf numFmtId="0" fontId="0" fillId="5" borderId="0" xfId="0" applyFill="1"/>
    <xf numFmtId="0" fontId="4" fillId="4" borderId="2" xfId="5" applyBorder="1" applyAlignment="1">
      <alignment horizontal="center"/>
    </xf>
    <xf numFmtId="0" fontId="4" fillId="4" borderId="3" xfId="5" applyBorder="1" applyAlignment="1">
      <alignment horizontal="center"/>
    </xf>
    <xf numFmtId="0" fontId="4" fillId="4" borderId="4" xfId="5" applyBorder="1" applyAlignment="1">
      <alignment horizontal="center"/>
    </xf>
    <xf numFmtId="44" fontId="9" fillId="0" borderId="0" xfId="1" applyFont="1"/>
    <xf numFmtId="44" fontId="10" fillId="0" borderId="0" xfId="1" applyFont="1"/>
    <xf numFmtId="10" fontId="10" fillId="0" borderId="0" xfId="2" applyNumberFormat="1" applyFont="1"/>
    <xf numFmtId="44" fontId="10" fillId="0" borderId="0" xfId="0" applyNumberFormat="1" applyFont="1"/>
    <xf numFmtId="0" fontId="3" fillId="3" borderId="0" xfId="4" applyAlignment="1">
      <alignment wrapText="1"/>
    </xf>
    <xf numFmtId="0" fontId="0" fillId="0" borderId="0" xfId="0" applyFill="1"/>
    <xf numFmtId="44" fontId="4" fillId="4" borderId="1" xfId="1" applyFont="1" applyFill="1" applyBorder="1"/>
    <xf numFmtId="2" fontId="0" fillId="0" borderId="0" xfId="1" applyNumberFormat="1" applyFont="1"/>
    <xf numFmtId="44" fontId="6" fillId="0" borderId="0" xfId="1" applyFont="1"/>
    <xf numFmtId="6" fontId="3" fillId="3" borderId="0" xfId="4" applyNumberFormat="1"/>
    <xf numFmtId="0" fontId="3" fillId="3" borderId="1" xfId="4" applyBorder="1"/>
    <xf numFmtId="0" fontId="11" fillId="0" borderId="0" xfId="0" applyFont="1"/>
    <xf numFmtId="9" fontId="11" fillId="0" borderId="0" xfId="0" applyNumberFormat="1" applyFont="1"/>
    <xf numFmtId="44" fontId="11" fillId="0" borderId="0" xfId="1" applyFont="1"/>
    <xf numFmtId="0" fontId="12" fillId="0" borderId="0" xfId="0" applyFont="1"/>
    <xf numFmtId="0" fontId="13" fillId="3" borderId="0" xfId="4" applyFont="1"/>
    <xf numFmtId="0" fontId="14" fillId="0" borderId="0" xfId="0" applyFont="1"/>
    <xf numFmtId="44" fontId="14" fillId="0" borderId="0" xfId="1" applyFont="1"/>
    <xf numFmtId="44" fontId="8" fillId="0" borderId="0" xfId="0" applyNumberFormat="1" applyFont="1"/>
    <xf numFmtId="44" fontId="15" fillId="3" borderId="0" xfId="4" applyNumberFormat="1" applyFont="1" applyAlignment="1">
      <alignment horizontal="center" vertical="center"/>
    </xf>
    <xf numFmtId="9" fontId="15" fillId="3" borderId="0" xfId="4" applyNumberFormat="1" applyFont="1" applyAlignment="1">
      <alignment horizontal="center" vertical="center"/>
    </xf>
    <xf numFmtId="0" fontId="0" fillId="0" borderId="0" xfId="0" applyAlignment="1">
      <alignment horizontal="left"/>
    </xf>
    <xf numFmtId="2" fontId="4" fillId="4" borderId="1" xfId="5" applyNumberFormat="1"/>
    <xf numFmtId="44" fontId="4" fillId="4" borderId="1" xfId="5" applyNumberFormat="1"/>
    <xf numFmtId="10" fontId="4" fillId="4" borderId="1" xfId="2" applyNumberFormat="1" applyFont="1" applyFill="1" applyBorder="1"/>
    <xf numFmtId="0" fontId="15" fillId="3" borderId="0" xfId="4" applyFont="1" applyAlignment="1">
      <alignment horizontal="center" vertical="center" wrapText="1"/>
    </xf>
    <xf numFmtId="0" fontId="15" fillId="3" borderId="0" xfId="4" applyFont="1" applyAlignment="1">
      <alignment horizontal="center" vertical="center" wrapText="1"/>
    </xf>
    <xf numFmtId="10" fontId="0" fillId="5" borderId="0" xfId="0" applyNumberFormat="1" applyFill="1"/>
    <xf numFmtId="172" fontId="0" fillId="5" borderId="0" xfId="0" applyNumberFormat="1" applyFill="1"/>
    <xf numFmtId="44" fontId="0" fillId="5" borderId="0" xfId="1" applyFont="1" applyFill="1"/>
    <xf numFmtId="10" fontId="0" fillId="5" borderId="0" xfId="2" applyNumberFormat="1" applyFont="1" applyFill="1"/>
    <xf numFmtId="10" fontId="0" fillId="0" borderId="0" xfId="1" applyNumberFormat="1" applyFont="1"/>
    <xf numFmtId="44" fontId="0" fillId="0" borderId="0" xfId="1" applyNumberFormat="1" applyFont="1"/>
    <xf numFmtId="0" fontId="16" fillId="6" borderId="5" xfId="0" applyFont="1" applyFill="1" applyBorder="1" applyAlignment="1">
      <alignment horizontal="center" vertical="center"/>
    </xf>
    <xf numFmtId="0" fontId="0" fillId="0" borderId="0" xfId="0" applyAlignment="1"/>
    <xf numFmtId="0" fontId="16" fillId="6" borderId="5" xfId="0" applyFont="1" applyFill="1" applyBorder="1" applyAlignment="1">
      <alignment horizontal="right" vertical="center"/>
    </xf>
    <xf numFmtId="0" fontId="17" fillId="6" borderId="6" xfId="0" applyFont="1" applyFill="1" applyBorder="1" applyAlignment="1">
      <alignment vertical="center"/>
    </xf>
    <xf numFmtId="0" fontId="17" fillId="6" borderId="6" xfId="0" applyFont="1" applyFill="1" applyBorder="1" applyAlignment="1">
      <alignment horizontal="center" vertical="center"/>
    </xf>
    <xf numFmtId="0" fontId="17" fillId="6" borderId="6" xfId="0" applyFont="1" applyFill="1" applyBorder="1" applyAlignment="1">
      <alignment horizontal="right" vertical="center"/>
    </xf>
    <xf numFmtId="0" fontId="17" fillId="6" borderId="0" xfId="0" applyFont="1" applyFill="1" applyAlignment="1">
      <alignment vertical="center"/>
    </xf>
    <xf numFmtId="0" fontId="17" fillId="6" borderId="0" xfId="0" applyFont="1" applyFill="1" applyAlignment="1">
      <alignment horizontal="right" vertical="center"/>
    </xf>
    <xf numFmtId="0" fontId="17" fillId="6" borderId="0" xfId="0" applyFont="1" applyFill="1" applyAlignment="1">
      <alignment horizontal="center" vertical="center"/>
    </xf>
    <xf numFmtId="9" fontId="0" fillId="0" borderId="0" xfId="2" applyFont="1" applyAlignment="1"/>
    <xf numFmtId="10" fontId="0" fillId="0" borderId="0" xfId="2" applyNumberFormat="1" applyFont="1" applyAlignment="1"/>
    <xf numFmtId="2" fontId="0" fillId="0" borderId="0" xfId="0" applyNumberFormat="1"/>
  </cellXfs>
  <cellStyles count="6">
    <cellStyle name="Ausgabe" xfId="5" builtinId="21"/>
    <cellStyle name="Gut" xfId="3" builtinId="26"/>
    <cellStyle name="Neutral" xfId="4" builtinId="28"/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zoomScale="85" zoomScaleNormal="85" workbookViewId="0">
      <selection activeCell="V21" sqref="V21"/>
    </sheetView>
  </sheetViews>
  <sheetFormatPr baseColWidth="10" defaultRowHeight="15" x14ac:dyDescent="0.25"/>
  <cols>
    <col min="1" max="1" width="4.5703125" bestFit="1" customWidth="1"/>
    <col min="2" max="2" width="22.85546875" bestFit="1" customWidth="1"/>
    <col min="3" max="3" width="15.140625" style="1" bestFit="1" customWidth="1"/>
    <col min="4" max="4" width="17.28515625" style="1" bestFit="1" customWidth="1"/>
    <col min="5" max="5" width="24.5703125" style="1" bestFit="1" customWidth="1"/>
    <col min="6" max="6" width="19" style="1" bestFit="1" customWidth="1"/>
    <col min="7" max="7" width="11.140625" customWidth="1"/>
    <col min="8" max="8" width="14.140625" customWidth="1"/>
    <col min="9" max="9" width="11.28515625" style="10" customWidth="1"/>
    <col min="10" max="10" width="23.140625" bestFit="1" customWidth="1"/>
    <col min="11" max="11" width="14.7109375" bestFit="1" customWidth="1"/>
    <col min="12" max="12" width="13.5703125" bestFit="1" customWidth="1"/>
    <col min="13" max="13" width="23.5703125" bestFit="1" customWidth="1"/>
    <col min="14" max="14" width="19" bestFit="1" customWidth="1"/>
    <col min="15" max="15" width="11.5703125" customWidth="1"/>
    <col min="16" max="16" width="12.28515625" bestFit="1" customWidth="1"/>
    <col min="17" max="17" width="10.85546875" bestFit="1" customWidth="1"/>
    <col min="20" max="20" width="15.7109375" bestFit="1" customWidth="1"/>
  </cols>
  <sheetData>
    <row r="1" spans="1:19" x14ac:dyDescent="0.25">
      <c r="C1" s="19" t="s">
        <v>21</v>
      </c>
      <c r="D1" s="28" t="s">
        <v>6</v>
      </c>
      <c r="E1" s="28" t="s">
        <v>85</v>
      </c>
      <c r="F1"/>
      <c r="H1" s="19" t="s">
        <v>21</v>
      </c>
      <c r="I1" t="s">
        <v>5</v>
      </c>
      <c r="J1" t="s">
        <v>20</v>
      </c>
      <c r="K1" t="s">
        <v>22</v>
      </c>
    </row>
    <row r="2" spans="1:19" x14ac:dyDescent="0.25">
      <c r="B2" s="7" t="s">
        <v>1</v>
      </c>
      <c r="C2" s="53">
        <v>0.1017</v>
      </c>
      <c r="D2" s="3">
        <v>0.1017</v>
      </c>
      <c r="E2" s="3">
        <v>0.10340000000000001</v>
      </c>
      <c r="F2" s="3"/>
      <c r="H2" s="50">
        <v>8.9399999999999993E-2</v>
      </c>
      <c r="I2" s="3">
        <v>8.9399999999999993E-2</v>
      </c>
      <c r="J2" s="3">
        <v>6.4199999999999993E-2</v>
      </c>
      <c r="K2" s="3">
        <v>9.2999999999999999E-2</v>
      </c>
    </row>
    <row r="3" spans="1:19" x14ac:dyDescent="0.25">
      <c r="B3" s="7" t="s">
        <v>0</v>
      </c>
      <c r="C3" s="50">
        <v>2.0500000000000001E-2</v>
      </c>
      <c r="D3" s="3">
        <f>(1.67+1.98+1.76+2.47+2.27+2.17)/6/100</f>
        <v>2.0533333333333334E-2</v>
      </c>
      <c r="E3" s="3">
        <f>(1.71+1.93+1.71+2.45+2.24)/5/100</f>
        <v>2.0080000000000001E-2</v>
      </c>
      <c r="F3" s="3"/>
      <c r="H3" s="50">
        <v>4.6399999999999997E-2</v>
      </c>
      <c r="I3" s="3">
        <v>4.6399999999999997E-2</v>
      </c>
      <c r="J3">
        <f>(4.55+3.92+3.54+4.78+3.6)/5</f>
        <v>4.0780000000000003</v>
      </c>
      <c r="K3" s="5">
        <f>(2.15+2.92+2.36+2.53+2.35)/5/100</f>
        <v>2.4619999999999996E-2</v>
      </c>
      <c r="M3" s="3"/>
    </row>
    <row r="4" spans="1:19" x14ac:dyDescent="0.25">
      <c r="B4" s="7" t="s">
        <v>2</v>
      </c>
      <c r="C4" s="50">
        <v>5.6399999999999999E-2</v>
      </c>
      <c r="D4" s="3">
        <v>5.6399999999999999E-2</v>
      </c>
      <c r="E4" s="3">
        <v>5.5899999999999998E-2</v>
      </c>
      <c r="F4" s="3"/>
      <c r="H4" s="50">
        <v>6.6600000000000006E-2</v>
      </c>
      <c r="I4" s="3">
        <v>6.6600000000000006E-2</v>
      </c>
      <c r="J4" s="3">
        <v>6.1600000000000002E-2</v>
      </c>
      <c r="K4" s="3">
        <v>7.2000000000000008E-2</v>
      </c>
    </row>
    <row r="5" spans="1:19" x14ac:dyDescent="0.25">
      <c r="B5" s="7" t="s">
        <v>4</v>
      </c>
      <c r="C5" s="51">
        <v>100</v>
      </c>
      <c r="D5"/>
      <c r="E5"/>
      <c r="F5"/>
      <c r="H5" s="51">
        <v>100</v>
      </c>
      <c r="I5"/>
    </row>
    <row r="6" spans="1:19" x14ac:dyDescent="0.25">
      <c r="B6" s="7" t="s">
        <v>23</v>
      </c>
      <c r="C6" s="52">
        <v>100</v>
      </c>
      <c r="D6"/>
      <c r="E6"/>
      <c r="F6"/>
      <c r="H6" s="52">
        <v>100</v>
      </c>
      <c r="I6" s="49" t="s">
        <v>12</v>
      </c>
    </row>
    <row r="7" spans="1:19" x14ac:dyDescent="0.25">
      <c r="B7" s="7" t="s">
        <v>87</v>
      </c>
      <c r="C7" s="52">
        <f>C6*C3</f>
        <v>2.0500000000000003</v>
      </c>
      <c r="D7"/>
      <c r="E7"/>
      <c r="F7"/>
      <c r="H7" s="52">
        <f>H6*H3</f>
        <v>4.6399999999999997</v>
      </c>
      <c r="I7" s="49"/>
    </row>
    <row r="8" spans="1:19" s="13" customFormat="1" x14ac:dyDescent="0.25">
      <c r="A8"/>
      <c r="B8" s="14" t="s">
        <v>31</v>
      </c>
      <c r="C8" s="14"/>
      <c r="D8" s="14"/>
      <c r="E8" s="14"/>
      <c r="F8" s="14"/>
      <c r="G8" s="14"/>
      <c r="H8" s="14"/>
      <c r="I8" s="49"/>
      <c r="J8" s="14" t="s">
        <v>47</v>
      </c>
      <c r="K8" s="14"/>
      <c r="L8" s="14"/>
      <c r="M8" s="14"/>
      <c r="N8" s="14"/>
      <c r="O8" s="14"/>
      <c r="P8" s="14"/>
    </row>
    <row r="9" spans="1:19" x14ac:dyDescent="0.25">
      <c r="B9" s="6" t="s">
        <v>24</v>
      </c>
      <c r="C9" s="31" t="s">
        <v>25</v>
      </c>
      <c r="D9" s="31" t="s">
        <v>30</v>
      </c>
      <c r="E9" s="31" t="s">
        <v>28</v>
      </c>
      <c r="F9" s="31" t="s">
        <v>29</v>
      </c>
      <c r="G9" s="6" t="s">
        <v>26</v>
      </c>
      <c r="H9" s="6" t="s">
        <v>27</v>
      </c>
      <c r="I9" s="42">
        <v>2000</v>
      </c>
      <c r="J9" s="6" t="s">
        <v>24</v>
      </c>
      <c r="K9" s="31" t="s">
        <v>25</v>
      </c>
      <c r="L9" s="31" t="s">
        <v>30</v>
      </c>
      <c r="M9" s="31" t="s">
        <v>28</v>
      </c>
      <c r="N9" s="31" t="s">
        <v>29</v>
      </c>
      <c r="O9" s="6" t="s">
        <v>26</v>
      </c>
      <c r="P9" s="6" t="s">
        <v>27</v>
      </c>
    </row>
    <row r="10" spans="1:19" s="34" customFormat="1" x14ac:dyDescent="0.25">
      <c r="A10" s="7" t="s">
        <v>3</v>
      </c>
      <c r="B10" s="35"/>
      <c r="C10" s="36"/>
      <c r="D10" s="36"/>
      <c r="E10" s="36"/>
      <c r="F10" s="36"/>
      <c r="I10" s="48"/>
    </row>
    <row r="11" spans="1:19" x14ac:dyDescent="0.25">
      <c r="A11" s="44">
        <v>1</v>
      </c>
      <c r="B11" s="30">
        <f>C5/C6</f>
        <v>1</v>
      </c>
      <c r="C11" s="1">
        <f>C6</f>
        <v>100</v>
      </c>
      <c r="D11" s="1">
        <f>B11*C11</f>
        <v>100</v>
      </c>
      <c r="E11" s="1">
        <f>C7</f>
        <v>2.0500000000000003</v>
      </c>
      <c r="F11" s="1">
        <f>E11*B11</f>
        <v>2.0500000000000003</v>
      </c>
      <c r="G11" s="1">
        <f>IF(F11&lt;$I$9,0,(F11-$I$9)*0.26375)</f>
        <v>0</v>
      </c>
      <c r="H11" s="4">
        <f>C11-E11</f>
        <v>97.95</v>
      </c>
      <c r="I11" s="43">
        <v>0.7</v>
      </c>
      <c r="J11" s="30">
        <f>C5/C6</f>
        <v>1</v>
      </c>
      <c r="K11" s="1">
        <f>C6</f>
        <v>100</v>
      </c>
      <c r="L11" s="1">
        <f>J11*K11</f>
        <v>100</v>
      </c>
      <c r="M11" s="1">
        <f>$H$7</f>
        <v>4.6399999999999997</v>
      </c>
      <c r="N11" s="1">
        <f>M11*J11</f>
        <v>4.6399999999999997</v>
      </c>
      <c r="O11" s="1">
        <f>IF(N11&lt;$I$9,0,(N11-$I$9)*0.26375)</f>
        <v>0</v>
      </c>
      <c r="P11" s="4">
        <f>K11-M11</f>
        <v>95.36</v>
      </c>
      <c r="Q11" s="5">
        <f>N11/L11</f>
        <v>4.6399999999999997E-2</v>
      </c>
    </row>
    <row r="12" spans="1:19" x14ac:dyDescent="0.25">
      <c r="A12" s="44">
        <v>2</v>
      </c>
      <c r="B12" s="30">
        <f>B11+(F11-G11)/H11</f>
        <v>1.0209290454313424</v>
      </c>
      <c r="C12" s="1">
        <f>H11*(1+$C$2-$C$3)</f>
        <v>105.90353999999999</v>
      </c>
      <c r="D12" s="1">
        <f t="shared" ref="D12:D30" si="0">B12*C12</f>
        <v>108.11999999999999</v>
      </c>
      <c r="E12" s="1">
        <f>$C$7*(1+$C$4)^A12</f>
        <v>2.2877609680000002</v>
      </c>
      <c r="F12" s="1">
        <f>E12*B12</f>
        <v>2.3356416212353239</v>
      </c>
      <c r="G12" s="1">
        <f>IF(F12&lt;$I$9,0,(F12-$I$9)*0.26375)</f>
        <v>0</v>
      </c>
      <c r="H12" s="4">
        <f>C12-E12</f>
        <v>103.61577903199999</v>
      </c>
      <c r="J12" s="30">
        <f>J11+(N11-O11)/P11</f>
        <v>1.0486577181208054</v>
      </c>
      <c r="K12" s="1">
        <f>P11*(1+$H$2-$H$3)</f>
        <v>99.46047999999999</v>
      </c>
      <c r="L12" s="1">
        <f t="shared" ref="L12:L30" si="1">J12*K12</f>
        <v>104.3</v>
      </c>
      <c r="M12" s="1">
        <f>$H$7*(1+$H$4)^A12</f>
        <v>5.2786289983999994</v>
      </c>
      <c r="N12" s="1">
        <f>M12*J12</f>
        <v>5.535475040268456</v>
      </c>
      <c r="O12" s="1">
        <f>IF(N12&lt;$I$9,0,(N12-$I$9)*0.26375)</f>
        <v>0</v>
      </c>
      <c r="P12" s="4">
        <f>K12-M12</f>
        <v>94.181851001599995</v>
      </c>
      <c r="Q12" s="5">
        <f t="shared" ref="Q12:Q30" si="2">N12/L12</f>
        <v>5.3072627423475134E-2</v>
      </c>
    </row>
    <row r="13" spans="1:19" x14ac:dyDescent="0.25">
      <c r="A13" s="44">
        <v>3</v>
      </c>
      <c r="B13" s="30">
        <f>B12+(F12-G12)/H12</f>
        <v>1.0434704155108359</v>
      </c>
      <c r="C13" s="1">
        <f t="shared" ref="C13:C30" si="3">H12*(1+$C$2-$C$3)</f>
        <v>112.02938028939839</v>
      </c>
      <c r="D13" s="1">
        <f t="shared" si="0"/>
        <v>116.89934399999999</v>
      </c>
      <c r="E13" s="1">
        <f t="shared" ref="E13:E30" si="4">$C$7*(1+$C$4)^A13</f>
        <v>2.4167906865952</v>
      </c>
      <c r="F13" s="1">
        <f>E13*B13</f>
        <v>2.5218495819442115</v>
      </c>
      <c r="G13" s="1">
        <f>IF(F13&lt;$I$9,0,(F13-$I$9)*0.26375)</f>
        <v>0</v>
      </c>
      <c r="H13" s="4">
        <f>C13-E13</f>
        <v>109.61258960280318</v>
      </c>
      <c r="J13" s="30">
        <f t="shared" ref="J13:J30" si="5">J12+(N12-O12)/P12</f>
        <v>1.1074320465227225</v>
      </c>
      <c r="K13" s="1">
        <f t="shared" ref="K13:K30" si="6">P12*(1+$H$2-$H$3)</f>
        <v>98.231670594668785</v>
      </c>
      <c r="L13" s="1">
        <f t="shared" si="1"/>
        <v>108.78489999999999</v>
      </c>
      <c r="M13" s="1">
        <f t="shared" ref="M13:M30" si="7">$H$7*(1+$H$4)^A13</f>
        <v>5.6301856896934392</v>
      </c>
      <c r="N13" s="1">
        <f t="shared" ref="N13:N30" si="8">M13*J13</f>
        <v>6.2350480606401515</v>
      </c>
      <c r="O13" s="1">
        <f>IF(N13&lt;$I$9,0,(N13-$I$9)*0.26375)</f>
        <v>0</v>
      </c>
      <c r="P13" s="4">
        <f t="shared" ref="P13:P30" si="9">K13-M13</f>
        <v>92.601484904975351</v>
      </c>
      <c r="Q13" s="5">
        <f t="shared" si="2"/>
        <v>5.7315381644328874E-2</v>
      </c>
    </row>
    <row r="14" spans="1:19" x14ac:dyDescent="0.25">
      <c r="A14" s="44">
        <v>4</v>
      </c>
      <c r="B14" s="30">
        <f t="shared" ref="B14:B30" si="10">B13+(F13-G13)/H13</f>
        <v>1.0664773492132735</v>
      </c>
      <c r="C14" s="1">
        <f t="shared" si="3"/>
        <v>118.51313187855079</v>
      </c>
      <c r="D14" s="1">
        <f t="shared" si="0"/>
        <v>126.39157073279995</v>
      </c>
      <c r="E14" s="1">
        <f t="shared" si="4"/>
        <v>2.5530976813191688</v>
      </c>
      <c r="F14" s="1">
        <f>E14*B14</f>
        <v>2.722820847455822</v>
      </c>
      <c r="G14" s="1">
        <f>IF(F14&lt;$I$9,0,(F14-$I$9)*0.26375)</f>
        <v>0</v>
      </c>
      <c r="H14" s="4">
        <f t="shared" ref="H14:H30" si="11">C14-E14</f>
        <v>115.96003419723162</v>
      </c>
      <c r="J14" s="30">
        <f t="shared" si="5"/>
        <v>1.1747640992110606</v>
      </c>
      <c r="K14" s="1">
        <f t="shared" si="6"/>
        <v>96.58334875588929</v>
      </c>
      <c r="L14" s="1">
        <f t="shared" si="1"/>
        <v>113.4626507</v>
      </c>
      <c r="M14" s="1">
        <f t="shared" si="7"/>
        <v>6.0051560566270217</v>
      </c>
      <c r="N14" s="1">
        <f t="shared" si="8"/>
        <v>7.0546417454852879</v>
      </c>
      <c r="O14" s="1">
        <f>IF(N14&lt;$I$9,0,(N14-$I$9)*0.26375)</f>
        <v>0</v>
      </c>
      <c r="P14" s="4">
        <f t="shared" si="9"/>
        <v>90.578192699262274</v>
      </c>
      <c r="Q14" s="5">
        <f t="shared" si="2"/>
        <v>6.2175894022942019E-2</v>
      </c>
    </row>
    <row r="15" spans="1:19" x14ac:dyDescent="0.25">
      <c r="A15" s="44">
        <v>5</v>
      </c>
      <c r="B15" s="30">
        <f t="shared" si="10"/>
        <v>1.0899580325910025</v>
      </c>
      <c r="C15" s="1">
        <f t="shared" si="3"/>
        <v>125.37598897404682</v>
      </c>
      <c r="D15" s="1">
        <f t="shared" si="0"/>
        <v>136.65456627630329</v>
      </c>
      <c r="E15" s="1">
        <f t="shared" si="4"/>
        <v>2.6970923905455702</v>
      </c>
      <c r="F15" s="1">
        <f>E15*B15</f>
        <v>2.9397175157152136</v>
      </c>
      <c r="G15" s="1">
        <f>IF(F15&lt;$I$9,0,(F15-$I$9)*0.26375)</f>
        <v>0</v>
      </c>
      <c r="H15" s="4">
        <f t="shared" si="11"/>
        <v>122.67889658350126</v>
      </c>
      <c r="J15" s="30">
        <f t="shared" si="5"/>
        <v>1.2526486488499358</v>
      </c>
      <c r="K15" s="1">
        <f t="shared" si="6"/>
        <v>94.473054985330549</v>
      </c>
      <c r="L15" s="1">
        <f t="shared" si="1"/>
        <v>118.3415446801</v>
      </c>
      <c r="M15" s="1">
        <f t="shared" si="7"/>
        <v>6.4050994499983815</v>
      </c>
      <c r="N15" s="1">
        <f t="shared" si="8"/>
        <v>8.0233391717899387</v>
      </c>
      <c r="O15" s="1">
        <f>IF(N15&lt;$I$9,0,(N15-$I$9)*0.26375)</f>
        <v>0</v>
      </c>
      <c r="P15" s="4">
        <f t="shared" si="9"/>
        <v>88.067955535332175</v>
      </c>
      <c r="Q15" s="5">
        <f t="shared" si="2"/>
        <v>6.7798161613308081E-2</v>
      </c>
      <c r="S15">
        <f>K11*(1+17.22/100)^3</f>
        <v>161.06647390479998</v>
      </c>
    </row>
    <row r="16" spans="1:19" x14ac:dyDescent="0.25">
      <c r="A16" s="44">
        <v>6</v>
      </c>
      <c r="B16" s="30">
        <f t="shared" si="10"/>
        <v>1.1139207319434075</v>
      </c>
      <c r="C16" s="1">
        <f t="shared" si="3"/>
        <v>132.64042298608155</v>
      </c>
      <c r="D16" s="1">
        <f t="shared" si="0"/>
        <v>147.75091705793912</v>
      </c>
      <c r="E16" s="1">
        <f t="shared" si="4"/>
        <v>2.8492084013723402</v>
      </c>
      <c r="F16" s="1">
        <f>E16*B16</f>
        <v>3.1737923079159831</v>
      </c>
      <c r="G16" s="1">
        <f>IF(F16&lt;$I$9,0,(F16-$I$9)*0.26375)</f>
        <v>0</v>
      </c>
      <c r="H16" s="4">
        <f t="shared" si="11"/>
        <v>129.79121458470919</v>
      </c>
      <c r="J16" s="30">
        <f t="shared" si="5"/>
        <v>1.343752605141632</v>
      </c>
      <c r="K16" s="1">
        <f t="shared" si="6"/>
        <v>91.854877623351456</v>
      </c>
      <c r="L16" s="1">
        <f t="shared" si="1"/>
        <v>123.43023110134432</v>
      </c>
      <c r="M16" s="1">
        <f t="shared" si="7"/>
        <v>6.8316790733682735</v>
      </c>
      <c r="N16" s="1">
        <f t="shared" si="8"/>
        <v>9.180086552330188</v>
      </c>
      <c r="O16" s="1">
        <f>IF(N16&lt;$I$9,0,(N16-$I$9)*0.26375)</f>
        <v>0</v>
      </c>
      <c r="P16" s="4">
        <f t="shared" si="9"/>
        <v>85.023198549983178</v>
      </c>
      <c r="Q16" s="5">
        <f t="shared" si="2"/>
        <v>7.4374701160469625E-2</v>
      </c>
    </row>
    <row r="17" spans="1:22" x14ac:dyDescent="0.25">
      <c r="A17" s="44">
        <v>7</v>
      </c>
      <c r="B17" s="30">
        <f t="shared" si="10"/>
        <v>1.1383737915597392</v>
      </c>
      <c r="C17" s="1">
        <f t="shared" si="3"/>
        <v>140.33026120898757</v>
      </c>
      <c r="D17" s="1">
        <f t="shared" si="0"/>
        <v>159.74829152304378</v>
      </c>
      <c r="E17" s="1">
        <f t="shared" si="4"/>
        <v>3.0099037552097401</v>
      </c>
      <c r="F17" s="1">
        <f>E17*B17</f>
        <v>3.4263955500480088</v>
      </c>
      <c r="G17" s="1">
        <f>IF(F17&lt;$I$9,0,(F17-$I$9)*0.26375)</f>
        <v>0</v>
      </c>
      <c r="H17" s="4">
        <f t="shared" si="11"/>
        <v>137.32035745377783</v>
      </c>
      <c r="J17" s="30">
        <f t="shared" si="5"/>
        <v>1.4517241553642859</v>
      </c>
      <c r="K17" s="1">
        <f t="shared" si="6"/>
        <v>88.679196087632448</v>
      </c>
      <c r="L17" s="1">
        <f t="shared" si="1"/>
        <v>128.73773103870209</v>
      </c>
      <c r="M17" s="1">
        <f t="shared" si="7"/>
        <v>7.2866688996546003</v>
      </c>
      <c r="N17" s="1">
        <f t="shared" si="8"/>
        <v>10.578233253770286</v>
      </c>
      <c r="O17" s="1">
        <f>IF(N17&lt;$I$9,0,(N17-$I$9)*0.26375)</f>
        <v>0</v>
      </c>
      <c r="P17" s="4">
        <f t="shared" si="9"/>
        <v>81.392527187977848</v>
      </c>
      <c r="Q17" s="5">
        <f t="shared" si="2"/>
        <v>8.2168865090454166E-2</v>
      </c>
      <c r="V17" s="5">
        <f>(34.08/23.79)^(1/3)-1</f>
        <v>0.12728842586033973</v>
      </c>
    </row>
    <row r="18" spans="1:22" x14ac:dyDescent="0.25">
      <c r="A18" s="44">
        <v>8</v>
      </c>
      <c r="B18" s="30">
        <f t="shared" si="10"/>
        <v>1.1633256312838771</v>
      </c>
      <c r="C18" s="1">
        <f t="shared" si="3"/>
        <v>148.47077047902459</v>
      </c>
      <c r="D18" s="1">
        <f t="shared" si="0"/>
        <v>172.71985279471491</v>
      </c>
      <c r="E18" s="1">
        <f t="shared" si="4"/>
        <v>3.1796623270035687</v>
      </c>
      <c r="F18" s="1">
        <f>E18*B18</f>
        <v>3.6989826838309883</v>
      </c>
      <c r="G18" s="1">
        <f>IF(F18&lt;$I$9,0,(F18-$I$9)*0.26375)</f>
        <v>0</v>
      </c>
      <c r="H18" s="4">
        <f t="shared" si="11"/>
        <v>145.29110815202102</v>
      </c>
      <c r="J18" s="30">
        <f t="shared" si="5"/>
        <v>1.5816898121541239</v>
      </c>
      <c r="K18" s="1">
        <f t="shared" si="6"/>
        <v>84.892405857060893</v>
      </c>
      <c r="L18" s="1">
        <f t="shared" si="1"/>
        <v>134.27345347336629</v>
      </c>
      <c r="M18" s="1">
        <f t="shared" si="7"/>
        <v>7.7719610483715957</v>
      </c>
      <c r="N18" s="1">
        <f t="shared" si="8"/>
        <v>12.292831610668037</v>
      </c>
      <c r="O18" s="1">
        <f>IF(N18&lt;$I$9,0,(N18-$I$9)*0.26375)</f>
        <v>0</v>
      </c>
      <c r="P18" s="4">
        <f t="shared" si="9"/>
        <v>77.1204448086893</v>
      </c>
      <c r="Q18" s="5">
        <f t="shared" si="2"/>
        <v>9.1550721998122822E-2</v>
      </c>
      <c r="T18">
        <f>17.22-12.73</f>
        <v>4.4899999999999984</v>
      </c>
    </row>
    <row r="19" spans="1:22" x14ac:dyDescent="0.25">
      <c r="A19" s="44">
        <v>9</v>
      </c>
      <c r="B19" s="30">
        <f t="shared" si="10"/>
        <v>1.1887847438949577</v>
      </c>
      <c r="C19" s="1">
        <f t="shared" si="3"/>
        <v>157.08874613396512</v>
      </c>
      <c r="D19" s="1">
        <f t="shared" si="0"/>
        <v>186.74470484164576</v>
      </c>
      <c r="E19" s="1">
        <f t="shared" si="4"/>
        <v>3.3589952822465698</v>
      </c>
      <c r="F19" s="1">
        <f>E19*B19</f>
        <v>3.9931223463498595</v>
      </c>
      <c r="G19" s="1">
        <f>IF(F19&lt;$I$9,0,(F19-$I$9)*0.26375)</f>
        <v>0</v>
      </c>
      <c r="H19" s="4">
        <f t="shared" si="11"/>
        <v>153.72975085171853</v>
      </c>
      <c r="J19" s="30">
        <f t="shared" si="5"/>
        <v>1.74108764292601</v>
      </c>
      <c r="K19" s="1">
        <f t="shared" si="6"/>
        <v>80.436623935462933</v>
      </c>
      <c r="L19" s="1">
        <f t="shared" si="1"/>
        <v>140.04721197272104</v>
      </c>
      <c r="M19" s="1">
        <f t="shared" si="7"/>
        <v>8.2895736541931431</v>
      </c>
      <c r="N19" s="1">
        <f t="shared" si="8"/>
        <v>14.432874254440691</v>
      </c>
      <c r="O19" s="1">
        <f>IF(N19&lt;$I$9,0,(N19-$I$9)*0.26375)</f>
        <v>0</v>
      </c>
      <c r="P19" s="4">
        <f t="shared" si="9"/>
        <v>72.147050281269784</v>
      </c>
      <c r="Q19" s="5">
        <f t="shared" si="2"/>
        <v>0.1030572051463044</v>
      </c>
    </row>
    <row r="20" spans="1:22" x14ac:dyDescent="0.25">
      <c r="A20" s="44">
        <v>10</v>
      </c>
      <c r="B20" s="30">
        <f t="shared" si="10"/>
        <v>1.2147596922977653</v>
      </c>
      <c r="C20" s="1">
        <f t="shared" si="3"/>
        <v>166.21260662087806</v>
      </c>
      <c r="D20" s="1">
        <f t="shared" si="0"/>
        <v>201.90837487478734</v>
      </c>
      <c r="E20" s="1">
        <f t="shared" si="4"/>
        <v>3.5484426161652762</v>
      </c>
      <c r="F20" s="1">
        <f>E20*B20</f>
        <v>4.3105050605492083</v>
      </c>
      <c r="G20" s="1">
        <f>IF(F20&lt;$I$9,0,(F20-$I$9)*0.26375)</f>
        <v>0</v>
      </c>
      <c r="H20" s="4">
        <f t="shared" si="11"/>
        <v>162.66416400471277</v>
      </c>
      <c r="J20" s="30">
        <f t="shared" si="5"/>
        <v>1.9411356587239288</v>
      </c>
      <c r="K20" s="1">
        <f t="shared" si="6"/>
        <v>75.249373443364377</v>
      </c>
      <c r="L20" s="1">
        <f t="shared" si="1"/>
        <v>146.06924208754802</v>
      </c>
      <c r="M20" s="1">
        <f t="shared" si="7"/>
        <v>8.8416592595624071</v>
      </c>
      <c r="N20" s="1">
        <f t="shared" si="8"/>
        <v>17.162860071023196</v>
      </c>
      <c r="O20" s="1">
        <f>IF(N20&lt;$I$9,0,(N20-$I$9)*0.26375)</f>
        <v>0</v>
      </c>
      <c r="P20" s="4">
        <f t="shared" si="9"/>
        <v>66.407714183801971</v>
      </c>
      <c r="Q20" s="5">
        <f t="shared" si="2"/>
        <v>0.11749811134596337</v>
      </c>
    </row>
    <row r="21" spans="1:22" x14ac:dyDescent="0.25">
      <c r="A21" s="44">
        <v>11</v>
      </c>
      <c r="B21" s="30">
        <f t="shared" si="10"/>
        <v>1.2412591065167713</v>
      </c>
      <c r="C21" s="1">
        <f>H20*(1+$C$2-$C$3)</f>
        <v>175.87249412189544</v>
      </c>
      <c r="D21" s="1">
        <f t="shared" si="0"/>
        <v>218.30333491462005</v>
      </c>
      <c r="E21" s="1">
        <f t="shared" si="4"/>
        <v>3.7485747797169977</v>
      </c>
      <c r="F21" s="1">
        <f>E21*B21</f>
        <v>4.6529525817828237</v>
      </c>
      <c r="G21" s="1">
        <f>IF(F21&lt;$I$9,0,(F21-$I$9)*0.26375)</f>
        <v>0</v>
      </c>
      <c r="H21" s="4">
        <f t="shared" si="11"/>
        <v>172.12391934217845</v>
      </c>
      <c r="J21" s="30">
        <f t="shared" si="5"/>
        <v>2.1995824413299401</v>
      </c>
      <c r="K21" s="1">
        <f t="shared" si="6"/>
        <v>69.263245893705445</v>
      </c>
      <c r="L21" s="1">
        <f t="shared" si="1"/>
        <v>152.35021949731257</v>
      </c>
      <c r="M21" s="1">
        <f t="shared" si="7"/>
        <v>9.4305137662492626</v>
      </c>
      <c r="N21" s="1">
        <f t="shared" si="8"/>
        <v>20.743192492962162</v>
      </c>
      <c r="O21" s="1">
        <f>IF(N21&lt;$I$9,0,(N21-$I$9)*0.26375)</f>
        <v>0</v>
      </c>
      <c r="P21" s="4">
        <f t="shared" si="9"/>
        <v>59.832732127456183</v>
      </c>
      <c r="Q21" s="5">
        <f t="shared" si="2"/>
        <v>0.13615466102645207</v>
      </c>
    </row>
    <row r="22" spans="1:22" x14ac:dyDescent="0.25">
      <c r="A22" s="44">
        <v>12</v>
      </c>
      <c r="B22" s="30">
        <f t="shared" si="10"/>
        <v>1.2682916804876954</v>
      </c>
      <c r="C22" s="1">
        <f t="shared" si="3"/>
        <v>186.10038159276334</v>
      </c>
      <c r="D22" s="1">
        <f t="shared" si="0"/>
        <v>236.02956570968718</v>
      </c>
      <c r="E22" s="1">
        <f t="shared" si="4"/>
        <v>3.9599943972930358</v>
      </c>
      <c r="F22" s="1">
        <f>E22*B22</f>
        <v>5.0224279488646424</v>
      </c>
      <c r="G22" s="1">
        <f>IF(F22&lt;$I$9,0,(F22-$I$9)*0.26375)</f>
        <v>0</v>
      </c>
      <c r="H22" s="4">
        <f t="shared" si="11"/>
        <v>182.14038719547031</v>
      </c>
      <c r="J22" s="30">
        <f t="shared" si="5"/>
        <v>2.546268807728433</v>
      </c>
      <c r="K22" s="1">
        <f t="shared" si="6"/>
        <v>62.405539608936792</v>
      </c>
      <c r="L22" s="1">
        <f t="shared" si="1"/>
        <v>158.90127893569698</v>
      </c>
      <c r="M22" s="1">
        <f t="shared" si="7"/>
        <v>10.058585983081462</v>
      </c>
      <c r="N22" s="1">
        <f t="shared" si="8"/>
        <v>25.611863738574762</v>
      </c>
      <c r="O22" s="1">
        <f>IF(N22&lt;$I$9,0,(N22-$I$9)*0.26375)</f>
        <v>0</v>
      </c>
      <c r="P22" s="4">
        <f t="shared" si="9"/>
        <v>52.346953625855328</v>
      </c>
      <c r="Q22" s="5">
        <f t="shared" si="2"/>
        <v>0.16118097922257243</v>
      </c>
      <c r="T22">
        <f>5.06+4.85+3.52</f>
        <v>13.43</v>
      </c>
    </row>
    <row r="23" spans="1:22" x14ac:dyDescent="0.25">
      <c r="A23" s="44">
        <v>13</v>
      </c>
      <c r="B23" s="30">
        <f t="shared" si="10"/>
        <v>1.2958661686404775</v>
      </c>
      <c r="C23" s="1">
        <f t="shared" si="3"/>
        <v>196.9301866357425</v>
      </c>
      <c r="D23" s="1">
        <f t="shared" si="0"/>
        <v>255.19516644531382</v>
      </c>
      <c r="E23" s="1">
        <f t="shared" si="4"/>
        <v>4.1833380813003629</v>
      </c>
      <c r="F23" s="1">
        <f>E23*B23</f>
        <v>5.4210462915425079</v>
      </c>
      <c r="G23" s="1">
        <f>IF(F23&lt;$I$9,0,(F23-$I$9)*0.26375)</f>
        <v>0</v>
      </c>
      <c r="H23" s="4">
        <f t="shared" si="11"/>
        <v>192.74684855444212</v>
      </c>
      <c r="J23" s="30">
        <f t="shared" si="5"/>
        <v>3.0355401399559589</v>
      </c>
      <c r="K23" s="1">
        <f t="shared" si="6"/>
        <v>54.597872631767103</v>
      </c>
      <c r="L23" s="1">
        <f t="shared" si="1"/>
        <v>165.73403392993194</v>
      </c>
      <c r="M23" s="1">
        <f t="shared" si="7"/>
        <v>10.728487809554688</v>
      </c>
      <c r="N23" s="1">
        <f t="shared" si="8"/>
        <v>32.566755386931433</v>
      </c>
      <c r="O23" s="1">
        <f>IF(N23&lt;$I$9,0,(N23-$I$9)*0.26375)</f>
        <v>0</v>
      </c>
      <c r="P23" s="4">
        <f t="shared" si="9"/>
        <v>43.869384822212417</v>
      </c>
      <c r="Q23" s="5">
        <f t="shared" si="2"/>
        <v>0.1965001069164817</v>
      </c>
      <c r="T23" s="67">
        <f>T22/3</f>
        <v>4.4766666666666666</v>
      </c>
    </row>
    <row r="24" spans="1:22" x14ac:dyDescent="0.25">
      <c r="A24" s="44">
        <v>14</v>
      </c>
      <c r="B24" s="30">
        <f t="shared" si="10"/>
        <v>1.32399138226757</v>
      </c>
      <c r="C24" s="1">
        <f t="shared" si="3"/>
        <v>208.39789265706281</v>
      </c>
      <c r="D24" s="1">
        <f t="shared" si="0"/>
        <v>275.91701396067327</v>
      </c>
      <c r="E24" s="1">
        <f t="shared" si="4"/>
        <v>4.4192783490857028</v>
      </c>
      <c r="F24" s="1">
        <f>E24*B24</f>
        <v>5.8510864500311239</v>
      </c>
      <c r="G24" s="1">
        <f>IF(F24&lt;$I$9,0,(F24-$I$9)*0.26375)</f>
        <v>0</v>
      </c>
      <c r="H24" s="4">
        <f t="shared" si="11"/>
        <v>203.9786143079771</v>
      </c>
      <c r="J24" s="30">
        <f t="shared" si="5"/>
        <v>3.7778973788120163</v>
      </c>
      <c r="K24" s="1">
        <f t="shared" si="6"/>
        <v>45.755768369567548</v>
      </c>
      <c r="L24" s="1">
        <f t="shared" si="1"/>
        <v>172.86059738891899</v>
      </c>
      <c r="M24" s="1">
        <f t="shared" si="7"/>
        <v>11.44300509767103</v>
      </c>
      <c r="N24" s="1">
        <f t="shared" si="8"/>
        <v>43.230498964223926</v>
      </c>
      <c r="O24" s="1">
        <f>IF(N24&lt;$I$9,0,(N24-$I$9)*0.26375)</f>
        <v>0</v>
      </c>
      <c r="P24" s="4">
        <f t="shared" si="9"/>
        <v>34.312763271896515</v>
      </c>
      <c r="Q24" s="5">
        <f t="shared" si="2"/>
        <v>0.25008879766254449</v>
      </c>
    </row>
    <row r="25" spans="1:22" x14ac:dyDescent="0.25">
      <c r="A25" s="44">
        <v>15</v>
      </c>
      <c r="B25" s="30">
        <f t="shared" si="10"/>
        <v>1.3526761856715035</v>
      </c>
      <c r="C25" s="1">
        <f>H24*(1+$C$2-$C$3)</f>
        <v>220.54167778978481</v>
      </c>
      <c r="D25" s="1">
        <f t="shared" si="0"/>
        <v>298.32147549427987</v>
      </c>
      <c r="E25" s="1">
        <f t="shared" si="4"/>
        <v>4.6685256479741373</v>
      </c>
      <c r="F25" s="1">
        <f>E25*B25</f>
        <v>6.3150034662112402</v>
      </c>
      <c r="G25" s="1">
        <f>IF(F25&lt;$I$9,0,(F25-$I$9)*0.26375)</f>
        <v>0</v>
      </c>
      <c r="H25" s="4">
        <f t="shared" si="11"/>
        <v>215.87315214181066</v>
      </c>
      <c r="J25" s="30">
        <f t="shared" si="5"/>
        <v>5.0377929640688119</v>
      </c>
      <c r="K25" s="1">
        <f t="shared" si="6"/>
        <v>35.788212092588061</v>
      </c>
      <c r="L25" s="1">
        <f t="shared" si="1"/>
        <v>180.29360307664251</v>
      </c>
      <c r="M25" s="1">
        <f t="shared" si="7"/>
        <v>12.20510923717592</v>
      </c>
      <c r="N25" s="1">
        <f t="shared" si="8"/>
        <v>61.486813440736114</v>
      </c>
      <c r="O25" s="1">
        <f>IF(N25&lt;$I$9,0,(N25-$I$9)*0.26375)</f>
        <v>0</v>
      </c>
      <c r="P25" s="4">
        <f t="shared" si="9"/>
        <v>23.583102855412143</v>
      </c>
      <c r="Q25" s="5">
        <f t="shared" si="2"/>
        <v>0.34103713271844799</v>
      </c>
    </row>
    <row r="26" spans="1:22" x14ac:dyDescent="0.25">
      <c r="A26" s="44">
        <v>16</v>
      </c>
      <c r="B26" s="30">
        <f t="shared" si="10"/>
        <v>1.3819294920857388</v>
      </c>
      <c r="C26" s="1">
        <f t="shared" si="3"/>
        <v>233.40205209572568</v>
      </c>
      <c r="D26" s="1">
        <f t="shared" si="0"/>
        <v>322.54517930441534</v>
      </c>
      <c r="E26" s="1">
        <f t="shared" si="4"/>
        <v>4.9318304945198772</v>
      </c>
      <c r="F26" s="1">
        <f>E26*B26</f>
        <v>6.8154420103448121</v>
      </c>
      <c r="G26" s="1">
        <f>IF(F26&lt;$I$9,0,(F26-$I$9)*0.26375)</f>
        <v>0</v>
      </c>
      <c r="H26" s="4">
        <f t="shared" si="11"/>
        <v>228.47022160120579</v>
      </c>
      <c r="J26" s="30">
        <f t="shared" si="5"/>
        <v>7.6450331486073519</v>
      </c>
      <c r="K26" s="1">
        <f t="shared" si="6"/>
        <v>24.597176278194862</v>
      </c>
      <c r="L26" s="1">
        <f t="shared" si="1"/>
        <v>188.04622800893813</v>
      </c>
      <c r="M26" s="1">
        <f t="shared" si="7"/>
        <v>13.017969512371835</v>
      </c>
      <c r="N26" s="1">
        <f t="shared" si="8"/>
        <v>99.522808449642568</v>
      </c>
      <c r="O26" s="1">
        <f>IF(N26&lt;$I$9,0,(N26-$I$9)*0.26375)</f>
        <v>0</v>
      </c>
      <c r="P26" s="4">
        <f t="shared" si="9"/>
        <v>11.579206765823027</v>
      </c>
      <c r="Q26" s="5">
        <f t="shared" si="2"/>
        <v>0.52924650232767279</v>
      </c>
    </row>
    <row r="27" spans="1:22" x14ac:dyDescent="0.25">
      <c r="A27" s="44">
        <v>17</v>
      </c>
      <c r="B27" s="30">
        <f t="shared" si="10"/>
        <v>1.4117602593628904</v>
      </c>
      <c r="C27" s="1">
        <f t="shared" si="3"/>
        <v>247.02200359522368</v>
      </c>
      <c r="D27" s="1">
        <f t="shared" si="0"/>
        <v>348.73584786393383</v>
      </c>
      <c r="E27" s="1">
        <f t="shared" si="4"/>
        <v>5.2099857344107976</v>
      </c>
      <c r="F27" s="1">
        <f>E27*B27</f>
        <v>7.3552508116887463</v>
      </c>
      <c r="G27" s="1">
        <f>IF(F27&lt;$I$9,0,(F27-$I$9)*0.26375)</f>
        <v>0</v>
      </c>
      <c r="H27" s="4">
        <f t="shared" si="11"/>
        <v>241.81201786081289</v>
      </c>
      <c r="J27" s="30">
        <f t="shared" si="5"/>
        <v>16.239992238844195</v>
      </c>
      <c r="K27" s="1">
        <f t="shared" si="6"/>
        <v>12.077112656753417</v>
      </c>
      <c r="L27" s="1">
        <f t="shared" si="1"/>
        <v>196.13221581332249</v>
      </c>
      <c r="M27" s="1">
        <f t="shared" si="7"/>
        <v>13.8849662818958</v>
      </c>
      <c r="N27" s="1">
        <f t="shared" si="8"/>
        <v>225.49174465460112</v>
      </c>
      <c r="O27" s="1">
        <f>IF(N27&lt;$I$9,0,(N27-$I$9)*0.26375)</f>
        <v>0</v>
      </c>
      <c r="P27" s="4">
        <f t="shared" si="9"/>
        <v>-1.807853625142382</v>
      </c>
      <c r="Q27" s="5">
        <f t="shared" si="2"/>
        <v>1.149692536330813</v>
      </c>
    </row>
    <row r="28" spans="1:22" x14ac:dyDescent="0.25">
      <c r="A28" s="44">
        <v>18</v>
      </c>
      <c r="B28" s="30">
        <f t="shared" si="10"/>
        <v>1.44217748542451</v>
      </c>
      <c r="C28" s="1">
        <f t="shared" si="3"/>
        <v>261.4471537111109</v>
      </c>
      <c r="D28" s="1">
        <f t="shared" si="0"/>
        <v>377.05319871048528</v>
      </c>
      <c r="E28" s="1">
        <f t="shared" si="4"/>
        <v>5.5038289298315659</v>
      </c>
      <c r="F28" s="1">
        <f>E28*B28</f>
        <v>7.9374981662311592</v>
      </c>
      <c r="G28" s="1">
        <f>IF(F28&lt;$I$9,0,(F28-$I$9)*0.26375)</f>
        <v>0</v>
      </c>
      <c r="H28" s="4">
        <f t="shared" si="11"/>
        <v>255.94332478127933</v>
      </c>
      <c r="J28" s="30">
        <f>J27+(N27-O27)/P27</f>
        <v>-108.48899108072182</v>
      </c>
      <c r="K28" s="1">
        <f t="shared" si="6"/>
        <v>-1.8855913310235044</v>
      </c>
      <c r="L28" s="1">
        <f t="shared" si="1"/>
        <v>204.56590109329534</v>
      </c>
      <c r="M28" s="1">
        <f t="shared" si="7"/>
        <v>14.809705036270058</v>
      </c>
      <c r="N28" s="1">
        <f t="shared" si="8"/>
        <v>-1606.6899575880234</v>
      </c>
      <c r="O28" s="1">
        <f>IF(N28&lt;$I$9,0,(N28-$I$9)*0.26375)</f>
        <v>0</v>
      </c>
      <c r="P28" s="4">
        <f t="shared" si="9"/>
        <v>-16.695296367293562</v>
      </c>
      <c r="Q28" s="5">
        <f t="shared" si="2"/>
        <v>-7.8541435742766748</v>
      </c>
    </row>
    <row r="29" spans="1:22" x14ac:dyDescent="0.25">
      <c r="A29" s="44">
        <v>19</v>
      </c>
      <c r="B29" s="30">
        <f t="shared" si="10"/>
        <v>1.4731902034667339</v>
      </c>
      <c r="C29" s="1">
        <f t="shared" si="3"/>
        <v>276.72592275351917</v>
      </c>
      <c r="D29" s="1">
        <f t="shared" si="0"/>
        <v>407.6699184457766</v>
      </c>
      <c r="E29" s="1">
        <f t="shared" si="4"/>
        <v>5.8142448814740675</v>
      </c>
      <c r="F29" s="1">
        <f>E29*B29</f>
        <v>8.5654885999441976</v>
      </c>
      <c r="G29" s="1">
        <f>IF(F29&lt;$I$9,0,(F29-$I$9)*0.26375)</f>
        <v>0</v>
      </c>
      <c r="H29" s="4">
        <f t="shared" si="11"/>
        <v>270.91167787204512</v>
      </c>
      <c r="J29" s="30">
        <f t="shared" si="5"/>
        <v>-12.252906243344327</v>
      </c>
      <c r="K29" s="1">
        <f t="shared" si="6"/>
        <v>-17.413194111087183</v>
      </c>
      <c r="L29" s="1">
        <f t="shared" si="1"/>
        <v>213.36223484030683</v>
      </c>
      <c r="M29" s="1">
        <f t="shared" si="7"/>
        <v>15.796031391685645</v>
      </c>
      <c r="N29" s="1">
        <f t="shared" si="8"/>
        <v>-193.54729165924803</v>
      </c>
      <c r="O29" s="1">
        <f>IF(N29&lt;$I$9,0,(N29-$I$9)*0.26375)</f>
        <v>0</v>
      </c>
      <c r="P29" s="4">
        <f t="shared" si="9"/>
        <v>-33.209225502772824</v>
      </c>
      <c r="Q29" s="5">
        <f t="shared" si="2"/>
        <v>-0.90713003547282167</v>
      </c>
    </row>
    <row r="30" spans="1:22" x14ac:dyDescent="0.25">
      <c r="A30" s="44">
        <v>20</v>
      </c>
      <c r="B30" s="30">
        <f t="shared" si="10"/>
        <v>1.5048074769162372</v>
      </c>
      <c r="C30" s="1">
        <f t="shared" si="3"/>
        <v>292.90970611525518</v>
      </c>
      <c r="D30" s="24">
        <f t="shared" si="0"/>
        <v>440.77271582357366</v>
      </c>
      <c r="E30" s="1">
        <f t="shared" si="4"/>
        <v>6.1421682927892034</v>
      </c>
      <c r="F30" s="24">
        <f>E30*B30</f>
        <v>9.2427807714670323</v>
      </c>
      <c r="G30" s="1">
        <f>IF(F30&lt;$I$9,0,(F30-$I$9)*0.26375)</f>
        <v>0</v>
      </c>
      <c r="H30" s="4">
        <f t="shared" si="11"/>
        <v>286.76753782246595</v>
      </c>
      <c r="J30" s="30">
        <f t="shared" si="5"/>
        <v>-6.4247880403742617</v>
      </c>
      <c r="K30" s="1">
        <f t="shared" si="6"/>
        <v>-34.637222199392056</v>
      </c>
      <c r="L30" s="23">
        <f t="shared" si="1"/>
        <v>222.53681093843997</v>
      </c>
      <c r="M30" s="1">
        <f t="shared" si="7"/>
        <v>16.848047082371906</v>
      </c>
      <c r="N30" s="23">
        <f t="shared" si="8"/>
        <v>-108.2451313984855</v>
      </c>
      <c r="O30" s="1">
        <f>IF(N30&lt;$I$9,0,(N30-$I$9)*0.26375)</f>
        <v>0</v>
      </c>
      <c r="P30" s="4">
        <f t="shared" si="9"/>
        <v>-51.485269281763962</v>
      </c>
      <c r="Q30" s="5">
        <f t="shared" si="2"/>
        <v>-0.48641449898564959</v>
      </c>
    </row>
    <row r="32" spans="1:22" s="17" customFormat="1" x14ac:dyDescent="0.25">
      <c r="A32"/>
      <c r="B32" s="45">
        <f>B30</f>
        <v>1.5048074769162372</v>
      </c>
      <c r="C32" s="29">
        <f>C30</f>
        <v>292.90970611525518</v>
      </c>
      <c r="D32" s="29">
        <f>D30</f>
        <v>440.77271582357366</v>
      </c>
      <c r="E32" s="29">
        <f>E30</f>
        <v>6.1421682927892034</v>
      </c>
      <c r="F32" s="29">
        <f>SUM(F11:F30)</f>
        <v>98.351804613152922</v>
      </c>
      <c r="G32" s="46">
        <f>SUM(G11:G30)</f>
        <v>0</v>
      </c>
      <c r="H32" s="47">
        <f>F30/D30</f>
        <v>2.0969493890285629E-2</v>
      </c>
      <c r="I32" s="33"/>
      <c r="P32" s="47">
        <f>N30/L30</f>
        <v>-0.48641449898564959</v>
      </c>
    </row>
    <row r="34" spans="5:14" x14ac:dyDescent="0.25">
      <c r="J34" t="s">
        <v>86</v>
      </c>
      <c r="K34" s="4">
        <f>D30-SUM(G11:G30)-C5-SUM(F11:F30)</f>
        <v>242.42091121042074</v>
      </c>
      <c r="L34" s="41">
        <f>D30-K35</f>
        <v>396.01575509134972</v>
      </c>
      <c r="M34" s="4">
        <f>M30</f>
        <v>16.848047082371906</v>
      </c>
      <c r="N34" s="41">
        <f>L34/K30*M34</f>
        <v>-192.62780510318257</v>
      </c>
    </row>
    <row r="35" spans="5:14" x14ac:dyDescent="0.25">
      <c r="K35" s="4">
        <f>K34*0.7*0.26375</f>
        <v>44.756960732223924</v>
      </c>
    </row>
    <row r="38" spans="5:14" x14ac:dyDescent="0.25">
      <c r="F38" s="54"/>
    </row>
    <row r="39" spans="5:14" x14ac:dyDescent="0.25">
      <c r="E39" s="55"/>
    </row>
  </sheetData>
  <mergeCells count="3">
    <mergeCell ref="B8:H8"/>
    <mergeCell ref="J8:P8"/>
    <mergeCell ref="I6:I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K26"/>
  <sheetViews>
    <sheetView workbookViewId="0">
      <selection activeCell="H21" sqref="H21"/>
    </sheetView>
  </sheetViews>
  <sheetFormatPr baseColWidth="10" defaultRowHeight="15" x14ac:dyDescent="0.25"/>
  <cols>
    <col min="4" max="4" width="16.5703125" style="57" bestFit="1" customWidth="1"/>
    <col min="5" max="5" width="7.28515625" style="57" bestFit="1" customWidth="1"/>
    <col min="6" max="6" width="23.140625" style="57" bestFit="1" customWidth="1"/>
    <col min="7" max="8" width="11.42578125" style="65"/>
    <col min="9" max="9" width="11.42578125" style="57"/>
    <col min="10" max="10" width="12.5703125" style="57" bestFit="1" customWidth="1"/>
    <col min="11" max="11" width="13.5703125" style="57" bestFit="1" customWidth="1"/>
  </cols>
  <sheetData>
    <row r="7" spans="4:11" ht="17.25" thickBot="1" x14ac:dyDescent="0.3">
      <c r="D7" s="56" t="s">
        <v>88</v>
      </c>
      <c r="E7" s="56" t="s">
        <v>89</v>
      </c>
      <c r="F7" s="56" t="s">
        <v>90</v>
      </c>
      <c r="J7" s="56" t="s">
        <v>98</v>
      </c>
      <c r="K7" s="58" t="s">
        <v>99</v>
      </c>
    </row>
    <row r="8" spans="4:11" ht="18" thickTop="1" thickBot="1" x14ac:dyDescent="0.3">
      <c r="D8" s="59" t="s">
        <v>91</v>
      </c>
      <c r="E8" s="59">
        <v>1.64</v>
      </c>
      <c r="F8" s="60" t="s">
        <v>93</v>
      </c>
      <c r="J8" s="59" t="s">
        <v>100</v>
      </c>
      <c r="K8" s="61" t="s">
        <v>101</v>
      </c>
    </row>
    <row r="9" spans="4:11" ht="17.25" thickBot="1" x14ac:dyDescent="0.3">
      <c r="D9" s="59">
        <v>2022</v>
      </c>
      <c r="E9" s="59">
        <v>1.56</v>
      </c>
      <c r="F9" s="60" t="s">
        <v>94</v>
      </c>
      <c r="J9" s="59" t="s">
        <v>102</v>
      </c>
      <c r="K9" s="61" t="s">
        <v>103</v>
      </c>
    </row>
    <row r="10" spans="4:11" ht="17.25" thickBot="1" x14ac:dyDescent="0.3">
      <c r="D10" s="59">
        <v>2021</v>
      </c>
      <c r="E10" s="59">
        <v>1.23</v>
      </c>
      <c r="F10" s="60" t="s">
        <v>95</v>
      </c>
      <c r="J10" s="59" t="s">
        <v>104</v>
      </c>
      <c r="K10" s="61" t="s">
        <v>105</v>
      </c>
    </row>
    <row r="11" spans="4:11" ht="17.25" thickBot="1" x14ac:dyDescent="0.3">
      <c r="D11" s="59">
        <v>2020</v>
      </c>
      <c r="E11" s="59">
        <v>1.04</v>
      </c>
      <c r="F11" s="60" t="s">
        <v>96</v>
      </c>
      <c r="J11" s="59" t="s">
        <v>106</v>
      </c>
      <c r="K11" s="61" t="s">
        <v>107</v>
      </c>
    </row>
    <row r="12" spans="4:11" ht="17.25" thickBot="1" x14ac:dyDescent="0.3">
      <c r="D12" s="59">
        <v>2019</v>
      </c>
      <c r="E12" s="59">
        <v>1.29</v>
      </c>
      <c r="F12" s="60" t="s">
        <v>97</v>
      </c>
      <c r="J12" s="59" t="s">
        <v>108</v>
      </c>
      <c r="K12" s="61" t="s">
        <v>109</v>
      </c>
    </row>
    <row r="13" spans="4:11" ht="16.5" x14ac:dyDescent="0.25">
      <c r="J13" s="62" t="s">
        <v>110</v>
      </c>
      <c r="K13" s="63" t="s">
        <v>111</v>
      </c>
    </row>
    <row r="18" spans="4:10" ht="17.25" thickBot="1" x14ac:dyDescent="0.3">
      <c r="D18" s="56" t="s">
        <v>88</v>
      </c>
      <c r="E18" s="56" t="s">
        <v>89</v>
      </c>
      <c r="F18" s="56" t="s">
        <v>90</v>
      </c>
    </row>
    <row r="19" spans="4:10" ht="18" thickTop="1" thickBot="1" x14ac:dyDescent="0.3">
      <c r="D19" s="59" t="s">
        <v>91</v>
      </c>
      <c r="E19" s="59" t="s">
        <v>92</v>
      </c>
      <c r="F19" s="60" t="s">
        <v>93</v>
      </c>
    </row>
    <row r="20" spans="4:10" ht="17.25" thickBot="1" x14ac:dyDescent="0.3">
      <c r="D20" s="59">
        <v>2022</v>
      </c>
      <c r="E20" s="59">
        <v>1.56</v>
      </c>
      <c r="F20" s="60" t="s">
        <v>94</v>
      </c>
      <c r="G20" s="65">
        <f>(E20/E21)-1</f>
        <v>0.26829268292682928</v>
      </c>
      <c r="H20" s="66">
        <f>(E20/E25)^(1/5)-1</f>
        <v>6.6618792082255185E-2</v>
      </c>
      <c r="J20" s="57" t="s">
        <v>113</v>
      </c>
    </row>
    <row r="21" spans="4:10" ht="17.25" thickBot="1" x14ac:dyDescent="0.3">
      <c r="D21" s="59">
        <v>2021</v>
      </c>
      <c r="E21" s="59">
        <v>1.23</v>
      </c>
      <c r="F21" s="60" t="s">
        <v>95</v>
      </c>
      <c r="G21" s="65">
        <f t="shared" ref="G21:G26" si="0">(E21/E22)-1</f>
        <v>0.18269230769230771</v>
      </c>
    </row>
    <row r="22" spans="4:10" ht="17.25" thickBot="1" x14ac:dyDescent="0.3">
      <c r="D22" s="59">
        <v>2020</v>
      </c>
      <c r="E22" s="59">
        <v>1.04</v>
      </c>
      <c r="F22" s="60" t="s">
        <v>96</v>
      </c>
      <c r="G22" s="65">
        <f t="shared" si="0"/>
        <v>-0.19379844961240311</v>
      </c>
    </row>
    <row r="23" spans="4:10" ht="17.25" thickBot="1" x14ac:dyDescent="0.3">
      <c r="D23" s="59">
        <v>2019</v>
      </c>
      <c r="E23" s="59">
        <v>1.29</v>
      </c>
      <c r="F23" s="60" t="s">
        <v>97</v>
      </c>
      <c r="G23" s="65">
        <f t="shared" si="0"/>
        <v>3.2000000000000028E-2</v>
      </c>
      <c r="J23" s="57" t="s">
        <v>114</v>
      </c>
    </row>
    <row r="24" spans="4:10" ht="17.25" thickBot="1" x14ac:dyDescent="0.3">
      <c r="D24" s="59">
        <v>2018</v>
      </c>
      <c r="E24" s="59">
        <v>1.25</v>
      </c>
      <c r="F24" s="60" t="s">
        <v>112</v>
      </c>
      <c r="G24" s="65">
        <f t="shared" si="0"/>
        <v>0.10619469026548689</v>
      </c>
    </row>
    <row r="25" spans="4:10" ht="17.25" thickBot="1" x14ac:dyDescent="0.3">
      <c r="D25" s="59">
        <v>2017</v>
      </c>
      <c r="E25" s="59">
        <v>1.1299999999999999</v>
      </c>
      <c r="F25" s="60" t="s">
        <v>112</v>
      </c>
      <c r="G25" s="65">
        <f t="shared" si="0"/>
        <v>2.5312499999999996</v>
      </c>
      <c r="J25" s="66">
        <f>(E9/E10)^(1/1)-1</f>
        <v>0.26829268292682928</v>
      </c>
    </row>
    <row r="26" spans="4:10" ht="16.5" x14ac:dyDescent="0.25">
      <c r="D26" s="62">
        <v>2016</v>
      </c>
      <c r="E26" s="62">
        <v>0.32</v>
      </c>
      <c r="F26" s="64" t="s">
        <v>112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tabSelected="1" zoomScale="85" zoomScaleNormal="85" workbookViewId="0">
      <selection activeCell="AA40" sqref="AA40"/>
    </sheetView>
  </sheetViews>
  <sheetFormatPr baseColWidth="10" defaultRowHeight="15" x14ac:dyDescent="0.25"/>
  <cols>
    <col min="1" max="1" width="22.85546875" bestFit="1" customWidth="1"/>
    <col min="2" max="2" width="18.85546875" bestFit="1" customWidth="1"/>
    <col min="3" max="3" width="23" bestFit="1" customWidth="1"/>
    <col min="4" max="4" width="39.140625" bestFit="1" customWidth="1"/>
    <col min="5" max="5" width="12.85546875" bestFit="1" customWidth="1"/>
    <col min="6" max="6" width="12.42578125" style="10" bestFit="1" customWidth="1"/>
    <col min="7" max="7" width="17.85546875" bestFit="1" customWidth="1"/>
    <col min="8" max="8" width="22.85546875" bestFit="1" customWidth="1"/>
    <col min="9" max="9" width="38.85546875" bestFit="1" customWidth="1"/>
    <col min="10" max="10" width="12.85546875" bestFit="1" customWidth="1"/>
    <col min="11" max="11" width="7.42578125" bestFit="1" customWidth="1"/>
    <col min="12" max="12" width="18.140625" bestFit="1" customWidth="1"/>
    <col min="13" max="13" width="6.28515625" customWidth="1"/>
    <col min="14" max="14" width="2.42578125" style="10" customWidth="1"/>
    <col min="15" max="15" width="18.5703125" bestFit="1" customWidth="1"/>
    <col min="16" max="16" width="15" style="1" bestFit="1" customWidth="1"/>
    <col min="17" max="17" width="16.42578125" style="1" bestFit="1" customWidth="1"/>
    <col min="18" max="18" width="24.42578125" style="1" bestFit="1" customWidth="1"/>
    <col min="19" max="19" width="18.28515625" style="1" bestFit="1" customWidth="1"/>
    <col min="20" max="20" width="35.85546875" bestFit="1" customWidth="1"/>
    <col min="21" max="21" width="12.28515625" bestFit="1" customWidth="1"/>
    <col min="22" max="22" width="11.42578125" style="10"/>
    <col min="23" max="23" width="22.5703125" bestFit="1" customWidth="1"/>
    <col min="24" max="24" width="14.140625" bestFit="1" customWidth="1"/>
    <col min="25" max="25" width="13.5703125" bestFit="1" customWidth="1"/>
    <col min="26" max="26" width="22.85546875" bestFit="1" customWidth="1"/>
    <col min="27" max="27" width="19" bestFit="1" customWidth="1"/>
    <col min="28" max="28" width="38.5703125" bestFit="1" customWidth="1"/>
    <col min="29" max="29" width="12.28515625" bestFit="1" customWidth="1"/>
  </cols>
  <sheetData>
    <row r="1" spans="1:30" x14ac:dyDescent="0.25">
      <c r="B1" s="19" t="s">
        <v>21</v>
      </c>
      <c r="C1" s="28" t="s">
        <v>6</v>
      </c>
      <c r="D1" s="28" t="s">
        <v>85</v>
      </c>
      <c r="G1" s="19" t="s">
        <v>21</v>
      </c>
      <c r="H1" t="s">
        <v>5</v>
      </c>
      <c r="I1" t="s">
        <v>20</v>
      </c>
      <c r="J1" t="s">
        <v>22</v>
      </c>
    </row>
    <row r="2" spans="1:30" x14ac:dyDescent="0.25">
      <c r="A2" s="7" t="s">
        <v>1</v>
      </c>
      <c r="B2" s="5">
        <v>0.1017</v>
      </c>
      <c r="C2" s="3">
        <v>0.1017</v>
      </c>
      <c r="D2" s="3">
        <v>0.10340000000000001</v>
      </c>
      <c r="E2" s="3"/>
      <c r="F2" s="11"/>
      <c r="G2" s="3">
        <v>6.4199999999999993E-2</v>
      </c>
      <c r="H2" s="3">
        <v>8.9399999999999993E-2</v>
      </c>
      <c r="I2" s="3">
        <v>6.4199999999999993E-2</v>
      </c>
      <c r="J2" s="3">
        <v>9.2999999999999999E-2</v>
      </c>
    </row>
    <row r="3" spans="1:30" x14ac:dyDescent="0.25">
      <c r="A3" s="7" t="s">
        <v>0</v>
      </c>
      <c r="B3" s="3">
        <v>2.0500000000000001E-2</v>
      </c>
      <c r="C3" s="3">
        <f>(1.67+1.98+1.76+2.47+2.27+2.17)/6/100</f>
        <v>2.0533333333333334E-2</v>
      </c>
      <c r="D3" s="3">
        <f>(1.71+1.93+1.71+2.45+2.24)/5/100</f>
        <v>2.0080000000000001E-2</v>
      </c>
      <c r="E3" s="3"/>
      <c r="F3" s="11"/>
      <c r="G3" s="3">
        <v>4.0800000000000003E-2</v>
      </c>
      <c r="H3" s="3">
        <v>4.6399999999999997E-2</v>
      </c>
      <c r="I3">
        <f>(4.55+3.92+3.54+4.78+3.6)/5</f>
        <v>4.0780000000000003</v>
      </c>
      <c r="J3" s="5">
        <f>(2.15+2.92+2.36+2.53+2.35)/5/100</f>
        <v>2.4619999999999996E-2</v>
      </c>
    </row>
    <row r="4" spans="1:30" x14ac:dyDescent="0.25">
      <c r="A4" s="7" t="s">
        <v>2</v>
      </c>
      <c r="B4" s="3">
        <v>5.6399999999999999E-2</v>
      </c>
      <c r="C4" s="3">
        <v>5.6399999999999999E-2</v>
      </c>
      <c r="D4" s="3">
        <v>5.5899999999999998E-2</v>
      </c>
      <c r="E4" s="3"/>
      <c r="F4" s="11"/>
      <c r="G4" s="3">
        <v>6.1600000000000002E-2</v>
      </c>
      <c r="H4" s="3">
        <v>6.6600000000000006E-2</v>
      </c>
      <c r="I4" s="3">
        <v>6.1600000000000002E-2</v>
      </c>
      <c r="J4" s="3">
        <v>7.2000000000000008E-2</v>
      </c>
    </row>
    <row r="5" spans="1:30" x14ac:dyDescent="0.25">
      <c r="A5" s="7" t="s">
        <v>4</v>
      </c>
      <c r="B5" s="18">
        <v>10000</v>
      </c>
    </row>
    <row r="6" spans="1:30" x14ac:dyDescent="0.25">
      <c r="A6" s="7" t="s">
        <v>23</v>
      </c>
      <c r="B6" s="1">
        <v>100</v>
      </c>
    </row>
    <row r="7" spans="1:30" x14ac:dyDescent="0.25">
      <c r="A7" s="39" t="s">
        <v>55</v>
      </c>
      <c r="B7" s="40" t="s">
        <v>56</v>
      </c>
      <c r="C7" s="39" t="s">
        <v>57</v>
      </c>
      <c r="D7" s="39" t="s">
        <v>58</v>
      </c>
      <c r="E7" s="40" t="s">
        <v>59</v>
      </c>
      <c r="F7" s="39" t="s">
        <v>60</v>
      </c>
      <c r="G7" s="39" t="s">
        <v>61</v>
      </c>
      <c r="H7" s="40" t="s">
        <v>62</v>
      </c>
      <c r="I7" s="39" t="s">
        <v>63</v>
      </c>
      <c r="J7" s="39" t="s">
        <v>64</v>
      </c>
      <c r="K7" s="39" t="s">
        <v>65</v>
      </c>
      <c r="L7" s="40" t="s">
        <v>66</v>
      </c>
      <c r="M7" s="39" t="s">
        <v>67</v>
      </c>
      <c r="N7" s="40" t="s">
        <v>68</v>
      </c>
      <c r="O7" s="39" t="s">
        <v>69</v>
      </c>
      <c r="P7" s="39" t="s">
        <v>70</v>
      </c>
      <c r="Q7" s="40" t="s">
        <v>71</v>
      </c>
      <c r="R7" s="39" t="s">
        <v>72</v>
      </c>
      <c r="S7" s="39" t="s">
        <v>73</v>
      </c>
      <c r="T7" s="40" t="s">
        <v>74</v>
      </c>
      <c r="U7" s="39" t="s">
        <v>75</v>
      </c>
      <c r="V7" s="39" t="s">
        <v>76</v>
      </c>
      <c r="W7" s="40" t="s">
        <v>77</v>
      </c>
      <c r="X7" s="39" t="s">
        <v>78</v>
      </c>
      <c r="Y7" s="39" t="s">
        <v>79</v>
      </c>
      <c r="Z7" s="40" t="s">
        <v>80</v>
      </c>
      <c r="AA7" s="39" t="s">
        <v>81</v>
      </c>
      <c r="AB7" s="39" t="s">
        <v>82</v>
      </c>
      <c r="AC7" s="40" t="s">
        <v>83</v>
      </c>
    </row>
    <row r="8" spans="1:30" s="13" customFormat="1" x14ac:dyDescent="0.25">
      <c r="B8" s="16" t="s">
        <v>7</v>
      </c>
      <c r="C8" s="16"/>
      <c r="D8" s="16"/>
      <c r="E8" s="16"/>
      <c r="F8" s="15"/>
      <c r="G8" s="16" t="s">
        <v>5</v>
      </c>
      <c r="H8" s="16"/>
      <c r="I8" s="16"/>
      <c r="J8" s="16"/>
      <c r="N8" s="10"/>
      <c r="O8" s="14" t="s">
        <v>31</v>
      </c>
      <c r="P8" s="14"/>
      <c r="Q8" s="14"/>
      <c r="R8" s="14"/>
      <c r="S8" s="14"/>
      <c r="T8" s="14"/>
      <c r="U8" s="14"/>
      <c r="V8" s="10"/>
      <c r="W8" s="14" t="s">
        <v>47</v>
      </c>
      <c r="X8" s="14"/>
      <c r="Y8" s="14"/>
      <c r="Z8" s="14"/>
      <c r="AA8" s="14"/>
      <c r="AB8" s="14"/>
      <c r="AC8" s="14"/>
    </row>
    <row r="9" spans="1:30" x14ac:dyDescent="0.25">
      <c r="B9" s="6" t="s">
        <v>8</v>
      </c>
      <c r="C9" s="6" t="s">
        <v>9</v>
      </c>
      <c r="D9" s="6" t="s">
        <v>13</v>
      </c>
      <c r="E9" s="6" t="s">
        <v>11</v>
      </c>
      <c r="G9" s="6" t="s">
        <v>10</v>
      </c>
      <c r="H9" s="6" t="s">
        <v>9</v>
      </c>
      <c r="I9" s="6" t="s">
        <v>13</v>
      </c>
      <c r="J9" s="6" t="s">
        <v>11</v>
      </c>
      <c r="K9" s="6"/>
      <c r="L9" s="6" t="s">
        <v>12</v>
      </c>
      <c r="O9" s="6" t="s">
        <v>24</v>
      </c>
      <c r="P9" s="31" t="s">
        <v>25</v>
      </c>
      <c r="Q9" s="31" t="s">
        <v>30</v>
      </c>
      <c r="R9" s="31" t="s">
        <v>28</v>
      </c>
      <c r="S9" s="31" t="s">
        <v>29</v>
      </c>
      <c r="T9" s="6" t="s">
        <v>26</v>
      </c>
      <c r="U9" s="6" t="s">
        <v>27</v>
      </c>
      <c r="W9" s="6" t="s">
        <v>24</v>
      </c>
      <c r="X9" s="31" t="s">
        <v>25</v>
      </c>
      <c r="Y9" s="31" t="s">
        <v>30</v>
      </c>
      <c r="Z9" s="31" t="s">
        <v>28</v>
      </c>
      <c r="AA9" s="31" t="s">
        <v>29</v>
      </c>
      <c r="AB9" s="6" t="s">
        <v>26</v>
      </c>
      <c r="AC9" s="6" t="s">
        <v>27</v>
      </c>
    </row>
    <row r="10" spans="1:30" s="34" customFormat="1" x14ac:dyDescent="0.25">
      <c r="A10" s="37" t="s">
        <v>3</v>
      </c>
      <c r="B10" s="34" t="s">
        <v>32</v>
      </c>
      <c r="C10" s="34" t="s">
        <v>33</v>
      </c>
      <c r="D10" s="34" t="s">
        <v>34</v>
      </c>
      <c r="E10" s="34" t="s">
        <v>35</v>
      </c>
      <c r="F10" s="38"/>
      <c r="G10" s="34" t="s">
        <v>36</v>
      </c>
      <c r="H10" s="34" t="s">
        <v>37</v>
      </c>
      <c r="I10" s="34" t="s">
        <v>38</v>
      </c>
      <c r="J10" s="34" t="s">
        <v>39</v>
      </c>
      <c r="L10" s="36">
        <v>2000</v>
      </c>
      <c r="N10" s="38"/>
      <c r="O10" s="35" t="s">
        <v>40</v>
      </c>
      <c r="P10" s="36" t="s">
        <v>41</v>
      </c>
      <c r="Q10" s="36" t="s">
        <v>42</v>
      </c>
      <c r="R10" s="36" t="s">
        <v>43</v>
      </c>
      <c r="S10" s="36" t="s">
        <v>44</v>
      </c>
      <c r="T10" s="34" t="s">
        <v>45</v>
      </c>
      <c r="U10" s="34" t="s">
        <v>46</v>
      </c>
      <c r="V10" s="38"/>
      <c r="W10" s="34" t="s">
        <v>48</v>
      </c>
      <c r="X10" s="34" t="s">
        <v>49</v>
      </c>
      <c r="Y10" s="34" t="s">
        <v>50</v>
      </c>
      <c r="Z10" s="34" t="s">
        <v>51</v>
      </c>
      <c r="AA10" s="34" t="s">
        <v>52</v>
      </c>
      <c r="AB10" s="34" t="s">
        <v>53</v>
      </c>
      <c r="AC10" s="34" t="s">
        <v>54</v>
      </c>
    </row>
    <row r="11" spans="1:30" x14ac:dyDescent="0.25">
      <c r="A11" s="7">
        <v>1</v>
      </c>
      <c r="B11" s="1">
        <f>B5*(1+$B$2)</f>
        <v>11016.999999999998</v>
      </c>
      <c r="C11" s="1">
        <f>B5*B3</f>
        <v>205</v>
      </c>
      <c r="D11" s="1">
        <f>IF(C11&lt;$L$10,0,(C11-$L$10)*26.375/100)</f>
        <v>0</v>
      </c>
      <c r="E11" s="5">
        <f>C11/B11</f>
        <v>1.8607606426431882E-2</v>
      </c>
      <c r="F11" s="12"/>
      <c r="G11" s="1">
        <f>B5*G2+B5</f>
        <v>10642</v>
      </c>
      <c r="H11" s="1">
        <f>B5*G3</f>
        <v>408.00000000000006</v>
      </c>
      <c r="I11" s="1">
        <f>IF(H11&lt;$L$10,0,(H11-$L$10)*26.375/100)</f>
        <v>0</v>
      </c>
      <c r="J11" s="5">
        <f>H11/G11</f>
        <v>3.8338658146964862E-2</v>
      </c>
      <c r="L11" s="6" t="s">
        <v>18</v>
      </c>
      <c r="O11" s="30">
        <f>B5/B6</f>
        <v>100</v>
      </c>
      <c r="P11" s="1">
        <f>B6</f>
        <v>100</v>
      </c>
      <c r="Q11" s="1">
        <f>O11*P11</f>
        <v>10000</v>
      </c>
      <c r="R11" s="1">
        <f>P11*B3</f>
        <v>2.0500000000000003</v>
      </c>
      <c r="S11" s="1">
        <f>R11*O11</f>
        <v>205.00000000000003</v>
      </c>
      <c r="T11" s="1">
        <f>IF(S11&lt;$L$10,0,(S11-$L$10)*0.26375)</f>
        <v>0</v>
      </c>
      <c r="U11" s="4">
        <f>P11-R11</f>
        <v>97.95</v>
      </c>
      <c r="W11" s="30">
        <f>B5/B6</f>
        <v>100</v>
      </c>
      <c r="X11" s="1">
        <f>B6</f>
        <v>100</v>
      </c>
      <c r="Y11" s="1">
        <f>W11*X11</f>
        <v>10000</v>
      </c>
      <c r="Z11" s="1">
        <f>X11*G3</f>
        <v>4.08</v>
      </c>
      <c r="AA11" s="1">
        <f>Z11*W11</f>
        <v>408</v>
      </c>
      <c r="AB11" s="1">
        <f>IF(AA11&lt;$L$10,0,(AA11-$L$10)*0.26375)</f>
        <v>0</v>
      </c>
      <c r="AC11" s="4">
        <f>X11-Z11</f>
        <v>95.92</v>
      </c>
      <c r="AD11" s="5">
        <f>AA11/Y11</f>
        <v>4.0800000000000003E-2</v>
      </c>
    </row>
    <row r="12" spans="1:30" x14ac:dyDescent="0.25">
      <c r="A12" s="7">
        <v>2</v>
      </c>
      <c r="B12" s="1">
        <f>(B11-D11)*(1+$B$2)</f>
        <v>12137.428899999997</v>
      </c>
      <c r="C12" s="1">
        <f>B12*$B$3*(1+$B$4)^A12</f>
        <v>277.67536089295169</v>
      </c>
      <c r="D12" s="1">
        <f t="shared" ref="D12:D30" si="0">IF(C12&lt;$L$10,0,(C12-$L$10)*26.375/100)</f>
        <v>0</v>
      </c>
      <c r="E12" s="5">
        <f t="shared" ref="E12:E16" si="1">C12/B12</f>
        <v>2.2877609680000001E-2</v>
      </c>
      <c r="F12" s="12"/>
      <c r="G12" s="1">
        <f>(G11-I11)*(1+$G$2)</f>
        <v>11325.216400000001</v>
      </c>
      <c r="H12" s="1">
        <f>G12*$G$3*(1+$G$4)^A12</f>
        <v>520.74905676380979</v>
      </c>
      <c r="I12" s="1">
        <f t="shared" ref="I12:I30" si="2">IF(H12&lt;$L$10,0,(H12-$L$10)*26.375/100)</f>
        <v>0</v>
      </c>
      <c r="J12" s="5">
        <f t="shared" ref="J12:J16" si="3">H12/G12</f>
        <v>4.598137804800001E-2</v>
      </c>
      <c r="L12" s="2">
        <v>0.7</v>
      </c>
      <c r="N12" s="32"/>
      <c r="O12" s="30">
        <f>O11+(S11-T11)/U11</f>
        <v>102.09290454313425</v>
      </c>
      <c r="P12" s="1">
        <f>U11*(1+$B$2)</f>
        <v>107.91151499999999</v>
      </c>
      <c r="Q12" s="1">
        <f t="shared" ref="Q12:Q30" si="4">O12*P12</f>
        <v>11017</v>
      </c>
      <c r="R12" s="1">
        <f>P12*$B$3*(1+$B$4)^A12</f>
        <v>2.4687575201474647</v>
      </c>
      <c r="S12" s="1">
        <f>R12*O12</f>
        <v>252.04262584455995</v>
      </c>
      <c r="T12" s="1">
        <f t="shared" ref="T12:T30" si="5">IF(S12&lt;$L$10,0,(S12-$L$10)*0.26375)</f>
        <v>0</v>
      </c>
      <c r="U12" s="4">
        <f>P12-R12</f>
        <v>105.44275747985253</v>
      </c>
      <c r="W12" s="30">
        <f>W11+(AA11-AB11)/AC11</f>
        <v>104.2535446205171</v>
      </c>
      <c r="X12" s="1">
        <f>AC11*(1+$G$2)</f>
        <v>102.07806400000001</v>
      </c>
      <c r="Y12" s="1">
        <f t="shared" ref="Y12" si="6">W12*X12</f>
        <v>10642.000000000002</v>
      </c>
      <c r="Z12" s="1">
        <f>X12*$G$3*(1+$G$4)^A12</f>
        <v>4.6936900511919415</v>
      </c>
      <c r="AA12" s="1">
        <f>Z12*W12</f>
        <v>489.33382518681628</v>
      </c>
      <c r="AB12" s="1">
        <f>IF(AA12&lt;$L$10,0,(AA12-$L$10)*0.26375)</f>
        <v>0</v>
      </c>
      <c r="AC12" s="4">
        <f>X12-Z12</f>
        <v>97.384373948808076</v>
      </c>
      <c r="AD12" s="5">
        <f t="shared" ref="AD12:AD30" si="7">AA12/Y12</f>
        <v>4.5981378048000017E-2</v>
      </c>
    </row>
    <row r="13" spans="1:30" x14ac:dyDescent="0.25">
      <c r="A13" s="7">
        <v>3</v>
      </c>
      <c r="B13" s="1">
        <f>(B12-D12)*(1+$B$2)</f>
        <v>13371.805419129996</v>
      </c>
      <c r="C13" s="1">
        <f>B13*$B$3*(1+$B$4)^A13</f>
        <v>323.16854799916598</v>
      </c>
      <c r="D13" s="1">
        <f t="shared" si="0"/>
        <v>0</v>
      </c>
      <c r="E13" s="5">
        <f t="shared" si="1"/>
        <v>2.4167906865952E-2</v>
      </c>
      <c r="F13" s="12"/>
      <c r="G13" s="1">
        <f>(G12-I12)*(1+$G$2)</f>
        <v>12052.295292880002</v>
      </c>
      <c r="H13" s="1">
        <f>G13*$G$3*(1+$G$4)^A13</f>
        <v>588.31870481446208</v>
      </c>
      <c r="I13" s="1">
        <f t="shared" si="2"/>
        <v>0</v>
      </c>
      <c r="J13" s="5">
        <f t="shared" si="3"/>
        <v>4.8813830935756815E-2</v>
      </c>
      <c r="O13" s="30">
        <f>O12+(S12-T12)/U12</f>
        <v>104.48323112286846</v>
      </c>
      <c r="P13" s="1">
        <f t="shared" ref="P13:P30" si="8">U12*(1+$B$2)</f>
        <v>116.16628591555353</v>
      </c>
      <c r="Q13" s="1">
        <f t="shared" si="4"/>
        <v>12137.428899999999</v>
      </c>
      <c r="R13" s="1">
        <f t="shared" ref="R13:R30" si="9">P13*$B$3*(1+$B$4)^A13</f>
        <v>2.8074959789706488</v>
      </c>
      <c r="S13" s="1">
        <f>R13*O13</f>
        <v>293.33625124731418</v>
      </c>
      <c r="T13" s="1">
        <f t="shared" si="5"/>
        <v>0</v>
      </c>
      <c r="U13" s="4">
        <f t="shared" ref="U13:U30" si="10">P13-R13</f>
        <v>113.35878993658288</v>
      </c>
      <c r="W13" s="30">
        <f t="shared" ref="W13:W30" si="11">W12+(AA12-AB12)/AC12</f>
        <v>109.27831199689356</v>
      </c>
      <c r="X13" s="1">
        <f t="shared" ref="X13:X30" si="12">AC12*(1+$G$2)</f>
        <v>103.63645075632155</v>
      </c>
      <c r="Y13" s="1">
        <f t="shared" ref="Y13:Y30" si="13">W13*X13</f>
        <v>11325.216400000003</v>
      </c>
      <c r="Z13" s="1">
        <f t="shared" ref="Z13:Z30" si="14">X13*$G$3*(1+$G$4)^A13</f>
        <v>5.0588921860009659</v>
      </c>
      <c r="AA13" s="1">
        <f t="shared" ref="AA13:AA30" si="15">Z13*W13</f>
        <v>552.82719866046045</v>
      </c>
      <c r="AB13" s="1">
        <f t="shared" ref="AB13:AB30" si="16">IF(AA13&lt;$L$10,0,(AA13-$L$10)*0.26375)</f>
        <v>0</v>
      </c>
      <c r="AC13" s="4">
        <f t="shared" ref="AC13:AC30" si="17">X13-Z13</f>
        <v>98.577558570320591</v>
      </c>
      <c r="AD13" s="5">
        <f t="shared" si="7"/>
        <v>4.8813830935756808E-2</v>
      </c>
    </row>
    <row r="14" spans="1:30" x14ac:dyDescent="0.25">
      <c r="A14" s="7">
        <v>4</v>
      </c>
      <c r="B14" s="1">
        <f>(B13-D13)*(1+$B$2)</f>
        <v>14731.718030255515</v>
      </c>
      <c r="C14" s="1">
        <f>B14*$B$3*(1+$B$4)^A14</f>
        <v>376.11515144893144</v>
      </c>
      <c r="D14" s="1">
        <f t="shared" si="0"/>
        <v>0</v>
      </c>
      <c r="E14" s="5">
        <f t="shared" si="1"/>
        <v>2.5530976813191684E-2</v>
      </c>
      <c r="F14" s="12"/>
      <c r="G14" s="1">
        <f>(G13-I13)*(1+$G$2)</f>
        <v>12826.052650682899</v>
      </c>
      <c r="H14" s="1">
        <f>G14*$G$3*(1+$G$4)^A14</f>
        <v>664.65583362842551</v>
      </c>
      <c r="I14" s="1">
        <f t="shared" si="2"/>
        <v>0</v>
      </c>
      <c r="J14" s="5">
        <f t="shared" si="3"/>
        <v>5.1820762921399449E-2</v>
      </c>
      <c r="O14" s="30">
        <f t="shared" ref="O14:O30" si="18">O13+(S13-T13)/U13</f>
        <v>107.07091092618515</v>
      </c>
      <c r="P14" s="1">
        <f t="shared" si="8"/>
        <v>124.88737887313334</v>
      </c>
      <c r="Q14" s="1">
        <f t="shared" si="4"/>
        <v>13371.805419129998</v>
      </c>
      <c r="R14" s="1">
        <f t="shared" si="9"/>
        <v>3.1884967742702526</v>
      </c>
      <c r="S14" s="1">
        <f>R14*O14</f>
        <v>341.39525410631887</v>
      </c>
      <c r="T14" s="1">
        <f t="shared" si="5"/>
        <v>0</v>
      </c>
      <c r="U14" s="4">
        <f t="shared" si="10"/>
        <v>121.69888209886309</v>
      </c>
      <c r="W14" s="30">
        <f t="shared" si="11"/>
        <v>114.88635511216405</v>
      </c>
      <c r="X14" s="1">
        <f t="shared" si="12"/>
        <v>104.90623783053518</v>
      </c>
      <c r="Y14" s="1">
        <f t="shared" si="13"/>
        <v>12052.295292880002</v>
      </c>
      <c r="Z14" s="1">
        <f t="shared" si="14"/>
        <v>5.4363212795921099</v>
      </c>
      <c r="AA14" s="1">
        <f t="shared" si="15"/>
        <v>624.55913703103317</v>
      </c>
      <c r="AB14" s="1">
        <f t="shared" si="16"/>
        <v>0</v>
      </c>
      <c r="AC14" s="4">
        <f t="shared" si="17"/>
        <v>99.469916550943069</v>
      </c>
      <c r="AD14" s="5">
        <f t="shared" si="7"/>
        <v>5.1820762921399449E-2</v>
      </c>
    </row>
    <row r="15" spans="1:30" x14ac:dyDescent="0.25">
      <c r="A15" s="7">
        <v>5</v>
      </c>
      <c r="B15" s="1">
        <f>(B14-D14)*(1+$B$2)</f>
        <v>16229.933753932499</v>
      </c>
      <c r="C15" s="1">
        <f>B15*$B$3*(1+$B$4)^A15</f>
        <v>437.73630826790043</v>
      </c>
      <c r="D15" s="1">
        <f t="shared" si="0"/>
        <v>0</v>
      </c>
      <c r="E15" s="5">
        <f t="shared" si="1"/>
        <v>2.6970923905455701E-2</v>
      </c>
      <c r="F15" s="12"/>
      <c r="G15" s="1">
        <f>(G14-I14)*(1+$G$2)</f>
        <v>13649.485230856742</v>
      </c>
      <c r="H15" s="1">
        <f>G15*$G$3*(1+$G$4)^A15</f>
        <v>750.89806521724847</v>
      </c>
      <c r="I15" s="1">
        <f t="shared" si="2"/>
        <v>0</v>
      </c>
      <c r="J15" s="5">
        <f t="shared" si="3"/>
        <v>5.5012921917357654E-2</v>
      </c>
      <c r="O15" s="30">
        <f t="shared" si="18"/>
        <v>109.87615653089813</v>
      </c>
      <c r="P15" s="1">
        <f t="shared" si="8"/>
        <v>134.07565840831745</v>
      </c>
      <c r="Q15" s="1">
        <f t="shared" si="4"/>
        <v>14731.718030255517</v>
      </c>
      <c r="R15" s="1">
        <f t="shared" si="9"/>
        <v>3.6161443805046014</v>
      </c>
      <c r="S15" s="1">
        <f>R15*O15</f>
        <v>397.32804599065122</v>
      </c>
      <c r="T15" s="1">
        <f t="shared" si="5"/>
        <v>0</v>
      </c>
      <c r="U15" s="4">
        <f t="shared" si="10"/>
        <v>130.45951402781284</v>
      </c>
      <c r="W15" s="30">
        <f t="shared" si="11"/>
        <v>121.16522975775771</v>
      </c>
      <c r="X15" s="1">
        <f t="shared" si="12"/>
        <v>105.85588519351361</v>
      </c>
      <c r="Y15" s="1">
        <f t="shared" si="13"/>
        <v>12826.052650682899</v>
      </c>
      <c r="Z15" s="1">
        <f t="shared" si="14"/>
        <v>5.823441546643541</v>
      </c>
      <c r="AA15" s="1">
        <f t="shared" si="15"/>
        <v>705.59863297993661</v>
      </c>
      <c r="AB15" s="1">
        <f t="shared" si="16"/>
        <v>0</v>
      </c>
      <c r="AC15" s="4">
        <f t="shared" si="17"/>
        <v>100.03244364687008</v>
      </c>
      <c r="AD15" s="5">
        <f t="shared" si="7"/>
        <v>5.5012921917357661E-2</v>
      </c>
    </row>
    <row r="16" spans="1:30" x14ac:dyDescent="0.25">
      <c r="A16" s="7">
        <v>6</v>
      </c>
      <c r="B16" s="1">
        <f>(B15-D15)*(1+$B$2)</f>
        <v>17880.518016707432</v>
      </c>
      <c r="C16" s="1">
        <f>B16*$B$3*(1+$B$4)^A16</f>
        <v>509.45322154092304</v>
      </c>
      <c r="D16" s="1">
        <f t="shared" si="0"/>
        <v>0</v>
      </c>
      <c r="E16" s="5">
        <f t="shared" si="1"/>
        <v>2.8492084013723398E-2</v>
      </c>
      <c r="F16" s="12"/>
      <c r="G16" s="1">
        <f>(G15-I15)*(1+$G$2)</f>
        <v>14525.782182677745</v>
      </c>
      <c r="H16" s="1">
        <f>G16*$G$3*(1+$G$4)^A16</f>
        <v>848.33063341805439</v>
      </c>
      <c r="I16" s="1">
        <f t="shared" si="2"/>
        <v>0</v>
      </c>
      <c r="J16" s="5">
        <f t="shared" si="3"/>
        <v>5.8401717907466892E-2</v>
      </c>
      <c r="O16" s="30">
        <f t="shared" si="18"/>
        <v>112.92176074728317</v>
      </c>
      <c r="P16" s="1">
        <f t="shared" si="8"/>
        <v>143.7272466044414</v>
      </c>
      <c r="Q16" s="1">
        <f t="shared" si="4"/>
        <v>16229.933753932501</v>
      </c>
      <c r="R16" s="1">
        <f t="shared" si="9"/>
        <v>4.0950887853148856</v>
      </c>
      <c r="S16" s="1">
        <f>R16*O16</f>
        <v>462.42463605421</v>
      </c>
      <c r="T16" s="1">
        <f t="shared" si="5"/>
        <v>0</v>
      </c>
      <c r="U16" s="4">
        <f t="shared" si="10"/>
        <v>139.63215781912652</v>
      </c>
      <c r="W16" s="30">
        <f t="shared" si="11"/>
        <v>128.21892761073437</v>
      </c>
      <c r="X16" s="1">
        <f t="shared" si="12"/>
        <v>106.45452652899914</v>
      </c>
      <c r="Y16" s="1">
        <f t="shared" si="13"/>
        <v>13649.485230856742</v>
      </c>
      <c r="Z16" s="1">
        <f t="shared" si="14"/>
        <v>6.2171272283195576</v>
      </c>
      <c r="AA16" s="1">
        <f t="shared" si="15"/>
        <v>797.15338603463101</v>
      </c>
      <c r="AB16" s="1">
        <f t="shared" si="16"/>
        <v>0</v>
      </c>
      <c r="AC16" s="4">
        <f t="shared" si="17"/>
        <v>100.23739930067958</v>
      </c>
      <c r="AD16" s="5">
        <f t="shared" si="7"/>
        <v>5.8401717907466885E-2</v>
      </c>
    </row>
    <row r="17" spans="1:30" x14ac:dyDescent="0.25">
      <c r="A17" s="7">
        <v>7</v>
      </c>
      <c r="B17" s="1">
        <f>(B16-D16)*(1+$B$2)</f>
        <v>19698.966699006578</v>
      </c>
      <c r="C17" s="1">
        <f>B17*$B$3*(1+$B$4)^A17</f>
        <v>592.91993841091517</v>
      </c>
      <c r="D17" s="1">
        <f t="shared" si="0"/>
        <v>0</v>
      </c>
      <c r="E17" s="5">
        <f t="shared" ref="E17:E26" si="19">C17/B17</f>
        <v>3.0099037552097401E-2</v>
      </c>
      <c r="F17" s="12"/>
      <c r="G17" s="1">
        <f>(G16-I16)*(1+$G$2)</f>
        <v>15458.337398805657</v>
      </c>
      <c r="H17" s="1">
        <f>G17*$G$3*(1+$G$4)^A17</f>
        <v>958.40553722463676</v>
      </c>
      <c r="I17" s="1">
        <f t="shared" si="2"/>
        <v>0</v>
      </c>
      <c r="J17" s="5">
        <f t="shared" ref="J17:J26" si="20">H17/G17</f>
        <v>6.1999263730566856E-2</v>
      </c>
      <c r="O17" s="30">
        <f t="shared" si="18"/>
        <v>116.23349525942338</v>
      </c>
      <c r="P17" s="1">
        <f t="shared" si="8"/>
        <v>153.83274826933166</v>
      </c>
      <c r="Q17" s="1">
        <f t="shared" si="4"/>
        <v>17880.518016707432</v>
      </c>
      <c r="R17" s="1">
        <f t="shared" si="9"/>
        <v>4.6302176669009594</v>
      </c>
      <c r="S17" s="1">
        <f>R17*O17</f>
        <v>538.18638323583104</v>
      </c>
      <c r="T17" s="1">
        <f t="shared" si="5"/>
        <v>0</v>
      </c>
      <c r="U17" s="4">
        <f t="shared" si="10"/>
        <v>149.2025306024307</v>
      </c>
      <c r="W17" s="30">
        <f t="shared" si="11"/>
        <v>136.17158192535231</v>
      </c>
      <c r="X17" s="1">
        <f t="shared" si="12"/>
        <v>106.67264033578321</v>
      </c>
      <c r="Y17" s="1">
        <f t="shared" si="13"/>
        <v>14525.782182677745</v>
      </c>
      <c r="Z17" s="1">
        <f t="shared" si="14"/>
        <v>6.6136251610141272</v>
      </c>
      <c r="AA17" s="1">
        <f t="shared" si="15"/>
        <v>900.58780043660659</v>
      </c>
      <c r="AB17" s="1">
        <f t="shared" si="16"/>
        <v>0</v>
      </c>
      <c r="AC17" s="4">
        <f t="shared" si="17"/>
        <v>100.05901517476909</v>
      </c>
      <c r="AD17" s="5">
        <f t="shared" si="7"/>
        <v>6.1999263730566856E-2</v>
      </c>
    </row>
    <row r="18" spans="1:30" x14ac:dyDescent="0.25">
      <c r="A18" s="7">
        <v>8</v>
      </c>
      <c r="B18" s="1">
        <f>(B17-D17)*(1+$B$2)</f>
        <v>21702.351612295544</v>
      </c>
      <c r="C18" s="1">
        <f>B18*$B$3*(1+$B$4)^A18</f>
        <v>690.06149829001299</v>
      </c>
      <c r="D18" s="1">
        <f t="shared" si="0"/>
        <v>0</v>
      </c>
      <c r="E18" s="5">
        <f t="shared" si="19"/>
        <v>3.1796623270035684E-2</v>
      </c>
      <c r="F18" s="12"/>
      <c r="G18" s="1">
        <f>(G17-I17)*(1+$G$2)</f>
        <v>16450.762659808981</v>
      </c>
      <c r="H18" s="1">
        <f>G18*$G$3*(1+$G$4)^A18</f>
        <v>1082.7631793536693</v>
      </c>
      <c r="I18" s="1">
        <f t="shared" si="2"/>
        <v>0</v>
      </c>
      <c r="J18" s="5">
        <f t="shared" si="20"/>
        <v>6.5818418376369786E-2</v>
      </c>
      <c r="O18" s="30">
        <f t="shared" si="18"/>
        <v>119.84058141984447</v>
      </c>
      <c r="P18" s="1">
        <f t="shared" si="8"/>
        <v>164.37642796469788</v>
      </c>
      <c r="Q18" s="1">
        <f t="shared" si="4"/>
        <v>19698.966699006574</v>
      </c>
      <c r="R18" s="1">
        <f t="shared" si="9"/>
        <v>5.2266153544676577</v>
      </c>
      <c r="S18" s="1">
        <f>R18*O18</f>
        <v>626.3606229372906</v>
      </c>
      <c r="T18" s="1">
        <f t="shared" si="5"/>
        <v>0</v>
      </c>
      <c r="U18" s="4">
        <f t="shared" si="10"/>
        <v>159.14981261023021</v>
      </c>
      <c r="W18" s="30">
        <f t="shared" si="11"/>
        <v>145.1721482297836</v>
      </c>
      <c r="X18" s="1">
        <f t="shared" si="12"/>
        <v>106.48280394898927</v>
      </c>
      <c r="Y18" s="1">
        <f t="shared" si="13"/>
        <v>15458.337398805657</v>
      </c>
      <c r="Z18" s="1">
        <f t="shared" si="14"/>
        <v>7.0085297402035369</v>
      </c>
      <c r="AA18" s="1">
        <f t="shared" si="15"/>
        <v>1017.4433183176747</v>
      </c>
      <c r="AB18" s="1">
        <f t="shared" si="16"/>
        <v>0</v>
      </c>
      <c r="AC18" s="4">
        <f t="shared" si="17"/>
        <v>99.474274208785729</v>
      </c>
      <c r="AD18" s="5">
        <f t="shared" si="7"/>
        <v>6.5818418376369786E-2</v>
      </c>
    </row>
    <row r="19" spans="1:30" x14ac:dyDescent="0.25">
      <c r="A19" s="7">
        <v>9</v>
      </c>
      <c r="B19" s="1">
        <f>(B18-D18)*(1+$B$2)</f>
        <v>23909.480771266</v>
      </c>
      <c r="C19" s="1">
        <f>B19*$B$3*(1+$B$4)^A19</f>
        <v>803.1183311164757</v>
      </c>
      <c r="D19" s="1">
        <f t="shared" si="0"/>
        <v>0</v>
      </c>
      <c r="E19" s="5">
        <f t="shared" si="19"/>
        <v>3.3589952822465699E-2</v>
      </c>
      <c r="F19" s="12"/>
      <c r="G19" s="1">
        <f>(G18-I18)*(1+$G$2)</f>
        <v>17506.901622568719</v>
      </c>
      <c r="H19" s="1">
        <f>G19*$G$3*(1+$G$4)^A19</f>
        <v>1223.2568125170146</v>
      </c>
      <c r="I19" s="1">
        <f t="shared" si="2"/>
        <v>0</v>
      </c>
      <c r="J19" s="5">
        <f t="shared" si="20"/>
        <v>6.9872832948354169E-2</v>
      </c>
      <c r="O19" s="30">
        <f t="shared" si="18"/>
        <v>123.77624815211574</v>
      </c>
      <c r="P19" s="1">
        <f t="shared" si="8"/>
        <v>175.33534855269062</v>
      </c>
      <c r="Q19" s="1">
        <f t="shared" si="4"/>
        <v>21702.351612295541</v>
      </c>
      <c r="R19" s="1">
        <f t="shared" si="9"/>
        <v>5.8895060859954569</v>
      </c>
      <c r="S19" s="1">
        <f>R19*O19</f>
        <v>728.98096679356956</v>
      </c>
      <c r="T19" s="1">
        <f t="shared" si="5"/>
        <v>0</v>
      </c>
      <c r="U19" s="4">
        <f t="shared" si="10"/>
        <v>169.44584246669515</v>
      </c>
      <c r="W19" s="30">
        <f t="shared" si="11"/>
        <v>155.40035372723887</v>
      </c>
      <c r="X19" s="1">
        <f t="shared" si="12"/>
        <v>105.86052261298978</v>
      </c>
      <c r="Y19" s="1">
        <f t="shared" si="13"/>
        <v>16450.762659808981</v>
      </c>
      <c r="Z19" s="1">
        <f t="shared" si="14"/>
        <v>7.3967746123629041</v>
      </c>
      <c r="AA19" s="1">
        <f t="shared" si="15"/>
        <v>1149.4613912018553</v>
      </c>
      <c r="AB19" s="1">
        <f t="shared" si="16"/>
        <v>0</v>
      </c>
      <c r="AC19" s="4">
        <f t="shared" si="17"/>
        <v>98.463748000626879</v>
      </c>
      <c r="AD19" s="5">
        <f t="shared" si="7"/>
        <v>6.9872832948354169E-2</v>
      </c>
    </row>
    <row r="20" spans="1:30" x14ac:dyDescent="0.25">
      <c r="A20" s="7">
        <v>10</v>
      </c>
      <c r="B20" s="1">
        <f>(B19-D19)*(1+$B$2)</f>
        <v>26341.074965703749</v>
      </c>
      <c r="C20" s="1">
        <f>B20*$B$3*(1+$B$4)^A20</f>
        <v>934.69792963907457</v>
      </c>
      <c r="D20" s="1">
        <f t="shared" si="0"/>
        <v>0</v>
      </c>
      <c r="E20" s="5">
        <f t="shared" si="19"/>
        <v>3.5484426161652753E-2</v>
      </c>
      <c r="F20" s="12"/>
      <c r="G20" s="1">
        <f>(G19-I19)*(1+$G$2)</f>
        <v>18630.844706737633</v>
      </c>
      <c r="H20" s="1">
        <f>G20*$G$3*(1+$G$4)^A20</f>
        <v>1381.9801577132528</v>
      </c>
      <c r="I20" s="1">
        <f t="shared" si="2"/>
        <v>0</v>
      </c>
      <c r="J20" s="5">
        <f t="shared" si="20"/>
        <v>7.4176999457972792E-2</v>
      </c>
      <c r="O20" s="30">
        <f t="shared" si="18"/>
        <v>128.07839541156739</v>
      </c>
      <c r="P20" s="1">
        <f t="shared" si="8"/>
        <v>186.67848464555803</v>
      </c>
      <c r="Q20" s="1">
        <f t="shared" si="4"/>
        <v>23909.480771265993</v>
      </c>
      <c r="R20" s="1">
        <f t="shared" si="9"/>
        <v>6.6241789043745314</v>
      </c>
      <c r="S20" s="1">
        <f>R20*O20</f>
        <v>848.41420499144442</v>
      </c>
      <c r="T20" s="1">
        <f t="shared" si="5"/>
        <v>0</v>
      </c>
      <c r="U20" s="4">
        <f t="shared" si="10"/>
        <v>180.0543057411835</v>
      </c>
      <c r="W20" s="30">
        <f t="shared" si="11"/>
        <v>167.0743090107056</v>
      </c>
      <c r="X20" s="1">
        <f t="shared" si="12"/>
        <v>104.78512062226713</v>
      </c>
      <c r="Y20" s="1">
        <f t="shared" si="13"/>
        <v>17506.901622568719</v>
      </c>
      <c r="Z20" s="1">
        <f t="shared" si="14"/>
        <v>7.772645835601522</v>
      </c>
      <c r="AA20" s="1">
        <f t="shared" si="15"/>
        <v>1298.6094321680628</v>
      </c>
      <c r="AB20" s="1">
        <f t="shared" si="16"/>
        <v>0</v>
      </c>
      <c r="AC20" s="4">
        <f t="shared" si="17"/>
        <v>97.012474786665607</v>
      </c>
      <c r="AD20" s="5">
        <f t="shared" si="7"/>
        <v>7.4176999457972792E-2</v>
      </c>
    </row>
    <row r="21" spans="1:30" x14ac:dyDescent="0.25">
      <c r="A21" s="7">
        <v>11</v>
      </c>
      <c r="B21" s="1">
        <f>(B20-D20)*(1+$B$2)</f>
        <v>29019.962289715819</v>
      </c>
      <c r="C21" s="1">
        <f>B21*$B$3*(1+$B$4)^A21</f>
        <v>1087.8349874756705</v>
      </c>
      <c r="D21" s="1">
        <f t="shared" si="0"/>
        <v>0</v>
      </c>
      <c r="E21" s="5">
        <f t="shared" si="19"/>
        <v>3.7485747797169976E-2</v>
      </c>
      <c r="F21" s="12"/>
      <c r="G21" s="1">
        <f>(G20-I20)*(1+$G$2)</f>
        <v>19826.944936910189</v>
      </c>
      <c r="H21" s="1">
        <f>G21*$G$3*(1+$G$4)^A21</f>
        <v>1561.2986061228917</v>
      </c>
      <c r="I21" s="1">
        <f t="shared" si="2"/>
        <v>0</v>
      </c>
      <c r="J21" s="5">
        <f t="shared" si="20"/>
        <v>7.8746302624583916E-2</v>
      </c>
      <c r="O21" s="30">
        <f t="shared" si="18"/>
        <v>132.79038606071623</v>
      </c>
      <c r="P21" s="1">
        <f t="shared" si="8"/>
        <v>198.36582863506183</v>
      </c>
      <c r="Q21" s="1">
        <f t="shared" si="4"/>
        <v>26341.074965703738</v>
      </c>
      <c r="R21" s="1">
        <f t="shared" si="9"/>
        <v>7.435891423790566</v>
      </c>
      <c r="S21" s="1">
        <f>R21*O21</f>
        <v>987.41489287071818</v>
      </c>
      <c r="T21" s="1">
        <f t="shared" si="5"/>
        <v>0</v>
      </c>
      <c r="U21" s="4">
        <f t="shared" si="10"/>
        <v>190.92993721127127</v>
      </c>
      <c r="W21" s="30">
        <f t="shared" si="11"/>
        <v>180.46031359438166</v>
      </c>
      <c r="X21" s="1">
        <f t="shared" si="12"/>
        <v>103.24067566796954</v>
      </c>
      <c r="Y21" s="1">
        <f t="shared" si="13"/>
        <v>18630.844706737633</v>
      </c>
      <c r="Z21" s="1">
        <f t="shared" si="14"/>
        <v>8.1298214893164467</v>
      </c>
      <c r="AA21" s="1">
        <f t="shared" si="15"/>
        <v>1467.110135428389</v>
      </c>
      <c r="AB21" s="1">
        <f t="shared" si="16"/>
        <v>0</v>
      </c>
      <c r="AC21" s="4">
        <f t="shared" si="17"/>
        <v>95.110854178653099</v>
      </c>
      <c r="AD21" s="5">
        <f t="shared" si="7"/>
        <v>7.8746302624583916E-2</v>
      </c>
    </row>
    <row r="22" spans="1:30" x14ac:dyDescent="0.25">
      <c r="A22" s="7">
        <v>12</v>
      </c>
      <c r="B22" s="1">
        <f>(B21-D21)*(1+$B$2)</f>
        <v>31971.292454579914</v>
      </c>
      <c r="C22" s="1">
        <f>B22*$B$3*(1+$B$4)^A22</f>
        <v>1266.0613899435355</v>
      </c>
      <c r="D22" s="1">
        <f t="shared" si="0"/>
        <v>0</v>
      </c>
      <c r="E22" s="5">
        <f t="shared" si="19"/>
        <v>3.9599943972930353E-2</v>
      </c>
      <c r="F22" s="12"/>
      <c r="G22" s="1">
        <f>(G21-I21)*(1+$G$2)</f>
        <v>21099.834801859823</v>
      </c>
      <c r="H22" s="1">
        <f>G22*$G$3*(1+$G$4)^A22</f>
        <v>1763.884469596758</v>
      </c>
      <c r="I22" s="1">
        <f t="shared" si="2"/>
        <v>0</v>
      </c>
      <c r="J22" s="5">
        <f t="shared" si="20"/>
        <v>8.3597074866258295E-2</v>
      </c>
      <c r="O22" s="30">
        <f t="shared" si="18"/>
        <v>137.96199459572614</v>
      </c>
      <c r="P22" s="1">
        <f t="shared" si="8"/>
        <v>210.34751182565753</v>
      </c>
      <c r="Q22" s="1">
        <f t="shared" si="4"/>
        <v>29019.962289715804</v>
      </c>
      <c r="R22" s="1">
        <f t="shared" si="9"/>
        <v>8.3297496831413422</v>
      </c>
      <c r="S22" s="1">
        <f>R22*O22</f>
        <v>1149.1888807692974</v>
      </c>
      <c r="T22" s="1">
        <f t="shared" si="5"/>
        <v>0</v>
      </c>
      <c r="U22" s="4">
        <f t="shared" si="10"/>
        <v>202.0177621425162</v>
      </c>
      <c r="W22" s="30">
        <f t="shared" si="11"/>
        <v>195.885578650593</v>
      </c>
      <c r="X22" s="1">
        <f t="shared" si="12"/>
        <v>101.21697101692263</v>
      </c>
      <c r="Y22" s="1">
        <f t="shared" si="13"/>
        <v>19826.944936910189</v>
      </c>
      <c r="Z22" s="1">
        <f t="shared" si="14"/>
        <v>8.4614427038375783</v>
      </c>
      <c r="AA22" s="1">
        <f t="shared" si="15"/>
        <v>1657.4746002600623</v>
      </c>
      <c r="AB22" s="1">
        <f t="shared" si="16"/>
        <v>0</v>
      </c>
      <c r="AC22" s="4">
        <f t="shared" si="17"/>
        <v>92.755528313085051</v>
      </c>
      <c r="AD22" s="5">
        <f t="shared" si="7"/>
        <v>8.3597074866258309E-2</v>
      </c>
    </row>
    <row r="23" spans="1:30" x14ac:dyDescent="0.25">
      <c r="A23" s="7">
        <v>13</v>
      </c>
      <c r="B23" s="1">
        <f>(B22-D22)*(1+$B$2)</f>
        <v>35222.772897210685</v>
      </c>
      <c r="C23" s="1">
        <f>B23*$B$3*(1+$B$4)^A23</f>
        <v>1473.4876718989576</v>
      </c>
      <c r="D23" s="1">
        <f t="shared" si="0"/>
        <v>0</v>
      </c>
      <c r="E23" s="5">
        <f t="shared" si="19"/>
        <v>4.1833380813003626E-2</v>
      </c>
      <c r="F23" s="12"/>
      <c r="G23" s="1">
        <f>(G22-I22)*(1+$G$2)</f>
        <v>22454.444196139222</v>
      </c>
      <c r="H23" s="1">
        <f>G23*$G$3*(1+$G$4)^A23</f>
        <v>1992.7568050616342</v>
      </c>
      <c r="I23" s="1">
        <f t="shared" si="2"/>
        <v>0</v>
      </c>
      <c r="J23" s="5">
        <f t="shared" si="20"/>
        <v>8.8746654678019829E-2</v>
      </c>
      <c r="O23" s="30">
        <f t="shared" si="18"/>
        <v>143.65054825844115</v>
      </c>
      <c r="P23" s="1">
        <f t="shared" si="8"/>
        <v>222.56296855241007</v>
      </c>
      <c r="Q23" s="1">
        <f t="shared" si="4"/>
        <v>31971.292454579903</v>
      </c>
      <c r="R23" s="1">
        <f t="shared" si="9"/>
        <v>9.3105614183255199</v>
      </c>
      <c r="S23" s="1">
        <f>R23*O23</f>
        <v>1337.4672523363504</v>
      </c>
      <c r="T23" s="1">
        <f t="shared" si="5"/>
        <v>0</v>
      </c>
      <c r="U23" s="4">
        <f t="shared" si="10"/>
        <v>213.25240713408454</v>
      </c>
      <c r="W23" s="30">
        <f t="shared" si="11"/>
        <v>213.75485965630793</v>
      </c>
      <c r="X23" s="1">
        <f t="shared" si="12"/>
        <v>98.710433230785114</v>
      </c>
      <c r="Y23" s="1">
        <f t="shared" si="13"/>
        <v>21099.834801859826</v>
      </c>
      <c r="Z23" s="1">
        <f t="shared" si="14"/>
        <v>8.7602207310502216</v>
      </c>
      <c r="AA23" s="1">
        <f t="shared" si="15"/>
        <v>1872.5397529239194</v>
      </c>
      <c r="AB23" s="1">
        <f t="shared" si="16"/>
        <v>0</v>
      </c>
      <c r="AC23" s="4">
        <f t="shared" si="17"/>
        <v>89.950212499734889</v>
      </c>
      <c r="AD23" s="5">
        <f t="shared" si="7"/>
        <v>8.8746654678019857E-2</v>
      </c>
    </row>
    <row r="24" spans="1:30" x14ac:dyDescent="0.25">
      <c r="A24" s="7">
        <v>14</v>
      </c>
      <c r="B24" s="1">
        <f>(B23-D23)*(1+$B$2)</f>
        <v>38804.928900857005</v>
      </c>
      <c r="C24" s="1">
        <f>B24*$B$3*(1+$B$4)^A24</f>
        <v>1714.897821293674</v>
      </c>
      <c r="D24" s="1">
        <f t="shared" si="0"/>
        <v>0</v>
      </c>
      <c r="E24" s="5">
        <f t="shared" si="19"/>
        <v>4.4192783490857021E-2</v>
      </c>
      <c r="F24" s="12"/>
      <c r="G24" s="1">
        <f>(G23-I23)*(1+$G$2)</f>
        <v>23896.019513531362</v>
      </c>
      <c r="H24" s="1">
        <f>G24*$G$3*(1+$G$4)^A24</f>
        <v>2251.326406330501</v>
      </c>
      <c r="I24" s="1">
        <f t="shared" si="2"/>
        <v>66.28733966966962</v>
      </c>
      <c r="J24" s="5">
        <f t="shared" si="20"/>
        <v>9.4213448606185843E-2</v>
      </c>
      <c r="O24" s="30">
        <f t="shared" si="18"/>
        <v>149.92230514180147</v>
      </c>
      <c r="P24" s="1">
        <f t="shared" si="8"/>
        <v>234.9401769396209</v>
      </c>
      <c r="Q24" s="1">
        <f t="shared" si="4"/>
        <v>35222.772897210671</v>
      </c>
      <c r="R24" s="1">
        <f t="shared" si="9"/>
        <v>10.382660372796307</v>
      </c>
      <c r="S24" s="1">
        <f>R24*O24</f>
        <v>1556.5923765940581</v>
      </c>
      <c r="T24" s="1">
        <f t="shared" si="5"/>
        <v>0</v>
      </c>
      <c r="U24" s="4">
        <f t="shared" si="10"/>
        <v>224.5575165668246</v>
      </c>
      <c r="W24" s="30">
        <f t="shared" si="11"/>
        <v>234.57237304383258</v>
      </c>
      <c r="X24" s="1">
        <f t="shared" si="12"/>
        <v>95.725016142217868</v>
      </c>
      <c r="Y24" s="1">
        <f t="shared" si="13"/>
        <v>22454.444196139226</v>
      </c>
      <c r="Z24" s="1">
        <f t="shared" si="14"/>
        <v>9.0185838886411549</v>
      </c>
      <c r="AA24" s="1">
        <f t="shared" si="15"/>
        <v>2115.5106242534312</v>
      </c>
      <c r="AB24" s="1">
        <f t="shared" si="16"/>
        <v>30.465927146842468</v>
      </c>
      <c r="AC24" s="4">
        <f t="shared" si="17"/>
        <v>86.706432253576708</v>
      </c>
      <c r="AD24" s="5">
        <f t="shared" si="7"/>
        <v>9.4213448606185857E-2</v>
      </c>
    </row>
    <row r="25" spans="1:30" x14ac:dyDescent="0.25">
      <c r="A25" s="7">
        <v>15</v>
      </c>
      <c r="B25" s="1">
        <f>(B24-D24)*(1+$B$2)</f>
        <v>42751.390170074155</v>
      </c>
      <c r="C25" s="1">
        <f>B25*$B$3*(1+$B$4)^A25</f>
        <v>1995.8596149554057</v>
      </c>
      <c r="D25" s="1">
        <f t="shared" si="0"/>
        <v>0</v>
      </c>
      <c r="E25" s="5">
        <f t="shared" si="19"/>
        <v>4.6685256479741366E-2</v>
      </c>
      <c r="F25" s="12"/>
      <c r="G25" s="1">
        <f>(G24-I24)*(1+$G$2)</f>
        <v>25359.600979423612</v>
      </c>
      <c r="H25" s="1">
        <f>G25*$G$3*(1+$G$4)^A25</f>
        <v>2536.3911361028827</v>
      </c>
      <c r="I25" s="1">
        <f t="shared" si="2"/>
        <v>141.4731621471353</v>
      </c>
      <c r="J25" s="5">
        <f t="shared" si="20"/>
        <v>0.1000169970403269</v>
      </c>
      <c r="O25" s="30">
        <f t="shared" si="18"/>
        <v>156.85412555196726</v>
      </c>
      <c r="P25" s="1">
        <f t="shared" si="8"/>
        <v>247.39501600167065</v>
      </c>
      <c r="Q25" s="1">
        <f t="shared" si="4"/>
        <v>38804.928900856998</v>
      </c>
      <c r="R25" s="1">
        <f t="shared" si="9"/>
        <v>11.549699773847715</v>
      </c>
      <c r="S25" s="1">
        <f>R25*O25</f>
        <v>1811.6180584146373</v>
      </c>
      <c r="T25" s="1">
        <f t="shared" si="5"/>
        <v>0</v>
      </c>
      <c r="U25" s="4">
        <f t="shared" si="10"/>
        <v>235.84531622782293</v>
      </c>
      <c r="W25" s="30">
        <f t="shared" si="11"/>
        <v>258.61954743348787</v>
      </c>
      <c r="X25" s="1">
        <f t="shared" si="12"/>
        <v>92.272985204256329</v>
      </c>
      <c r="Y25" s="1">
        <f t="shared" si="13"/>
        <v>23863.597673861696</v>
      </c>
      <c r="Z25" s="1">
        <f t="shared" si="14"/>
        <v>9.2288668880762348</v>
      </c>
      <c r="AA25" s="1">
        <f t="shared" si="15"/>
        <v>2386.7653779181774</v>
      </c>
      <c r="AB25" s="1">
        <f t="shared" si="16"/>
        <v>102.00936842591928</v>
      </c>
      <c r="AC25" s="4">
        <f t="shared" si="17"/>
        <v>83.044118316180089</v>
      </c>
      <c r="AD25" s="5">
        <f t="shared" si="7"/>
        <v>0.1000169970403269</v>
      </c>
    </row>
    <row r="26" spans="1:30" x14ac:dyDescent="0.25">
      <c r="A26" s="7">
        <v>16</v>
      </c>
      <c r="B26" s="1">
        <f>(B25-D25)*(1+$B$2)</f>
        <v>47099.206550370691</v>
      </c>
      <c r="C26" s="1">
        <f>B26*$B$3*(1+$B$4)^A26</f>
        <v>2322.8530313280849</v>
      </c>
      <c r="D26" s="1">
        <f t="shared" si="0"/>
        <v>85.152487012782387</v>
      </c>
      <c r="E26" s="5">
        <f t="shared" si="19"/>
        <v>4.9318304945198767E-2</v>
      </c>
      <c r="F26" s="12"/>
      <c r="G26" s="1">
        <f>(G25-I25)*(1+$G$2)</f>
        <v>26837.131623145626</v>
      </c>
      <c r="H26" s="1">
        <f>G26*$G$3*(1+$G$4)^A26</f>
        <v>2849.5141438729984</v>
      </c>
      <c r="I26" s="1">
        <f t="shared" si="2"/>
        <v>224.05935544650333</v>
      </c>
      <c r="J26" s="5">
        <f t="shared" si="20"/>
        <v>0.10617804405801107</v>
      </c>
      <c r="O26" s="30">
        <f t="shared" si="18"/>
        <v>164.53550794017903</v>
      </c>
      <c r="P26" s="1">
        <f t="shared" si="8"/>
        <v>259.83078488819251</v>
      </c>
      <c r="Q26" s="1">
        <f t="shared" si="4"/>
        <v>42751.390170074148</v>
      </c>
      <c r="R26" s="1">
        <f t="shared" si="9"/>
        <v>12.814413883266223</v>
      </c>
      <c r="S26" s="1">
        <f>R26*O26</f>
        <v>2108.4260972388902</v>
      </c>
      <c r="T26" s="1">
        <f t="shared" si="5"/>
        <v>28.597383146757284</v>
      </c>
      <c r="U26" s="4">
        <f t="shared" si="10"/>
        <v>247.0163710049263</v>
      </c>
      <c r="W26" s="30">
        <f t="shared" si="11"/>
        <v>286.132104081911</v>
      </c>
      <c r="X26" s="1">
        <f t="shared" si="12"/>
        <v>88.375550712078848</v>
      </c>
      <c r="Y26" s="1">
        <f t="shared" si="13"/>
        <v>25287.082274644748</v>
      </c>
      <c r="Z26" s="1">
        <f t="shared" si="14"/>
        <v>9.3835431171580996</v>
      </c>
      <c r="AA26" s="1">
        <f t="shared" si="15"/>
        <v>2684.9329358557811</v>
      </c>
      <c r="AB26" s="1">
        <f t="shared" si="16"/>
        <v>180.65106183196227</v>
      </c>
      <c r="AC26" s="4">
        <f t="shared" si="17"/>
        <v>78.99200759492075</v>
      </c>
      <c r="AD26" s="5">
        <f t="shared" si="7"/>
        <v>0.10617804405801108</v>
      </c>
    </row>
    <row r="27" spans="1:30" x14ac:dyDescent="0.25">
      <c r="A27" s="7">
        <v>17</v>
      </c>
      <c r="B27" s="1">
        <f>(B26-D26)*(1+$B$2)</f>
        <v>51795.383361601402</v>
      </c>
      <c r="C27" s="1">
        <f>B27*$B$3*(1+$B$4)^A27</f>
        <v>2698.5320842228166</v>
      </c>
      <c r="D27" s="1">
        <f t="shared" si="0"/>
        <v>184.23783721376788</v>
      </c>
      <c r="E27" s="5">
        <f t="shared" ref="E27:E30" si="21">C27/B27</f>
        <v>5.2099857344107971E-2</v>
      </c>
      <c r="F27" s="12"/>
      <c r="G27" s="1">
        <f>(G26-I26)*(1+$G$2)</f>
        <v>28321.631507285405</v>
      </c>
      <c r="H27" s="1">
        <f>G27*$G$3*(1+$G$4)^A27</f>
        <v>3192.374980954583</v>
      </c>
      <c r="I27" s="1">
        <f t="shared" si="2"/>
        <v>314.48890122677125</v>
      </c>
      <c r="J27" s="5">
        <f t="shared" ref="J27:J30" si="22">H27/G27</f>
        <v>0.11271861157198455</v>
      </c>
      <c r="O27" s="30">
        <f t="shared" si="18"/>
        <v>172.95530904741275</v>
      </c>
      <c r="P27" s="1">
        <f t="shared" si="8"/>
        <v>272.13793593612729</v>
      </c>
      <c r="Q27" s="1">
        <f t="shared" si="4"/>
        <v>47067.700813357907</v>
      </c>
      <c r="R27" s="1">
        <f t="shared" si="9"/>
        <v>14.178347640192227</v>
      </c>
      <c r="S27" s="1">
        <f>R27*O27</f>
        <v>2452.2204978911018</v>
      </c>
      <c r="T27" s="1">
        <f t="shared" si="5"/>
        <v>119.27315631877809</v>
      </c>
      <c r="U27" s="4">
        <f t="shared" si="10"/>
        <v>257.95958829593508</v>
      </c>
      <c r="W27" s="30">
        <f t="shared" si="11"/>
        <v>317.8350820194517</v>
      </c>
      <c r="X27" s="1">
        <f t="shared" si="12"/>
        <v>84.063294482514664</v>
      </c>
      <c r="Y27" s="1">
        <f t="shared" si="13"/>
        <v>26718.264096675372</v>
      </c>
      <c r="Z27" s="1">
        <f t="shared" si="14"/>
        <v>9.4754978382359241</v>
      </c>
      <c r="AA27" s="1">
        <f t="shared" si="15"/>
        <v>3011.6456325908521</v>
      </c>
      <c r="AB27" s="1">
        <f t="shared" si="16"/>
        <v>266.82153559583725</v>
      </c>
      <c r="AC27" s="4">
        <f t="shared" si="17"/>
        <v>74.58779664427874</v>
      </c>
      <c r="AD27" s="5">
        <f t="shared" si="7"/>
        <v>0.11271861157198455</v>
      </c>
    </row>
    <row r="28" spans="1:30" x14ac:dyDescent="0.25">
      <c r="A28" s="7">
        <v>18</v>
      </c>
      <c r="B28" s="1">
        <f>(B27-D27)*(1+$B$2)</f>
        <v>56859.999024217854</v>
      </c>
      <c r="C28" s="1">
        <f>B28*$B$3*(1+$B$4)^A28</f>
        <v>3129.4770757968486</v>
      </c>
      <c r="D28" s="1">
        <f t="shared" si="0"/>
        <v>297.89957874141879</v>
      </c>
      <c r="E28" s="5">
        <f t="shared" si="21"/>
        <v>5.5038289298315661E-2</v>
      </c>
      <c r="F28" s="12"/>
      <c r="G28" s="1">
        <f>(G27-I27)*(1+$G$2)</f>
        <v>29805.2011613676</v>
      </c>
      <c r="H28" s="1">
        <f>G28*$G$3*(1+$G$4)^A28</f>
        <v>3566.5523075130941</v>
      </c>
      <c r="I28" s="1">
        <f t="shared" si="2"/>
        <v>413.17817110657859</v>
      </c>
      <c r="J28" s="5">
        <f t="shared" si="22"/>
        <v>0.11966207804481881</v>
      </c>
      <c r="O28" s="30">
        <f t="shared" si="18"/>
        <v>181.99915718263281</v>
      </c>
      <c r="P28" s="1">
        <f t="shared" si="8"/>
        <v>284.19407842563163</v>
      </c>
      <c r="Q28" s="1">
        <f t="shared" si="4"/>
        <v>51723.082749760011</v>
      </c>
      <c r="R28" s="1">
        <f t="shared" si="9"/>
        <v>15.641555905258123</v>
      </c>
      <c r="S28" s="1">
        <f>R28*O28</f>
        <v>2846.7499917820114</v>
      </c>
      <c r="T28" s="1">
        <f t="shared" si="5"/>
        <v>223.33031033250549</v>
      </c>
      <c r="U28" s="4">
        <f t="shared" si="10"/>
        <v>268.55252252037349</v>
      </c>
      <c r="W28" s="30">
        <f t="shared" si="11"/>
        <v>354.63499059009263</v>
      </c>
      <c r="X28" s="1">
        <f t="shared" si="12"/>
        <v>79.376333188841443</v>
      </c>
      <c r="Y28" s="1">
        <f t="shared" si="13"/>
        <v>28149.625173500841</v>
      </c>
      <c r="Z28" s="1">
        <f t="shared" si="14"/>
        <v>9.4983369769546879</v>
      </c>
      <c r="AA28" s="1">
        <f t="shared" si="15"/>
        <v>3368.4426444438545</v>
      </c>
      <c r="AB28" s="1">
        <f t="shared" si="16"/>
        <v>360.92674747206661</v>
      </c>
      <c r="AC28" s="4">
        <f t="shared" si="17"/>
        <v>69.877996211886753</v>
      </c>
      <c r="AD28" s="5">
        <f t="shared" si="7"/>
        <v>0.11966207804481883</v>
      </c>
    </row>
    <row r="29" spans="1:30" x14ac:dyDescent="0.25">
      <c r="A29" s="7">
        <v>19</v>
      </c>
      <c r="B29" s="1">
        <f>(B28-D28)*(1+$B$2)</f>
        <v>62314.464959081386</v>
      </c>
      <c r="C29" s="1">
        <f>B29*$B$3*(1+$B$4)^A29</f>
        <v>3623.1155893013402</v>
      </c>
      <c r="D29" s="1">
        <f t="shared" si="0"/>
        <v>428.09673667822847</v>
      </c>
      <c r="E29" s="5">
        <f t="shared" si="21"/>
        <v>5.8142448814740663E-2</v>
      </c>
      <c r="F29" s="12"/>
      <c r="G29" s="1">
        <f>(G28-I28)*(1+$G$2)</f>
        <v>31278.990866235781</v>
      </c>
      <c r="H29" s="1">
        <f>G29*$G$3*(1+$G$4)^A29</f>
        <v>3973.4722434445202</v>
      </c>
      <c r="I29" s="1">
        <f t="shared" si="2"/>
        <v>520.50330420849218</v>
      </c>
      <c r="J29" s="5">
        <f t="shared" si="22"/>
        <v>0.12703326205237966</v>
      </c>
      <c r="O29" s="30">
        <f t="shared" si="18"/>
        <v>191.76789685719865</v>
      </c>
      <c r="P29" s="1">
        <f t="shared" si="8"/>
        <v>295.86431406069545</v>
      </c>
      <c r="Q29" s="1">
        <f t="shared" si="4"/>
        <v>56737.277262517273</v>
      </c>
      <c r="R29" s="1">
        <f t="shared" si="9"/>
        <v>17.20227573638234</v>
      </c>
      <c r="S29" s="1">
        <f>R29*O29</f>
        <v>3298.8442391236595</v>
      </c>
      <c r="T29" s="1">
        <f t="shared" si="5"/>
        <v>342.57016806886514</v>
      </c>
      <c r="U29" s="4">
        <f t="shared" si="10"/>
        <v>278.66203832431313</v>
      </c>
      <c r="W29" s="30">
        <f t="shared" si="11"/>
        <v>397.67451747996341</v>
      </c>
      <c r="X29" s="1">
        <f t="shared" si="12"/>
        <v>74.364163568689889</v>
      </c>
      <c r="Y29" s="1">
        <f t="shared" si="13"/>
        <v>29572.732864979826</v>
      </c>
      <c r="Z29" s="1">
        <f t="shared" si="14"/>
        <v>9.4467222779274085</v>
      </c>
      <c r="AA29" s="1">
        <f t="shared" si="15"/>
        <v>3756.7207236420031</v>
      </c>
      <c r="AB29" s="1">
        <f t="shared" si="16"/>
        <v>463.3350908605783</v>
      </c>
      <c r="AC29" s="4">
        <f t="shared" si="17"/>
        <v>64.917441290762483</v>
      </c>
      <c r="AD29" s="5">
        <f t="shared" si="7"/>
        <v>0.12703326205237969</v>
      </c>
    </row>
    <row r="30" spans="1:30" x14ac:dyDescent="0.25">
      <c r="A30" s="7">
        <v>20</v>
      </c>
      <c r="B30" s="1">
        <f>(B29-D29)*(1+$B$2)</f>
        <v>68180.211870621555</v>
      </c>
      <c r="C30" s="1">
        <f>B30*$B$3*(1+$B$4)^A30</f>
        <v>4187.7433554738172</v>
      </c>
      <c r="D30" s="1">
        <f t="shared" si="0"/>
        <v>577.0173100062193</v>
      </c>
      <c r="E30" s="5">
        <f t="shared" si="21"/>
        <v>6.1421682927892025E-2</v>
      </c>
      <c r="F30" s="12" t="s">
        <v>5</v>
      </c>
      <c r="G30" s="24">
        <f>(G29-I29)*(1+$G$2)</f>
        <v>32733.182463509445</v>
      </c>
      <c r="H30" s="24">
        <f>G30*$G$3*(1+$G$4)^A30</f>
        <v>4414.3482471501884</v>
      </c>
      <c r="I30" s="24">
        <f t="shared" si="2"/>
        <v>636.78435018586219</v>
      </c>
      <c r="J30" s="25">
        <f t="shared" si="22"/>
        <v>0.13485851099480628</v>
      </c>
      <c r="O30" s="30">
        <f t="shared" si="18"/>
        <v>202.37671206874251</v>
      </c>
      <c r="P30" s="1">
        <f t="shared" si="8"/>
        <v>307.00196762189574</v>
      </c>
      <c r="Q30" s="24">
        <f t="shared" si="4"/>
        <v>62130.048805953804</v>
      </c>
      <c r="R30" s="1">
        <f t="shared" si="9"/>
        <v>18.856577513511052</v>
      </c>
      <c r="S30" s="24">
        <f>R30*O30</f>
        <v>3816.1321580537506</v>
      </c>
      <c r="T30" s="1">
        <f t="shared" si="5"/>
        <v>479.0048566866767</v>
      </c>
      <c r="U30" s="4">
        <f t="shared" si="10"/>
        <v>288.14539010838467</v>
      </c>
      <c r="W30" s="30">
        <f t="shared" si="11"/>
        <v>448.40642507364828</v>
      </c>
      <c r="X30" s="1">
        <f t="shared" si="12"/>
        <v>69.08514102162944</v>
      </c>
      <c r="Y30" s="23">
        <f t="shared" si="13"/>
        <v>30978.221111217706</v>
      </c>
      <c r="Z30" s="1">
        <f t="shared" si="14"/>
        <v>9.316719250043155</v>
      </c>
      <c r="AA30" s="23">
        <f t="shared" si="15"/>
        <v>4177.676772326693</v>
      </c>
      <c r="AB30" s="1">
        <f t="shared" si="16"/>
        <v>574.3622487011653</v>
      </c>
      <c r="AC30" s="4">
        <f t="shared" si="17"/>
        <v>59.768421771586283</v>
      </c>
      <c r="AD30" s="5">
        <f t="shared" si="7"/>
        <v>0.13485851099480628</v>
      </c>
    </row>
    <row r="31" spans="1:30" x14ac:dyDescent="0.25">
      <c r="B31" s="1"/>
    </row>
    <row r="32" spans="1:30" s="17" customFormat="1" x14ac:dyDescent="0.25">
      <c r="A32" s="20" t="s">
        <v>14</v>
      </c>
      <c r="B32" s="21"/>
      <c r="C32" s="21"/>
      <c r="D32" s="21"/>
      <c r="E32" s="21"/>
      <c r="F32" s="21"/>
      <c r="G32" s="21"/>
      <c r="H32" s="21"/>
      <c r="I32" s="21"/>
      <c r="J32" s="22"/>
      <c r="N32" s="33"/>
      <c r="P32" s="29"/>
      <c r="Q32" s="29"/>
      <c r="R32" s="29"/>
      <c r="S32" s="29"/>
      <c r="V32" s="33"/>
    </row>
    <row r="33" spans="1:27" x14ac:dyDescent="0.25">
      <c r="A33" t="s">
        <v>15</v>
      </c>
      <c r="B33" s="4">
        <f>B30-SUM(C11:C30)-B5</f>
        <v>29530.402961325053</v>
      </c>
      <c r="C33" s="4"/>
      <c r="D33" s="4">
        <f>B33*L12*26.375/100</f>
        <v>5452.0506467346386</v>
      </c>
      <c r="F33" s="10" t="s">
        <v>17</v>
      </c>
      <c r="G33" s="9">
        <f>B30</f>
        <v>68180.211870621555</v>
      </c>
      <c r="H33" s="9">
        <f>G33*G3</f>
        <v>2781.7526443213596</v>
      </c>
      <c r="I33" s="1">
        <f>IF(H33&lt;$L$10,0,(H33-$L$10)*26.375/100)</f>
        <v>206.18725993975858</v>
      </c>
      <c r="J33" s="8">
        <f>H33/G33</f>
        <v>4.0800000000000003E-2</v>
      </c>
    </row>
    <row r="34" spans="1:27" ht="30" x14ac:dyDescent="0.25">
      <c r="A34" t="s">
        <v>16</v>
      </c>
      <c r="B34" s="4">
        <f>B30-D33</f>
        <v>62728.161223886913</v>
      </c>
      <c r="C34" s="4"/>
      <c r="F34" s="27" t="s">
        <v>19</v>
      </c>
      <c r="G34" s="26">
        <f>B34</f>
        <v>62728.161223886913</v>
      </c>
      <c r="H34" s="26">
        <f>G34*G3</f>
        <v>2559.3089779345864</v>
      </c>
      <c r="I34" s="24">
        <f>IF(H34&lt;$L$10,0,(H34-$L$10)*26.375/100)</f>
        <v>147.51774293024718</v>
      </c>
      <c r="J34" s="25">
        <f>H34/G34</f>
        <v>4.0800000000000003E-2</v>
      </c>
      <c r="W34" t="s">
        <v>84</v>
      </c>
      <c r="X34" s="4">
        <f>Q30-SUM(T11:T30)-B5</f>
        <v>50937.272931400221</v>
      </c>
      <c r="Y34" s="41">
        <f>Q30-X35</f>
        <v>52725.75479099404</v>
      </c>
      <c r="Z34" s="4">
        <f>Z30</f>
        <v>9.316719250043155</v>
      </c>
      <c r="AA34" s="41">
        <f>Y34/X30*Z34</f>
        <v>7110.5167821907289</v>
      </c>
    </row>
    <row r="35" spans="1:27" x14ac:dyDescent="0.25">
      <c r="X35" s="4">
        <f>X34*0.7*0.26375</f>
        <v>9404.2940149597653</v>
      </c>
    </row>
  </sheetData>
  <mergeCells count="5">
    <mergeCell ref="B8:E8"/>
    <mergeCell ref="G8:J8"/>
    <mergeCell ref="A32:J32"/>
    <mergeCell ref="O8:U8"/>
    <mergeCell ref="W8:AC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Stueck,Kurs</vt:lpstr>
      <vt:lpstr>Vaneck</vt:lpstr>
      <vt:lpstr>GesamtKurs,schlecht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F</dc:creator>
  <cp:lastModifiedBy>Phil F</cp:lastModifiedBy>
  <dcterms:created xsi:type="dcterms:W3CDTF">2023-07-08T09:56:49Z</dcterms:created>
  <dcterms:modified xsi:type="dcterms:W3CDTF">2023-07-08T15:10:51Z</dcterms:modified>
</cp:coreProperties>
</file>