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hil\Desktop\"/>
    </mc:Choice>
  </mc:AlternateContent>
  <bookViews>
    <workbookView xWindow="0" yWindow="0" windowWidth="28800" windowHeight="11835"/>
  </bookViews>
  <sheets>
    <sheet name="Stueck,Kurs" sheetId="4" r:id="rId1"/>
    <sheet name="Tabelle2" sheetId="7" r:id="rId2"/>
    <sheet name="Vaneck" sheetId="5" r:id="rId3"/>
    <sheet name="GesamtKurs,schlecht" sheetId="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2" i="4" l="1"/>
  <c r="V11" i="4"/>
  <c r="L3" i="4" l="1"/>
  <c r="E46" i="5" l="1"/>
  <c r="E44" i="5"/>
  <c r="E45" i="5"/>
  <c r="E43" i="5"/>
  <c r="E42" i="5"/>
  <c r="E41" i="5"/>
  <c r="C42" i="5"/>
  <c r="C43" i="5"/>
  <c r="C44" i="5"/>
  <c r="C41" i="5"/>
  <c r="H32" i="5"/>
  <c r="H31" i="5"/>
  <c r="E40" i="5" s="1"/>
  <c r="E39" i="5" s="1"/>
  <c r="E38" i="5" l="1"/>
  <c r="E37" i="5" s="1"/>
  <c r="E36" i="5" s="1"/>
  <c r="E35" i="5" s="1"/>
  <c r="F20" i="5"/>
  <c r="E21" i="5"/>
  <c r="E22" i="5"/>
  <c r="E23" i="5"/>
  <c r="E24" i="5"/>
  <c r="E25" i="5"/>
  <c r="E20" i="5"/>
  <c r="H25" i="5"/>
  <c r="H7" i="4"/>
  <c r="C7" i="4"/>
  <c r="K11" i="4"/>
  <c r="J11" i="4"/>
  <c r="C11" i="4"/>
  <c r="B11" i="4"/>
  <c r="K3" i="4"/>
  <c r="J3" i="4"/>
  <c r="E3" i="4"/>
  <c r="D3" i="4"/>
  <c r="C3" i="1"/>
  <c r="D3" i="1"/>
  <c r="Z11" i="1"/>
  <c r="AA11" i="1" s="1"/>
  <c r="AB11" i="1" s="1"/>
  <c r="Y11" i="1"/>
  <c r="X11" i="1"/>
  <c r="W11" i="1"/>
  <c r="Q11" i="1"/>
  <c r="R11" i="1"/>
  <c r="S11" i="1" s="1"/>
  <c r="O11" i="1"/>
  <c r="P11" i="1"/>
  <c r="C11" i="1"/>
  <c r="D11" i="1" s="1"/>
  <c r="J3" i="1"/>
  <c r="I3" i="1"/>
  <c r="H11" i="1"/>
  <c r="I11" i="1" s="1"/>
  <c r="G11" i="1"/>
  <c r="B11" i="1"/>
  <c r="E39" i="4" l="1"/>
  <c r="E40" i="4"/>
  <c r="E33" i="4"/>
  <c r="E35" i="4"/>
  <c r="E32" i="4"/>
  <c r="E34" i="4"/>
  <c r="E36" i="4"/>
  <c r="E37" i="4"/>
  <c r="E38" i="4"/>
  <c r="E31" i="4"/>
  <c r="M37" i="4"/>
  <c r="M38" i="4"/>
  <c r="M31" i="4"/>
  <c r="M32" i="4"/>
  <c r="M40" i="4"/>
  <c r="M44" i="4" s="1"/>
  <c r="M33" i="4"/>
  <c r="M36" i="4"/>
  <c r="M27" i="4"/>
  <c r="M12" i="4"/>
  <c r="M34" i="4"/>
  <c r="M35" i="4"/>
  <c r="M39" i="4"/>
  <c r="M14" i="4"/>
  <c r="M22" i="4"/>
  <c r="M30" i="4"/>
  <c r="M15" i="4"/>
  <c r="M23" i="4"/>
  <c r="M16" i="4"/>
  <c r="M24" i="4"/>
  <c r="M17" i="4"/>
  <c r="M25" i="4"/>
  <c r="M18" i="4"/>
  <c r="M26" i="4"/>
  <c r="M19" i="4"/>
  <c r="M20" i="4"/>
  <c r="M28" i="4"/>
  <c r="M13" i="4"/>
  <c r="M21" i="4"/>
  <c r="M29" i="4"/>
  <c r="E13" i="4"/>
  <c r="E15" i="4"/>
  <c r="E23" i="4"/>
  <c r="E12" i="4"/>
  <c r="E17" i="4"/>
  <c r="E26" i="4"/>
  <c r="E27" i="4"/>
  <c r="E20" i="4"/>
  <c r="E28" i="4"/>
  <c r="E14" i="4"/>
  <c r="E22" i="4"/>
  <c r="E30" i="4"/>
  <c r="E16" i="4"/>
  <c r="E24" i="4"/>
  <c r="E25" i="4"/>
  <c r="E18" i="4"/>
  <c r="E19" i="4"/>
  <c r="E29" i="4"/>
  <c r="E21" i="4"/>
  <c r="E11" i="4"/>
  <c r="H11" i="4" s="1"/>
  <c r="C12" i="4" s="1"/>
  <c r="M11" i="4"/>
  <c r="D11" i="4"/>
  <c r="L11" i="4"/>
  <c r="AD11" i="1"/>
  <c r="T11" i="1"/>
  <c r="U11" i="1"/>
  <c r="P12" i="1" s="1"/>
  <c r="AC11" i="1"/>
  <c r="X12" i="1" s="1"/>
  <c r="R12" i="1"/>
  <c r="B12" i="1"/>
  <c r="C12" i="1" s="1"/>
  <c r="G12" i="1"/>
  <c r="H12" i="1" s="1"/>
  <c r="J11" i="1"/>
  <c r="E11" i="1"/>
  <c r="S11" i="4" l="1"/>
  <c r="T11" i="4" s="1"/>
  <c r="U11" i="4" s="1"/>
  <c r="T12" i="4" s="1"/>
  <c r="U12" i="4" s="1"/>
  <c r="V12" i="4" s="1"/>
  <c r="S13" i="4" s="1"/>
  <c r="T13" i="4" s="1"/>
  <c r="U13" i="4" s="1"/>
  <c r="V13" i="4" s="1"/>
  <c r="S14" i="4" s="1"/>
  <c r="T14" i="4" s="1"/>
  <c r="U14" i="4" s="1"/>
  <c r="V14" i="4" s="1"/>
  <c r="S15" i="4" s="1"/>
  <c r="T15" i="4" s="1"/>
  <c r="U15" i="4" s="1"/>
  <c r="V15" i="4" s="1"/>
  <c r="S16" i="4" s="1"/>
  <c r="T16" i="4" s="1"/>
  <c r="U16" i="4" s="1"/>
  <c r="V16" i="4" s="1"/>
  <c r="S17" i="4" s="1"/>
  <c r="T17" i="4" s="1"/>
  <c r="U17" i="4" s="1"/>
  <c r="V17" i="4" s="1"/>
  <c r="S18" i="4" s="1"/>
  <c r="T18" i="4" s="1"/>
  <c r="U18" i="4" s="1"/>
  <c r="V18" i="4" s="1"/>
  <c r="S19" i="4" s="1"/>
  <c r="T19" i="4" s="1"/>
  <c r="U19" i="4" s="1"/>
  <c r="V19" i="4" s="1"/>
  <c r="S20" i="4" s="1"/>
  <c r="T20" i="4" s="1"/>
  <c r="U20" i="4" s="1"/>
  <c r="V20" i="4" s="1"/>
  <c r="S21" i="4" s="1"/>
  <c r="T21" i="4" s="1"/>
  <c r="U21" i="4" s="1"/>
  <c r="V21" i="4" s="1"/>
  <c r="S22" i="4" s="1"/>
  <c r="T22" i="4" s="1"/>
  <c r="U22" i="4" s="1"/>
  <c r="V22" i="4" s="1"/>
  <c r="S23" i="4" s="1"/>
  <c r="T23" i="4" s="1"/>
  <c r="U23" i="4" s="1"/>
  <c r="V23" i="4" s="1"/>
  <c r="S24" i="4" s="1"/>
  <c r="T24" i="4" s="1"/>
  <c r="U24" i="4" s="1"/>
  <c r="V24" i="4" s="1"/>
  <c r="S25" i="4" s="1"/>
  <c r="T25" i="4" s="1"/>
  <c r="U25" i="4" s="1"/>
  <c r="V25" i="4" s="1"/>
  <c r="S26" i="4" s="1"/>
  <c r="T26" i="4" s="1"/>
  <c r="U26" i="4" s="1"/>
  <c r="V26" i="4" s="1"/>
  <c r="S27" i="4" s="1"/>
  <c r="T27" i="4" s="1"/>
  <c r="U27" i="4" s="1"/>
  <c r="V27" i="4" s="1"/>
  <c r="S28" i="4" s="1"/>
  <c r="T28" i="4" s="1"/>
  <c r="U28" i="4" s="1"/>
  <c r="V28" i="4" s="1"/>
  <c r="S29" i="4" s="1"/>
  <c r="T29" i="4" s="1"/>
  <c r="U29" i="4" s="1"/>
  <c r="V29" i="4" s="1"/>
  <c r="S30" i="4" s="1"/>
  <c r="T30" i="4" s="1"/>
  <c r="U30" i="4" s="1"/>
  <c r="V30" i="4" s="1"/>
  <c r="S31" i="4" s="1"/>
  <c r="T31" i="4" s="1"/>
  <c r="U31" i="4" s="1"/>
  <c r="V31" i="4" s="1"/>
  <c r="S32" i="4" s="1"/>
  <c r="T32" i="4" s="1"/>
  <c r="U32" i="4" s="1"/>
  <c r="V32" i="4" s="1"/>
  <c r="S33" i="4" s="1"/>
  <c r="T33" i="4" s="1"/>
  <c r="U33" i="4" s="1"/>
  <c r="V33" i="4" s="1"/>
  <c r="S34" i="4" s="1"/>
  <c r="T34" i="4" s="1"/>
  <c r="U34" i="4" s="1"/>
  <c r="V34" i="4" s="1"/>
  <c r="S35" i="4" s="1"/>
  <c r="T35" i="4" s="1"/>
  <c r="U35" i="4" s="1"/>
  <c r="V35" i="4" s="1"/>
  <c r="S36" i="4" s="1"/>
  <c r="T36" i="4" s="1"/>
  <c r="U36" i="4" s="1"/>
  <c r="V36" i="4" s="1"/>
  <c r="S37" i="4" s="1"/>
  <c r="T37" i="4" s="1"/>
  <c r="U37" i="4" s="1"/>
  <c r="V37" i="4" s="1"/>
  <c r="S38" i="4" s="1"/>
  <c r="T38" i="4" s="1"/>
  <c r="U38" i="4" s="1"/>
  <c r="V38" i="4" s="1"/>
  <c r="S39" i="4" s="1"/>
  <c r="T39" i="4" s="1"/>
  <c r="U39" i="4" s="1"/>
  <c r="V39" i="4" s="1"/>
  <c r="S40" i="4" s="1"/>
  <c r="T40" i="4" s="1"/>
  <c r="U40" i="4" s="1"/>
  <c r="V40" i="4" s="1"/>
  <c r="P11" i="4"/>
  <c r="K12" i="4"/>
  <c r="P12" i="4" s="1"/>
  <c r="F11" i="4"/>
  <c r="G11" i="4" s="1"/>
  <c r="N11" i="4"/>
  <c r="O11" i="4" s="1"/>
  <c r="H12" i="4"/>
  <c r="C13" i="4" s="1"/>
  <c r="O12" i="1"/>
  <c r="Q12" i="1" s="1"/>
  <c r="U12" i="1"/>
  <c r="P13" i="1" s="1"/>
  <c r="Z12" i="1"/>
  <c r="W12" i="1"/>
  <c r="Y12" i="1" s="1"/>
  <c r="R13" i="1"/>
  <c r="J12" i="1"/>
  <c r="I12" i="1"/>
  <c r="E12" i="1"/>
  <c r="D12" i="1"/>
  <c r="B13" i="1" s="1"/>
  <c r="B12" i="4" l="1"/>
  <c r="D12" i="4" s="1"/>
  <c r="K13" i="4"/>
  <c r="P13" i="4" s="1"/>
  <c r="J12" i="4"/>
  <c r="L12" i="4" s="1"/>
  <c r="S12" i="1"/>
  <c r="T12" i="1" s="1"/>
  <c r="O13" i="1"/>
  <c r="Q13" i="1" s="1"/>
  <c r="AC12" i="1"/>
  <c r="X13" i="1" s="1"/>
  <c r="AA12" i="1"/>
  <c r="U13" i="1"/>
  <c r="P14" i="1" s="1"/>
  <c r="S13" i="1"/>
  <c r="T13" i="1" s="1"/>
  <c r="C13" i="1"/>
  <c r="D13" i="1" s="1"/>
  <c r="B14" i="1" s="1"/>
  <c r="G13" i="1"/>
  <c r="H13" i="1" s="1"/>
  <c r="J13" i="1" s="1"/>
  <c r="F12" i="4" l="1"/>
  <c r="G12" i="4" s="1"/>
  <c r="N12" i="4"/>
  <c r="O12" i="4" s="1"/>
  <c r="J13" i="4" s="1"/>
  <c r="L13" i="4" s="1"/>
  <c r="H13" i="4"/>
  <c r="C14" i="4" s="1"/>
  <c r="K14" i="4"/>
  <c r="P14" i="4" s="1"/>
  <c r="AB12" i="1"/>
  <c r="W13" i="1" s="1"/>
  <c r="Y13" i="1" s="1"/>
  <c r="AD12" i="1"/>
  <c r="Z13" i="1"/>
  <c r="AC13" i="1" s="1"/>
  <c r="X14" i="1" s="1"/>
  <c r="Z14" i="1" s="1"/>
  <c r="AC14" i="1" s="1"/>
  <c r="X15" i="1" s="1"/>
  <c r="Z15" i="1" s="1"/>
  <c r="R14" i="1"/>
  <c r="U14" i="1" s="1"/>
  <c r="P15" i="1" s="1"/>
  <c r="O14" i="1"/>
  <c r="E13" i="1"/>
  <c r="I13" i="1"/>
  <c r="G14" i="1" s="1"/>
  <c r="C14" i="1"/>
  <c r="E14" i="1" s="1"/>
  <c r="B13" i="4" l="1"/>
  <c r="F13" i="4" s="1"/>
  <c r="G13" i="4" s="1"/>
  <c r="N13" i="4"/>
  <c r="O13" i="4" s="1"/>
  <c r="J14" i="4" s="1"/>
  <c r="K15" i="4"/>
  <c r="P15" i="4" s="1"/>
  <c r="H14" i="4"/>
  <c r="C15" i="4" s="1"/>
  <c r="AA13" i="1"/>
  <c r="AC15" i="1"/>
  <c r="X16" i="1" s="1"/>
  <c r="Z16" i="1" s="1"/>
  <c r="R15" i="1"/>
  <c r="U15" i="1" s="1"/>
  <c r="P16" i="1" s="1"/>
  <c r="S14" i="1"/>
  <c r="T14" i="1" s="1"/>
  <c r="Q14" i="1"/>
  <c r="H14" i="1"/>
  <c r="D14" i="1"/>
  <c r="B15" i="1" s="1"/>
  <c r="B14" i="4" l="1"/>
  <c r="D14" i="4" s="1"/>
  <c r="D13" i="4"/>
  <c r="L14" i="4"/>
  <c r="N14" i="4"/>
  <c r="AB13" i="1"/>
  <c r="W14" i="1" s="1"/>
  <c r="Y14" i="1" s="1"/>
  <c r="AD13" i="1"/>
  <c r="AC16" i="1"/>
  <c r="X17" i="1" s="1"/>
  <c r="Z17" i="1" s="1"/>
  <c r="R16" i="1"/>
  <c r="U16" i="1"/>
  <c r="P17" i="1" s="1"/>
  <c r="O15" i="1"/>
  <c r="J14" i="1"/>
  <c r="I14" i="1"/>
  <c r="G15" i="1" s="1"/>
  <c r="C15" i="1"/>
  <c r="F14" i="4" l="1"/>
  <c r="G14" i="4" s="1"/>
  <c r="O14" i="4"/>
  <c r="J15" i="4" s="1"/>
  <c r="N15" i="4" s="1"/>
  <c r="H15" i="4"/>
  <c r="C16" i="4" s="1"/>
  <c r="K16" i="4"/>
  <c r="P16" i="4" s="1"/>
  <c r="AA14" i="1"/>
  <c r="AB14" i="1" s="1"/>
  <c r="W15" i="1" s="1"/>
  <c r="AA15" i="1" s="1"/>
  <c r="AB15" i="1" s="1"/>
  <c r="W16" i="1" s="1"/>
  <c r="AC17" i="1"/>
  <c r="X18" i="1" s="1"/>
  <c r="R17" i="1"/>
  <c r="U17" i="1" s="1"/>
  <c r="P18" i="1" s="1"/>
  <c r="Q15" i="1"/>
  <c r="S15" i="1"/>
  <c r="T15" i="1" s="1"/>
  <c r="O16" i="1" s="1"/>
  <c r="H15" i="1"/>
  <c r="D15" i="1"/>
  <c r="B16" i="1" s="1"/>
  <c r="E15" i="1"/>
  <c r="B15" i="4" l="1"/>
  <c r="F15" i="4" s="1"/>
  <c r="G15" i="4" s="1"/>
  <c r="K17" i="4"/>
  <c r="P17" i="4" s="1"/>
  <c r="L15" i="4"/>
  <c r="O15" i="4"/>
  <c r="J16" i="4" s="1"/>
  <c r="AD14" i="1"/>
  <c r="Y15" i="1"/>
  <c r="AD15" i="1"/>
  <c r="AA16" i="1"/>
  <c r="Y16" i="1"/>
  <c r="Z18" i="1"/>
  <c r="R18" i="1"/>
  <c r="U18" i="1" s="1"/>
  <c r="P19" i="1" s="1"/>
  <c r="Q16" i="1"/>
  <c r="S16" i="1"/>
  <c r="T16" i="1" s="1"/>
  <c r="O17" i="1" s="1"/>
  <c r="J15" i="1"/>
  <c r="I15" i="1"/>
  <c r="C16" i="1"/>
  <c r="B16" i="4" l="1"/>
  <c r="D16" i="4" s="1"/>
  <c r="D15" i="4"/>
  <c r="H16" i="4"/>
  <c r="C17" i="4" s="1"/>
  <c r="K18" i="4"/>
  <c r="P18" i="4" s="1"/>
  <c r="L16" i="4"/>
  <c r="N16" i="4"/>
  <c r="AB16" i="1"/>
  <c r="W17" i="1" s="1"/>
  <c r="AA17" i="1" s="1"/>
  <c r="AD16" i="1"/>
  <c r="AC18" i="1"/>
  <c r="X19" i="1" s="1"/>
  <c r="R19" i="1"/>
  <c r="U19" i="1" s="1"/>
  <c r="P20" i="1" s="1"/>
  <c r="Q17" i="1"/>
  <c r="S17" i="1"/>
  <c r="T17" i="1" s="1"/>
  <c r="O18" i="1" s="1"/>
  <c r="G16" i="1"/>
  <c r="H16" i="1" s="1"/>
  <c r="E16" i="1"/>
  <c r="D16" i="1"/>
  <c r="B17" i="1" s="1"/>
  <c r="F16" i="4" l="1"/>
  <c r="G16" i="4" s="1"/>
  <c r="H17" i="4"/>
  <c r="C18" i="4" s="1"/>
  <c r="O16" i="4"/>
  <c r="J17" i="4" s="1"/>
  <c r="K19" i="4"/>
  <c r="P19" i="4" s="1"/>
  <c r="AB17" i="1"/>
  <c r="W18" i="1" s="1"/>
  <c r="Y18" i="1" s="1"/>
  <c r="Y17" i="1"/>
  <c r="AD17" i="1" s="1"/>
  <c r="Z19" i="1"/>
  <c r="R20" i="1"/>
  <c r="U20" i="1" s="1"/>
  <c r="P21" i="1" s="1"/>
  <c r="R21" i="1" s="1"/>
  <c r="U21" i="1" s="1"/>
  <c r="P22" i="1" s="1"/>
  <c r="R22" i="1" s="1"/>
  <c r="Q18" i="1"/>
  <c r="S18" i="1"/>
  <c r="T18" i="1" s="1"/>
  <c r="J16" i="1"/>
  <c r="I16" i="1"/>
  <c r="G17" i="1" s="1"/>
  <c r="C17" i="1"/>
  <c r="B17" i="4" l="1"/>
  <c r="F17" i="4" s="1"/>
  <c r="G17" i="4" s="1"/>
  <c r="L17" i="4"/>
  <c r="N17" i="4"/>
  <c r="K20" i="4"/>
  <c r="P20" i="4" s="1"/>
  <c r="AA18" i="1"/>
  <c r="AB18" i="1" s="1"/>
  <c r="W19" i="1" s="1"/>
  <c r="U22" i="1"/>
  <c r="P23" i="1" s="1"/>
  <c r="R23" i="1" s="1"/>
  <c r="AC19" i="1"/>
  <c r="X20" i="1" s="1"/>
  <c r="O19" i="1"/>
  <c r="Q19" i="1"/>
  <c r="S19" i="1"/>
  <c r="T19" i="1" s="1"/>
  <c r="O20" i="1" s="1"/>
  <c r="H17" i="1"/>
  <c r="E17" i="1"/>
  <c r="D17" i="1"/>
  <c r="B18" i="1" s="1"/>
  <c r="B18" i="4" l="1"/>
  <c r="F18" i="4" s="1"/>
  <c r="G18" i="4" s="1"/>
  <c r="D17" i="4"/>
  <c r="K21" i="4"/>
  <c r="P21" i="4" s="1"/>
  <c r="H18" i="4"/>
  <c r="C19" i="4" s="1"/>
  <c r="O17" i="4"/>
  <c r="J18" i="4" s="1"/>
  <c r="N18" i="4" s="1"/>
  <c r="AA19" i="1"/>
  <c r="AB19" i="1" s="1"/>
  <c r="W20" i="1" s="1"/>
  <c r="Y19" i="1"/>
  <c r="AD18" i="1"/>
  <c r="U23" i="1"/>
  <c r="P24" i="1" s="1"/>
  <c r="R24" i="1" s="1"/>
  <c r="U24" i="1" s="1"/>
  <c r="P25" i="1" s="1"/>
  <c r="R25" i="1" s="1"/>
  <c r="Z20" i="1"/>
  <c r="AC20" i="1" s="1"/>
  <c r="X21" i="1" s="1"/>
  <c r="S20" i="1"/>
  <c r="T20" i="1" s="1"/>
  <c r="O21" i="1" s="1"/>
  <c r="Q20" i="1"/>
  <c r="I17" i="1"/>
  <c r="G18" i="1" s="1"/>
  <c r="J17" i="1"/>
  <c r="C18" i="1"/>
  <c r="D18" i="4" l="1"/>
  <c r="B19" i="4"/>
  <c r="D19" i="4" s="1"/>
  <c r="H19" i="4"/>
  <c r="C20" i="4" s="1"/>
  <c r="L18" i="4"/>
  <c r="AD19" i="1"/>
  <c r="AA20" i="1"/>
  <c r="Z21" i="1"/>
  <c r="Y20" i="1"/>
  <c r="S21" i="1"/>
  <c r="T21" i="1" s="1"/>
  <c r="O22" i="1" s="1"/>
  <c r="Q21" i="1"/>
  <c r="U25" i="1"/>
  <c r="P26" i="1" s="1"/>
  <c r="R26" i="1" s="1"/>
  <c r="H18" i="1"/>
  <c r="E18" i="1"/>
  <c r="D18" i="1"/>
  <c r="B19" i="1" s="1"/>
  <c r="F19" i="4" l="1"/>
  <c r="G19" i="4" s="1"/>
  <c r="K22" i="4"/>
  <c r="P22" i="4" s="1"/>
  <c r="O18" i="4"/>
  <c r="J19" i="4" s="1"/>
  <c r="AB20" i="1"/>
  <c r="W21" i="1" s="1"/>
  <c r="AA21" i="1" s="1"/>
  <c r="AD20" i="1"/>
  <c r="U26" i="1"/>
  <c r="AC21" i="1"/>
  <c r="X22" i="1" s="1"/>
  <c r="Q22" i="1"/>
  <c r="S22" i="1"/>
  <c r="T22" i="1" s="1"/>
  <c r="O23" i="1" s="1"/>
  <c r="P27" i="1"/>
  <c r="J18" i="1"/>
  <c r="I18" i="1"/>
  <c r="G19" i="1" s="1"/>
  <c r="C19" i="1"/>
  <c r="B20" i="4" l="1"/>
  <c r="D20" i="4" s="1"/>
  <c r="H20" i="4"/>
  <c r="C21" i="4" s="1"/>
  <c r="L19" i="4"/>
  <c r="N19" i="4"/>
  <c r="AB21" i="1"/>
  <c r="W22" i="1" s="1"/>
  <c r="Y22" i="1" s="1"/>
  <c r="Y21" i="1"/>
  <c r="AD21" i="1" s="1"/>
  <c r="Z22" i="1"/>
  <c r="R27" i="1"/>
  <c r="U27" i="1" s="1"/>
  <c r="Q23" i="1"/>
  <c r="S23" i="1"/>
  <c r="T23" i="1" s="1"/>
  <c r="O24" i="1" s="1"/>
  <c r="H19" i="1"/>
  <c r="E19" i="1"/>
  <c r="D19" i="1"/>
  <c r="B20" i="1" s="1"/>
  <c r="H21" i="4" l="1"/>
  <c r="C22" i="4" s="1"/>
  <c r="F20" i="4"/>
  <c r="G20" i="4" s="1"/>
  <c r="O19" i="4"/>
  <c r="J20" i="4" s="1"/>
  <c r="K23" i="4"/>
  <c r="P23" i="4" s="1"/>
  <c r="AA22" i="1"/>
  <c r="AC22" i="1"/>
  <c r="X23" i="1" s="1"/>
  <c r="Z23" i="1" s="1"/>
  <c r="P28" i="1"/>
  <c r="Q24" i="1"/>
  <c r="S24" i="1"/>
  <c r="T24" i="1" s="1"/>
  <c r="O25" i="1" s="1"/>
  <c r="Q25" i="1" s="1"/>
  <c r="I19" i="1"/>
  <c r="G20" i="1" s="1"/>
  <c r="J19" i="1"/>
  <c r="C20" i="1"/>
  <c r="B21" i="4" l="1"/>
  <c r="D21" i="4" s="1"/>
  <c r="L20" i="4"/>
  <c r="N20" i="4"/>
  <c r="K24" i="4"/>
  <c r="P24" i="4" s="1"/>
  <c r="AB22" i="1"/>
  <c r="W23" i="1" s="1"/>
  <c r="Y23" i="1" s="1"/>
  <c r="AD22" i="1"/>
  <c r="AC23" i="1"/>
  <c r="X24" i="1" s="1"/>
  <c r="R28" i="1"/>
  <c r="U28" i="1" s="1"/>
  <c r="P29" i="1" s="1"/>
  <c r="S25" i="1"/>
  <c r="T25" i="1" s="1"/>
  <c r="H20" i="1"/>
  <c r="E20" i="1"/>
  <c r="D20" i="1"/>
  <c r="B21" i="1" s="1"/>
  <c r="F21" i="4" l="1"/>
  <c r="G21" i="4" s="1"/>
  <c r="H22" i="4"/>
  <c r="C23" i="4" s="1"/>
  <c r="K25" i="4"/>
  <c r="P25" i="4" s="1"/>
  <c r="O20" i="4"/>
  <c r="J21" i="4" s="1"/>
  <c r="AA23" i="1"/>
  <c r="Z24" i="1"/>
  <c r="AC24" i="1" s="1"/>
  <c r="X25" i="1" s="1"/>
  <c r="R29" i="1"/>
  <c r="U29" i="1" s="1"/>
  <c r="O26" i="1"/>
  <c r="Q26" i="1" s="1"/>
  <c r="J20" i="1"/>
  <c r="I20" i="1"/>
  <c r="G21" i="1" s="1"/>
  <c r="C21" i="1"/>
  <c r="B22" i="4" l="1"/>
  <c r="D22" i="4" s="1"/>
  <c r="L21" i="4"/>
  <c r="N21" i="4"/>
  <c r="AB23" i="1"/>
  <c r="W24" i="1" s="1"/>
  <c r="AA24" i="1" s="1"/>
  <c r="AD23" i="1"/>
  <c r="Z25" i="1"/>
  <c r="P30" i="1"/>
  <c r="S26" i="1"/>
  <c r="T26" i="1" s="1"/>
  <c r="H21" i="1"/>
  <c r="E21" i="1"/>
  <c r="D21" i="1"/>
  <c r="B22" i="1" s="1"/>
  <c r="F22" i="4" l="1"/>
  <c r="G22" i="4" s="1"/>
  <c r="B23" i="4" s="1"/>
  <c r="D23" i="4" s="1"/>
  <c r="O21" i="4"/>
  <c r="J22" i="4" s="1"/>
  <c r="K26" i="4"/>
  <c r="P26" i="4" s="1"/>
  <c r="H23" i="4"/>
  <c r="C24" i="4" s="1"/>
  <c r="AB24" i="1"/>
  <c r="W25" i="1" s="1"/>
  <c r="Y25" i="1" s="1"/>
  <c r="Y24" i="1"/>
  <c r="AD24" i="1" s="1"/>
  <c r="AC25" i="1"/>
  <c r="X26" i="1" s="1"/>
  <c r="R30" i="1"/>
  <c r="U30" i="1" s="1"/>
  <c r="O27" i="1"/>
  <c r="Q27" i="1" s="1"/>
  <c r="J21" i="1"/>
  <c r="I21" i="1"/>
  <c r="G22" i="1" s="1"/>
  <c r="C22" i="1"/>
  <c r="F23" i="4" l="1"/>
  <c r="G23" i="4" s="1"/>
  <c r="L22" i="4"/>
  <c r="N22" i="4"/>
  <c r="AA25" i="1"/>
  <c r="AB25" i="1" s="1"/>
  <c r="Z26" i="1"/>
  <c r="AC26" i="1" s="1"/>
  <c r="X27" i="1" s="1"/>
  <c r="S27" i="1"/>
  <c r="T27" i="1" s="1"/>
  <c r="H22" i="1"/>
  <c r="D22" i="1"/>
  <c r="B23" i="1" s="1"/>
  <c r="E22" i="1"/>
  <c r="B24" i="4" l="1"/>
  <c r="D24" i="4" s="1"/>
  <c r="K27" i="4"/>
  <c r="P27" i="4" s="1"/>
  <c r="O22" i="4"/>
  <c r="J23" i="4" s="1"/>
  <c r="H24" i="4"/>
  <c r="C25" i="4" s="1"/>
  <c r="W26" i="1"/>
  <c r="Y26" i="1" s="1"/>
  <c r="AD25" i="1"/>
  <c r="Z27" i="1"/>
  <c r="AC27" i="1" s="1"/>
  <c r="X28" i="1" s="1"/>
  <c r="O28" i="1"/>
  <c r="Q28" i="1" s="1"/>
  <c r="I22" i="1"/>
  <c r="G23" i="1" s="1"/>
  <c r="J22" i="1"/>
  <c r="C23" i="1"/>
  <c r="F24" i="4" l="1"/>
  <c r="G24" i="4" s="1"/>
  <c r="L23" i="4"/>
  <c r="N23" i="4"/>
  <c r="K28" i="4"/>
  <c r="P28" i="4" s="1"/>
  <c r="AA26" i="1"/>
  <c r="AB26" i="1" s="1"/>
  <c r="W27" i="1" s="1"/>
  <c r="AA27" i="1" s="1"/>
  <c r="Z28" i="1"/>
  <c r="S28" i="1"/>
  <c r="T28" i="1" s="1"/>
  <c r="H23" i="1"/>
  <c r="E23" i="1"/>
  <c r="D23" i="1"/>
  <c r="B24" i="1" s="1"/>
  <c r="B25" i="4" l="1"/>
  <c r="F25" i="4" s="1"/>
  <c r="G25" i="4" s="1"/>
  <c r="H25" i="4"/>
  <c r="C26" i="4" s="1"/>
  <c r="O23" i="4"/>
  <c r="J24" i="4" s="1"/>
  <c r="AD26" i="1"/>
  <c r="AB27" i="1"/>
  <c r="Y27" i="1"/>
  <c r="AD27" i="1" s="1"/>
  <c r="W28" i="1"/>
  <c r="AA28" i="1" s="1"/>
  <c r="AC28" i="1"/>
  <c r="X29" i="1" s="1"/>
  <c r="O29" i="1"/>
  <c r="Q29" i="1" s="1"/>
  <c r="J23" i="1"/>
  <c r="I23" i="1"/>
  <c r="G24" i="1" s="1"/>
  <c r="C24" i="1"/>
  <c r="D25" i="4" l="1"/>
  <c r="B26" i="4"/>
  <c r="D26" i="4" s="1"/>
  <c r="L24" i="4"/>
  <c r="N24" i="4"/>
  <c r="K29" i="4"/>
  <c r="P29" i="4" s="1"/>
  <c r="AB28" i="1"/>
  <c r="W29" i="1" s="1"/>
  <c r="Z29" i="1"/>
  <c r="AC29" i="1" s="1"/>
  <c r="X30" i="1" s="1"/>
  <c r="Y28" i="1"/>
  <c r="AD28" i="1" s="1"/>
  <c r="S29" i="1"/>
  <c r="T29" i="1" s="1"/>
  <c r="H24" i="1"/>
  <c r="D24" i="1"/>
  <c r="B25" i="1" s="1"/>
  <c r="E24" i="1"/>
  <c r="F26" i="4" l="1"/>
  <c r="G26" i="4" s="1"/>
  <c r="H26" i="4"/>
  <c r="C27" i="4" s="1"/>
  <c r="O24" i="4"/>
  <c r="J25" i="4" s="1"/>
  <c r="Y29" i="1"/>
  <c r="Z30" i="1"/>
  <c r="Z34" i="1" s="1"/>
  <c r="AA29" i="1"/>
  <c r="O30" i="1"/>
  <c r="I24" i="1"/>
  <c r="G25" i="1" s="1"/>
  <c r="J24" i="1"/>
  <c r="C25" i="1"/>
  <c r="L25" i="4" l="1"/>
  <c r="N25" i="4"/>
  <c r="K30" i="4"/>
  <c r="P30" i="4" s="1"/>
  <c r="B27" i="4"/>
  <c r="AB29" i="1"/>
  <c r="W30" i="1" s="1"/>
  <c r="Y30" i="1" s="1"/>
  <c r="AD29" i="1"/>
  <c r="AC30" i="1"/>
  <c r="S30" i="1"/>
  <c r="T30" i="1" s="1"/>
  <c r="Q30" i="1"/>
  <c r="H25" i="1"/>
  <c r="E25" i="1"/>
  <c r="D25" i="1"/>
  <c r="B26" i="1" s="1"/>
  <c r="F27" i="4" l="1"/>
  <c r="G27" i="4" s="1"/>
  <c r="D27" i="4"/>
  <c r="H27" i="4"/>
  <c r="C28" i="4" s="1"/>
  <c r="O25" i="4"/>
  <c r="J26" i="4" s="1"/>
  <c r="X34" i="1"/>
  <c r="X35" i="1" s="1"/>
  <c r="Y34" i="1" s="1"/>
  <c r="AA34" i="1" s="1"/>
  <c r="AA30" i="1"/>
  <c r="I25" i="1"/>
  <c r="G26" i="1" s="1"/>
  <c r="J25" i="1"/>
  <c r="C26" i="1"/>
  <c r="L26" i="4" l="1"/>
  <c r="N26" i="4"/>
  <c r="B28" i="4"/>
  <c r="K31" i="4"/>
  <c r="P31" i="4" s="1"/>
  <c r="AB30" i="1"/>
  <c r="AD30" i="1"/>
  <c r="H26" i="1"/>
  <c r="E26" i="1"/>
  <c r="D26" i="1"/>
  <c r="B27" i="1" s="1"/>
  <c r="K32" i="4" l="1"/>
  <c r="P32" i="4" s="1"/>
  <c r="F28" i="4"/>
  <c r="G28" i="4" s="1"/>
  <c r="O26" i="4"/>
  <c r="J27" i="4" s="1"/>
  <c r="D28" i="4"/>
  <c r="H28" i="4"/>
  <c r="C29" i="4" s="1"/>
  <c r="I26" i="1"/>
  <c r="G27" i="1" s="1"/>
  <c r="J26" i="1"/>
  <c r="C27" i="1"/>
  <c r="K33" i="4" l="1"/>
  <c r="P33" i="4" s="1"/>
  <c r="L27" i="4"/>
  <c r="N27" i="4"/>
  <c r="O27" i="4" s="1"/>
  <c r="B29" i="4"/>
  <c r="H27" i="1"/>
  <c r="E27" i="1"/>
  <c r="D27" i="1"/>
  <c r="B28" i="1" s="1"/>
  <c r="K34" i="4" l="1"/>
  <c r="P34" i="4" s="1"/>
  <c r="D29" i="4"/>
  <c r="F29" i="4"/>
  <c r="G29" i="4" s="1"/>
  <c r="H29" i="4"/>
  <c r="C30" i="4" s="1"/>
  <c r="J28" i="4"/>
  <c r="C28" i="1"/>
  <c r="I27" i="1"/>
  <c r="G28" i="1" s="1"/>
  <c r="J27" i="1"/>
  <c r="K35" i="4" l="1"/>
  <c r="P35" i="4" s="1"/>
  <c r="C42" i="4"/>
  <c r="B30" i="4"/>
  <c r="L28" i="4"/>
  <c r="N28" i="4"/>
  <c r="H28" i="1"/>
  <c r="E28" i="1"/>
  <c r="D28" i="1"/>
  <c r="K36" i="4" l="1"/>
  <c r="P36" i="4" s="1"/>
  <c r="B42" i="4"/>
  <c r="E42" i="4"/>
  <c r="D30" i="4"/>
  <c r="O28" i="4"/>
  <c r="J29" i="4" s="1"/>
  <c r="B29" i="1"/>
  <c r="I28" i="1"/>
  <c r="G29" i="1" s="1"/>
  <c r="H29" i="1" s="1"/>
  <c r="J28" i="1"/>
  <c r="K37" i="4" l="1"/>
  <c r="P37" i="4" s="1"/>
  <c r="H30" i="4"/>
  <c r="C31" i="4" s="1"/>
  <c r="H31" i="4" s="1"/>
  <c r="C32" i="4" s="1"/>
  <c r="H32" i="4" s="1"/>
  <c r="C33" i="4" s="1"/>
  <c r="H33" i="4" s="1"/>
  <c r="C34" i="4" s="1"/>
  <c r="H34" i="4" s="1"/>
  <c r="C35" i="4" s="1"/>
  <c r="H35" i="4" s="1"/>
  <c r="C36" i="4" s="1"/>
  <c r="H36" i="4" s="1"/>
  <c r="C37" i="4" s="1"/>
  <c r="H37" i="4" s="1"/>
  <c r="C38" i="4" s="1"/>
  <c r="H38" i="4" s="1"/>
  <c r="C39" i="4" s="1"/>
  <c r="H39" i="4" s="1"/>
  <c r="C40" i="4" s="1"/>
  <c r="H40" i="4" s="1"/>
  <c r="F30" i="4"/>
  <c r="G30" i="4" s="1"/>
  <c r="G42" i="4" s="1"/>
  <c r="D42" i="4"/>
  <c r="F42" i="4"/>
  <c r="H42" i="4"/>
  <c r="L29" i="4"/>
  <c r="N29" i="4"/>
  <c r="C29" i="1"/>
  <c r="E29" i="1" s="1"/>
  <c r="K38" i="4" l="1"/>
  <c r="P38" i="4" s="1"/>
  <c r="B31" i="4"/>
  <c r="O29" i="4"/>
  <c r="J30" i="4" s="1"/>
  <c r="D29" i="1"/>
  <c r="B30" i="1" s="1"/>
  <c r="C30" i="1" s="1"/>
  <c r="B33" i="1" s="1"/>
  <c r="J29" i="1"/>
  <c r="I29" i="1"/>
  <c r="G30" i="1" s="1"/>
  <c r="H30" i="1" s="1"/>
  <c r="K39" i="4" l="1"/>
  <c r="P39" i="4" s="1"/>
  <c r="D31" i="4"/>
  <c r="F31" i="4"/>
  <c r="G31" i="4" s="1"/>
  <c r="B32" i="4" s="1"/>
  <c r="L30" i="4"/>
  <c r="N30" i="4"/>
  <c r="G33" i="1"/>
  <c r="H33" i="1" s="1"/>
  <c r="I33" i="1" s="1"/>
  <c r="D33" i="1"/>
  <c r="B34" i="1" s="1"/>
  <c r="G34" i="1" s="1"/>
  <c r="H34" i="1" s="1"/>
  <c r="I30" i="1"/>
  <c r="J30" i="1"/>
  <c r="E30" i="1"/>
  <c r="D30" i="1"/>
  <c r="K40" i="4" l="1"/>
  <c r="P40" i="4" s="1"/>
  <c r="D32" i="4"/>
  <c r="F32" i="4"/>
  <c r="G32" i="4" s="1"/>
  <c r="O30" i="4"/>
  <c r="J31" i="4" s="1"/>
  <c r="J33" i="1"/>
  <c r="J34" i="1"/>
  <c r="I34" i="1"/>
  <c r="B33" i="4" l="1"/>
  <c r="N31" i="4"/>
  <c r="O31" i="4" s="1"/>
  <c r="L31" i="4"/>
  <c r="D33" i="4" l="1"/>
  <c r="F33" i="4"/>
  <c r="G33" i="4" s="1"/>
  <c r="J32" i="4"/>
  <c r="B34" i="4" l="1"/>
  <c r="D34" i="4" s="1"/>
  <c r="N32" i="4"/>
  <c r="O32" i="4" s="1"/>
  <c r="L32" i="4"/>
  <c r="F34" i="4" l="1"/>
  <c r="G34" i="4" s="1"/>
  <c r="J33" i="4"/>
  <c r="B35" i="4" l="1"/>
  <c r="D35" i="4" s="1"/>
  <c r="N33" i="4"/>
  <c r="O33" i="4" s="1"/>
  <c r="L33" i="4"/>
  <c r="F35" i="4" l="1"/>
  <c r="G35" i="4" s="1"/>
  <c r="B36" i="4" s="1"/>
  <c r="D36" i="4" s="1"/>
  <c r="J34" i="4"/>
  <c r="F36" i="4" l="1"/>
  <c r="G36" i="4" s="1"/>
  <c r="B37" i="4" s="1"/>
  <c r="F37" i="4" s="1"/>
  <c r="G37" i="4" s="1"/>
  <c r="L34" i="4"/>
  <c r="N34" i="4"/>
  <c r="O34" i="4" s="1"/>
  <c r="J35" i="4" s="1"/>
  <c r="D37" i="4" l="1"/>
  <c r="B38" i="4"/>
  <c r="D38" i="4" s="1"/>
  <c r="L35" i="4"/>
  <c r="N35" i="4"/>
  <c r="O35" i="4" s="1"/>
  <c r="J36" i="4" l="1"/>
  <c r="N36" i="4" s="1"/>
  <c r="O36" i="4" s="1"/>
  <c r="F38" i="4"/>
  <c r="G38" i="4" s="1"/>
  <c r="L36" i="4" l="1"/>
  <c r="B39" i="4"/>
  <c r="J37" i="4"/>
  <c r="D39" i="4" l="1"/>
  <c r="F39" i="4"/>
  <c r="G39" i="4" s="1"/>
  <c r="L37" i="4"/>
  <c r="N37" i="4"/>
  <c r="O37" i="4" s="1"/>
  <c r="J38" i="4" s="1"/>
  <c r="B40" i="4" l="1"/>
  <c r="F40" i="4" s="1"/>
  <c r="G40" i="4" s="1"/>
  <c r="L38" i="4"/>
  <c r="N38" i="4"/>
  <c r="O38" i="4" s="1"/>
  <c r="J39" i="4" s="1"/>
  <c r="D40" i="4" l="1"/>
  <c r="K44" i="4" s="1"/>
  <c r="K45" i="4" s="1"/>
  <c r="L44" i="4" s="1"/>
  <c r="N44" i="4" s="1"/>
  <c r="L39" i="4"/>
  <c r="N39" i="4"/>
  <c r="O39" i="4" s="1"/>
  <c r="J40" i="4" s="1"/>
  <c r="N40" i="4" l="1"/>
  <c r="L40" i="4"/>
  <c r="O40" i="4" l="1"/>
  <c r="P42" i="4"/>
</calcChain>
</file>

<file path=xl/sharedStrings.xml><?xml version="1.0" encoding="utf-8"?>
<sst xmlns="http://schemas.openxmlformats.org/spreadsheetml/2006/main" count="384" uniqueCount="258">
  <si>
    <t>divi</t>
  </si>
  <si>
    <t>gesamt</t>
  </si>
  <si>
    <t>divi growth</t>
  </si>
  <si>
    <t>Jahr</t>
  </si>
  <si>
    <t>Start invest</t>
  </si>
  <si>
    <t>Vaneck</t>
  </si>
  <si>
    <t xml:space="preserve">developed world </t>
  </si>
  <si>
    <t>Vangaurd</t>
  </si>
  <si>
    <t>Kurs (10,11%)</t>
  </si>
  <si>
    <t>Divi + Growth</t>
  </si>
  <si>
    <t>Kurs (8,94%)</t>
  </si>
  <si>
    <t>Pers. Rendite</t>
  </si>
  <si>
    <t>Steuerfreibetrag</t>
  </si>
  <si>
    <t>Steuer nach FB</t>
  </si>
  <si>
    <t>Verkauf Vanguard und alles rein (nach Steuern) in Vaneck</t>
  </si>
  <si>
    <t>Zu Versteuen</t>
  </si>
  <si>
    <t>Nach Steuer</t>
  </si>
  <si>
    <t>ohne Steuer:</t>
  </si>
  <si>
    <t>Teilfreistellung ETF</t>
  </si>
  <si>
    <t>Vanguard mit Steuer</t>
  </si>
  <si>
    <t>Stoxx select 100</t>
  </si>
  <si>
    <t>Rechnung</t>
  </si>
  <si>
    <t>us divi aristo</t>
  </si>
  <si>
    <t>Annahme ETF Stückpreis</t>
  </si>
  <si>
    <t>Stück Anzahl</t>
  </si>
  <si>
    <t>Stückwert</t>
  </si>
  <si>
    <t>Steuer</t>
  </si>
  <si>
    <t>Stückwert Ex</t>
  </si>
  <si>
    <t>Dividende/Stueck</t>
  </si>
  <si>
    <t>Gesamtdividende</t>
  </si>
  <si>
    <t>Gesamtwert</t>
  </si>
  <si>
    <t>Vanguard anders gerechnet mit Stück (jeden 01.01. geht der ETF jahreskomplett EX-Div)</t>
  </si>
  <si>
    <t>(B14-D14)*(1+$B$2)</t>
  </si>
  <si>
    <t>B14*$B$3*(1+$B$4)^A14</t>
  </si>
  <si>
    <t>WENN(C14&lt;$L$9;0;(C14-$L$9)*26,375/100)</t>
  </si>
  <si>
    <t>C14/B14</t>
  </si>
  <si>
    <t>(G13-I13)*(1+$G$2)</t>
  </si>
  <si>
    <t>G14*$G$3*(1+$G$4)^A14</t>
  </si>
  <si>
    <t>WENN(H14&lt;$L$9;0;(H14-$L$9)*26,375/100)</t>
  </si>
  <si>
    <t>H14/G14</t>
  </si>
  <si>
    <t>O13+(S13-T13)/U13</t>
  </si>
  <si>
    <t>U13*(1+$B$2)</t>
  </si>
  <si>
    <t>O14*P14</t>
  </si>
  <si>
    <t>P14*$B$3*(1+$B$4)^A14</t>
  </si>
  <si>
    <t>R14*O14</t>
  </si>
  <si>
    <t>WENN(S14&lt;$L$9;0;(S14-$L$9)*0,26375)</t>
  </si>
  <si>
    <t>P14-R14</t>
  </si>
  <si>
    <t>Vergleichs ETF (jeden 1.1. komplett Jahesdividenen EX Tag und zeitgleich komplette Reinvestion)</t>
  </si>
  <si>
    <t>W14+(AA14-AB14)/AC14</t>
  </si>
  <si>
    <t>AC14*(1+$G$2)</t>
  </si>
  <si>
    <t>W14*X14</t>
  </si>
  <si>
    <t>X14*$G$3*(1+$G$4)^A14</t>
  </si>
  <si>
    <t>Z14*W14</t>
  </si>
  <si>
    <t>WENN(AA14&lt;$L$9;0;(AA14-$L$9)*0,26375)</t>
  </si>
  <si>
    <t>X14-Z14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</si>
  <si>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</si>
  <si>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</si>
  <si>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</si>
  <si>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</si>
  <si>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</si>
  <si>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</si>
  <si>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</si>
  <si>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</si>
  <si>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</si>
  <si>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</si>
  <si>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</si>
  <si>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</si>
  <si>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</si>
  <si>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</si>
  <si>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</si>
  <si>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</si>
  <si>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</si>
  <si>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</si>
  <si>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</si>
  <si>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</si>
  <si>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</si>
  <si>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</si>
  <si>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</si>
  <si>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</si>
  <si>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</si>
  <si>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</si>
  <si>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</si>
  <si>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</si>
  <si>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</si>
  <si>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 xml:space="preserve">Verkauf Vanguard: </t>
  </si>
  <si>
    <t>all world</t>
  </si>
  <si>
    <t xml:space="preserve">Verkauf LINKS:  </t>
  </si>
  <si>
    <t>Dividenden Start</t>
  </si>
  <si>
    <t>Zeit­raum</t>
  </si>
  <si>
    <t>Betrag</t>
  </si>
  <si>
    <t>Aus­schüttungs­rendite</t>
  </si>
  <si>
    <t>2023 (Prognose)</t>
  </si>
  <si>
    <t>1,64 €</t>
  </si>
  <si>
    <t>4,92 %</t>
  </si>
  <si>
    <t>5,06 %</t>
  </si>
  <si>
    <t>4,85 %</t>
  </si>
  <si>
    <t>3,52 %</t>
  </si>
  <si>
    <t>5,11 %</t>
  </si>
  <si>
    <t>Zeitraum</t>
  </si>
  <si>
    <t>Wachstum</t>
  </si>
  <si>
    <t>1 Jahr</t>
  </si>
  <si>
    <t>+26,83 % p.a.</t>
  </si>
  <si>
    <t>2 Jahre</t>
  </si>
  <si>
    <t>+22,47 % p.a.</t>
  </si>
  <si>
    <t>3 Jahre</t>
  </si>
  <si>
    <t>+6,54 % p.a.</t>
  </si>
  <si>
    <t>4 Jahre</t>
  </si>
  <si>
    <t>+5,69 % p.a.</t>
  </si>
  <si>
    <t>5 Jahre</t>
  </si>
  <si>
    <t>+6,66 % p.a.</t>
  </si>
  <si>
    <t>Seit Auflage</t>
  </si>
  <si>
    <t>+6,66 % p.a</t>
  </si>
  <si>
    <t>—</t>
  </si>
  <si>
    <t xml:space="preserve">Kende = Anfang (1+ zins)^n </t>
  </si>
  <si>
    <t>(kende/anfang)^1/n-1 = zins</t>
  </si>
  <si>
    <t>Jahresanfang</t>
  </si>
  <si>
    <t>Jahresende</t>
  </si>
  <si>
    <t>Ex-Tag</t>
  </si>
  <si>
    <t>Ausschüttungen*</t>
  </si>
  <si>
    <t>Kurs</t>
  </si>
  <si>
    <t>J29+(N29-O29)/P29</t>
  </si>
  <si>
    <t>P29*(1+$H$2)</t>
  </si>
  <si>
    <t>J30*K30</t>
  </si>
  <si>
    <t>$H$7*(1+$H$4)^(A30-1)</t>
  </si>
  <si>
    <t>M30*J30</t>
  </si>
  <si>
    <t>WENN(N30&lt;$I$9;0;(N30-$I$9)*0,26375)</t>
  </si>
  <si>
    <t>K30-M30</t>
  </si>
  <si>
    <t>Year</t>
  </si>
  <si>
    <t>Number of shares</t>
  </si>
  <si>
    <t>Share value</t>
  </si>
  <si>
    <t>Total value</t>
  </si>
  <si>
    <t>Dividend per share</t>
  </si>
  <si>
    <t>Total dividend</t>
  </si>
  <si>
    <t>Tax (26.375%)</t>
  </si>
  <si>
    <t>Ex-dividend share price</t>
  </si>
  <si>
    <t>€100.00</t>
  </si>
  <si>
    <t>€4.64</t>
  </si>
  <si>
    <t>€1.22</t>
  </si>
  <si>
    <t>€95.36</t>
  </si>
  <si>
    <t>€108.94</t>
  </si>
  <si>
    <t>€4.94</t>
  </si>
  <si>
    <t>€1.30</t>
  </si>
  <si>
    <t>€104.00</t>
  </si>
  <si>
    <t>€118.62</t>
  </si>
  <si>
    <t>€5.26</t>
  </si>
  <si>
    <t>€1.39</t>
  </si>
  <si>
    <t>€113.36</t>
  </si>
  <si>
    <t>€129.10</t>
  </si>
  <si>
    <t>€5.60</t>
  </si>
  <si>
    <t>€1.48</t>
  </si>
  <si>
    <t>€123.50</t>
  </si>
  <si>
    <t>€140.46</t>
  </si>
  <si>
    <t>€5.96</t>
  </si>
  <si>
    <t>€1.57</t>
  </si>
  <si>
    <t>€134.50</t>
  </si>
  <si>
    <t>€152.77</t>
  </si>
  <si>
    <t>€6.34</t>
  </si>
  <si>
    <t>€1.67</t>
  </si>
  <si>
    <t>€146.43</t>
  </si>
  <si>
    <t>€166.11</t>
  </si>
  <si>
    <t>€6.74</t>
  </si>
  <si>
    <t>€1.78</t>
  </si>
  <si>
    <t>€159.37</t>
  </si>
  <si>
    <t>€180.57</t>
  </si>
  <si>
    <t>€7.16</t>
  </si>
  <si>
    <t>€1.89</t>
  </si>
  <si>
    <t>€173.41</t>
  </si>
  <si>
    <t>€196.25</t>
  </si>
  <si>
    <t>€7.60</t>
  </si>
  <si>
    <t>€2.01</t>
  </si>
  <si>
    <t>€188.65</t>
  </si>
  <si>
    <t>€213.24</t>
  </si>
  <si>
    <t>€8.06</t>
  </si>
  <si>
    <t>€2.13</t>
  </si>
  <si>
    <t>€205.18</t>
  </si>
  <si>
    <t>€231.67</t>
  </si>
  <si>
    <t>€8.54</t>
  </si>
  <si>
    <t>€2.26</t>
  </si>
  <si>
    <t>€223.13</t>
  </si>
  <si>
    <t>€251.66</t>
  </si>
  <si>
    <t>€9.04</t>
  </si>
  <si>
    <t>€2.40</t>
  </si>
  <si>
    <t>€242.62</t>
  </si>
  <si>
    <t>€273.34</t>
  </si>
  <si>
    <t>€9.56</t>
  </si>
  <si>
    <t>€2.53</t>
  </si>
  <si>
    <t>€263.78</t>
  </si>
  <si>
    <t>€296.85</t>
  </si>
  <si>
    <t>€10.10</t>
  </si>
  <si>
    <t>€2.68</t>
  </si>
  <si>
    <t>€286.75</t>
  </si>
  <si>
    <t>€322.33</t>
  </si>
  <si>
    <t>€10.66</t>
  </si>
  <si>
    <t>€2.82</t>
  </si>
  <si>
    <t>€311.67</t>
  </si>
  <si>
    <t>€349.94</t>
  </si>
  <si>
    <t>€11.24</t>
  </si>
  <si>
    <t>€2.98</t>
  </si>
  <si>
    <t>€338.70</t>
  </si>
  <si>
    <t>€379.84</t>
  </si>
  <si>
    <t>€11.84</t>
  </si>
  <si>
    <t>€3.14</t>
  </si>
  <si>
    <t>€368.00</t>
  </si>
  <si>
    <t>€412.20</t>
  </si>
  <si>
    <t>€12.46</t>
  </si>
  <si>
    <t>€3.31</t>
  </si>
  <si>
    <t>€399.74</t>
  </si>
  <si>
    <t>€447.20</t>
  </si>
  <si>
    <t>€13.10</t>
  </si>
  <si>
    <t>€3.49</t>
  </si>
  <si>
    <t>€434.10</t>
  </si>
  <si>
    <t>€485.05</t>
  </si>
  <si>
    <t>€13.76</t>
  </si>
  <si>
    <t>€3.67</t>
  </si>
  <si>
    <t>€471.29</t>
  </si>
  <si>
    <t>€526.00</t>
  </si>
  <si>
    <t>€14.44</t>
  </si>
  <si>
    <t>€3.85</t>
  </si>
  <si>
    <t>€511.56</t>
  </si>
  <si>
    <t>€570.31</t>
  </si>
  <si>
    <t>€15.15</t>
  </si>
  <si>
    <t>€4.04</t>
  </si>
  <si>
    <t>€555.16</t>
  </si>
  <si>
    <t>€618.25</t>
  </si>
  <si>
    <t>€15.88</t>
  </si>
  <si>
    <t>€4.24</t>
  </si>
  <si>
    <t>€602.37</t>
  </si>
  <si>
    <t>€670.10</t>
  </si>
  <si>
    <t>€16.63</t>
  </si>
  <si>
    <t>€4.44</t>
  </si>
  <si>
    <t>€653.47</t>
  </si>
  <si>
    <t>€726.18</t>
  </si>
  <si>
    <t>€17.40</t>
  </si>
  <si>
    <t>€4.65</t>
  </si>
  <si>
    <t>€708.76</t>
  </si>
  <si>
    <t>€786.83</t>
  </si>
  <si>
    <t>€18.20</t>
  </si>
  <si>
    <t>€4.87</t>
  </si>
  <si>
    <t>€768.63</t>
  </si>
  <si>
    <t>€852.41</t>
  </si>
  <si>
    <t>€19.02</t>
  </si>
  <si>
    <t>€5.09</t>
  </si>
  <si>
    <t>€833.99</t>
  </si>
  <si>
    <t>€923.29</t>
  </si>
  <si>
    <t>€19.87</t>
  </si>
  <si>
    <t>€5.32</t>
  </si>
  <si>
    <t>€905.42</t>
  </si>
  <si>
    <t>€999.87</t>
  </si>
  <si>
    <t>€20.74</t>
  </si>
  <si>
    <t>€5.56</t>
  </si>
  <si>
    <t>€983.13</t>
  </si>
  <si>
    <t>€1,082.58</t>
  </si>
  <si>
    <t>€21.63</t>
  </si>
  <si>
    <t>€5.81</t>
  </si>
  <si>
    <t>€1,067.95</t>
  </si>
  <si>
    <t>wisdomtree</t>
  </si>
  <si>
    <t>V39+V39*($H$2-$H$3)*3/12-M40/4</t>
  </si>
  <si>
    <t>U40+U40*($H$2-$H$3)*3/12-M40/4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</si>
</sst>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9C6500"/>
      <name val="Calibri"/>
      <family val="2"/>
      <scheme val="minor"/>
    </font>
    <font>
      <b/>
      <i/>
      <sz val="11"/>
      <color rgb="FF00B0F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sz val="11"/>
      <color rgb="FF324148"/>
      <name val="Segoe UI"/>
      <family val="2"/>
    </font>
    <font>
      <sz val="11"/>
      <color rgb="FF324148"/>
      <name val="Segoe UI"/>
      <family val="2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23232"/>
      <name val="Arial"/>
      <family val="2"/>
    </font>
    <font>
      <sz val="11"/>
      <color rgb="FF323232"/>
      <name val="Arial"/>
      <family val="2"/>
    </font>
    <font>
      <i/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sz val="9.6"/>
      <color rgb="FF27272A"/>
      <name val="Segoe UI"/>
      <family val="2"/>
    </font>
    <font>
      <sz val="9.6"/>
      <color rgb="FF27272A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99"/>
      </patternFill>
    </fill>
    <fill>
      <patternFill patternType="solid">
        <fgColor rgb="FFFFC7CE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rgb="FFE5E5E5"/>
      </bottom>
      <diagonal/>
    </border>
    <border>
      <left/>
      <right/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E6E7E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8" fillId="0" borderId="0" applyNumberFormat="0" applyFill="0" applyBorder="0" applyAlignment="0" applyProtection="0"/>
    <xf numFmtId="0" fontId="19" fillId="7" borderId="7" applyNumberFormat="0" applyAlignment="0" applyProtection="0"/>
    <xf numFmtId="0" fontId="23" fillId="8" borderId="0" applyNumberFormat="0" applyBorder="0" applyAlignment="0" applyProtection="0"/>
  </cellStyleXfs>
  <cellXfs count="92">
    <xf numFmtId="0" fontId="0" fillId="0" borderId="0" xfId="0"/>
    <xf numFmtId="44" fontId="0" fillId="0" borderId="0" xfId="1" applyFont="1"/>
    <xf numFmtId="9" fontId="0" fillId="0" borderId="0" xfId="0" applyNumberFormat="1"/>
    <xf numFmtId="10" fontId="0" fillId="0" borderId="0" xfId="0" applyNumberFormat="1"/>
    <xf numFmtId="44" fontId="0" fillId="0" borderId="0" xfId="0" applyNumberFormat="1"/>
    <xf numFmtId="10" fontId="0" fillId="0" borderId="0" xfId="2" applyNumberFormat="1" applyFont="1"/>
    <xf numFmtId="0" fontId="6" fillId="0" borderId="0" xfId="0" applyFont="1"/>
    <xf numFmtId="0" fontId="5" fillId="0" borderId="0" xfId="0" applyFont="1"/>
    <xf numFmtId="10" fontId="5" fillId="0" borderId="0" xfId="2" applyNumberFormat="1" applyFont="1"/>
    <xf numFmtId="44" fontId="5" fillId="0" borderId="0" xfId="0" applyNumberFormat="1" applyFont="1"/>
    <xf numFmtId="0" fontId="3" fillId="3" borderId="0" xfId="4"/>
    <xf numFmtId="10" fontId="3" fillId="3" borderId="0" xfId="4" applyNumberFormat="1"/>
    <xf numFmtId="44" fontId="3" fillId="3" borderId="0" xfId="4" applyNumberFormat="1"/>
    <xf numFmtId="0" fontId="2" fillId="2" borderId="0" xfId="3"/>
    <xf numFmtId="0" fontId="2" fillId="2" borderId="0" xfId="3" applyAlignment="1">
      <alignment horizontal="center"/>
    </xf>
    <xf numFmtId="0" fontId="4" fillId="4" borderId="1" xfId="5"/>
    <xf numFmtId="164" fontId="0" fillId="0" borderId="0" xfId="0" applyNumberFormat="1"/>
    <xf numFmtId="0" fontId="0" fillId="5" borderId="0" xfId="0" applyFill="1"/>
    <xf numFmtId="44" fontId="9" fillId="0" borderId="0" xfId="1" applyFont="1"/>
    <xf numFmtId="44" fontId="10" fillId="0" borderId="0" xfId="1" applyFont="1"/>
    <xf numFmtId="10" fontId="10" fillId="0" borderId="0" xfId="2" applyNumberFormat="1" applyFont="1"/>
    <xf numFmtId="44" fontId="10" fillId="0" borderId="0" xfId="0" applyNumberFormat="1" applyFont="1"/>
    <xf numFmtId="0" fontId="3" fillId="3" borderId="0" xfId="4" applyAlignment="1">
      <alignment wrapText="1"/>
    </xf>
    <xf numFmtId="0" fontId="0" fillId="0" borderId="0" xfId="0" applyFill="1"/>
    <xf numFmtId="44" fontId="4" fillId="4" borderId="1" xfId="1" applyFont="1" applyFill="1" applyBorder="1"/>
    <xf numFmtId="2" fontId="0" fillId="0" borderId="0" xfId="1" applyNumberFormat="1" applyFont="1"/>
    <xf numFmtId="44" fontId="6" fillId="0" borderId="0" xfId="1" applyFont="1"/>
    <xf numFmtId="6" fontId="3" fillId="3" borderId="0" xfId="4" applyNumberFormat="1"/>
    <xf numFmtId="0" fontId="3" fillId="3" borderId="1" xfId="4" applyBorder="1"/>
    <xf numFmtId="0" fontId="11" fillId="0" borderId="0" xfId="0" applyFont="1"/>
    <xf numFmtId="9" fontId="11" fillId="0" borderId="0" xfId="0" applyNumberFormat="1" applyFont="1"/>
    <xf numFmtId="44" fontId="11" fillId="0" borderId="0" xfId="1" applyFont="1"/>
    <xf numFmtId="0" fontId="12" fillId="0" borderId="0" xfId="0" applyFont="1"/>
    <xf numFmtId="0" fontId="13" fillId="3" borderId="0" xfId="4" applyFont="1"/>
    <xf numFmtId="0" fontId="14" fillId="0" borderId="0" xfId="0" applyFont="1"/>
    <xf numFmtId="44" fontId="14" fillId="0" borderId="0" xfId="1" applyFont="1"/>
    <xf numFmtId="44" fontId="8" fillId="0" borderId="0" xfId="0" applyNumberFormat="1" applyFont="1"/>
    <xf numFmtId="44" fontId="15" fillId="3" borderId="0" xfId="4" applyNumberFormat="1" applyFont="1" applyAlignment="1">
      <alignment horizontal="center" vertical="center"/>
    </xf>
    <xf numFmtId="9" fontId="15" fillId="3" borderId="0" xfId="4" applyNumberFormat="1" applyFont="1" applyAlignment="1">
      <alignment horizontal="center" vertical="center"/>
    </xf>
    <xf numFmtId="0" fontId="0" fillId="0" borderId="0" xfId="0" applyAlignment="1">
      <alignment horizontal="left"/>
    </xf>
    <xf numFmtId="2" fontId="4" fillId="4" borderId="1" xfId="5" applyNumberFormat="1"/>
    <xf numFmtId="44" fontId="4" fillId="4" borderId="1" xfId="5" applyNumberFormat="1"/>
    <xf numFmtId="10" fontId="4" fillId="4" borderId="1" xfId="2" applyNumberFormat="1" applyFont="1" applyFill="1" applyBorder="1"/>
    <xf numFmtId="0" fontId="15" fillId="3" borderId="0" xfId="4" applyFont="1" applyAlignment="1">
      <alignment horizontal="center" vertical="center" wrapText="1"/>
    </xf>
    <xf numFmtId="10" fontId="0" fillId="5" borderId="0" xfId="0" applyNumberFormat="1" applyFill="1"/>
    <xf numFmtId="164" fontId="0" fillId="5" borderId="0" xfId="0" applyNumberFormat="1" applyFill="1"/>
    <xf numFmtId="44" fontId="0" fillId="5" borderId="0" xfId="1" applyFont="1" applyFill="1"/>
    <xf numFmtId="10" fontId="0" fillId="5" borderId="0" xfId="2" applyNumberFormat="1" applyFont="1" applyFill="1"/>
    <xf numFmtId="10" fontId="0" fillId="0" borderId="0" xfId="1" applyNumberFormat="1" applyFont="1"/>
    <xf numFmtId="44" fontId="0" fillId="0" borderId="0" xfId="1" applyNumberFormat="1" applyFont="1"/>
    <xf numFmtId="0" fontId="16" fillId="6" borderId="5" xfId="0" applyFont="1" applyFill="1" applyBorder="1" applyAlignment="1">
      <alignment horizontal="center" vertical="center"/>
    </xf>
    <xf numFmtId="0" fontId="0" fillId="0" borderId="0" xfId="0" applyAlignment="1"/>
    <xf numFmtId="0" fontId="16" fillId="6" borderId="5" xfId="0" applyFont="1" applyFill="1" applyBorder="1" applyAlignment="1">
      <alignment horizontal="right" vertical="center"/>
    </xf>
    <xf numFmtId="0" fontId="17" fillId="6" borderId="6" xfId="0" applyFont="1" applyFill="1" applyBorder="1" applyAlignment="1">
      <alignment vertical="center"/>
    </xf>
    <xf numFmtId="0" fontId="17" fillId="6" borderId="6" xfId="0" applyFont="1" applyFill="1" applyBorder="1" applyAlignment="1">
      <alignment horizontal="center" vertical="center"/>
    </xf>
    <xf numFmtId="0" fontId="17" fillId="6" borderId="6" xfId="0" applyFont="1" applyFill="1" applyBorder="1" applyAlignment="1">
      <alignment horizontal="right" vertical="center"/>
    </xf>
    <xf numFmtId="0" fontId="17" fillId="6" borderId="0" xfId="0" applyFont="1" applyFill="1" applyAlignment="1">
      <alignment vertical="center"/>
    </xf>
    <xf numFmtId="0" fontId="17" fillId="6" borderId="0" xfId="0" applyFont="1" applyFill="1" applyAlignment="1">
      <alignment horizontal="right" vertical="center"/>
    </xf>
    <xf numFmtId="0" fontId="17" fillId="6" borderId="0" xfId="0" applyFont="1" applyFill="1" applyAlignment="1">
      <alignment horizontal="center" vertical="center"/>
    </xf>
    <xf numFmtId="9" fontId="0" fillId="0" borderId="0" xfId="2" applyFont="1" applyAlignment="1"/>
    <xf numFmtId="10" fontId="0" fillId="0" borderId="0" xfId="2" applyNumberFormat="1" applyFont="1" applyAlignment="1"/>
    <xf numFmtId="44" fontId="18" fillId="0" borderId="0" xfId="6" applyNumberFormat="1"/>
    <xf numFmtId="15" fontId="21" fillId="6" borderId="8" xfId="0" applyNumberFormat="1" applyFont="1" applyFill="1" applyBorder="1" applyAlignment="1">
      <alignment vertical="center"/>
    </xf>
    <xf numFmtId="17" fontId="0" fillId="0" borderId="0" xfId="2" applyNumberFormat="1" applyFont="1" applyAlignment="1"/>
    <xf numFmtId="6" fontId="0" fillId="0" borderId="0" xfId="2" applyNumberFormat="1" applyFont="1" applyAlignment="1"/>
    <xf numFmtId="44" fontId="21" fillId="6" borderId="8" xfId="1" applyFont="1" applyFill="1" applyBorder="1" applyAlignment="1">
      <alignment vertical="center"/>
    </xf>
    <xf numFmtId="44" fontId="0" fillId="0" borderId="0" xfId="1" applyFont="1" applyAlignment="1"/>
    <xf numFmtId="14" fontId="21" fillId="6" borderId="8" xfId="0" applyNumberFormat="1" applyFont="1" applyFill="1" applyBorder="1" applyAlignment="1">
      <alignment horizontal="left" vertical="center"/>
    </xf>
    <xf numFmtId="0" fontId="4" fillId="4" borderId="1" xfId="5" applyAlignment="1">
      <alignment horizontal="center"/>
    </xf>
    <xf numFmtId="0" fontId="22" fillId="7" borderId="7" xfId="7" applyFont="1"/>
    <xf numFmtId="44" fontId="24" fillId="0" borderId="0" xfId="1" applyFont="1"/>
    <xf numFmtId="2" fontId="0" fillId="0" borderId="0" xfId="0" applyNumberFormat="1"/>
    <xf numFmtId="2" fontId="2" fillId="2" borderId="0" xfId="3" applyNumberFormat="1"/>
    <xf numFmtId="2" fontId="11" fillId="0" borderId="0" xfId="0" applyNumberFormat="1" applyFont="1"/>
    <xf numFmtId="2" fontId="6" fillId="0" borderId="0" xfId="1" applyNumberFormat="1" applyFont="1" applyAlignment="1">
      <alignment horizontal="center"/>
    </xf>
    <xf numFmtId="1" fontId="0" fillId="0" borderId="0" xfId="2" applyNumberFormat="1" applyFont="1"/>
    <xf numFmtId="2" fontId="23" fillId="8" borderId="0" xfId="8" applyNumberFormat="1"/>
    <xf numFmtId="44" fontId="23" fillId="8" borderId="0" xfId="8" applyNumberFormat="1"/>
    <xf numFmtId="1" fontId="23" fillId="8" borderId="0" xfId="8" applyNumberFormat="1"/>
    <xf numFmtId="0" fontId="26" fillId="6" borderId="9" xfId="0" applyFont="1" applyFill="1" applyBorder="1" applyAlignment="1">
      <alignment vertical="center" wrapText="1"/>
    </xf>
    <xf numFmtId="0" fontId="25" fillId="6" borderId="10" xfId="0" applyFont="1" applyFill="1" applyBorder="1" applyAlignment="1">
      <alignment horizontal="center"/>
    </xf>
    <xf numFmtId="0" fontId="25" fillId="6" borderId="11" xfId="0" applyFont="1" applyFill="1" applyBorder="1" applyAlignment="1">
      <alignment horizontal="center"/>
    </xf>
    <xf numFmtId="0" fontId="25" fillId="6" borderId="12" xfId="0" applyFont="1" applyFill="1" applyBorder="1" applyAlignment="1">
      <alignment horizontal="center"/>
    </xf>
    <xf numFmtId="0" fontId="2" fillId="2" borderId="0" xfId="3" applyAlignment="1">
      <alignment horizontal="center"/>
    </xf>
    <xf numFmtId="0" fontId="15" fillId="3" borderId="0" xfId="4" applyFont="1" applyAlignment="1">
      <alignment horizontal="center" vertical="center" wrapText="1"/>
    </xf>
    <xf numFmtId="0" fontId="20" fillId="6" borderId="0" xfId="0" applyFont="1" applyFill="1" applyAlignment="1">
      <alignment horizontal="left" vertical="center" wrapText="1"/>
    </xf>
    <xf numFmtId="0" fontId="20" fillId="6" borderId="0" xfId="0" applyFont="1" applyFill="1" applyAlignment="1">
      <alignment horizontal="center" vertical="center" wrapText="1"/>
    </xf>
    <xf numFmtId="0" fontId="7" fillId="2" borderId="0" xfId="3" applyFont="1" applyAlignment="1">
      <alignment horizontal="center"/>
    </xf>
    <xf numFmtId="0" fontId="4" fillId="4" borderId="2" xfId="5" applyBorder="1" applyAlignment="1">
      <alignment horizontal="center"/>
    </xf>
    <xf numFmtId="0" fontId="4" fillId="4" borderId="3" xfId="5" applyBorder="1" applyAlignment="1">
      <alignment horizontal="center"/>
    </xf>
    <xf numFmtId="0" fontId="4" fillId="4" borderId="4" xfId="5" applyBorder="1" applyAlignment="1">
      <alignment horizontal="center"/>
    </xf>
    <xf numFmtId="0" fontId="4" fillId="4" borderId="0" xfId="5" applyBorder="1" applyAlignment="1">
      <alignment horizontal="center"/>
    </xf>
  </cellXfs>
  <cellStyles count="9">
    <cellStyle name="Ausgabe" xfId="5" builtinId="21"/>
    <cellStyle name="Eingabe" xfId="7" builtinId="20"/>
    <cellStyle name="Gut" xfId="3" builtinId="26"/>
    <cellStyle name="Link" xfId="6" builtinId="8"/>
    <cellStyle name="Neutral" xfId="4" builtinId="28"/>
    <cellStyle name="Prozent" xfId="2" builtinId="5"/>
    <cellStyle name="Schlecht" xfId="8" builtinId="27"/>
    <cellStyle name="Standard" xfId="0" builtinId="0"/>
    <cellStyle name="Währung" xfId="1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tabSelected="1" topLeftCell="F1" zoomScale="85" zoomScaleNormal="85" workbookViewId="0">
      <selection activeCell="S13" sqref="S13"/>
    </sheetView>
  </sheetViews>
  <sheetFormatPr baseColWidth="10" defaultRowHeight="15" x14ac:dyDescent="0.25"/>
  <cols>
    <col min="1" max="1" width="4.5703125" bestFit="1" customWidth="1"/>
    <col min="2" max="2" width="22.85546875" bestFit="1" customWidth="1"/>
    <col min="3" max="3" width="15.140625" style="1" bestFit="1" customWidth="1"/>
    <col min="4" max="4" width="17.28515625" style="1" bestFit="1" customWidth="1"/>
    <col min="5" max="5" width="17.42578125" style="1" customWidth="1"/>
    <col min="6" max="6" width="19" style="1" bestFit="1" customWidth="1"/>
    <col min="7" max="7" width="11.140625" customWidth="1"/>
    <col min="8" max="8" width="14.140625" customWidth="1"/>
    <col min="9" max="9" width="11.28515625" style="10" customWidth="1"/>
    <col min="10" max="10" width="23.140625" bestFit="1" customWidth="1"/>
    <col min="11" max="11" width="19.42578125" bestFit="1" customWidth="1"/>
    <col min="12" max="12" width="13.5703125" bestFit="1" customWidth="1"/>
    <col min="13" max="13" width="25.42578125" bestFit="1" customWidth="1"/>
    <col min="14" max="14" width="19" bestFit="1" customWidth="1"/>
    <col min="15" max="15" width="34.42578125" customWidth="1"/>
    <col min="16" max="16" width="12.28515625" bestFit="1" customWidth="1"/>
    <col min="17" max="17" width="10.85546875" style="71" bestFit="1" customWidth="1"/>
    <col min="18" max="18" width="10.85546875" style="71" customWidth="1"/>
    <col min="20" max="20" width="15.7109375" bestFit="1" customWidth="1"/>
  </cols>
  <sheetData>
    <row r="1" spans="1:22" x14ac:dyDescent="0.25">
      <c r="C1" s="17" t="s">
        <v>21</v>
      </c>
      <c r="D1" s="23" t="s">
        <v>6</v>
      </c>
      <c r="E1" s="23" t="s">
        <v>85</v>
      </c>
      <c r="F1"/>
      <c r="H1" s="17" t="s">
        <v>21</v>
      </c>
      <c r="I1" t="s">
        <v>5</v>
      </c>
      <c r="J1" t="s">
        <v>20</v>
      </c>
      <c r="K1" t="s">
        <v>22</v>
      </c>
      <c r="L1" t="s">
        <v>255</v>
      </c>
    </row>
    <row r="2" spans="1:22" x14ac:dyDescent="0.25">
      <c r="B2" s="7" t="s">
        <v>1</v>
      </c>
      <c r="C2" s="47">
        <v>0.12</v>
      </c>
      <c r="D2" s="3">
        <v>0.1017</v>
      </c>
      <c r="E2" s="3">
        <v>0.10340000000000001</v>
      </c>
      <c r="F2" s="3"/>
      <c r="H2" s="44">
        <v>8.9399999999999993E-2</v>
      </c>
      <c r="I2" s="3">
        <v>8.9399999999999993E-2</v>
      </c>
      <c r="J2" s="3">
        <v>6.4199999999999993E-2</v>
      </c>
      <c r="K2" s="3">
        <v>9.2999999999999999E-2</v>
      </c>
      <c r="L2" s="3">
        <v>0.11230000000000001</v>
      </c>
    </row>
    <row r="3" spans="1:22" x14ac:dyDescent="0.25">
      <c r="B3" s="7" t="s">
        <v>0</v>
      </c>
      <c r="C3" s="44">
        <v>2.0500000000000001E-2</v>
      </c>
      <c r="D3" s="3">
        <f>(1.67+1.98+1.76+2.47+2.27+2.17)/6/100</f>
        <v>2.0533333333333334E-2</v>
      </c>
      <c r="E3" s="3">
        <f>(1.71+1.93+1.71+2.45+2.24)/5/100</f>
        <v>2.0080000000000001E-2</v>
      </c>
      <c r="F3" s="3"/>
      <c r="H3" s="44">
        <v>4.6399999999999997E-2</v>
      </c>
      <c r="I3" s="3">
        <v>4.6399999999999997E-2</v>
      </c>
      <c r="J3">
        <f>(4.55+3.92+3.54+4.78+3.6)/5</f>
        <v>4.0780000000000003</v>
      </c>
      <c r="K3" s="5">
        <f>(2.15+2.92+2.36+2.53+2.35)/5/100</f>
        <v>2.4619999999999996E-2</v>
      </c>
      <c r="L3" s="5">
        <f>(2.21+2.13+1.61)/3/100</f>
        <v>1.9833333333333335E-2</v>
      </c>
      <c r="M3" s="3"/>
    </row>
    <row r="4" spans="1:22" x14ac:dyDescent="0.25">
      <c r="B4" s="7" t="s">
        <v>2</v>
      </c>
      <c r="C4" s="44">
        <v>5.6399999999999999E-2</v>
      </c>
      <c r="D4" s="3">
        <v>5.6399999999999999E-2</v>
      </c>
      <c r="E4" s="3">
        <v>5.5899999999999998E-2</v>
      </c>
      <c r="F4" s="3"/>
      <c r="H4" s="44">
        <v>6.6600000000000006E-2</v>
      </c>
      <c r="I4" s="3">
        <v>6.6600000000000006E-2</v>
      </c>
      <c r="J4" s="3">
        <v>6.1600000000000002E-2</v>
      </c>
      <c r="K4" s="3">
        <v>7.2000000000000008E-2</v>
      </c>
      <c r="L4" s="3">
        <v>0.14230000000000001</v>
      </c>
    </row>
    <row r="5" spans="1:22" x14ac:dyDescent="0.25">
      <c r="B5" s="7" t="s">
        <v>4</v>
      </c>
      <c r="C5" s="45">
        <v>100</v>
      </c>
      <c r="D5"/>
      <c r="E5"/>
      <c r="F5"/>
      <c r="H5" s="45">
        <v>100</v>
      </c>
      <c r="I5"/>
    </row>
    <row r="6" spans="1:22" x14ac:dyDescent="0.25">
      <c r="B6" s="7" t="s">
        <v>23</v>
      </c>
      <c r="C6" s="46">
        <v>100</v>
      </c>
      <c r="D6"/>
      <c r="E6"/>
      <c r="F6"/>
      <c r="H6" s="46">
        <v>100</v>
      </c>
      <c r="I6" s="84" t="s">
        <v>12</v>
      </c>
    </row>
    <row r="7" spans="1:22" x14ac:dyDescent="0.25">
      <c r="B7" s="7" t="s">
        <v>87</v>
      </c>
      <c r="C7" s="46">
        <f>C6*C3</f>
        <v>2.0500000000000003</v>
      </c>
      <c r="D7"/>
      <c r="E7"/>
      <c r="F7"/>
      <c r="H7" s="46">
        <f>H6*H3</f>
        <v>4.6399999999999997</v>
      </c>
      <c r="I7" s="84"/>
      <c r="J7" s="68" t="s">
        <v>64</v>
      </c>
      <c r="K7" s="68" t="s">
        <v>65</v>
      </c>
      <c r="L7" s="68" t="s">
        <v>66</v>
      </c>
      <c r="M7" s="68" t="s">
        <v>67</v>
      </c>
      <c r="N7" s="68" t="s">
        <v>68</v>
      </c>
      <c r="O7" s="68" t="s">
        <v>69</v>
      </c>
      <c r="P7" s="68" t="s">
        <v>70</v>
      </c>
      <c r="S7" s="91" t="s">
        <v>73</v>
      </c>
      <c r="T7" s="91" t="s">
        <v>74</v>
      </c>
      <c r="U7" s="91" t="s">
        <v>75</v>
      </c>
      <c r="V7" s="91" t="s">
        <v>76</v>
      </c>
    </row>
    <row r="8" spans="1:22" s="13" customFormat="1" x14ac:dyDescent="0.25">
      <c r="A8"/>
      <c r="B8" s="83" t="s">
        <v>31</v>
      </c>
      <c r="C8" s="83"/>
      <c r="D8" s="83"/>
      <c r="E8" s="83"/>
      <c r="F8" s="83"/>
      <c r="G8" s="83"/>
      <c r="H8" s="83"/>
      <c r="I8" s="84"/>
      <c r="J8" s="83" t="s">
        <v>47</v>
      </c>
      <c r="K8" s="83"/>
      <c r="L8" s="83"/>
      <c r="M8" s="83"/>
      <c r="N8" s="83"/>
      <c r="O8" s="83"/>
      <c r="P8" s="83"/>
      <c r="Q8" s="72"/>
      <c r="R8" s="72"/>
    </row>
    <row r="9" spans="1:22" x14ac:dyDescent="0.25">
      <c r="B9" s="6" t="s">
        <v>24</v>
      </c>
      <c r="C9" s="26" t="s">
        <v>25</v>
      </c>
      <c r="D9" s="26" t="s">
        <v>30</v>
      </c>
      <c r="E9" s="26" t="s">
        <v>28</v>
      </c>
      <c r="F9" s="26" t="s">
        <v>29</v>
      </c>
      <c r="G9" s="6" t="s">
        <v>26</v>
      </c>
      <c r="H9" s="6" t="s">
        <v>27</v>
      </c>
      <c r="I9" s="37">
        <v>2000</v>
      </c>
      <c r="J9" s="6" t="s">
        <v>24</v>
      </c>
      <c r="K9" s="26" t="s">
        <v>25</v>
      </c>
      <c r="L9" s="26" t="s">
        <v>30</v>
      </c>
      <c r="M9" s="26" t="s">
        <v>28</v>
      </c>
      <c r="N9" s="26" t="s">
        <v>29</v>
      </c>
      <c r="O9" s="6" t="s">
        <v>26</v>
      </c>
      <c r="P9" s="6" t="s">
        <v>27</v>
      </c>
      <c r="Q9" s="74" t="s">
        <v>3</v>
      </c>
      <c r="R9" s="74"/>
    </row>
    <row r="10" spans="1:22" s="29" customFormat="1" x14ac:dyDescent="0.25">
      <c r="A10" s="7" t="s">
        <v>3</v>
      </c>
      <c r="B10" s="30"/>
      <c r="C10" s="31"/>
      <c r="D10" s="31"/>
      <c r="E10" s="31"/>
      <c r="F10" s="31"/>
      <c r="I10" s="43"/>
      <c r="K10" s="29" t="s">
        <v>115</v>
      </c>
      <c r="P10" s="29" t="s">
        <v>116</v>
      </c>
      <c r="Q10" s="73"/>
      <c r="R10" s="73"/>
      <c r="S10" s="29">
        <v>3</v>
      </c>
      <c r="T10" s="29">
        <v>6</v>
      </c>
      <c r="U10" s="29">
        <v>9</v>
      </c>
      <c r="V10" s="29">
        <v>12</v>
      </c>
    </row>
    <row r="11" spans="1:22" x14ac:dyDescent="0.25">
      <c r="A11" s="39">
        <v>1</v>
      </c>
      <c r="B11" s="25">
        <f>C5/C6</f>
        <v>1</v>
      </c>
      <c r="C11" s="1">
        <f>C6</f>
        <v>100</v>
      </c>
      <c r="D11" s="1">
        <f>B11*C11</f>
        <v>100</v>
      </c>
      <c r="E11" s="1">
        <f>C7</f>
        <v>2.0500000000000003</v>
      </c>
      <c r="F11" s="1">
        <f t="shared" ref="F11:F30" si="0">E11*B11</f>
        <v>2.0500000000000003</v>
      </c>
      <c r="G11" s="1">
        <f t="shared" ref="G11:G30" si="1">IF(F11&lt;$I$9,0,(F11-$I$9)*0.26375)</f>
        <v>0</v>
      </c>
      <c r="H11" s="4">
        <f>C11-E11</f>
        <v>97.95</v>
      </c>
      <c r="I11" s="38">
        <v>0.7</v>
      </c>
      <c r="J11" s="25">
        <f>C5/C6</f>
        <v>1</v>
      </c>
      <c r="K11" s="1">
        <f>C6</f>
        <v>100</v>
      </c>
      <c r="L11" s="1">
        <f>J11*K11</f>
        <v>100</v>
      </c>
      <c r="M11" s="1">
        <f>$H$7</f>
        <v>4.6399999999999997</v>
      </c>
      <c r="N11" s="1">
        <f>M11*J11</f>
        <v>4.6399999999999997</v>
      </c>
      <c r="O11" s="1">
        <f t="shared" ref="O11:O30" si="2">IF(N11&lt;$I$9,0,(N11-$I$9)*0.26375)</f>
        <v>0</v>
      </c>
      <c r="P11" s="4">
        <f>K11-M11</f>
        <v>95.36</v>
      </c>
      <c r="Q11" s="75">
        <v>1</v>
      </c>
      <c r="R11" s="75"/>
      <c r="S11" s="4">
        <f>K11+K11*($H$2-$H$3)*3/12-M11/4</f>
        <v>99.915000000000006</v>
      </c>
      <c r="T11" s="4">
        <f>S11+S11*($H$2-$H$3)*3/12-M11/4</f>
        <v>99.829086250000003</v>
      </c>
      <c r="U11" s="4">
        <f>T11+T11*($H$2-$H$3)*3/12-M11/4</f>
        <v>99.742248927187504</v>
      </c>
      <c r="V11" s="4">
        <f>U11+U11*($H$2-$H$3)*3/12-M11/4</f>
        <v>99.654478103154773</v>
      </c>
    </row>
    <row r="12" spans="1:22" x14ac:dyDescent="0.25">
      <c r="A12" s="39">
        <v>2</v>
      </c>
      <c r="B12" s="25">
        <f>B11+(F11-G11)/H11</f>
        <v>1.0209290454313424</v>
      </c>
      <c r="C12" s="1">
        <f>H11*(1+$C$2)</f>
        <v>109.70400000000001</v>
      </c>
      <c r="D12" s="1">
        <f t="shared" ref="D12:D30" si="3">B12*C12</f>
        <v>112</v>
      </c>
      <c r="E12" s="1">
        <f>$C$7*(1+$C$4)^(A12-1)</f>
        <v>2.1656200000000001</v>
      </c>
      <c r="F12" s="1">
        <f t="shared" si="0"/>
        <v>2.2109443593670237</v>
      </c>
      <c r="G12" s="1">
        <f t="shared" si="1"/>
        <v>0</v>
      </c>
      <c r="H12" s="4">
        <f>C12-E12</f>
        <v>107.53838</v>
      </c>
      <c r="J12" s="25">
        <f>J11+(N11-O11)/P11</f>
        <v>1.0486577181208054</v>
      </c>
      <c r="K12" s="1">
        <f>P11*(1+$H$2)</f>
        <v>103.885184</v>
      </c>
      <c r="L12" s="1">
        <f t="shared" ref="L12:L30" si="4">J12*K12</f>
        <v>108.94</v>
      </c>
      <c r="M12" s="1">
        <f>$H$7*(1+$H$4)^(A12-1)</f>
        <v>4.9490239999999996</v>
      </c>
      <c r="N12" s="1">
        <f>M12*J12</f>
        <v>5.1898322147651008</v>
      </c>
      <c r="O12" s="1">
        <f t="shared" si="2"/>
        <v>0</v>
      </c>
      <c r="P12" s="4">
        <f>K12-M12</f>
        <v>98.936160000000001</v>
      </c>
      <c r="Q12" s="75">
        <v>2</v>
      </c>
      <c r="R12" s="75"/>
      <c r="S12" s="4">
        <f>V11+V11*($H$2-$H$3)*3/12-M12/4</f>
        <v>99.488507742763687</v>
      </c>
      <c r="T12" s="4">
        <f>S12+S12*($H$2-$H$3)*3/12-M12/4</f>
        <v>99.320753200998396</v>
      </c>
      <c r="U12" s="4">
        <f>T12+T12*($H$2-$H$3)*3/12-M12/4</f>
        <v>99.151195297909126</v>
      </c>
      <c r="V12" s="4">
        <f>U12+U12*($H$2-$H$3)*3/12-M12/4</f>
        <v>98.97981464736165</v>
      </c>
    </row>
    <row r="13" spans="1:22" x14ac:dyDescent="0.25">
      <c r="A13" s="39">
        <v>3</v>
      </c>
      <c r="B13" s="25">
        <f>B12+(F12-G12)/H12</f>
        <v>1.0414886294548977</v>
      </c>
      <c r="C13" s="1">
        <f t="shared" ref="C13:C30" si="5">H12*(1+$C$2)</f>
        <v>120.44298560000001</v>
      </c>
      <c r="D13" s="1">
        <f t="shared" si="3"/>
        <v>125.44</v>
      </c>
      <c r="E13" s="1">
        <f t="shared" ref="E13:E30" si="6">$C$7*(1+$C$4)^(A13-1)</f>
        <v>2.2877609680000002</v>
      </c>
      <c r="F13" s="1">
        <f t="shared" si="0"/>
        <v>2.3826770350827302</v>
      </c>
      <c r="G13" s="1">
        <f t="shared" si="1"/>
        <v>0</v>
      </c>
      <c r="H13" s="4">
        <f>C13-E13</f>
        <v>118.15522463200001</v>
      </c>
      <c r="J13" s="25">
        <f t="shared" ref="J13:J30" si="7">J12+(N12-O12)/P12</f>
        <v>1.1011140921580138</v>
      </c>
      <c r="K13" s="1">
        <f t="shared" ref="K13:K30" si="8">P12*(1+$H$2)</f>
        <v>107.78105270399999</v>
      </c>
      <c r="L13" s="1">
        <f t="shared" si="4"/>
        <v>118.67923599999999</v>
      </c>
      <c r="M13" s="1">
        <f t="shared" ref="M13:M30" si="9">$H$7*(1+$H$4)^(A13-1)</f>
        <v>5.2786289983999994</v>
      </c>
      <c r="N13" s="1">
        <f t="shared" ref="N13:N30" si="10">M13*J13</f>
        <v>5.8123727774121807</v>
      </c>
      <c r="O13" s="1">
        <f t="shared" si="2"/>
        <v>0</v>
      </c>
      <c r="P13" s="4">
        <f t="shared" ref="P13:P29" si="11">K13-M13</f>
        <v>102.50242370559999</v>
      </c>
      <c r="Q13" s="75">
        <v>3</v>
      </c>
      <c r="R13" s="75"/>
      <c r="S13" s="4">
        <f>V12+V12*($H$2-$H$3)*3/12-M13/4</f>
        <v>98.724190405220796</v>
      </c>
      <c r="T13" s="4">
        <f>S13+S13*($H$2-$H$3)*3/12-M13/4</f>
        <v>98.465818202476925</v>
      </c>
      <c r="U13" s="4">
        <f>T13+T13*($H$2-$H$3)*3/12-M13/4</f>
        <v>98.204668498553559</v>
      </c>
      <c r="V13" s="4">
        <f>U13+U13*($H$2-$H$3)*3/12-M13/4</f>
        <v>97.940711435313005</v>
      </c>
    </row>
    <row r="14" spans="1:22" x14ac:dyDescent="0.25">
      <c r="A14" s="39">
        <v>4</v>
      </c>
      <c r="B14" s="25">
        <f t="shared" ref="B14:B30" si="12">B13+(F13-G13)/H13</f>
        <v>1.0616542805507649</v>
      </c>
      <c r="C14" s="1">
        <f t="shared" si="5"/>
        <v>132.33385158784003</v>
      </c>
      <c r="D14" s="1">
        <f t="shared" si="3"/>
        <v>140.49280000000002</v>
      </c>
      <c r="E14" s="1">
        <f t="shared" si="6"/>
        <v>2.4167906865952</v>
      </c>
      <c r="F14" s="1">
        <f t="shared" si="0"/>
        <v>2.5657961776190161</v>
      </c>
      <c r="G14" s="1">
        <f t="shared" si="1"/>
        <v>0</v>
      </c>
      <c r="H14" s="4">
        <f t="shared" ref="H14:H30" si="13">C14-E14</f>
        <v>129.91706090124484</v>
      </c>
      <c r="J14" s="25">
        <f t="shared" si="7"/>
        <v>1.1578188272002412</v>
      </c>
      <c r="K14" s="1">
        <f t="shared" si="8"/>
        <v>111.66614038488062</v>
      </c>
      <c r="L14" s="1">
        <f t="shared" si="4"/>
        <v>129.28915969839997</v>
      </c>
      <c r="M14" s="1">
        <f t="shared" si="9"/>
        <v>5.6301856896934392</v>
      </c>
      <c r="N14" s="1">
        <f t="shared" si="10"/>
        <v>6.5187349921604394</v>
      </c>
      <c r="O14" s="1">
        <f t="shared" si="2"/>
        <v>0</v>
      </c>
      <c r="P14" s="4">
        <f t="shared" si="11"/>
        <v>106.03595469518719</v>
      </c>
      <c r="Q14" s="75">
        <v>4</v>
      </c>
      <c r="R14" s="75"/>
      <c r="S14" s="4">
        <f>V13+V13*($H$2-$H$3)*3/12-M14/4</f>
        <v>97.586027660819255</v>
      </c>
      <c r="T14" s="4">
        <f>S14+S14*($H$2-$H$3)*3/12-M14/4</f>
        <v>97.227531035749692</v>
      </c>
      <c r="U14" s="4">
        <f>T14+T14*($H$2-$H$3)*3/12-M14/4</f>
        <v>96.865180571960636</v>
      </c>
      <c r="V14" s="4">
        <f>U14+U14*($H$2-$H$3)*3/12-M14/4</f>
        <v>96.498934840685848</v>
      </c>
    </row>
    <row r="15" spans="1:22" x14ac:dyDescent="0.25">
      <c r="A15" s="39">
        <v>5</v>
      </c>
      <c r="B15" s="25">
        <f t="shared" si="12"/>
        <v>1.0814037742648306</v>
      </c>
      <c r="C15" s="1">
        <f t="shared" si="5"/>
        <v>145.50710820939423</v>
      </c>
      <c r="D15" s="1">
        <f t="shared" si="3"/>
        <v>157.35193600000005</v>
      </c>
      <c r="E15" s="1">
        <f t="shared" si="6"/>
        <v>2.5530976813191688</v>
      </c>
      <c r="F15" s="1">
        <f t="shared" si="0"/>
        <v>2.7609294686453367</v>
      </c>
      <c r="G15" s="1">
        <f t="shared" si="1"/>
        <v>0</v>
      </c>
      <c r="H15" s="4">
        <f t="shared" si="13"/>
        <v>142.95401052807506</v>
      </c>
      <c r="J15" s="25">
        <f t="shared" si="7"/>
        <v>1.2192954745402809</v>
      </c>
      <c r="K15" s="1">
        <f t="shared" si="8"/>
        <v>115.51556904493691</v>
      </c>
      <c r="L15" s="1">
        <f t="shared" si="4"/>
        <v>140.84761057543693</v>
      </c>
      <c r="M15" s="1">
        <f t="shared" si="9"/>
        <v>6.0051560566270217</v>
      </c>
      <c r="N15" s="1">
        <f t="shared" si="10"/>
        <v>7.3220596037534857</v>
      </c>
      <c r="O15" s="1">
        <f t="shared" si="2"/>
        <v>0</v>
      </c>
      <c r="P15" s="4">
        <f t="shared" si="11"/>
        <v>109.51041298830989</v>
      </c>
      <c r="Q15" s="75">
        <v>5</v>
      </c>
      <c r="R15" s="75"/>
      <c r="S15" s="4">
        <f>V14+V14*($H$2-$H$3)*3/12-M15/4</f>
        <v>96.035009376066469</v>
      </c>
      <c r="T15" s="4">
        <f>S15+S15*($H$2-$H$3)*3/12-M15/4</f>
        <v>95.566096712702432</v>
      </c>
      <c r="U15" s="4">
        <f>T15+T15*($H$2-$H$3)*3/12-M15/4</f>
        <v>95.092143238207228</v>
      </c>
      <c r="V15" s="4">
        <f>U15+U15*($H$2-$H$3)*3/12-M15/4</f>
        <v>94.613094763861199</v>
      </c>
    </row>
    <row r="16" spans="1:22" x14ac:dyDescent="0.25">
      <c r="A16" s="39">
        <v>6</v>
      </c>
      <c r="B16" s="25">
        <f t="shared" si="12"/>
        <v>1.1007171846297892</v>
      </c>
      <c r="C16" s="1">
        <f t="shared" si="5"/>
        <v>160.1084917914441</v>
      </c>
      <c r="D16" s="1">
        <f t="shared" si="3"/>
        <v>176.23416832000007</v>
      </c>
      <c r="E16" s="1">
        <f t="shared" si="6"/>
        <v>2.6970923905455702</v>
      </c>
      <c r="F16" s="1">
        <f t="shared" si="0"/>
        <v>2.968735942807748</v>
      </c>
      <c r="G16" s="1">
        <f t="shared" si="1"/>
        <v>0</v>
      </c>
      <c r="H16" s="4">
        <f t="shared" si="13"/>
        <v>157.41139940089852</v>
      </c>
      <c r="J16" s="25">
        <f t="shared" si="7"/>
        <v>1.2861572405034418</v>
      </c>
      <c r="K16" s="1">
        <f t="shared" si="8"/>
        <v>119.3006439094648</v>
      </c>
      <c r="L16" s="1">
        <f t="shared" si="4"/>
        <v>153.439386960881</v>
      </c>
      <c r="M16" s="1">
        <f t="shared" si="9"/>
        <v>6.4050994499983815</v>
      </c>
      <c r="N16" s="1">
        <f t="shared" si="10"/>
        <v>8.2379650337600321</v>
      </c>
      <c r="O16" s="1">
        <f t="shared" si="2"/>
        <v>0</v>
      </c>
      <c r="P16" s="4">
        <f t="shared" si="11"/>
        <v>112.89554445946641</v>
      </c>
      <c r="Q16" s="75">
        <v>6</v>
      </c>
      <c r="R16" s="75"/>
      <c r="S16" s="4">
        <f>V15+V15*($H$2-$H$3)*3/12-M16/4</f>
        <v>94.028910670073117</v>
      </c>
      <c r="T16" s="4">
        <f>S16+S16*($H$2-$H$3)*3/12-M16/4</f>
        <v>93.438446597276808</v>
      </c>
      <c r="U16" s="4">
        <f>T16+T16*($H$2-$H$3)*3/12-M16/4</f>
        <v>92.841635035697934</v>
      </c>
      <c r="V16" s="4">
        <f>U16+U16*($H$2-$H$3)*3/12-M16/4</f>
        <v>92.238407749832092</v>
      </c>
    </row>
    <row r="17" spans="1:22" x14ac:dyDescent="0.25">
      <c r="A17" s="39">
        <v>7</v>
      </c>
      <c r="B17" s="25">
        <f t="shared" si="12"/>
        <v>1.1195769111432858</v>
      </c>
      <c r="C17" s="1">
        <f t="shared" si="5"/>
        <v>176.30076732900636</v>
      </c>
      <c r="D17" s="1">
        <f t="shared" si="3"/>
        <v>197.38226851840005</v>
      </c>
      <c r="E17" s="1">
        <f t="shared" si="6"/>
        <v>2.8492084013723402</v>
      </c>
      <c r="F17" s="1">
        <f t="shared" si="0"/>
        <v>3.1899079412119442</v>
      </c>
      <c r="G17" s="1">
        <f t="shared" si="1"/>
        <v>0</v>
      </c>
      <c r="H17" s="4">
        <f t="shared" si="13"/>
        <v>173.45155892763401</v>
      </c>
      <c r="J17" s="25">
        <f t="shared" si="7"/>
        <v>1.3591270381442846</v>
      </c>
      <c r="K17" s="1">
        <f t="shared" si="8"/>
        <v>122.98840613414269</v>
      </c>
      <c r="L17" s="1">
        <f t="shared" si="4"/>
        <v>167.15686815518373</v>
      </c>
      <c r="M17" s="1">
        <f t="shared" si="9"/>
        <v>6.8316790733682735</v>
      </c>
      <c r="N17" s="1">
        <f t="shared" si="10"/>
        <v>9.2851197445393119</v>
      </c>
      <c r="O17" s="1">
        <f t="shared" si="2"/>
        <v>0</v>
      </c>
      <c r="P17" s="4">
        <f t="shared" si="11"/>
        <v>116.15672706077441</v>
      </c>
      <c r="Q17" s="75">
        <v>7</v>
      </c>
      <c r="R17" s="75"/>
      <c r="S17" s="4">
        <f>V16+V16*($H$2-$H$3)*3/12-M17/4</f>
        <v>91.522050864800718</v>
      </c>
      <c r="T17" s="4">
        <f>S17+S17*($H$2-$H$3)*3/12-M17/4</f>
        <v>90.797993143255255</v>
      </c>
      <c r="U17" s="4">
        <f>T17+T17*($H$2-$H$3)*3/12-M17/4</f>
        <v>90.066151801203176</v>
      </c>
      <c r="V17" s="4">
        <f>U17+U17*($H$2-$H$3)*3/12-M17/4</f>
        <v>89.32644316472404</v>
      </c>
    </row>
    <row r="18" spans="1:22" x14ac:dyDescent="0.25">
      <c r="A18" s="39">
        <v>8</v>
      </c>
      <c r="B18" s="25">
        <f>B17+(F17-G17)/H17</f>
        <v>1.1379676823818585</v>
      </c>
      <c r="C18" s="1">
        <f t="shared" si="5"/>
        <v>194.26574599895011</v>
      </c>
      <c r="D18" s="1">
        <f t="shared" si="3"/>
        <v>221.06814074060807</v>
      </c>
      <c r="E18" s="1">
        <f t="shared" si="6"/>
        <v>3.0099037552097401</v>
      </c>
      <c r="F18" s="1">
        <f t="shared" si="0"/>
        <v>3.425173200508481</v>
      </c>
      <c r="G18" s="1">
        <f t="shared" si="1"/>
        <v>0</v>
      </c>
      <c r="H18" s="4">
        <f t="shared" si="13"/>
        <v>191.25584224374037</v>
      </c>
      <c r="J18" s="25">
        <f>J17+(N17-O17)/P17</f>
        <v>1.4390631725334813</v>
      </c>
      <c r="K18" s="1">
        <f t="shared" si="8"/>
        <v>126.54113846000764</v>
      </c>
      <c r="L18" s="1">
        <f t="shared" si="4"/>
        <v>182.10069216825713</v>
      </c>
      <c r="M18" s="1">
        <f t="shared" si="9"/>
        <v>7.2866688996546003</v>
      </c>
      <c r="N18" s="1">
        <f t="shared" si="10"/>
        <v>10.485976863937999</v>
      </c>
      <c r="O18" s="1">
        <f t="shared" si="2"/>
        <v>0</v>
      </c>
      <c r="P18" s="4">
        <f t="shared" si="11"/>
        <v>119.25446956035304</v>
      </c>
      <c r="Q18" s="75">
        <v>8</v>
      </c>
      <c r="R18" s="75"/>
      <c r="S18" s="4">
        <f>V17+V17*($H$2-$H$3)*3/12-M18/4</f>
        <v>88.465035203831164</v>
      </c>
      <c r="T18" s="4">
        <f>S18+S18*($H$2-$H$3)*3/12-M18/4</f>
        <v>87.594367107358693</v>
      </c>
      <c r="U18" s="4">
        <f>T18+T18*($H$2-$H$3)*3/12-M18/4</f>
        <v>86.71433932884915</v>
      </c>
      <c r="V18" s="4">
        <f>U18+U18*($H$2-$H$3)*3/12-M18/4</f>
        <v>85.824851251720631</v>
      </c>
    </row>
    <row r="19" spans="1:22" x14ac:dyDescent="0.25">
      <c r="A19" s="39">
        <v>9</v>
      </c>
      <c r="B19" s="25">
        <f t="shared" si="12"/>
        <v>1.1558765376634836</v>
      </c>
      <c r="C19" s="1">
        <f t="shared" si="5"/>
        <v>214.20654331298925</v>
      </c>
      <c r="D19" s="1">
        <f t="shared" si="3"/>
        <v>247.59631762948106</v>
      </c>
      <c r="E19" s="1">
        <f t="shared" si="6"/>
        <v>3.1796623270035687</v>
      </c>
      <c r="F19" s="1">
        <f t="shared" si="0"/>
        <v>3.6752970814759003</v>
      </c>
      <c r="G19" s="1">
        <f t="shared" si="1"/>
        <v>0</v>
      </c>
      <c r="H19" s="4">
        <f t="shared" si="13"/>
        <v>211.02688098598568</v>
      </c>
      <c r="J19" s="25">
        <f t="shared" si="7"/>
        <v>1.5269925969198033</v>
      </c>
      <c r="K19" s="1">
        <f t="shared" si="8"/>
        <v>129.91581913904861</v>
      </c>
      <c r="L19" s="1">
        <f t="shared" si="4"/>
        <v>198.38049404809931</v>
      </c>
      <c r="M19" s="1">
        <f t="shared" si="9"/>
        <v>7.7719610483715957</v>
      </c>
      <c r="N19" s="1">
        <f t="shared" si="10"/>
        <v>11.867726984412499</v>
      </c>
      <c r="O19" s="1">
        <f t="shared" si="2"/>
        <v>0</v>
      </c>
      <c r="P19" s="4">
        <f t="shared" si="11"/>
        <v>122.14385809067701</v>
      </c>
      <c r="Q19" s="75">
        <v>9</v>
      </c>
      <c r="R19" s="75"/>
      <c r="S19" s="4">
        <f>V18+V18*($H$2-$H$3)*3/12-M19/4</f>
        <v>84.804478140583726</v>
      </c>
      <c r="T19" s="4">
        <f>S19+S19*($H$2-$H$3)*3/12-M19/4</f>
        <v>83.7731360185021</v>
      </c>
      <c r="U19" s="4">
        <f>T19+T19*($H$2-$H$3)*3/12-M19/4</f>
        <v>82.730706968608089</v>
      </c>
      <c r="V19" s="4">
        <f>U19+U19*($H$2-$H$3)*3/12-M19/4</f>
        <v>81.677071806427719</v>
      </c>
    </row>
    <row r="20" spans="1:22" x14ac:dyDescent="0.25">
      <c r="A20" s="39">
        <v>10</v>
      </c>
      <c r="B20" s="25">
        <f t="shared" si="12"/>
        <v>1.1732927884477615</v>
      </c>
      <c r="C20" s="1">
        <f t="shared" si="5"/>
        <v>236.35010670430398</v>
      </c>
      <c r="D20" s="1">
        <f t="shared" si="3"/>
        <v>277.3078757450188</v>
      </c>
      <c r="E20" s="1">
        <f t="shared" si="6"/>
        <v>3.3589952822465698</v>
      </c>
      <c r="F20" s="1">
        <f t="shared" si="0"/>
        <v>3.9410849410899536</v>
      </c>
      <c r="G20" s="1">
        <f t="shared" si="1"/>
        <v>0</v>
      </c>
      <c r="H20" s="4">
        <f t="shared" si="13"/>
        <v>232.9911114220574</v>
      </c>
      <c r="J20" s="25">
        <f t="shared" si="7"/>
        <v>1.6241544777538126</v>
      </c>
      <c r="K20" s="1">
        <f t="shared" si="8"/>
        <v>133.06351900398354</v>
      </c>
      <c r="L20" s="1">
        <f t="shared" si="4"/>
        <v>216.1157102159994</v>
      </c>
      <c r="M20" s="1">
        <f t="shared" si="9"/>
        <v>8.2895736541931431</v>
      </c>
      <c r="N20" s="1">
        <f t="shared" si="10"/>
        <v>13.463548169127828</v>
      </c>
      <c r="O20" s="1">
        <f t="shared" si="2"/>
        <v>0</v>
      </c>
      <c r="P20" s="4">
        <f t="shared" si="11"/>
        <v>124.7739453497904</v>
      </c>
      <c r="Q20" s="75">
        <v>10</v>
      </c>
      <c r="R20" s="75"/>
      <c r="S20" s="4">
        <f>V19+V19*($H$2-$H$3)*3/12-M20/4</f>
        <v>80.482706914798527</v>
      </c>
      <c r="T20" s="4">
        <f>S20+S20*($H$2-$H$3)*3/12-M20/4</f>
        <v>79.275502600584332</v>
      </c>
      <c r="U20" s="4">
        <f>T20+T20*($H$2-$H$3)*3/12-M20/4</f>
        <v>78.055320839992334</v>
      </c>
      <c r="V20" s="4">
        <f>U20+U20*($H$2-$H$3)*3/12-M20/4</f>
        <v>76.822022125473964</v>
      </c>
    </row>
    <row r="21" spans="1:22" x14ac:dyDescent="0.25">
      <c r="A21" s="39">
        <v>11</v>
      </c>
      <c r="B21" s="25">
        <f t="shared" si="12"/>
        <v>1.1902079613787613</v>
      </c>
      <c r="C21" s="1">
        <f t="shared" si="5"/>
        <v>260.95004479270432</v>
      </c>
      <c r="D21" s="1">
        <f t="shared" si="3"/>
        <v>310.58482083442107</v>
      </c>
      <c r="E21" s="1">
        <f t="shared" si="6"/>
        <v>3.5484426161652762</v>
      </c>
      <c r="F21" s="1">
        <f t="shared" si="0"/>
        <v>4.223384652255592</v>
      </c>
      <c r="G21" s="1">
        <f t="shared" si="1"/>
        <v>0</v>
      </c>
      <c r="H21" s="4">
        <f t="shared" si="13"/>
        <v>257.40160217653903</v>
      </c>
      <c r="J21" s="25">
        <f t="shared" si="7"/>
        <v>1.7320579998503867</v>
      </c>
      <c r="K21" s="1">
        <f t="shared" si="8"/>
        <v>135.92873606406164</v>
      </c>
      <c r="L21" s="1">
        <f t="shared" si="4"/>
        <v>235.43645470930971</v>
      </c>
      <c r="M21" s="1">
        <f t="shared" si="9"/>
        <v>8.8416592595624071</v>
      </c>
      <c r="N21" s="1">
        <f t="shared" si="10"/>
        <v>15.314266652476313</v>
      </c>
      <c r="O21" s="1">
        <f t="shared" si="2"/>
        <v>0</v>
      </c>
      <c r="P21" s="4">
        <f t="shared" si="11"/>
        <v>127.08707680449923</v>
      </c>
      <c r="Q21" s="75">
        <v>11</v>
      </c>
      <c r="R21" s="75"/>
      <c r="S21" s="4">
        <f>V20+V20*($H$2-$H$3)*3/12-M21/4</f>
        <v>75.437444048432212</v>
      </c>
      <c r="T21" s="4">
        <f>S21+S21*($H$2-$H$3)*3/12-M21/4</f>
        <v>74.037981757062255</v>
      </c>
      <c r="U21" s="4">
        <f>T21+T21*($H$2-$H$3)*3/12-M21/4</f>
        <v>72.623475246060082</v>
      </c>
      <c r="V21" s="4">
        <f>U21+U21*($H$2-$H$3)*3/12-M21/4</f>
        <v>71.193762790064625</v>
      </c>
    </row>
    <row r="22" spans="1:22" x14ac:dyDescent="0.25">
      <c r="A22" s="39">
        <v>12</v>
      </c>
      <c r="B22" s="25">
        <f t="shared" si="12"/>
        <v>1.2066157250311373</v>
      </c>
      <c r="C22" s="1">
        <f t="shared" si="5"/>
        <v>288.28979443772374</v>
      </c>
      <c r="D22" s="1">
        <f t="shared" si="3"/>
        <v>347.85499933455156</v>
      </c>
      <c r="E22" s="1">
        <f t="shared" si="6"/>
        <v>3.7485747797169977</v>
      </c>
      <c r="F22" s="1">
        <f t="shared" si="0"/>
        <v>4.5230892756616612</v>
      </c>
      <c r="G22" s="1">
        <f t="shared" si="1"/>
        <v>0</v>
      </c>
      <c r="H22" s="4">
        <f t="shared" si="13"/>
        <v>284.54121965800675</v>
      </c>
      <c r="J22" s="25">
        <f t="shared" si="7"/>
        <v>1.8525601550461865</v>
      </c>
      <c r="K22" s="1">
        <f t="shared" si="8"/>
        <v>138.44866147082146</v>
      </c>
      <c r="L22" s="1">
        <f t="shared" si="4"/>
        <v>256.48447376032198</v>
      </c>
      <c r="M22" s="1">
        <f t="shared" si="9"/>
        <v>9.4305137662492626</v>
      </c>
      <c r="N22" s="1">
        <f t="shared" si="10"/>
        <v>17.470594044967932</v>
      </c>
      <c r="O22" s="1">
        <f t="shared" si="2"/>
        <v>0</v>
      </c>
      <c r="P22" s="4">
        <f t="shared" si="11"/>
        <v>129.01814770457219</v>
      </c>
      <c r="Q22" s="75">
        <v>12</v>
      </c>
      <c r="R22" s="75"/>
      <c r="S22" s="4">
        <f>V21+V21*($H$2-$H$3)*3/12-M22/4</f>
        <v>69.601467298495507</v>
      </c>
      <c r="T22" s="4">
        <f>S22+S22*($H$2-$H$3)*3/12-M22/4</f>
        <v>67.992054630392019</v>
      </c>
      <c r="U22" s="4">
        <f>T22+T22*($H$2-$H$3)*3/12-M22/4</f>
        <v>66.365340776106422</v>
      </c>
      <c r="V22" s="4">
        <f>U22+U22*($H$2-$H$3)*3/12-M22/4</f>
        <v>64.72113974788725</v>
      </c>
    </row>
    <row r="23" spans="1:22" x14ac:dyDescent="0.25">
      <c r="A23" s="39">
        <v>13</v>
      </c>
      <c r="B23" s="25">
        <f t="shared" si="12"/>
        <v>1.2225118025171973</v>
      </c>
      <c r="C23" s="1">
        <f t="shared" si="5"/>
        <v>318.6861660169676</v>
      </c>
      <c r="D23" s="1">
        <f t="shared" si="3"/>
        <v>389.59759925469785</v>
      </c>
      <c r="E23" s="1">
        <f t="shared" si="6"/>
        <v>3.9599943972930358</v>
      </c>
      <c r="F23" s="1">
        <f t="shared" si="0"/>
        <v>4.8411398885927115</v>
      </c>
      <c r="G23" s="1">
        <f t="shared" si="1"/>
        <v>0</v>
      </c>
      <c r="H23" s="4">
        <f t="shared" si="13"/>
        <v>314.72617161967457</v>
      </c>
      <c r="J23" s="25">
        <f t="shared" si="7"/>
        <v>1.9879720669035197</v>
      </c>
      <c r="K23" s="1">
        <f t="shared" si="8"/>
        <v>140.55237010936094</v>
      </c>
      <c r="L23" s="1">
        <f t="shared" si="4"/>
        <v>279.41418571449475</v>
      </c>
      <c r="M23" s="1">
        <f t="shared" si="9"/>
        <v>10.058585983081462</v>
      </c>
      <c r="N23" s="1">
        <f t="shared" si="10"/>
        <v>19.996187966913226</v>
      </c>
      <c r="O23" s="1">
        <f t="shared" si="2"/>
        <v>0</v>
      </c>
      <c r="P23" s="4">
        <f t="shared" si="11"/>
        <v>130.49378412627948</v>
      </c>
      <c r="Q23" s="75">
        <v>13</v>
      </c>
      <c r="R23" s="75"/>
      <c r="S23" s="4">
        <f>V22+V22*($H$2-$H$3)*3/12-M23/4</f>
        <v>62.902245504406679</v>
      </c>
      <c r="T23" s="4">
        <f>S23+S23*($H$2-$H$3)*3/12-M23/4</f>
        <v>61.063798147808683</v>
      </c>
      <c r="U23" s="4">
        <f>T23+T23*($H$2-$H$3)*3/12-M23/4</f>
        <v>59.205587482127264</v>
      </c>
      <c r="V23" s="4">
        <f>U23+U23*($H$2-$H$3)*3/12-M23/4</f>
        <v>57.327401051789771</v>
      </c>
    </row>
    <row r="24" spans="1:22" x14ac:dyDescent="0.25">
      <c r="A24" s="39">
        <v>14</v>
      </c>
      <c r="B24" s="25">
        <f t="shared" si="12"/>
        <v>1.2378938721546817</v>
      </c>
      <c r="C24" s="1">
        <f t="shared" si="5"/>
        <v>352.49331221403554</v>
      </c>
      <c r="D24" s="1">
        <f t="shared" si="3"/>
        <v>436.34931116526161</v>
      </c>
      <c r="E24" s="1">
        <f t="shared" si="6"/>
        <v>4.1833380813003629</v>
      </c>
      <c r="F24" s="1">
        <f t="shared" si="0"/>
        <v>5.1785285759930426</v>
      </c>
      <c r="G24" s="1">
        <f t="shared" si="1"/>
        <v>0</v>
      </c>
      <c r="H24" s="4">
        <f t="shared" si="13"/>
        <v>348.30997413273519</v>
      </c>
      <c r="J24" s="25">
        <f t="shared" si="7"/>
        <v>2.1412068596624056</v>
      </c>
      <c r="K24" s="1">
        <f t="shared" si="8"/>
        <v>142.15992842716886</v>
      </c>
      <c r="L24" s="1">
        <f t="shared" si="4"/>
        <v>304.39381391737061</v>
      </c>
      <c r="M24" s="1">
        <f t="shared" si="9"/>
        <v>10.728487809554688</v>
      </c>
      <c r="N24" s="1">
        <f t="shared" si="10"/>
        <v>22.971911691622992</v>
      </c>
      <c r="O24" s="1">
        <f t="shared" si="2"/>
        <v>0</v>
      </c>
      <c r="P24" s="4">
        <f t="shared" si="11"/>
        <v>131.43144061761419</v>
      </c>
      <c r="Q24" s="75">
        <v>14</v>
      </c>
      <c r="R24" s="75"/>
      <c r="S24" s="4">
        <f>V23+V23*($H$2-$H$3)*3/12-M24/4</f>
        <v>55.261548660707838</v>
      </c>
      <c r="T24" s="4">
        <f>S24+S24*($H$2-$H$3)*3/12-M24/4</f>
        <v>53.173488356421778</v>
      </c>
      <c r="U24" s="4">
        <f>T24+T24*($H$2-$H$3)*3/12-M24/4</f>
        <v>51.06298140386464</v>
      </c>
      <c r="V24" s="4">
        <f>U24+U24*($H$2-$H$3)*3/12-M24/4</f>
        <v>48.929786501567513</v>
      </c>
    </row>
    <row r="25" spans="1:22" x14ac:dyDescent="0.25">
      <c r="A25" s="39">
        <v>15</v>
      </c>
      <c r="B25" s="25">
        <f t="shared" si="12"/>
        <v>1.2527614583869944</v>
      </c>
      <c r="C25" s="1">
        <f t="shared" si="5"/>
        <v>390.10717102866346</v>
      </c>
      <c r="D25" s="1">
        <f t="shared" si="3"/>
        <v>488.71122850509306</v>
      </c>
      <c r="E25" s="1">
        <f t="shared" si="6"/>
        <v>4.4192783490857028</v>
      </c>
      <c r="F25" s="1">
        <f t="shared" si="0"/>
        <v>5.5363015896186738</v>
      </c>
      <c r="G25" s="1">
        <f t="shared" si="1"/>
        <v>0</v>
      </c>
      <c r="H25" s="4">
        <f t="shared" si="13"/>
        <v>385.68789267957777</v>
      </c>
      <c r="J25" s="25">
        <f t="shared" si="7"/>
        <v>2.31598932863387</v>
      </c>
      <c r="K25" s="1">
        <f t="shared" si="8"/>
        <v>143.18141140882889</v>
      </c>
      <c r="L25" s="1">
        <f t="shared" si="4"/>
        <v>331.60662088158358</v>
      </c>
      <c r="M25" s="1">
        <f t="shared" si="9"/>
        <v>11.44300509767103</v>
      </c>
      <c r="N25" s="1">
        <f t="shared" si="10"/>
        <v>26.50187769370908</v>
      </c>
      <c r="O25" s="1">
        <f t="shared" si="2"/>
        <v>0</v>
      </c>
      <c r="P25" s="4">
        <f t="shared" si="11"/>
        <v>131.73840631115786</v>
      </c>
      <c r="Q25" s="75">
        <v>15</v>
      </c>
      <c r="R25" s="75"/>
      <c r="S25" s="4">
        <f>V24+V24*($H$2-$H$3)*3/12-M25/4</f>
        <v>46.595030432041604</v>
      </c>
      <c r="T25" s="4">
        <f>S25+S25*($H$2-$H$3)*3/12-M25/4</f>
        <v>44.235175734768291</v>
      </c>
      <c r="U25" s="4">
        <f>T25+T25*($H$2-$H$3)*3/12-M25/4</f>
        <v>41.849952599499289</v>
      </c>
      <c r="V25" s="4">
        <f>U25+U25*($H$2-$H$3)*3/12-M25/4</f>
        <v>39.439088315526149</v>
      </c>
    </row>
    <row r="26" spans="1:22" x14ac:dyDescent="0.25">
      <c r="A26" s="39">
        <v>16</v>
      </c>
      <c r="B26" s="25">
        <f t="shared" si="12"/>
        <v>1.2671158150953552</v>
      </c>
      <c r="C26" s="1">
        <f t="shared" si="5"/>
        <v>431.97043980112716</v>
      </c>
      <c r="D26" s="1">
        <f t="shared" si="3"/>
        <v>547.35657592570431</v>
      </c>
      <c r="E26" s="1">
        <f t="shared" si="6"/>
        <v>4.6685256479741373</v>
      </c>
      <c r="F26" s="1">
        <f t="shared" si="0"/>
        <v>5.9155626817263203</v>
      </c>
      <c r="G26" s="1">
        <f t="shared" si="1"/>
        <v>0</v>
      </c>
      <c r="H26" s="4">
        <f t="shared" si="13"/>
        <v>427.30191415315301</v>
      </c>
      <c r="J26" s="25">
        <f t="shared" si="7"/>
        <v>2.5171598030292661</v>
      </c>
      <c r="K26" s="1">
        <f t="shared" si="8"/>
        <v>143.51581983537537</v>
      </c>
      <c r="L26" s="1">
        <f t="shared" si="4"/>
        <v>361.25225278839713</v>
      </c>
      <c r="M26" s="1">
        <f t="shared" si="9"/>
        <v>12.20510923717592</v>
      </c>
      <c r="N26" s="1">
        <f t="shared" si="10"/>
        <v>30.722210363400414</v>
      </c>
      <c r="O26" s="1">
        <f t="shared" si="2"/>
        <v>0</v>
      </c>
      <c r="P26" s="4">
        <f t="shared" si="11"/>
        <v>131.31071059819945</v>
      </c>
      <c r="Q26" s="75">
        <v>16</v>
      </c>
      <c r="R26" s="75"/>
      <c r="S26" s="4">
        <f>V25+V25*($H$2-$H$3)*3/12-M26/4</f>
        <v>36.811781205624072</v>
      </c>
      <c r="T26" s="4">
        <f>S26+S26*($H$2-$H$3)*3/12-M26/4</f>
        <v>34.156230544290551</v>
      </c>
      <c r="U26" s="4">
        <f>T26+T26*($H$2-$H$3)*3/12-M26/4</f>
        <v>31.472132713347698</v>
      </c>
      <c r="V26" s="4">
        <f>U26+U26*($H$2-$H$3)*3/12-M26/4</f>
        <v>28.759180830722205</v>
      </c>
    </row>
    <row r="27" spans="1:22" x14ac:dyDescent="0.25">
      <c r="A27" s="39">
        <v>17</v>
      </c>
      <c r="B27" s="25">
        <f t="shared" si="12"/>
        <v>1.2809598033523468</v>
      </c>
      <c r="C27" s="1">
        <f t="shared" si="5"/>
        <v>478.57814385153142</v>
      </c>
      <c r="D27" s="1">
        <f t="shared" si="3"/>
        <v>613.03936503678881</v>
      </c>
      <c r="E27" s="1">
        <f t="shared" si="6"/>
        <v>4.9318304945198772</v>
      </c>
      <c r="F27" s="1">
        <f t="shared" si="0"/>
        <v>6.3174766204272892</v>
      </c>
      <c r="G27" s="1">
        <f t="shared" si="1"/>
        <v>0</v>
      </c>
      <c r="H27" s="4">
        <f t="shared" si="13"/>
        <v>473.64631335701154</v>
      </c>
      <c r="J27" s="25">
        <f t="shared" ref="J27" si="14">J26+(N26-O26)/P26</f>
        <v>2.7511255642641435</v>
      </c>
      <c r="K27" s="1">
        <f t="shared" ref="K27" si="15">P26*(1+$H$2)</f>
        <v>143.04988812567848</v>
      </c>
      <c r="L27" s="1">
        <f t="shared" ref="L27" si="16">J27*K27</f>
        <v>393.5482041876798</v>
      </c>
      <c r="M27" s="1">
        <f t="shared" ref="M27" si="17">$H$7*(1+$H$4)^(A27-1)</f>
        <v>13.017969512371835</v>
      </c>
      <c r="N27" s="1">
        <f t="shared" ref="N27" si="18">M27*J27</f>
        <v>35.814068720297378</v>
      </c>
      <c r="O27" s="1">
        <f t="shared" ref="O27" si="19">IF(N27&lt;$I$9,0,(N27-$I$9)*0.26375)</f>
        <v>0</v>
      </c>
      <c r="P27" s="4">
        <f t="shared" ref="P27" si="20">K27-M27</f>
        <v>130.03191861330663</v>
      </c>
      <c r="Q27" s="75">
        <v>17</v>
      </c>
      <c r="R27" s="75"/>
      <c r="S27" s="4">
        <f>V26+V26*($H$2-$H$3)*3/12-M27/4</f>
        <v>25.813849646559511</v>
      </c>
      <c r="T27" s="4">
        <f>S27+S27*($H$2-$H$3)*3/12-M27/4</f>
        <v>22.836856152167066</v>
      </c>
      <c r="U27" s="4">
        <f>T27+T27*($H$2-$H$3)*3/12-M27/4</f>
        <v>19.827859977709902</v>
      </c>
      <c r="V27" s="4">
        <f>U27+U27*($H$2-$H$3)*3/12-M27/4</f>
        <v>16.786517094377324</v>
      </c>
    </row>
    <row r="28" spans="1:22" x14ac:dyDescent="0.25">
      <c r="A28" s="39">
        <v>18</v>
      </c>
      <c r="B28" s="25">
        <f t="shared" si="12"/>
        <v>1.294297765545384</v>
      </c>
      <c r="C28" s="1">
        <f t="shared" si="5"/>
        <v>530.48387095985299</v>
      </c>
      <c r="D28" s="1">
        <f t="shared" si="3"/>
        <v>686.60408884120352</v>
      </c>
      <c r="E28" s="1">
        <f t="shared" si="6"/>
        <v>5.2099857344107976</v>
      </c>
      <c r="F28" s="1">
        <f t="shared" si="0"/>
        <v>6.7432728945712217</v>
      </c>
      <c r="G28" s="1">
        <f t="shared" si="1"/>
        <v>0</v>
      </c>
      <c r="H28" s="4">
        <f t="shared" si="13"/>
        <v>525.2738852254422</v>
      </c>
      <c r="J28" s="25">
        <f>J27+(N27-O27)/P27</f>
        <v>3.0265507760292829</v>
      </c>
      <c r="K28" s="1">
        <f t="shared" si="8"/>
        <v>141.65677213733622</v>
      </c>
      <c r="L28" s="1">
        <f t="shared" si="4"/>
        <v>428.73141364205821</v>
      </c>
      <c r="M28" s="1">
        <f t="shared" si="9"/>
        <v>13.8849662818958</v>
      </c>
      <c r="N28" s="1">
        <f t="shared" si="10"/>
        <v>42.023555475612156</v>
      </c>
      <c r="O28" s="1">
        <f t="shared" si="2"/>
        <v>0</v>
      </c>
      <c r="P28" s="4">
        <f t="shared" si="11"/>
        <v>127.77180585544042</v>
      </c>
      <c r="Q28" s="75">
        <v>18</v>
      </c>
      <c r="R28" s="75"/>
      <c r="S28" s="4">
        <f>V27+V27*($H$2-$H$3)*3/12-M28/4</f>
        <v>13.495730582667932</v>
      </c>
      <c r="T28" s="4">
        <f>S28+S28*($H$2-$H$3)*3/12-M28/4</f>
        <v>10.169568115957661</v>
      </c>
      <c r="U28" s="4">
        <f>T28+T28*($H$2-$H$3)*3/12-M28/4</f>
        <v>6.8076494027302559</v>
      </c>
      <c r="V28" s="4">
        <f>U28+U28*($H$2-$H$3)*3/12-M28/4</f>
        <v>3.4095900633356564</v>
      </c>
    </row>
    <row r="29" spans="1:22" x14ac:dyDescent="0.25">
      <c r="A29" s="39">
        <v>19</v>
      </c>
      <c r="B29" s="25">
        <f t="shared" si="12"/>
        <v>1.307135397653588</v>
      </c>
      <c r="C29" s="1">
        <f t="shared" si="5"/>
        <v>588.30675145249529</v>
      </c>
      <c r="D29" s="1">
        <f t="shared" si="3"/>
        <v>768.99657950214794</v>
      </c>
      <c r="E29" s="1">
        <f t="shared" si="6"/>
        <v>5.5038289298315659</v>
      </c>
      <c r="F29" s="1">
        <f t="shared" si="0"/>
        <v>7.1942496168127059</v>
      </c>
      <c r="G29" s="1">
        <f t="shared" si="1"/>
        <v>0</v>
      </c>
      <c r="H29" s="4">
        <f t="shared" si="13"/>
        <v>582.80292252266372</v>
      </c>
      <c r="J29" s="25">
        <f t="shared" si="7"/>
        <v>3.3554461469153853</v>
      </c>
      <c r="K29" s="1">
        <f t="shared" si="8"/>
        <v>139.19460529891677</v>
      </c>
      <c r="L29" s="1">
        <f t="shared" si="4"/>
        <v>467.06000202165814</v>
      </c>
      <c r="M29" s="1">
        <f t="shared" si="9"/>
        <v>14.809705036270058</v>
      </c>
      <c r="N29" s="1">
        <f t="shared" si="10"/>
        <v>49.693167700905747</v>
      </c>
      <c r="O29" s="1">
        <f t="shared" si="2"/>
        <v>0</v>
      </c>
      <c r="P29" s="4">
        <f t="shared" si="11"/>
        <v>124.38490026264671</v>
      </c>
      <c r="Q29" s="75">
        <v>19</v>
      </c>
      <c r="R29" s="75"/>
      <c r="S29" s="4">
        <f>V28+V28*($H$2-$H$3)*3/12-M29/4</f>
        <v>-0.25618310255099974</v>
      </c>
      <c r="T29" s="4">
        <f>S29+S29*($H$2-$H$3)*3/12-M29/4</f>
        <v>-3.9613633299709377</v>
      </c>
      <c r="U29" s="4">
        <f>T29+T29*($H$2-$H$3)*3/12-M29/4</f>
        <v>-7.70637424483564</v>
      </c>
      <c r="V29" s="4">
        <f>U29+U29*($H$2-$H$3)*3/12-M29/4</f>
        <v>-11.491644027035138</v>
      </c>
    </row>
    <row r="30" spans="1:22" x14ac:dyDescent="0.25">
      <c r="A30" s="39">
        <v>20</v>
      </c>
      <c r="B30" s="25">
        <f t="shared" si="12"/>
        <v>1.3194796212989883</v>
      </c>
      <c r="C30" s="1">
        <f t="shared" si="5"/>
        <v>652.73927322538339</v>
      </c>
      <c r="D30" s="70">
        <f t="shared" si="3"/>
        <v>861.27616904240574</v>
      </c>
      <c r="E30" s="70">
        <f t="shared" si="6"/>
        <v>5.8142448814740675</v>
      </c>
      <c r="F30" s="70">
        <f t="shared" si="0"/>
        <v>7.6717776343469835</v>
      </c>
      <c r="G30" s="1">
        <f t="shared" si="1"/>
        <v>0</v>
      </c>
      <c r="H30" s="4">
        <f t="shared" si="13"/>
        <v>646.92502834390928</v>
      </c>
      <c r="J30" s="25">
        <f t="shared" si="7"/>
        <v>3.7549574026705086</v>
      </c>
      <c r="K30" s="1">
        <f t="shared" si="8"/>
        <v>135.5049103461273</v>
      </c>
      <c r="L30" s="70">
        <f t="shared" si="4"/>
        <v>508.81516620239432</v>
      </c>
      <c r="M30" s="70">
        <f t="shared" si="9"/>
        <v>15.796031391685645</v>
      </c>
      <c r="N30" s="70">
        <f t="shared" si="10"/>
        <v>59.313425007025749</v>
      </c>
      <c r="O30" s="1">
        <f t="shared" si="2"/>
        <v>0</v>
      </c>
      <c r="P30" s="4">
        <f>K30-M30</f>
        <v>119.70887895444166</v>
      </c>
      <c r="Q30" s="75">
        <v>20</v>
      </c>
      <c r="R30" s="75"/>
      <c r="S30" s="4">
        <f>V29+V29*($H$2-$H$3)*3/12-M30/4</f>
        <v>-15.564187048247177</v>
      </c>
      <c r="T30" s="4">
        <f>S30+S30*($H$2-$H$3)*3/12-M30/4</f>
        <v>-19.680509906937246</v>
      </c>
      <c r="U30" s="4">
        <f>T30+T30*($H$2-$H$3)*3/12-M30/4</f>
        <v>-23.841083236358234</v>
      </c>
      <c r="V30" s="4">
        <f>U30+U30*($H$2-$H$3)*3/12-M30/4</f>
        <v>-28.046382729070498</v>
      </c>
    </row>
    <row r="31" spans="1:22" x14ac:dyDescent="0.25">
      <c r="A31" s="39">
        <v>21</v>
      </c>
      <c r="B31" s="25">
        <f t="shared" ref="B31:B40" si="21">B30+(F30-G30)/H30</f>
        <v>1.3313384570190814</v>
      </c>
      <c r="C31" s="1">
        <f t="shared" ref="C31:C40" si="22">H30*(1+$C$2)</f>
        <v>724.55603174517842</v>
      </c>
      <c r="D31" s="70">
        <f t="shared" ref="D31:D40" si="23">B31*C31</f>
        <v>964.62930932749441</v>
      </c>
      <c r="E31" s="70">
        <f t="shared" ref="E31:E40" si="24">$C$7*(1+$C$4)^(A31-1)</f>
        <v>6.1421682927892034</v>
      </c>
      <c r="F31" s="70">
        <f t="shared" ref="F31:F40" si="25">E31*B31</f>
        <v>8.1773048576735032</v>
      </c>
      <c r="G31" s="1">
        <f t="shared" ref="G31:G40" si="26">IF(F31&lt;$I$9,0,(F31-$I$9)*0.26375)</f>
        <v>0</v>
      </c>
      <c r="H31" s="4">
        <f t="shared" ref="H31:H40" si="27">C31-E31</f>
        <v>718.41386345238925</v>
      </c>
      <c r="J31" s="76">
        <f t="shared" ref="J31:J40" si="28">J30+(N30-O30)/P30</f>
        <v>4.250437984604611</v>
      </c>
      <c r="K31" s="77">
        <f t="shared" ref="K31:K40" si="29">P30*(1+$H$2)</f>
        <v>130.41085273296872</v>
      </c>
      <c r="L31" s="77">
        <f t="shared" ref="L31:L40" si="30">J31*K31</f>
        <v>554.30324206088824</v>
      </c>
      <c r="M31" s="77">
        <f t="shared" ref="M31:M40" si="31">$H$7*(1+$H$4)^(A31-1)</f>
        <v>16.848047082371906</v>
      </c>
      <c r="N31" s="77">
        <f t="shared" ref="N31:N40" si="32">M31*J31</f>
        <v>71.611579285320445</v>
      </c>
      <c r="O31" s="77">
        <f t="shared" ref="O31:O40" si="33">IF(N31&lt;$I$9,0,(N31-$I$9)*0.26375)</f>
        <v>0</v>
      </c>
      <c r="P31" s="77">
        <f t="shared" ref="P31:P40" si="34">K31-M31</f>
        <v>113.56280565059681</v>
      </c>
      <c r="Q31" s="78">
        <v>21</v>
      </c>
      <c r="R31" s="78"/>
      <c r="S31" s="4">
        <f>V30+V30*($H$2-$H$3)*3/12-M31/4</f>
        <v>-32.559893114000985</v>
      </c>
      <c r="T31" s="4">
        <f>S31+S31*($H$2-$H$3)*3/12-M31/4</f>
        <v>-37.121923735569467</v>
      </c>
      <c r="U31" s="4">
        <f>T31+T31*($H$2-$H$3)*3/12-M31/4</f>
        <v>-41.732996186319809</v>
      </c>
      <c r="V31" s="4">
        <f>U31+U31*($H$2-$H$3)*3/12-M31/4</f>
        <v>-46.393637665915719</v>
      </c>
    </row>
    <row r="32" spans="1:22" x14ac:dyDescent="0.25">
      <c r="A32" s="39">
        <v>22</v>
      </c>
      <c r="B32" s="25">
        <f t="shared" si="21"/>
        <v>1.3427209000281526</v>
      </c>
      <c r="C32" s="1">
        <f t="shared" si="22"/>
        <v>804.62352706667605</v>
      </c>
      <c r="D32" s="70">
        <f t="shared" si="23"/>
        <v>1080.3848264467938</v>
      </c>
      <c r="E32" s="70">
        <f t="shared" si="24"/>
        <v>6.4885865845025146</v>
      </c>
      <c r="F32" s="70">
        <f t="shared" si="25"/>
        <v>8.7123608186538135</v>
      </c>
      <c r="G32" s="1">
        <f t="shared" si="26"/>
        <v>0</v>
      </c>
      <c r="H32" s="4">
        <f t="shared" si="27"/>
        <v>798.13494048217353</v>
      </c>
      <c r="J32" s="25">
        <f t="shared" si="28"/>
        <v>4.8810280697567041</v>
      </c>
      <c r="K32" s="1">
        <f t="shared" si="29"/>
        <v>123.71532047576017</v>
      </c>
      <c r="L32" s="70">
        <f t="shared" si="30"/>
        <v>603.85795190113174</v>
      </c>
      <c r="M32" s="70">
        <f t="shared" si="31"/>
        <v>17.970127018057877</v>
      </c>
      <c r="N32" s="70">
        <f t="shared" si="32"/>
        <v>87.712694392233828</v>
      </c>
      <c r="O32" s="1">
        <f t="shared" si="33"/>
        <v>0</v>
      </c>
      <c r="P32" s="4">
        <f t="shared" si="34"/>
        <v>105.74519345770229</v>
      </c>
      <c r="Q32" s="75">
        <v>22</v>
      </c>
      <c r="R32" s="75"/>
      <c r="S32" s="4">
        <f>V31+V31*($H$2-$H$3)*3/12-M32/4</f>
        <v>-51.384901025338777</v>
      </c>
      <c r="T32" s="4">
        <f>S32+S32*($H$2-$H$3)*3/12-M32/4</f>
        <v>-56.429820465875636</v>
      </c>
      <c r="U32" s="4">
        <f>T32+T32*($H$2-$H$3)*3/12-M32/4</f>
        <v>-61.528972790398264</v>
      </c>
      <c r="V32" s="4">
        <f>U32+U32*($H$2-$H$3)*3/12-M32/4</f>
        <v>-66.682941002409521</v>
      </c>
    </row>
    <row r="33" spans="1:22" x14ac:dyDescent="0.25">
      <c r="A33" s="39">
        <v>23</v>
      </c>
      <c r="B33" s="25">
        <f t="shared" si="21"/>
        <v>1.3536367995543537</v>
      </c>
      <c r="C33" s="1">
        <f t="shared" si="22"/>
        <v>893.91113334003444</v>
      </c>
      <c r="D33" s="70">
        <f t="shared" si="23"/>
        <v>1210.0310056204094</v>
      </c>
      <c r="E33" s="70">
        <f t="shared" si="24"/>
        <v>6.8545428678684557</v>
      </c>
      <c r="F33" s="70">
        <f t="shared" si="25"/>
        <v>9.2785614700695778</v>
      </c>
      <c r="G33" s="1">
        <f t="shared" si="26"/>
        <v>0</v>
      </c>
      <c r="H33" s="4">
        <f t="shared" si="27"/>
        <v>887.05659047216602</v>
      </c>
      <c r="J33" s="25">
        <f t="shared" si="28"/>
        <v>5.7105002332108157</v>
      </c>
      <c r="K33" s="1">
        <f t="shared" si="29"/>
        <v>115.19881375282087</v>
      </c>
      <c r="L33" s="70">
        <f t="shared" si="30"/>
        <v>657.84285280109293</v>
      </c>
      <c r="M33" s="70">
        <f t="shared" si="31"/>
        <v>19.166937477460529</v>
      </c>
      <c r="N33" s="70">
        <f t="shared" si="32"/>
        <v>109.45280093497547</v>
      </c>
      <c r="O33" s="1">
        <f t="shared" si="33"/>
        <v>0</v>
      </c>
      <c r="P33" s="4">
        <f t="shared" si="34"/>
        <v>96.031876275360332</v>
      </c>
      <c r="Q33" s="75">
        <v>23</v>
      </c>
      <c r="R33" s="75"/>
      <c r="S33" s="4">
        <f>V32+V32*($H$2-$H$3)*3/12-M33/4</f>
        <v>-72.191516987550557</v>
      </c>
      <c r="T33" s="4">
        <f>S33+S33*($H$2-$H$3)*3/12-M33/4</f>
        <v>-77.759310164531854</v>
      </c>
      <c r="U33" s="4">
        <f>T33+T33*($H$2-$H$3)*3/12-M33/4</f>
        <v>-83.386957118165697</v>
      </c>
      <c r="V33" s="4">
        <f>U33+U33*($H$2-$H$3)*3/12-M33/4</f>
        <v>-89.075101276551109</v>
      </c>
    </row>
    <row r="34" spans="1:22" x14ac:dyDescent="0.25">
      <c r="A34" s="39">
        <v>24</v>
      </c>
      <c r="B34" s="25">
        <f t="shared" si="21"/>
        <v>1.3640967426625277</v>
      </c>
      <c r="C34" s="1">
        <f t="shared" si="22"/>
        <v>993.50338132882609</v>
      </c>
      <c r="D34" s="70">
        <f t="shared" si="23"/>
        <v>1355.2347262948588</v>
      </c>
      <c r="E34" s="70">
        <f t="shared" si="24"/>
        <v>7.2411390856162372</v>
      </c>
      <c r="F34" s="70">
        <f t="shared" si="25"/>
        <v>9.8776142398554239</v>
      </c>
      <c r="G34" s="1">
        <f t="shared" si="26"/>
        <v>0</v>
      </c>
      <c r="H34" s="4">
        <f t="shared" si="27"/>
        <v>986.26224224320981</v>
      </c>
      <c r="J34" s="25">
        <f t="shared" si="28"/>
        <v>6.8502551268997838</v>
      </c>
      <c r="K34" s="1">
        <f t="shared" si="29"/>
        <v>104.61712601437753</v>
      </c>
      <c r="L34" s="70">
        <f t="shared" si="30"/>
        <v>716.65400384151042</v>
      </c>
      <c r="M34" s="70">
        <f t="shared" si="31"/>
        <v>20.443455513459401</v>
      </c>
      <c r="N34" s="70">
        <f t="shared" si="32"/>
        <v>140.04288594262292</v>
      </c>
      <c r="O34" s="1">
        <f t="shared" si="33"/>
        <v>0</v>
      </c>
      <c r="P34" s="4">
        <f t="shared" si="34"/>
        <v>84.173670500918135</v>
      </c>
      <c r="Q34" s="75">
        <v>24</v>
      </c>
      <c r="R34" s="75"/>
      <c r="S34" s="4">
        <f>V33+V33*($H$2-$H$3)*3/12-M34/4</f>
        <v>-95.143522493638883</v>
      </c>
      <c r="T34" s="4">
        <f>S34+S34*($H$2-$H$3)*3/12-M34/4</f>
        <v>-101.27717923881035</v>
      </c>
      <c r="U34" s="4">
        <f>T34+T34*($H$2-$H$3)*3/12-M34/4</f>
        <v>-107.47677279399241</v>
      </c>
      <c r="V34" s="4">
        <f>U34+U34*($H$2-$H$3)*3/12-M34/4</f>
        <v>-113.74301197989269</v>
      </c>
    </row>
    <row r="35" spans="1:22" x14ac:dyDescent="0.25">
      <c r="A35" s="39">
        <v>25</v>
      </c>
      <c r="B35" s="25">
        <f t="shared" si="21"/>
        <v>1.374111943302663</v>
      </c>
      <c r="C35" s="1">
        <f t="shared" si="22"/>
        <v>1104.613711312395</v>
      </c>
      <c r="D35" s="70">
        <f t="shared" si="23"/>
        <v>1517.8628934502419</v>
      </c>
      <c r="E35" s="70">
        <f t="shared" si="24"/>
        <v>7.6495393300449903</v>
      </c>
      <c r="F35" s="70">
        <f t="shared" si="25"/>
        <v>10.511323354178272</v>
      </c>
      <c r="G35" s="1">
        <f t="shared" si="26"/>
        <v>0</v>
      </c>
      <c r="H35" s="4">
        <f t="shared" si="27"/>
        <v>1096.9641719823501</v>
      </c>
      <c r="J35" s="25">
        <f t="shared" si="28"/>
        <v>8.5139925534516578</v>
      </c>
      <c r="K35" s="1">
        <f t="shared" si="29"/>
        <v>91.698796643700206</v>
      </c>
      <c r="L35" s="70">
        <f t="shared" si="30"/>
        <v>780.72287178494139</v>
      </c>
      <c r="M35" s="70">
        <f t="shared" si="31"/>
        <v>21.804989650655795</v>
      </c>
      <c r="N35" s="70">
        <f t="shared" si="32"/>
        <v>185.64751951377391</v>
      </c>
      <c r="O35" s="1">
        <f t="shared" si="33"/>
        <v>0</v>
      </c>
      <c r="P35" s="4">
        <f t="shared" si="34"/>
        <v>69.893806993044407</v>
      </c>
      <c r="Q35" s="75">
        <v>25</v>
      </c>
      <c r="R35" s="75"/>
      <c r="S35" s="4">
        <f>V34+V34*($H$2-$H$3)*3/12-M35/4</f>
        <v>-120.41699677134048</v>
      </c>
      <c r="T35" s="4">
        <f>S35+S35*($H$2-$H$3)*3/12-M35/4</f>
        <v>-127.16272689929633</v>
      </c>
      <c r="U35" s="4">
        <f>T35+T35*($H$2-$H$3)*3/12-M35/4</f>
        <v>-133.98097362612771</v>
      </c>
      <c r="V35" s="4">
        <f>U35+U35*($H$2-$H$3)*3/12-M35/4</f>
        <v>-140.87251650527253</v>
      </c>
    </row>
    <row r="36" spans="1:22" x14ac:dyDescent="0.25">
      <c r="A36" s="39">
        <v>26</v>
      </c>
      <c r="B36" s="25">
        <f t="shared" si="21"/>
        <v>1.383694137163364</v>
      </c>
      <c r="C36" s="1">
        <f t="shared" si="22"/>
        <v>1228.5998726202322</v>
      </c>
      <c r="D36" s="70">
        <f t="shared" si="23"/>
        <v>1700.0064406642712</v>
      </c>
      <c r="E36" s="70">
        <f t="shared" si="24"/>
        <v>8.0809733482595281</v>
      </c>
      <c r="F36" s="70">
        <f t="shared" si="25"/>
        <v>11.181595444560108</v>
      </c>
      <c r="G36" s="1">
        <f t="shared" si="26"/>
        <v>0</v>
      </c>
      <c r="H36" s="4">
        <f t="shared" si="27"/>
        <v>1220.5188992719727</v>
      </c>
      <c r="J36" s="25">
        <f t="shared" si="28"/>
        <v>11.170129448845678</v>
      </c>
      <c r="K36" s="1">
        <f t="shared" si="29"/>
        <v>76.142313338222579</v>
      </c>
      <c r="L36" s="70">
        <f t="shared" si="30"/>
        <v>850.51949652251506</v>
      </c>
      <c r="M36" s="70">
        <f t="shared" si="31"/>
        <v>23.25720196138947</v>
      </c>
      <c r="N36" s="70">
        <f t="shared" si="32"/>
        <v>259.78595652666797</v>
      </c>
      <c r="O36" s="1">
        <f t="shared" si="33"/>
        <v>0</v>
      </c>
      <c r="P36" s="4">
        <f t="shared" si="34"/>
        <v>52.885111376833109</v>
      </c>
      <c r="Q36" s="75">
        <v>26</v>
      </c>
      <c r="R36" s="75"/>
      <c r="S36" s="4">
        <f>V35+V35*($H$2-$H$3)*3/12-M36/4</f>
        <v>-148.20119654805157</v>
      </c>
      <c r="T36" s="4">
        <f>S36+S36*($H$2-$H$3)*3/12-M36/4</f>
        <v>-155.60865990129048</v>
      </c>
      <c r="U36" s="4">
        <f>T36+T36*($H$2-$H$3)*3/12-M36/4</f>
        <v>-163.09575348557672</v>
      </c>
      <c r="V36" s="4">
        <f>U36+U36*($H$2-$H$3)*3/12-M36/4</f>
        <v>-170.66333332589403</v>
      </c>
    </row>
    <row r="37" spans="1:22" x14ac:dyDescent="0.25">
      <c r="A37" s="39">
        <v>27</v>
      </c>
      <c r="B37" s="25">
        <f t="shared" si="21"/>
        <v>1.3928554827609043</v>
      </c>
      <c r="C37" s="1">
        <f t="shared" si="22"/>
        <v>1366.9811671846096</v>
      </c>
      <c r="D37" s="70">
        <f t="shared" si="23"/>
        <v>1904.0072135439839</v>
      </c>
      <c r="E37" s="70">
        <f t="shared" si="24"/>
        <v>8.536740245101365</v>
      </c>
      <c r="F37" s="70">
        <f t="shared" si="25"/>
        <v>11.890445455295103</v>
      </c>
      <c r="G37" s="1">
        <f t="shared" si="26"/>
        <v>0</v>
      </c>
      <c r="H37" s="4">
        <f t="shared" si="27"/>
        <v>1358.4444269395083</v>
      </c>
      <c r="J37" s="25">
        <f t="shared" si="28"/>
        <v>16.082399646700836</v>
      </c>
      <c r="K37" s="1">
        <f t="shared" si="29"/>
        <v>57.613040333921987</v>
      </c>
      <c r="L37" s="70">
        <f t="shared" si="30"/>
        <v>926.55593951162791</v>
      </c>
      <c r="M37" s="70">
        <f t="shared" si="31"/>
        <v>24.806131612018007</v>
      </c>
      <c r="N37" s="70">
        <f t="shared" si="32"/>
        <v>398.94212227313284</v>
      </c>
      <c r="O37" s="1">
        <f t="shared" si="33"/>
        <v>0</v>
      </c>
      <c r="P37" s="4">
        <f t="shared" si="34"/>
        <v>32.80690872190398</v>
      </c>
      <c r="Q37" s="75">
        <v>27</v>
      </c>
      <c r="R37" s="75"/>
      <c r="S37" s="4">
        <f>V36+V36*($H$2-$H$3)*3/12-M37/4</f>
        <v>-178.69949706215189</v>
      </c>
      <c r="T37" s="4">
        <f>S37+S37*($H$2-$H$3)*3/12-M37/4</f>
        <v>-186.82204955857452</v>
      </c>
      <c r="U37" s="4">
        <f>T37+T37*($H$2-$H$3)*3/12-M37/4</f>
        <v>-195.03191949433369</v>
      </c>
      <c r="V37" s="4">
        <f>U37+U37*($H$2-$H$3)*3/12-M37/4</f>
        <v>-203.33004553190227</v>
      </c>
    </row>
    <row r="38" spans="1:22" x14ac:dyDescent="0.25">
      <c r="A38" s="39">
        <v>28</v>
      </c>
      <c r="B38" s="25">
        <f t="shared" si="21"/>
        <v>1.4016084690586827</v>
      </c>
      <c r="C38" s="1">
        <f t="shared" si="22"/>
        <v>1521.4577581722494</v>
      </c>
      <c r="D38" s="70">
        <f t="shared" si="23"/>
        <v>2132.4880791692622</v>
      </c>
      <c r="E38" s="70">
        <f t="shared" si="24"/>
        <v>9.0182123949250812</v>
      </c>
      <c r="F38" s="70">
        <f t="shared" si="25"/>
        <v>12.64000286849698</v>
      </c>
      <c r="G38" s="1">
        <f t="shared" si="26"/>
        <v>0</v>
      </c>
      <c r="H38" s="4">
        <f t="shared" si="27"/>
        <v>1512.4395457773244</v>
      </c>
      <c r="J38" s="25">
        <f t="shared" si="28"/>
        <v>28.242707881008009</v>
      </c>
      <c r="K38" s="1">
        <f t="shared" si="29"/>
        <v>35.739846361642194</v>
      </c>
      <c r="L38" s="70">
        <f t="shared" si="30"/>
        <v>1009.3900405039674</v>
      </c>
      <c r="M38" s="70">
        <f t="shared" si="31"/>
        <v>26.458219977378405</v>
      </c>
      <c r="N38" s="70">
        <f t="shared" si="32"/>
        <v>747.25177787254859</v>
      </c>
      <c r="O38" s="1">
        <f t="shared" si="33"/>
        <v>0</v>
      </c>
      <c r="P38" s="4">
        <f t="shared" si="34"/>
        <v>9.2816263842637881</v>
      </c>
      <c r="Q38" s="75">
        <v>28</v>
      </c>
      <c r="R38" s="75"/>
      <c r="S38" s="4">
        <f>V37+V37*($H$2-$H$3)*3/12-M38/4</f>
        <v>-212.13039851571483</v>
      </c>
      <c r="T38" s="4">
        <f>S38+S38*($H$2-$H$3)*3/12-M38/4</f>
        <v>-221.02535529410335</v>
      </c>
      <c r="U38" s="4">
        <f>T38+T38*($H$2-$H$3)*3/12-M38/4</f>
        <v>-230.01593285785958</v>
      </c>
      <c r="V38" s="4">
        <f>U38+U38*($H$2-$H$3)*3/12-M38/4</f>
        <v>-239.10315913042615</v>
      </c>
    </row>
    <row r="39" spans="1:22" x14ac:dyDescent="0.25">
      <c r="A39" s="39">
        <v>29</v>
      </c>
      <c r="B39" s="25">
        <f t="shared" si="21"/>
        <v>1.4099658297900834</v>
      </c>
      <c r="C39" s="1">
        <f t="shared" si="22"/>
        <v>1693.9322912706034</v>
      </c>
      <c r="D39" s="70">
        <f t="shared" si="23"/>
        <v>2388.3866486695738</v>
      </c>
      <c r="E39" s="70">
        <f t="shared" si="24"/>
        <v>9.5268395739988545</v>
      </c>
      <c r="F39" s="70">
        <f t="shared" si="25"/>
        <v>13.4325182652303</v>
      </c>
      <c r="G39" s="1">
        <f t="shared" si="26"/>
        <v>0</v>
      </c>
      <c r="H39" s="4">
        <f t="shared" si="27"/>
        <v>1684.4054516966046</v>
      </c>
      <c r="J39" s="25">
        <f t="shared" si="28"/>
        <v>108.75141906329074</v>
      </c>
      <c r="K39" s="1">
        <f t="shared" si="29"/>
        <v>10.11140378301697</v>
      </c>
      <c r="L39" s="70">
        <f t="shared" si="30"/>
        <v>1099.6295101250219</v>
      </c>
      <c r="M39" s="70">
        <f t="shared" si="31"/>
        <v>28.220337427871804</v>
      </c>
      <c r="N39" s="70">
        <f t="shared" si="32"/>
        <v>3069.0017417259551</v>
      </c>
      <c r="O39" s="1">
        <f t="shared" si="33"/>
        <v>281.94920938022062</v>
      </c>
      <c r="P39" s="4">
        <f t="shared" si="34"/>
        <v>-18.108933644854837</v>
      </c>
      <c r="Q39" s="75">
        <v>29</v>
      </c>
      <c r="R39" s="75"/>
      <c r="S39" s="4">
        <f>V38+V38*($H$2-$H$3)*3/12-M39/4</f>
        <v>-248.72860244804616</v>
      </c>
      <c r="T39" s="4">
        <f>S39+S39*($H$2-$H$3)*3/12-M39/4</f>
        <v>-258.45751928133063</v>
      </c>
      <c r="U39" s="4">
        <f>T39+T39*($H$2-$H$3)*3/12-M39/4</f>
        <v>-268.2910219705729</v>
      </c>
      <c r="V39" s="4">
        <f>U39+U39*($H$2-$H$3)*3/12-M39/4</f>
        <v>-278.23023481372451</v>
      </c>
    </row>
    <row r="40" spans="1:22" x14ac:dyDescent="0.25">
      <c r="A40" s="39">
        <v>30</v>
      </c>
      <c r="B40" s="25">
        <f t="shared" si="21"/>
        <v>1.4179404645502005</v>
      </c>
      <c r="C40" s="1">
        <f t="shared" si="22"/>
        <v>1886.5341059001973</v>
      </c>
      <c r="D40" s="19">
        <f t="shared" si="23"/>
        <v>2674.9930465099228</v>
      </c>
      <c r="E40" s="1">
        <f t="shared" si="24"/>
        <v>10.06415332597239</v>
      </c>
      <c r="F40" s="19">
        <f t="shared" si="25"/>
        <v>14.270370242333735</v>
      </c>
      <c r="G40" s="1">
        <f t="shared" si="26"/>
        <v>0</v>
      </c>
      <c r="H40" s="4">
        <f t="shared" si="27"/>
        <v>1876.4699525742249</v>
      </c>
      <c r="J40" s="25">
        <f t="shared" si="28"/>
        <v>-45.153420780086805</v>
      </c>
      <c r="K40" s="1">
        <f t="shared" si="29"/>
        <v>-19.727872312704857</v>
      </c>
      <c r="L40" s="18">
        <f t="shared" si="30"/>
        <v>890.78091963138661</v>
      </c>
      <c r="M40" s="1">
        <f t="shared" si="31"/>
        <v>30.099811900568067</v>
      </c>
      <c r="N40" s="18">
        <f t="shared" si="32"/>
        <v>-1359.1094721478144</v>
      </c>
      <c r="O40" s="1">
        <f t="shared" si="33"/>
        <v>0</v>
      </c>
      <c r="P40" s="4">
        <f t="shared" si="34"/>
        <v>-49.827684213272924</v>
      </c>
      <c r="Q40" s="75">
        <v>30</v>
      </c>
      <c r="R40" s="75"/>
      <c r="S40" s="4">
        <f>V39+V39*($H$2-$H$3)*3/12-M40/4</f>
        <v>-288.74616281311404</v>
      </c>
      <c r="T40" s="4">
        <f>S40+S40*($H$2-$H$3)*3/12-M40/4</f>
        <v>-299.37513703849703</v>
      </c>
      <c r="U40" s="4">
        <f>T40+T40*($H$2-$H$3)*3/12-M40/4</f>
        <v>-310.11837273680288</v>
      </c>
      <c r="V40" s="4">
        <f>U40+U40*($H$2-$H$3)*3/12-M40/4</f>
        <v>-320.97709821886554</v>
      </c>
    </row>
    <row r="41" spans="1:22" x14ac:dyDescent="0.25">
      <c r="J41" s="69" t="s">
        <v>120</v>
      </c>
      <c r="K41" s="69" t="s">
        <v>121</v>
      </c>
      <c r="L41" s="69" t="s">
        <v>122</v>
      </c>
      <c r="M41" s="69" t="s">
        <v>123</v>
      </c>
      <c r="N41" s="69" t="s">
        <v>124</v>
      </c>
      <c r="O41" s="69" t="s">
        <v>125</v>
      </c>
      <c r="P41" s="69" t="s">
        <v>126</v>
      </c>
      <c r="S41" s="29" t="s">
        <v>256</v>
      </c>
      <c r="T41" s="29"/>
      <c r="U41" s="29"/>
      <c r="V41" s="29" t="s">
        <v>257</v>
      </c>
    </row>
    <row r="42" spans="1:22" s="15" customFormat="1" x14ac:dyDescent="0.25">
      <c r="A42"/>
      <c r="B42" s="40">
        <f>B30</f>
        <v>1.3194796212989883</v>
      </c>
      <c r="C42" s="24">
        <f>C30</f>
        <v>652.73927322538339</v>
      </c>
      <c r="D42" s="24">
        <f>D30</f>
        <v>861.27616904240574</v>
      </c>
      <c r="E42" s="24">
        <f>E30</f>
        <v>5.8142448814740675</v>
      </c>
      <c r="F42" s="24">
        <f>SUM(F11:F30)</f>
        <v>87.315329577814339</v>
      </c>
      <c r="G42" s="41">
        <f>SUM(G11:G30)</f>
        <v>0</v>
      </c>
      <c r="H42" s="42">
        <f>F30/D30</f>
        <v>8.9074537414366283E-3</v>
      </c>
      <c r="I42" s="28"/>
      <c r="P42" s="42">
        <f>N40/L40</f>
        <v>-1.5257505433661809</v>
      </c>
      <c r="Q42" s="40"/>
      <c r="R42" s="40"/>
    </row>
    <row r="44" spans="1:22" x14ac:dyDescent="0.25">
      <c r="J44" t="s">
        <v>86</v>
      </c>
      <c r="K44" s="4">
        <f>D40-SUM(G11:G40)-C5-SUM(F11:F40)</f>
        <v>2377.7056199157614</v>
      </c>
      <c r="L44" s="36">
        <f>D40-K45</f>
        <v>2236.0091464329753</v>
      </c>
      <c r="M44" s="4">
        <f>M40</f>
        <v>30.099811900568067</v>
      </c>
      <c r="N44" s="36">
        <f>L44/K40*M44</f>
        <v>-3411.5921701418615</v>
      </c>
    </row>
    <row r="45" spans="1:22" x14ac:dyDescent="0.25">
      <c r="K45" s="4">
        <f>K44*0.7*0.26375</f>
        <v>438.98390007694741</v>
      </c>
    </row>
    <row r="48" spans="1:22" x14ac:dyDescent="0.25">
      <c r="F48" s="48"/>
      <c r="K48" s="4"/>
    </row>
    <row r="49" spans="5:5" x14ac:dyDescent="0.25">
      <c r="E49" s="49"/>
    </row>
    <row r="52" spans="5:5" x14ac:dyDescent="0.25">
      <c r="E52" s="61"/>
    </row>
  </sheetData>
  <mergeCells count="3">
    <mergeCell ref="B8:H8"/>
    <mergeCell ref="J8:P8"/>
    <mergeCell ref="I6:I8"/>
  </mergeCells>
  <conditionalFormatting sqref="J11:P40">
    <cfRule type="cellIs" dxfId="0" priority="1" operator="lessThan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sqref="A1:H31"/>
    </sheetView>
  </sheetViews>
  <sheetFormatPr baseColWidth="10" defaultRowHeight="15" x14ac:dyDescent="0.25"/>
  <cols>
    <col min="1" max="1" width="5.28515625" bestFit="1" customWidth="1"/>
    <col min="2" max="2" width="18.5703125" bestFit="1" customWidth="1"/>
    <col min="3" max="3" width="12.140625" bestFit="1" customWidth="1"/>
    <col min="4" max="4" width="11.5703125" bestFit="1" customWidth="1"/>
    <col min="5" max="5" width="19.5703125" bestFit="1" customWidth="1"/>
    <col min="6" max="6" width="14.85546875" bestFit="1" customWidth="1"/>
    <col min="7" max="7" width="14.42578125" bestFit="1" customWidth="1"/>
    <col min="8" max="8" width="24.140625" bestFit="1" customWidth="1"/>
  </cols>
  <sheetData>
    <row r="1" spans="1:8" ht="15.75" thickBot="1" x14ac:dyDescent="0.3">
      <c r="A1" s="80" t="s">
        <v>127</v>
      </c>
      <c r="B1" s="81" t="s">
        <v>128</v>
      </c>
      <c r="C1" s="81" t="s">
        <v>129</v>
      </c>
      <c r="D1" s="81" t="s">
        <v>130</v>
      </c>
      <c r="E1" s="81" t="s">
        <v>131</v>
      </c>
      <c r="F1" s="81" t="s">
        <v>132</v>
      </c>
      <c r="G1" s="81" t="s">
        <v>133</v>
      </c>
      <c r="H1" s="82" t="s">
        <v>134</v>
      </c>
    </row>
    <row r="2" spans="1:8" ht="15.75" thickBot="1" x14ac:dyDescent="0.3">
      <c r="A2" s="79">
        <v>1</v>
      </c>
      <c r="B2" s="79">
        <v>1</v>
      </c>
      <c r="C2" s="79" t="s">
        <v>135</v>
      </c>
      <c r="D2" s="79" t="s">
        <v>135</v>
      </c>
      <c r="E2" s="79" t="s">
        <v>136</v>
      </c>
      <c r="F2" s="79" t="s">
        <v>136</v>
      </c>
      <c r="G2" s="79" t="s">
        <v>137</v>
      </c>
      <c r="H2" s="79" t="s">
        <v>138</v>
      </c>
    </row>
    <row r="3" spans="1:8" ht="15.75" thickBot="1" x14ac:dyDescent="0.3">
      <c r="A3" s="79">
        <v>2</v>
      </c>
      <c r="B3" s="79">
        <v>1</v>
      </c>
      <c r="C3" s="79" t="s">
        <v>139</v>
      </c>
      <c r="D3" s="79" t="s">
        <v>139</v>
      </c>
      <c r="E3" s="79" t="s">
        <v>140</v>
      </c>
      <c r="F3" s="79" t="s">
        <v>140</v>
      </c>
      <c r="G3" s="79" t="s">
        <v>141</v>
      </c>
      <c r="H3" s="79" t="s">
        <v>142</v>
      </c>
    </row>
    <row r="4" spans="1:8" ht="15.75" thickBot="1" x14ac:dyDescent="0.3">
      <c r="A4" s="79">
        <v>3</v>
      </c>
      <c r="B4" s="79">
        <v>1</v>
      </c>
      <c r="C4" s="79" t="s">
        <v>143</v>
      </c>
      <c r="D4" s="79" t="s">
        <v>143</v>
      </c>
      <c r="E4" s="79" t="s">
        <v>144</v>
      </c>
      <c r="F4" s="79" t="s">
        <v>144</v>
      </c>
      <c r="G4" s="79" t="s">
        <v>145</v>
      </c>
      <c r="H4" s="79" t="s">
        <v>146</v>
      </c>
    </row>
    <row r="5" spans="1:8" ht="15.75" thickBot="1" x14ac:dyDescent="0.3">
      <c r="A5" s="79">
        <v>4</v>
      </c>
      <c r="B5" s="79">
        <v>1</v>
      </c>
      <c r="C5" s="79" t="s">
        <v>147</v>
      </c>
      <c r="D5" s="79" t="s">
        <v>147</v>
      </c>
      <c r="E5" s="79" t="s">
        <v>148</v>
      </c>
      <c r="F5" s="79" t="s">
        <v>148</v>
      </c>
      <c r="G5" s="79" t="s">
        <v>149</v>
      </c>
      <c r="H5" s="79" t="s">
        <v>150</v>
      </c>
    </row>
    <row r="6" spans="1:8" ht="15.75" thickBot="1" x14ac:dyDescent="0.3">
      <c r="A6" s="79">
        <v>5</v>
      </c>
      <c r="B6" s="79">
        <v>1</v>
      </c>
      <c r="C6" s="79" t="s">
        <v>151</v>
      </c>
      <c r="D6" s="79" t="s">
        <v>151</v>
      </c>
      <c r="E6" s="79" t="s">
        <v>152</v>
      </c>
      <c r="F6" s="79" t="s">
        <v>152</v>
      </c>
      <c r="G6" s="79" t="s">
        <v>153</v>
      </c>
      <c r="H6" s="79" t="s">
        <v>154</v>
      </c>
    </row>
    <row r="7" spans="1:8" ht="15.75" thickBot="1" x14ac:dyDescent="0.3">
      <c r="A7" s="79">
        <v>6</v>
      </c>
      <c r="B7" s="79">
        <v>1</v>
      </c>
      <c r="C7" s="79" t="s">
        <v>155</v>
      </c>
      <c r="D7" s="79" t="s">
        <v>155</v>
      </c>
      <c r="E7" s="79" t="s">
        <v>156</v>
      </c>
      <c r="F7" s="79" t="s">
        <v>156</v>
      </c>
      <c r="G7" s="79" t="s">
        <v>157</v>
      </c>
      <c r="H7" s="79" t="s">
        <v>158</v>
      </c>
    </row>
    <row r="8" spans="1:8" ht="15.75" thickBot="1" x14ac:dyDescent="0.3">
      <c r="A8" s="79">
        <v>7</v>
      </c>
      <c r="B8" s="79">
        <v>1</v>
      </c>
      <c r="C8" s="79" t="s">
        <v>159</v>
      </c>
      <c r="D8" s="79" t="s">
        <v>159</v>
      </c>
      <c r="E8" s="79" t="s">
        <v>160</v>
      </c>
      <c r="F8" s="79" t="s">
        <v>160</v>
      </c>
      <c r="G8" s="79" t="s">
        <v>161</v>
      </c>
      <c r="H8" s="79" t="s">
        <v>162</v>
      </c>
    </row>
    <row r="9" spans="1:8" ht="15.75" thickBot="1" x14ac:dyDescent="0.3">
      <c r="A9" s="79">
        <v>8</v>
      </c>
      <c r="B9" s="79">
        <v>1</v>
      </c>
      <c r="C9" s="79" t="s">
        <v>163</v>
      </c>
      <c r="D9" s="79" t="s">
        <v>163</v>
      </c>
      <c r="E9" s="79" t="s">
        <v>164</v>
      </c>
      <c r="F9" s="79" t="s">
        <v>164</v>
      </c>
      <c r="G9" s="79" t="s">
        <v>165</v>
      </c>
      <c r="H9" s="79" t="s">
        <v>166</v>
      </c>
    </row>
    <row r="10" spans="1:8" ht="15.75" thickBot="1" x14ac:dyDescent="0.3">
      <c r="A10" s="79">
        <v>9</v>
      </c>
      <c r="B10" s="79">
        <v>1</v>
      </c>
      <c r="C10" s="79" t="s">
        <v>167</v>
      </c>
      <c r="D10" s="79" t="s">
        <v>167</v>
      </c>
      <c r="E10" s="79" t="s">
        <v>168</v>
      </c>
      <c r="F10" s="79" t="s">
        <v>168</v>
      </c>
      <c r="G10" s="79" t="s">
        <v>169</v>
      </c>
      <c r="H10" s="79" t="s">
        <v>170</v>
      </c>
    </row>
    <row r="11" spans="1:8" ht="15.75" thickBot="1" x14ac:dyDescent="0.3">
      <c r="A11" s="79">
        <v>10</v>
      </c>
      <c r="B11" s="79">
        <v>1</v>
      </c>
      <c r="C11" s="79" t="s">
        <v>171</v>
      </c>
      <c r="D11" s="79" t="s">
        <v>171</v>
      </c>
      <c r="E11" s="79" t="s">
        <v>172</v>
      </c>
      <c r="F11" s="79" t="s">
        <v>172</v>
      </c>
      <c r="G11" s="79" t="s">
        <v>173</v>
      </c>
      <c r="H11" s="79" t="s">
        <v>174</v>
      </c>
    </row>
    <row r="12" spans="1:8" ht="15.75" thickBot="1" x14ac:dyDescent="0.3">
      <c r="A12" s="79">
        <v>11</v>
      </c>
      <c r="B12" s="79">
        <v>1</v>
      </c>
      <c r="C12" s="79" t="s">
        <v>175</v>
      </c>
      <c r="D12" s="79" t="s">
        <v>175</v>
      </c>
      <c r="E12" s="79" t="s">
        <v>176</v>
      </c>
      <c r="F12" s="79" t="s">
        <v>176</v>
      </c>
      <c r="G12" s="79" t="s">
        <v>177</v>
      </c>
      <c r="H12" s="79" t="s">
        <v>178</v>
      </c>
    </row>
    <row r="13" spans="1:8" ht="15.75" thickBot="1" x14ac:dyDescent="0.3">
      <c r="A13" s="79">
        <v>12</v>
      </c>
      <c r="B13" s="79">
        <v>1</v>
      </c>
      <c r="C13" s="79" t="s">
        <v>179</v>
      </c>
      <c r="D13" s="79" t="s">
        <v>179</v>
      </c>
      <c r="E13" s="79" t="s">
        <v>180</v>
      </c>
      <c r="F13" s="79" t="s">
        <v>180</v>
      </c>
      <c r="G13" s="79" t="s">
        <v>181</v>
      </c>
      <c r="H13" s="79" t="s">
        <v>182</v>
      </c>
    </row>
    <row r="14" spans="1:8" ht="15.75" thickBot="1" x14ac:dyDescent="0.3">
      <c r="A14" s="79">
        <v>13</v>
      </c>
      <c r="B14" s="79">
        <v>1</v>
      </c>
      <c r="C14" s="79" t="s">
        <v>183</v>
      </c>
      <c r="D14" s="79" t="s">
        <v>183</v>
      </c>
      <c r="E14" s="79" t="s">
        <v>184</v>
      </c>
      <c r="F14" s="79" t="s">
        <v>184</v>
      </c>
      <c r="G14" s="79" t="s">
        <v>185</v>
      </c>
      <c r="H14" s="79" t="s">
        <v>186</v>
      </c>
    </row>
    <row r="15" spans="1:8" ht="15.75" thickBot="1" x14ac:dyDescent="0.3">
      <c r="A15" s="79">
        <v>14</v>
      </c>
      <c r="B15" s="79">
        <v>1</v>
      </c>
      <c r="C15" s="79" t="s">
        <v>187</v>
      </c>
      <c r="D15" s="79" t="s">
        <v>187</v>
      </c>
      <c r="E15" s="79" t="s">
        <v>188</v>
      </c>
      <c r="F15" s="79" t="s">
        <v>188</v>
      </c>
      <c r="G15" s="79" t="s">
        <v>189</v>
      </c>
      <c r="H15" s="79" t="s">
        <v>190</v>
      </c>
    </row>
    <row r="16" spans="1:8" ht="15.75" thickBot="1" x14ac:dyDescent="0.3">
      <c r="A16" s="79">
        <v>15</v>
      </c>
      <c r="B16" s="79">
        <v>1</v>
      </c>
      <c r="C16" s="79" t="s">
        <v>191</v>
      </c>
      <c r="D16" s="79" t="s">
        <v>191</v>
      </c>
      <c r="E16" s="79" t="s">
        <v>192</v>
      </c>
      <c r="F16" s="79" t="s">
        <v>192</v>
      </c>
      <c r="G16" s="79" t="s">
        <v>193</v>
      </c>
      <c r="H16" s="79" t="s">
        <v>194</v>
      </c>
    </row>
    <row r="17" spans="1:8" ht="15.75" thickBot="1" x14ac:dyDescent="0.3">
      <c r="A17" s="79">
        <v>16</v>
      </c>
      <c r="B17" s="79">
        <v>1</v>
      </c>
      <c r="C17" s="79" t="s">
        <v>195</v>
      </c>
      <c r="D17" s="79" t="s">
        <v>195</v>
      </c>
      <c r="E17" s="79" t="s">
        <v>196</v>
      </c>
      <c r="F17" s="79" t="s">
        <v>196</v>
      </c>
      <c r="G17" s="79" t="s">
        <v>197</v>
      </c>
      <c r="H17" s="79" t="s">
        <v>198</v>
      </c>
    </row>
    <row r="18" spans="1:8" ht="15.75" thickBot="1" x14ac:dyDescent="0.3">
      <c r="A18" s="79">
        <v>17</v>
      </c>
      <c r="B18" s="79">
        <v>1</v>
      </c>
      <c r="C18" s="79" t="s">
        <v>199</v>
      </c>
      <c r="D18" s="79" t="s">
        <v>199</v>
      </c>
      <c r="E18" s="79" t="s">
        <v>200</v>
      </c>
      <c r="F18" s="79" t="s">
        <v>200</v>
      </c>
      <c r="G18" s="79" t="s">
        <v>201</v>
      </c>
      <c r="H18" s="79" t="s">
        <v>202</v>
      </c>
    </row>
    <row r="19" spans="1:8" ht="15.75" thickBot="1" x14ac:dyDescent="0.3">
      <c r="A19" s="79">
        <v>18</v>
      </c>
      <c r="B19" s="79">
        <v>1</v>
      </c>
      <c r="C19" s="79" t="s">
        <v>203</v>
      </c>
      <c r="D19" s="79" t="s">
        <v>203</v>
      </c>
      <c r="E19" s="79" t="s">
        <v>204</v>
      </c>
      <c r="F19" s="79" t="s">
        <v>204</v>
      </c>
      <c r="G19" s="79" t="s">
        <v>205</v>
      </c>
      <c r="H19" s="79" t="s">
        <v>206</v>
      </c>
    </row>
    <row r="20" spans="1:8" ht="15.75" thickBot="1" x14ac:dyDescent="0.3">
      <c r="A20" s="79">
        <v>19</v>
      </c>
      <c r="B20" s="79">
        <v>1</v>
      </c>
      <c r="C20" s="79" t="s">
        <v>207</v>
      </c>
      <c r="D20" s="79" t="s">
        <v>207</v>
      </c>
      <c r="E20" s="79" t="s">
        <v>208</v>
      </c>
      <c r="F20" s="79" t="s">
        <v>208</v>
      </c>
      <c r="G20" s="79" t="s">
        <v>209</v>
      </c>
      <c r="H20" s="79" t="s">
        <v>210</v>
      </c>
    </row>
    <row r="21" spans="1:8" ht="15.75" thickBot="1" x14ac:dyDescent="0.3">
      <c r="A21" s="79">
        <v>20</v>
      </c>
      <c r="B21" s="79">
        <v>1</v>
      </c>
      <c r="C21" s="79" t="s">
        <v>211</v>
      </c>
      <c r="D21" s="79" t="s">
        <v>211</v>
      </c>
      <c r="E21" s="79" t="s">
        <v>212</v>
      </c>
      <c r="F21" s="79" t="s">
        <v>212</v>
      </c>
      <c r="G21" s="79" t="s">
        <v>213</v>
      </c>
      <c r="H21" s="79" t="s">
        <v>214</v>
      </c>
    </row>
    <row r="22" spans="1:8" ht="15.75" thickBot="1" x14ac:dyDescent="0.3">
      <c r="A22" s="79">
        <v>21</v>
      </c>
      <c r="B22" s="79">
        <v>1</v>
      </c>
      <c r="C22" s="79" t="s">
        <v>215</v>
      </c>
      <c r="D22" s="79" t="s">
        <v>215</v>
      </c>
      <c r="E22" s="79" t="s">
        <v>216</v>
      </c>
      <c r="F22" s="79" t="s">
        <v>216</v>
      </c>
      <c r="G22" s="79" t="s">
        <v>217</v>
      </c>
      <c r="H22" s="79" t="s">
        <v>218</v>
      </c>
    </row>
    <row r="23" spans="1:8" ht="15.75" thickBot="1" x14ac:dyDescent="0.3">
      <c r="A23" s="79">
        <v>22</v>
      </c>
      <c r="B23" s="79">
        <v>1</v>
      </c>
      <c r="C23" s="79" t="s">
        <v>219</v>
      </c>
      <c r="D23" s="79" t="s">
        <v>219</v>
      </c>
      <c r="E23" s="79" t="s">
        <v>220</v>
      </c>
      <c r="F23" s="79" t="s">
        <v>220</v>
      </c>
      <c r="G23" s="79" t="s">
        <v>221</v>
      </c>
      <c r="H23" s="79" t="s">
        <v>222</v>
      </c>
    </row>
    <row r="24" spans="1:8" ht="15.75" thickBot="1" x14ac:dyDescent="0.3">
      <c r="A24" s="79">
        <v>23</v>
      </c>
      <c r="B24" s="79">
        <v>1</v>
      </c>
      <c r="C24" s="79" t="s">
        <v>223</v>
      </c>
      <c r="D24" s="79" t="s">
        <v>223</v>
      </c>
      <c r="E24" s="79" t="s">
        <v>224</v>
      </c>
      <c r="F24" s="79" t="s">
        <v>224</v>
      </c>
      <c r="G24" s="79" t="s">
        <v>225</v>
      </c>
      <c r="H24" s="79" t="s">
        <v>226</v>
      </c>
    </row>
    <row r="25" spans="1:8" ht="15.75" thickBot="1" x14ac:dyDescent="0.3">
      <c r="A25" s="79">
        <v>24</v>
      </c>
      <c r="B25" s="79">
        <v>1</v>
      </c>
      <c r="C25" s="79" t="s">
        <v>227</v>
      </c>
      <c r="D25" s="79" t="s">
        <v>227</v>
      </c>
      <c r="E25" s="79" t="s">
        <v>228</v>
      </c>
      <c r="F25" s="79" t="s">
        <v>228</v>
      </c>
      <c r="G25" s="79" t="s">
        <v>229</v>
      </c>
      <c r="H25" s="79" t="s">
        <v>230</v>
      </c>
    </row>
    <row r="26" spans="1:8" ht="15.75" thickBot="1" x14ac:dyDescent="0.3">
      <c r="A26" s="79">
        <v>25</v>
      </c>
      <c r="B26" s="79">
        <v>1</v>
      </c>
      <c r="C26" s="79" t="s">
        <v>231</v>
      </c>
      <c r="D26" s="79" t="s">
        <v>231</v>
      </c>
      <c r="E26" s="79" t="s">
        <v>232</v>
      </c>
      <c r="F26" s="79" t="s">
        <v>232</v>
      </c>
      <c r="G26" s="79" t="s">
        <v>233</v>
      </c>
      <c r="H26" s="79" t="s">
        <v>234</v>
      </c>
    </row>
    <row r="27" spans="1:8" ht="15.75" thickBot="1" x14ac:dyDescent="0.3">
      <c r="A27" s="79">
        <v>26</v>
      </c>
      <c r="B27" s="79">
        <v>1</v>
      </c>
      <c r="C27" s="79" t="s">
        <v>235</v>
      </c>
      <c r="D27" s="79" t="s">
        <v>235</v>
      </c>
      <c r="E27" s="79" t="s">
        <v>236</v>
      </c>
      <c r="F27" s="79" t="s">
        <v>236</v>
      </c>
      <c r="G27" s="79" t="s">
        <v>237</v>
      </c>
      <c r="H27" s="79" t="s">
        <v>238</v>
      </c>
    </row>
    <row r="28" spans="1:8" ht="15.75" thickBot="1" x14ac:dyDescent="0.3">
      <c r="A28" s="79">
        <v>27</v>
      </c>
      <c r="B28" s="79">
        <v>1</v>
      </c>
      <c r="C28" s="79" t="s">
        <v>239</v>
      </c>
      <c r="D28" s="79" t="s">
        <v>239</v>
      </c>
      <c r="E28" s="79" t="s">
        <v>240</v>
      </c>
      <c r="F28" s="79" t="s">
        <v>240</v>
      </c>
      <c r="G28" s="79" t="s">
        <v>241</v>
      </c>
      <c r="H28" s="79" t="s">
        <v>242</v>
      </c>
    </row>
    <row r="29" spans="1:8" ht="15.75" thickBot="1" x14ac:dyDescent="0.3">
      <c r="A29" s="79">
        <v>28</v>
      </c>
      <c r="B29" s="79">
        <v>1</v>
      </c>
      <c r="C29" s="79" t="s">
        <v>243</v>
      </c>
      <c r="D29" s="79" t="s">
        <v>243</v>
      </c>
      <c r="E29" s="79" t="s">
        <v>244</v>
      </c>
      <c r="F29" s="79" t="s">
        <v>244</v>
      </c>
      <c r="G29" s="79" t="s">
        <v>245</v>
      </c>
      <c r="H29" s="79" t="s">
        <v>246</v>
      </c>
    </row>
    <row r="30" spans="1:8" ht="15.75" thickBot="1" x14ac:dyDescent="0.3">
      <c r="A30" s="79">
        <v>29</v>
      </c>
      <c r="B30" s="79">
        <v>1</v>
      </c>
      <c r="C30" s="79" t="s">
        <v>247</v>
      </c>
      <c r="D30" s="79" t="s">
        <v>247</v>
      </c>
      <c r="E30" s="79" t="s">
        <v>248</v>
      </c>
      <c r="F30" s="79" t="s">
        <v>248</v>
      </c>
      <c r="G30" s="79" t="s">
        <v>249</v>
      </c>
      <c r="H30" s="79" t="s">
        <v>250</v>
      </c>
    </row>
    <row r="31" spans="1:8" ht="15.75" thickBot="1" x14ac:dyDescent="0.3">
      <c r="A31" s="79">
        <v>30</v>
      </c>
      <c r="B31" s="79">
        <v>1</v>
      </c>
      <c r="C31" s="79" t="s">
        <v>251</v>
      </c>
      <c r="D31" s="79" t="s">
        <v>251</v>
      </c>
      <c r="E31" s="79" t="s">
        <v>252</v>
      </c>
      <c r="F31" s="79" t="s">
        <v>252</v>
      </c>
      <c r="G31" s="79" t="s">
        <v>253</v>
      </c>
      <c r="H31" s="79" t="s">
        <v>254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53"/>
  <sheetViews>
    <sheetView topLeftCell="A7" workbookViewId="0">
      <selection activeCell="G45" sqref="G45"/>
    </sheetView>
  </sheetViews>
  <sheetFormatPr baseColWidth="10" defaultRowHeight="15" x14ac:dyDescent="0.25"/>
  <cols>
    <col min="1" max="1" width="11.140625" bestFit="1" customWidth="1"/>
    <col min="2" max="2" width="16.5703125" style="51" bestFit="1" customWidth="1"/>
    <col min="3" max="3" width="7.28515625" style="51" bestFit="1" customWidth="1"/>
    <col min="4" max="4" width="23.140625" style="51" bestFit="1" customWidth="1"/>
    <col min="5" max="6" width="11.42578125" style="59"/>
    <col min="7" max="7" width="11.42578125" style="51"/>
    <col min="8" max="8" width="12.5703125" style="51" bestFit="1" customWidth="1"/>
    <col min="9" max="9" width="13.5703125" style="51" bestFit="1" customWidth="1"/>
  </cols>
  <sheetData>
    <row r="7" spans="2:9" ht="17.25" thickBot="1" x14ac:dyDescent="0.3">
      <c r="B7" s="50" t="s">
        <v>88</v>
      </c>
      <c r="C7" s="50" t="s">
        <v>89</v>
      </c>
      <c r="D7" s="50" t="s">
        <v>90</v>
      </c>
      <c r="H7" s="50" t="s">
        <v>98</v>
      </c>
      <c r="I7" s="52" t="s">
        <v>99</v>
      </c>
    </row>
    <row r="8" spans="2:9" ht="18" thickTop="1" thickBot="1" x14ac:dyDescent="0.3">
      <c r="B8" s="53" t="s">
        <v>91</v>
      </c>
      <c r="C8" s="53">
        <v>1.64</v>
      </c>
      <c r="D8" s="54" t="s">
        <v>93</v>
      </c>
      <c r="H8" s="53" t="s">
        <v>100</v>
      </c>
      <c r="I8" s="55" t="s">
        <v>101</v>
      </c>
    </row>
    <row r="9" spans="2:9" ht="17.25" thickBot="1" x14ac:dyDescent="0.3">
      <c r="B9" s="53">
        <v>2022</v>
      </c>
      <c r="C9" s="53">
        <v>1.56</v>
      </c>
      <c r="D9" s="54" t="s">
        <v>94</v>
      </c>
      <c r="H9" s="53" t="s">
        <v>102</v>
      </c>
      <c r="I9" s="55" t="s">
        <v>103</v>
      </c>
    </row>
    <row r="10" spans="2:9" ht="17.25" thickBot="1" x14ac:dyDescent="0.3">
      <c r="B10" s="53">
        <v>2021</v>
      </c>
      <c r="C10" s="53">
        <v>1.23</v>
      </c>
      <c r="D10" s="54" t="s">
        <v>95</v>
      </c>
      <c r="H10" s="53" t="s">
        <v>104</v>
      </c>
      <c r="I10" s="55" t="s">
        <v>105</v>
      </c>
    </row>
    <row r="11" spans="2:9" ht="17.25" thickBot="1" x14ac:dyDescent="0.3">
      <c r="B11" s="53">
        <v>2020</v>
      </c>
      <c r="C11" s="53">
        <v>1.04</v>
      </c>
      <c r="D11" s="54" t="s">
        <v>96</v>
      </c>
      <c r="H11" s="53" t="s">
        <v>106</v>
      </c>
      <c r="I11" s="55" t="s">
        <v>107</v>
      </c>
    </row>
    <row r="12" spans="2:9" ht="17.25" thickBot="1" x14ac:dyDescent="0.3">
      <c r="B12" s="53">
        <v>2019</v>
      </c>
      <c r="C12" s="53">
        <v>1.29</v>
      </c>
      <c r="D12" s="54" t="s">
        <v>97</v>
      </c>
      <c r="H12" s="53" t="s">
        <v>108</v>
      </c>
      <c r="I12" s="55" t="s">
        <v>109</v>
      </c>
    </row>
    <row r="13" spans="2:9" ht="16.5" x14ac:dyDescent="0.25">
      <c r="H13" s="56" t="s">
        <v>110</v>
      </c>
      <c r="I13" s="57" t="s">
        <v>111</v>
      </c>
    </row>
    <row r="18" spans="1:8" ht="17.25" thickBot="1" x14ac:dyDescent="0.3">
      <c r="B18" s="50" t="s">
        <v>88</v>
      </c>
      <c r="C18" s="50" t="s">
        <v>89</v>
      </c>
      <c r="D18" s="50" t="s">
        <v>90</v>
      </c>
    </row>
    <row r="19" spans="1:8" ht="18" thickTop="1" thickBot="1" x14ac:dyDescent="0.3">
      <c r="B19" s="53" t="s">
        <v>91</v>
      </c>
      <c r="C19" s="53" t="s">
        <v>92</v>
      </c>
      <c r="D19" s="54" t="s">
        <v>93</v>
      </c>
    </row>
    <row r="20" spans="1:8" ht="17.25" thickBot="1" x14ac:dyDescent="0.3">
      <c r="B20" s="53">
        <v>2022</v>
      </c>
      <c r="C20" s="53">
        <v>1.56</v>
      </c>
      <c r="D20" s="54" t="s">
        <v>94</v>
      </c>
      <c r="E20" s="59">
        <f>(C20/C21)-1</f>
        <v>0.26829268292682928</v>
      </c>
      <c r="F20" s="60">
        <f>(C20/C25)^(1/5)-1</f>
        <v>6.6618792082255185E-2</v>
      </c>
      <c r="H20" s="51" t="s">
        <v>113</v>
      </c>
    </row>
    <row r="21" spans="1:8" ht="17.25" thickBot="1" x14ac:dyDescent="0.3">
      <c r="B21" s="53">
        <v>2021</v>
      </c>
      <c r="C21" s="53">
        <v>1.23</v>
      </c>
      <c r="D21" s="54" t="s">
        <v>95</v>
      </c>
      <c r="E21" s="59">
        <f t="shared" ref="E21:E25" si="0">(C21/C22)-1</f>
        <v>0.18269230769230771</v>
      </c>
    </row>
    <row r="22" spans="1:8" ht="17.25" thickBot="1" x14ac:dyDescent="0.3">
      <c r="B22" s="53">
        <v>2020</v>
      </c>
      <c r="C22" s="53">
        <v>1.04</v>
      </c>
      <c r="D22" s="54" t="s">
        <v>96</v>
      </c>
      <c r="E22" s="59">
        <f t="shared" si="0"/>
        <v>-0.19379844961240311</v>
      </c>
    </row>
    <row r="23" spans="1:8" ht="17.25" thickBot="1" x14ac:dyDescent="0.3">
      <c r="B23" s="53">
        <v>2019</v>
      </c>
      <c r="C23" s="53">
        <v>1.29</v>
      </c>
      <c r="D23" s="54" t="s">
        <v>97</v>
      </c>
      <c r="E23" s="59">
        <f t="shared" si="0"/>
        <v>3.2000000000000028E-2</v>
      </c>
      <c r="H23" s="51" t="s">
        <v>114</v>
      </c>
    </row>
    <row r="24" spans="1:8" ht="17.25" thickBot="1" x14ac:dyDescent="0.3">
      <c r="B24" s="53">
        <v>2018</v>
      </c>
      <c r="C24" s="53">
        <v>1.25</v>
      </c>
      <c r="D24" s="54" t="s">
        <v>112</v>
      </c>
      <c r="E24" s="59">
        <f t="shared" si="0"/>
        <v>0.10619469026548689</v>
      </c>
    </row>
    <row r="25" spans="1:8" ht="17.25" thickBot="1" x14ac:dyDescent="0.3">
      <c r="B25" s="53">
        <v>2017</v>
      </c>
      <c r="C25" s="53">
        <v>1.1299999999999999</v>
      </c>
      <c r="D25" s="54" t="s">
        <v>112</v>
      </c>
      <c r="E25" s="59">
        <f t="shared" si="0"/>
        <v>2.5312499999999996</v>
      </c>
      <c r="H25" s="60">
        <f>(C9/C10)^(1/1)-1</f>
        <v>0.26829268292682928</v>
      </c>
    </row>
    <row r="26" spans="1:8" ht="16.5" x14ac:dyDescent="0.25">
      <c r="B26" s="56">
        <v>2016</v>
      </c>
      <c r="C26" s="56">
        <v>0.32</v>
      </c>
      <c r="D26" s="58" t="s">
        <v>112</v>
      </c>
    </row>
    <row r="30" spans="1:8" x14ac:dyDescent="0.25">
      <c r="E30" s="63">
        <v>43831</v>
      </c>
      <c r="F30" s="66">
        <v>100</v>
      </c>
    </row>
    <row r="31" spans="1:8" ht="30" customHeight="1" x14ac:dyDescent="0.25">
      <c r="A31" s="85" t="s">
        <v>117</v>
      </c>
      <c r="B31" s="86" t="s">
        <v>118</v>
      </c>
      <c r="C31" s="51" t="s">
        <v>119</v>
      </c>
      <c r="E31" s="63">
        <v>44197</v>
      </c>
      <c r="F31" s="64">
        <v>100</v>
      </c>
      <c r="H31" s="59">
        <f>(F32/F31)-1</f>
        <v>0.27</v>
      </c>
    </row>
    <row r="32" spans="1:8" x14ac:dyDescent="0.25">
      <c r="A32" s="85"/>
      <c r="B32" s="86"/>
      <c r="E32" s="63">
        <v>44562</v>
      </c>
      <c r="F32" s="64">
        <v>127</v>
      </c>
      <c r="H32" s="59">
        <f>(F33/F32)-1</f>
        <v>0.15748031496062986</v>
      </c>
    </row>
    <row r="33" spans="1:6" customFormat="1" ht="15.75" thickBot="1" x14ac:dyDescent="0.3">
      <c r="A33" s="67">
        <v>44902</v>
      </c>
      <c r="B33" s="65">
        <v>0.2</v>
      </c>
      <c r="C33" s="51">
        <v>147</v>
      </c>
      <c r="D33" s="51"/>
      <c r="E33" s="63">
        <v>44896</v>
      </c>
      <c r="F33" s="64">
        <v>147</v>
      </c>
    </row>
    <row r="34" spans="1:6" customFormat="1" ht="15.75" thickBot="1" x14ac:dyDescent="0.3">
      <c r="A34" s="67">
        <v>44811</v>
      </c>
      <c r="B34" s="65">
        <v>0.32</v>
      </c>
      <c r="C34" s="51">
        <v>141</v>
      </c>
      <c r="D34" s="51"/>
      <c r="E34" s="59"/>
      <c r="F34" s="59"/>
    </row>
    <row r="35" spans="1:6" customFormat="1" ht="15.75" thickBot="1" x14ac:dyDescent="0.3">
      <c r="A35" s="67">
        <v>44713</v>
      </c>
      <c r="B35" s="65">
        <v>0.93</v>
      </c>
      <c r="C35" s="51">
        <v>148</v>
      </c>
      <c r="D35" s="51"/>
      <c r="E35" s="66">
        <f>E36*$H$32*3/12+E36-B33</f>
        <v>148.30985816790326</v>
      </c>
      <c r="F35" s="59"/>
    </row>
    <row r="36" spans="1:6" customFormat="1" ht="15.75" thickBot="1" x14ac:dyDescent="0.3">
      <c r="A36" s="67">
        <v>44622</v>
      </c>
      <c r="B36" s="65">
        <v>0.11</v>
      </c>
      <c r="C36" s="51">
        <v>137</v>
      </c>
      <c r="D36" s="51"/>
      <c r="E36" s="66">
        <f t="shared" ref="E36:E37" si="1">E37*$H$32*3/12+E37-B34</f>
        <v>142.88448475245238</v>
      </c>
      <c r="F36" s="59"/>
    </row>
    <row r="37" spans="1:6" customFormat="1" ht="15.75" thickBot="1" x14ac:dyDescent="0.3">
      <c r="A37" s="67">
        <v>44545</v>
      </c>
      <c r="B37" s="65">
        <v>0.31</v>
      </c>
      <c r="C37" s="51">
        <v>126</v>
      </c>
      <c r="D37" s="51"/>
      <c r="E37" s="66">
        <f t="shared" si="1"/>
        <v>137.78007245122311</v>
      </c>
      <c r="F37" s="59"/>
    </row>
    <row r="38" spans="1:6" customFormat="1" ht="15.75" thickBot="1" x14ac:dyDescent="0.3">
      <c r="A38" s="67">
        <v>44454</v>
      </c>
      <c r="B38" s="65">
        <v>0.32</v>
      </c>
      <c r="C38" s="51">
        <v>117</v>
      </c>
      <c r="D38" s="51"/>
      <c r="E38" s="66">
        <f>E39*$H$32*3/12+E39-B36</f>
        <v>133.45590304019194</v>
      </c>
      <c r="F38" s="59"/>
    </row>
    <row r="39" spans="1:6" customFormat="1" ht="15.75" thickBot="1" x14ac:dyDescent="0.3">
      <c r="A39" s="67">
        <v>44363</v>
      </c>
      <c r="B39" s="65">
        <v>0.38</v>
      </c>
      <c r="C39" s="51">
        <v>116</v>
      </c>
      <c r="D39" s="51"/>
      <c r="E39" s="66">
        <f t="shared" ref="E39:E40" si="2">E40*$H$31*3/12+E40-B37</f>
        <v>128.50658853109377</v>
      </c>
      <c r="F39" s="59"/>
    </row>
    <row r="40" spans="1:6" customFormat="1" ht="15.75" thickBot="1" x14ac:dyDescent="0.3">
      <c r="A40" s="67">
        <v>44272</v>
      </c>
      <c r="B40" s="65">
        <v>0.22</v>
      </c>
      <c r="C40" s="51">
        <v>111</v>
      </c>
      <c r="D40" s="39">
        <v>98</v>
      </c>
      <c r="E40" s="66">
        <f t="shared" si="2"/>
        <v>120.67127731250001</v>
      </c>
      <c r="F40" s="59"/>
    </row>
    <row r="41" spans="1:6" customFormat="1" ht="15.75" thickBot="1" x14ac:dyDescent="0.3">
      <c r="A41" s="67">
        <v>44181</v>
      </c>
      <c r="B41" s="65">
        <v>0.23</v>
      </c>
      <c r="C41" s="51">
        <f>13+D41</f>
        <v>100</v>
      </c>
      <c r="D41" s="39">
        <v>87</v>
      </c>
      <c r="E41" s="66">
        <f>E42*$H$31*3/12+E42-B39</f>
        <v>113.34077500000001</v>
      </c>
      <c r="F41" s="59"/>
    </row>
    <row r="42" spans="1:6" customFormat="1" ht="15.75" thickBot="1" x14ac:dyDescent="0.3">
      <c r="A42" s="67">
        <v>44090</v>
      </c>
      <c r="B42" s="65">
        <v>0.25</v>
      </c>
      <c r="C42" s="51">
        <f t="shared" ref="C42:C44" si="3">13+D42</f>
        <v>93</v>
      </c>
      <c r="D42" s="39">
        <v>80</v>
      </c>
      <c r="E42" s="66">
        <f>$F$31+F31*$H$31*3/12-B40</f>
        <v>106.53</v>
      </c>
      <c r="F42" s="59"/>
    </row>
    <row r="43" spans="1:6" customFormat="1" ht="15.75" thickBot="1" x14ac:dyDescent="0.3">
      <c r="A43" s="67">
        <v>43999</v>
      </c>
      <c r="B43" s="65">
        <v>0.39</v>
      </c>
      <c r="C43" s="51">
        <f t="shared" si="3"/>
        <v>94</v>
      </c>
      <c r="D43" s="39">
        <v>81</v>
      </c>
      <c r="E43" s="66">
        <f>$F$31+F32*0*3/12-B41</f>
        <v>99.77</v>
      </c>
      <c r="F43" s="59"/>
    </row>
    <row r="44" spans="1:6" ht="15.75" thickBot="1" x14ac:dyDescent="0.3">
      <c r="A44" s="67">
        <v>43908</v>
      </c>
      <c r="B44" s="65">
        <v>0.17</v>
      </c>
      <c r="C44" s="51">
        <f t="shared" si="3"/>
        <v>83</v>
      </c>
      <c r="D44" s="39">
        <v>70</v>
      </c>
      <c r="E44" s="66">
        <f t="shared" ref="E44:E45" si="4">$F$31+F33*0*3/12-B42</f>
        <v>99.75</v>
      </c>
    </row>
    <row r="45" spans="1:6" x14ac:dyDescent="0.25">
      <c r="E45" s="66">
        <f t="shared" si="4"/>
        <v>99.61</v>
      </c>
    </row>
    <row r="46" spans="1:6" x14ac:dyDescent="0.25">
      <c r="E46" s="66">
        <f>$F$31+F35*0*3/12-B44</f>
        <v>99.83</v>
      </c>
    </row>
    <row r="47" spans="1:6" ht="15.75" thickBot="1" x14ac:dyDescent="0.3">
      <c r="B47" s="62"/>
      <c r="C47" s="62"/>
      <c r="E47" s="66"/>
    </row>
    <row r="48" spans="1:6" ht="15.75" thickBot="1" x14ac:dyDescent="0.3">
      <c r="B48" s="62"/>
      <c r="C48" s="62"/>
      <c r="E48" s="66"/>
    </row>
    <row r="49" spans="2:5" ht="15.75" thickBot="1" x14ac:dyDescent="0.3">
      <c r="B49" s="62"/>
      <c r="C49" s="62"/>
      <c r="E49" s="66"/>
    </row>
    <row r="50" spans="2:5" ht="15.75" thickBot="1" x14ac:dyDescent="0.3">
      <c r="B50" s="62"/>
      <c r="C50" s="62"/>
      <c r="E50" s="66"/>
    </row>
    <row r="51" spans="2:5" x14ac:dyDescent="0.25">
      <c r="E51" s="66"/>
    </row>
    <row r="52" spans="2:5" x14ac:dyDescent="0.25">
      <c r="E52" s="66"/>
    </row>
    <row r="53" spans="2:5" x14ac:dyDescent="0.25">
      <c r="E53" s="66"/>
    </row>
  </sheetData>
  <mergeCells count="2">
    <mergeCell ref="A31:A32"/>
    <mergeCell ref="B31:B32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"/>
  <sheetViews>
    <sheetView zoomScale="85" zoomScaleNormal="85" workbookViewId="0">
      <selection activeCell="AA40" sqref="AA40"/>
    </sheetView>
  </sheetViews>
  <sheetFormatPr baseColWidth="10" defaultRowHeight="15" x14ac:dyDescent="0.25"/>
  <cols>
    <col min="1" max="1" width="22.85546875" bestFit="1" customWidth="1"/>
    <col min="2" max="2" width="18.85546875" bestFit="1" customWidth="1"/>
    <col min="3" max="3" width="23" bestFit="1" customWidth="1"/>
    <col min="4" max="4" width="39.140625" bestFit="1" customWidth="1"/>
    <col min="5" max="5" width="12.85546875" bestFit="1" customWidth="1"/>
    <col min="6" max="6" width="12.42578125" style="10" bestFit="1" customWidth="1"/>
    <col min="7" max="7" width="17.85546875" bestFit="1" customWidth="1"/>
    <col min="8" max="8" width="22.85546875" bestFit="1" customWidth="1"/>
    <col min="9" max="9" width="38.85546875" bestFit="1" customWidth="1"/>
    <col min="10" max="10" width="12.85546875" bestFit="1" customWidth="1"/>
    <col min="11" max="11" width="7.42578125" bestFit="1" customWidth="1"/>
    <col min="12" max="12" width="18.140625" bestFit="1" customWidth="1"/>
    <col min="13" max="13" width="6.28515625" customWidth="1"/>
    <col min="14" max="14" width="2.42578125" style="10" customWidth="1"/>
    <col min="15" max="15" width="18.5703125" bestFit="1" customWidth="1"/>
    <col min="16" max="16" width="15" style="1" bestFit="1" customWidth="1"/>
    <col min="17" max="17" width="16.42578125" style="1" bestFit="1" customWidth="1"/>
    <col min="18" max="18" width="24.42578125" style="1" bestFit="1" customWidth="1"/>
    <col min="19" max="19" width="18.28515625" style="1" bestFit="1" customWidth="1"/>
    <col min="20" max="20" width="35.85546875" bestFit="1" customWidth="1"/>
    <col min="21" max="21" width="12.28515625" bestFit="1" customWidth="1"/>
    <col min="22" max="22" width="11.42578125" style="10"/>
    <col min="23" max="23" width="22.5703125" bestFit="1" customWidth="1"/>
    <col min="24" max="24" width="14.140625" bestFit="1" customWidth="1"/>
    <col min="25" max="25" width="13.5703125" bestFit="1" customWidth="1"/>
    <col min="26" max="26" width="22.85546875" bestFit="1" customWidth="1"/>
    <col min="27" max="27" width="19" bestFit="1" customWidth="1"/>
    <col min="28" max="28" width="38.5703125" bestFit="1" customWidth="1"/>
    <col min="29" max="29" width="12.28515625" bestFit="1" customWidth="1"/>
  </cols>
  <sheetData>
    <row r="1" spans="1:30" x14ac:dyDescent="0.25">
      <c r="B1" s="17" t="s">
        <v>21</v>
      </c>
      <c r="C1" s="23" t="s">
        <v>6</v>
      </c>
      <c r="D1" s="23" t="s">
        <v>85</v>
      </c>
      <c r="G1" s="17" t="s">
        <v>21</v>
      </c>
      <c r="H1" t="s">
        <v>5</v>
      </c>
      <c r="I1" t="s">
        <v>20</v>
      </c>
      <c r="J1" t="s">
        <v>22</v>
      </c>
    </row>
    <row r="2" spans="1:30" x14ac:dyDescent="0.25">
      <c r="A2" s="7" t="s">
        <v>1</v>
      </c>
      <c r="B2" s="5">
        <v>0.1017</v>
      </c>
      <c r="C2" s="3">
        <v>0.1017</v>
      </c>
      <c r="D2" s="3">
        <v>0.10340000000000001</v>
      </c>
      <c r="E2" s="3"/>
      <c r="F2" s="11"/>
      <c r="G2" s="3">
        <v>6.4199999999999993E-2</v>
      </c>
      <c r="H2" s="3">
        <v>8.9399999999999993E-2</v>
      </c>
      <c r="I2" s="3">
        <v>6.4199999999999993E-2</v>
      </c>
      <c r="J2" s="3">
        <v>9.2999999999999999E-2</v>
      </c>
    </row>
    <row r="3" spans="1:30" x14ac:dyDescent="0.25">
      <c r="A3" s="7" t="s">
        <v>0</v>
      </c>
      <c r="B3" s="3">
        <v>2.0500000000000001E-2</v>
      </c>
      <c r="C3" s="3">
        <f>(1.67+1.98+1.76+2.47+2.27+2.17)/6/100</f>
        <v>2.0533333333333334E-2</v>
      </c>
      <c r="D3" s="3">
        <f>(1.71+1.93+1.71+2.45+2.24)/5/100</f>
        <v>2.0080000000000001E-2</v>
      </c>
      <c r="E3" s="3"/>
      <c r="F3" s="11"/>
      <c r="G3" s="3">
        <v>4.0800000000000003E-2</v>
      </c>
      <c r="H3" s="3">
        <v>4.6399999999999997E-2</v>
      </c>
      <c r="I3">
        <f>(4.55+3.92+3.54+4.78+3.6)/5</f>
        <v>4.0780000000000003</v>
      </c>
      <c r="J3" s="5">
        <f>(2.15+2.92+2.36+2.53+2.35)/5/100</f>
        <v>2.4619999999999996E-2</v>
      </c>
    </row>
    <row r="4" spans="1:30" x14ac:dyDescent="0.25">
      <c r="A4" s="7" t="s">
        <v>2</v>
      </c>
      <c r="B4" s="3">
        <v>5.6399999999999999E-2</v>
      </c>
      <c r="C4" s="3">
        <v>5.6399999999999999E-2</v>
      </c>
      <c r="D4" s="3">
        <v>5.5899999999999998E-2</v>
      </c>
      <c r="E4" s="3"/>
      <c r="F4" s="11"/>
      <c r="G4" s="3">
        <v>6.1600000000000002E-2</v>
      </c>
      <c r="H4" s="3">
        <v>6.6600000000000006E-2</v>
      </c>
      <c r="I4" s="3">
        <v>6.1600000000000002E-2</v>
      </c>
      <c r="J4" s="3">
        <v>7.2000000000000008E-2</v>
      </c>
    </row>
    <row r="5" spans="1:30" x14ac:dyDescent="0.25">
      <c r="A5" s="7" t="s">
        <v>4</v>
      </c>
      <c r="B5" s="16">
        <v>10000</v>
      </c>
    </row>
    <row r="6" spans="1:30" x14ac:dyDescent="0.25">
      <c r="A6" s="7" t="s">
        <v>23</v>
      </c>
      <c r="B6" s="1">
        <v>100</v>
      </c>
    </row>
    <row r="7" spans="1:30" x14ac:dyDescent="0.25">
      <c r="A7" s="34" t="s">
        <v>55</v>
      </c>
      <c r="B7" s="35" t="s">
        <v>56</v>
      </c>
      <c r="C7" s="34" t="s">
        <v>57</v>
      </c>
      <c r="D7" s="34" t="s">
        <v>58</v>
      </c>
      <c r="E7" s="35" t="s">
        <v>59</v>
      </c>
      <c r="F7" s="34" t="s">
        <v>60</v>
      </c>
      <c r="G7" s="34" t="s">
        <v>61</v>
      </c>
      <c r="H7" s="35" t="s">
        <v>62</v>
      </c>
      <c r="I7" s="34" t="s">
        <v>63</v>
      </c>
      <c r="J7" s="34" t="s">
        <v>64</v>
      </c>
      <c r="K7" s="34" t="s">
        <v>65</v>
      </c>
      <c r="L7" s="35" t="s">
        <v>66</v>
      </c>
      <c r="M7" s="34" t="s">
        <v>67</v>
      </c>
      <c r="N7" s="35" t="s">
        <v>68</v>
      </c>
      <c r="O7" s="34" t="s">
        <v>69</v>
      </c>
      <c r="P7" s="34" t="s">
        <v>70</v>
      </c>
      <c r="Q7" s="35" t="s">
        <v>71</v>
      </c>
      <c r="R7" s="34" t="s">
        <v>72</v>
      </c>
      <c r="S7" s="34" t="s">
        <v>73</v>
      </c>
      <c r="T7" s="35" t="s">
        <v>74</v>
      </c>
      <c r="U7" s="34" t="s">
        <v>75</v>
      </c>
      <c r="V7" s="34" t="s">
        <v>76</v>
      </c>
      <c r="W7" s="35" t="s">
        <v>77</v>
      </c>
      <c r="X7" s="34" t="s">
        <v>78</v>
      </c>
      <c r="Y7" s="34" t="s">
        <v>79</v>
      </c>
      <c r="Z7" s="35" t="s">
        <v>80</v>
      </c>
      <c r="AA7" s="34" t="s">
        <v>81</v>
      </c>
      <c r="AB7" s="34" t="s">
        <v>82</v>
      </c>
      <c r="AC7" s="35" t="s">
        <v>83</v>
      </c>
    </row>
    <row r="8" spans="1:30" s="13" customFormat="1" x14ac:dyDescent="0.25">
      <c r="B8" s="87" t="s">
        <v>7</v>
      </c>
      <c r="C8" s="87"/>
      <c r="D8" s="87"/>
      <c r="E8" s="87"/>
      <c r="F8" s="14"/>
      <c r="G8" s="87" t="s">
        <v>5</v>
      </c>
      <c r="H8" s="87"/>
      <c r="I8" s="87"/>
      <c r="J8" s="87"/>
      <c r="N8" s="10"/>
      <c r="O8" s="83" t="s">
        <v>31</v>
      </c>
      <c r="P8" s="83"/>
      <c r="Q8" s="83"/>
      <c r="R8" s="83"/>
      <c r="S8" s="83"/>
      <c r="T8" s="83"/>
      <c r="U8" s="83"/>
      <c r="V8" s="10"/>
      <c r="W8" s="83" t="s">
        <v>47</v>
      </c>
      <c r="X8" s="83"/>
      <c r="Y8" s="83"/>
      <c r="Z8" s="83"/>
      <c r="AA8" s="83"/>
      <c r="AB8" s="83"/>
      <c r="AC8" s="83"/>
    </row>
    <row r="9" spans="1:30" x14ac:dyDescent="0.25">
      <c r="B9" s="6" t="s">
        <v>8</v>
      </c>
      <c r="C9" s="6" t="s">
        <v>9</v>
      </c>
      <c r="D9" s="6" t="s">
        <v>13</v>
      </c>
      <c r="E9" s="6" t="s">
        <v>11</v>
      </c>
      <c r="G9" s="6" t="s">
        <v>10</v>
      </c>
      <c r="H9" s="6" t="s">
        <v>9</v>
      </c>
      <c r="I9" s="6" t="s">
        <v>13</v>
      </c>
      <c r="J9" s="6" t="s">
        <v>11</v>
      </c>
      <c r="K9" s="6"/>
      <c r="L9" s="6" t="s">
        <v>12</v>
      </c>
      <c r="O9" s="6" t="s">
        <v>24</v>
      </c>
      <c r="P9" s="26" t="s">
        <v>25</v>
      </c>
      <c r="Q9" s="26" t="s">
        <v>30</v>
      </c>
      <c r="R9" s="26" t="s">
        <v>28</v>
      </c>
      <c r="S9" s="26" t="s">
        <v>29</v>
      </c>
      <c r="T9" s="6" t="s">
        <v>26</v>
      </c>
      <c r="U9" s="6" t="s">
        <v>27</v>
      </c>
      <c r="W9" s="6" t="s">
        <v>24</v>
      </c>
      <c r="X9" s="26" t="s">
        <v>25</v>
      </c>
      <c r="Y9" s="26" t="s">
        <v>30</v>
      </c>
      <c r="Z9" s="26" t="s">
        <v>28</v>
      </c>
      <c r="AA9" s="26" t="s">
        <v>29</v>
      </c>
      <c r="AB9" s="6" t="s">
        <v>26</v>
      </c>
      <c r="AC9" s="6" t="s">
        <v>27</v>
      </c>
    </row>
    <row r="10" spans="1:30" s="29" customFormat="1" x14ac:dyDescent="0.25">
      <c r="A10" s="32" t="s">
        <v>3</v>
      </c>
      <c r="B10" s="29" t="s">
        <v>32</v>
      </c>
      <c r="C10" s="29" t="s">
        <v>33</v>
      </c>
      <c r="D10" s="29" t="s">
        <v>34</v>
      </c>
      <c r="E10" s="29" t="s">
        <v>35</v>
      </c>
      <c r="F10" s="33"/>
      <c r="G10" s="29" t="s">
        <v>36</v>
      </c>
      <c r="H10" s="29" t="s">
        <v>37</v>
      </c>
      <c r="I10" s="29" t="s">
        <v>38</v>
      </c>
      <c r="J10" s="29" t="s">
        <v>39</v>
      </c>
      <c r="L10" s="31">
        <v>2000</v>
      </c>
      <c r="N10" s="33"/>
      <c r="O10" s="30" t="s">
        <v>40</v>
      </c>
      <c r="P10" s="31" t="s">
        <v>41</v>
      </c>
      <c r="Q10" s="31" t="s">
        <v>42</v>
      </c>
      <c r="R10" s="31" t="s">
        <v>43</v>
      </c>
      <c r="S10" s="31" t="s">
        <v>44</v>
      </c>
      <c r="T10" s="29" t="s">
        <v>45</v>
      </c>
      <c r="U10" s="29" t="s">
        <v>46</v>
      </c>
      <c r="V10" s="33"/>
      <c r="W10" s="29" t="s">
        <v>48</v>
      </c>
      <c r="X10" s="29" t="s">
        <v>49</v>
      </c>
      <c r="Y10" s="29" t="s">
        <v>50</v>
      </c>
      <c r="Z10" s="29" t="s">
        <v>51</v>
      </c>
      <c r="AA10" s="29" t="s">
        <v>52</v>
      </c>
      <c r="AB10" s="29" t="s">
        <v>53</v>
      </c>
      <c r="AC10" s="29" t="s">
        <v>54</v>
      </c>
    </row>
    <row r="11" spans="1:30" x14ac:dyDescent="0.25">
      <c r="A11" s="7">
        <v>1</v>
      </c>
      <c r="B11" s="1">
        <f>B5*(1+$B$2)</f>
        <v>11016.999999999998</v>
      </c>
      <c r="C11" s="1">
        <f>B5*B3</f>
        <v>205</v>
      </c>
      <c r="D11" s="1">
        <f>IF(C11&lt;$L$10,0,(C11-$L$10)*26.375/100)</f>
        <v>0</v>
      </c>
      <c r="E11" s="5">
        <f>C11/B11</f>
        <v>1.8607606426431882E-2</v>
      </c>
      <c r="F11" s="12"/>
      <c r="G11" s="1">
        <f>B5*G2+B5</f>
        <v>10642</v>
      </c>
      <c r="H11" s="1">
        <f>B5*G3</f>
        <v>408.00000000000006</v>
      </c>
      <c r="I11" s="1">
        <f>IF(H11&lt;$L$10,0,(H11-$L$10)*26.375/100)</f>
        <v>0</v>
      </c>
      <c r="J11" s="5">
        <f>H11/G11</f>
        <v>3.8338658146964862E-2</v>
      </c>
      <c r="L11" s="6" t="s">
        <v>18</v>
      </c>
      <c r="O11" s="25">
        <f>B5/B6</f>
        <v>100</v>
      </c>
      <c r="P11" s="1">
        <f>B6</f>
        <v>100</v>
      </c>
      <c r="Q11" s="1">
        <f>O11*P11</f>
        <v>10000</v>
      </c>
      <c r="R11" s="1">
        <f>P11*B3</f>
        <v>2.0500000000000003</v>
      </c>
      <c r="S11" s="1">
        <f t="shared" ref="S11:S30" si="0">R11*O11</f>
        <v>205.00000000000003</v>
      </c>
      <c r="T11" s="1">
        <f>IF(S11&lt;$L$10,0,(S11-$L$10)*0.26375)</f>
        <v>0</v>
      </c>
      <c r="U11" s="4">
        <f>P11-R11</f>
        <v>97.95</v>
      </c>
      <c r="W11" s="25">
        <f>B5/B6</f>
        <v>100</v>
      </c>
      <c r="X11" s="1">
        <f>B6</f>
        <v>100</v>
      </c>
      <c r="Y11" s="1">
        <f>W11*X11</f>
        <v>10000</v>
      </c>
      <c r="Z11" s="1">
        <f>X11*G3</f>
        <v>4.08</v>
      </c>
      <c r="AA11" s="1">
        <f>Z11*W11</f>
        <v>408</v>
      </c>
      <c r="AB11" s="1">
        <f>IF(AA11&lt;$L$10,0,(AA11-$L$10)*0.26375)</f>
        <v>0</v>
      </c>
      <c r="AC11" s="4">
        <f>X11-Z11</f>
        <v>95.92</v>
      </c>
      <c r="AD11" s="5">
        <f>AA11/Y11</f>
        <v>4.0800000000000003E-2</v>
      </c>
    </row>
    <row r="12" spans="1:30" x14ac:dyDescent="0.25">
      <c r="A12" s="7">
        <v>2</v>
      </c>
      <c r="B12" s="1">
        <f t="shared" ref="B12:B30" si="1">(B11-D11)*(1+$B$2)</f>
        <v>12137.428899999997</v>
      </c>
      <c r="C12" s="1">
        <f t="shared" ref="C12:C30" si="2">B12*$B$3*(1+$B$4)^A12</f>
        <v>277.67536089295169</v>
      </c>
      <c r="D12" s="1">
        <f t="shared" ref="D12:D30" si="3">IF(C12&lt;$L$10,0,(C12-$L$10)*26.375/100)</f>
        <v>0</v>
      </c>
      <c r="E12" s="5">
        <f t="shared" ref="E12:E16" si="4">C12/B12</f>
        <v>2.2877609680000001E-2</v>
      </c>
      <c r="F12" s="12"/>
      <c r="G12" s="1">
        <f t="shared" ref="G12:G30" si="5">(G11-I11)*(1+$G$2)</f>
        <v>11325.216400000001</v>
      </c>
      <c r="H12" s="1">
        <f t="shared" ref="H12:H30" si="6">G12*$G$3*(1+$G$4)^A12</f>
        <v>520.74905676380979</v>
      </c>
      <c r="I12" s="1">
        <f t="shared" ref="I12:I30" si="7">IF(H12&lt;$L$10,0,(H12-$L$10)*26.375/100)</f>
        <v>0</v>
      </c>
      <c r="J12" s="5">
        <f t="shared" ref="J12:J16" si="8">H12/G12</f>
        <v>4.598137804800001E-2</v>
      </c>
      <c r="L12" s="2">
        <v>0.7</v>
      </c>
      <c r="N12" s="27"/>
      <c r="O12" s="25">
        <f>O11+(S11-T11)/U11</f>
        <v>102.09290454313425</v>
      </c>
      <c r="P12" s="1">
        <f>U11*(1+$B$2)</f>
        <v>107.91151499999999</v>
      </c>
      <c r="Q12" s="1">
        <f t="shared" ref="Q12:Q30" si="9">O12*P12</f>
        <v>11017</v>
      </c>
      <c r="R12" s="1">
        <f>P12*$B$3*(1+$B$4)^A12</f>
        <v>2.4687575201474647</v>
      </c>
      <c r="S12" s="1">
        <f t="shared" si="0"/>
        <v>252.04262584455995</v>
      </c>
      <c r="T12" s="1">
        <f t="shared" ref="T12:T30" si="10">IF(S12&lt;$L$10,0,(S12-$L$10)*0.26375)</f>
        <v>0</v>
      </c>
      <c r="U12" s="4">
        <f>P12-R12</f>
        <v>105.44275747985253</v>
      </c>
      <c r="W12" s="25">
        <f>W11+(AA11-AB11)/AC11</f>
        <v>104.2535446205171</v>
      </c>
      <c r="X12" s="1">
        <f>AC11*(1+$G$2)</f>
        <v>102.07806400000001</v>
      </c>
      <c r="Y12" s="1">
        <f t="shared" ref="Y12" si="11">W12*X12</f>
        <v>10642.000000000002</v>
      </c>
      <c r="Z12" s="1">
        <f>X12*$G$3*(1+$G$4)^A12</f>
        <v>4.6936900511919415</v>
      </c>
      <c r="AA12" s="1">
        <f>Z12*W12</f>
        <v>489.33382518681628</v>
      </c>
      <c r="AB12" s="1">
        <f>IF(AA12&lt;$L$10,0,(AA12-$L$10)*0.26375)</f>
        <v>0</v>
      </c>
      <c r="AC12" s="4">
        <f>X12-Z12</f>
        <v>97.384373948808076</v>
      </c>
      <c r="AD12" s="5">
        <f t="shared" ref="AD12:AD30" si="12">AA12/Y12</f>
        <v>4.5981378048000017E-2</v>
      </c>
    </row>
    <row r="13" spans="1:30" x14ac:dyDescent="0.25">
      <c r="A13" s="7">
        <v>3</v>
      </c>
      <c r="B13" s="1">
        <f t="shared" si="1"/>
        <v>13371.805419129996</v>
      </c>
      <c r="C13" s="1">
        <f t="shared" si="2"/>
        <v>323.16854799916598</v>
      </c>
      <c r="D13" s="1">
        <f t="shared" si="3"/>
        <v>0</v>
      </c>
      <c r="E13" s="5">
        <f t="shared" si="4"/>
        <v>2.4167906865952E-2</v>
      </c>
      <c r="F13" s="12"/>
      <c r="G13" s="1">
        <f t="shared" si="5"/>
        <v>12052.295292880002</v>
      </c>
      <c r="H13" s="1">
        <f t="shared" si="6"/>
        <v>588.31870481446208</v>
      </c>
      <c r="I13" s="1">
        <f t="shared" si="7"/>
        <v>0</v>
      </c>
      <c r="J13" s="5">
        <f t="shared" si="8"/>
        <v>4.8813830935756815E-2</v>
      </c>
      <c r="O13" s="25">
        <f>O12+(S12-T12)/U12</f>
        <v>104.48323112286846</v>
      </c>
      <c r="P13" s="1">
        <f t="shared" ref="P13:P30" si="13">U12*(1+$B$2)</f>
        <v>116.16628591555353</v>
      </c>
      <c r="Q13" s="1">
        <f t="shared" si="9"/>
        <v>12137.428899999999</v>
      </c>
      <c r="R13" s="1">
        <f t="shared" ref="R13:R30" si="14">P13*$B$3*(1+$B$4)^A13</f>
        <v>2.8074959789706488</v>
      </c>
      <c r="S13" s="1">
        <f t="shared" si="0"/>
        <v>293.33625124731418</v>
      </c>
      <c r="T13" s="1">
        <f t="shared" si="10"/>
        <v>0</v>
      </c>
      <c r="U13" s="4">
        <f t="shared" ref="U13:U30" si="15">P13-R13</f>
        <v>113.35878993658288</v>
      </c>
      <c r="W13" s="25">
        <f t="shared" ref="W13:W30" si="16">W12+(AA12-AB12)/AC12</f>
        <v>109.27831199689356</v>
      </c>
      <c r="X13" s="1">
        <f t="shared" ref="X13:X30" si="17">AC12*(1+$G$2)</f>
        <v>103.63645075632155</v>
      </c>
      <c r="Y13" s="1">
        <f t="shared" ref="Y13:Y30" si="18">W13*X13</f>
        <v>11325.216400000003</v>
      </c>
      <c r="Z13" s="1">
        <f t="shared" ref="Z13:Z30" si="19">X13*$G$3*(1+$G$4)^A13</f>
        <v>5.0588921860009659</v>
      </c>
      <c r="AA13" s="1">
        <f t="shared" ref="AA13:AA30" si="20">Z13*W13</f>
        <v>552.82719866046045</v>
      </c>
      <c r="AB13" s="1">
        <f t="shared" ref="AB13:AB30" si="21">IF(AA13&lt;$L$10,0,(AA13-$L$10)*0.26375)</f>
        <v>0</v>
      </c>
      <c r="AC13" s="4">
        <f t="shared" ref="AC13:AC30" si="22">X13-Z13</f>
        <v>98.577558570320591</v>
      </c>
      <c r="AD13" s="5">
        <f t="shared" si="12"/>
        <v>4.8813830935756808E-2</v>
      </c>
    </row>
    <row r="14" spans="1:30" x14ac:dyDescent="0.25">
      <c r="A14" s="7">
        <v>4</v>
      </c>
      <c r="B14" s="1">
        <f t="shared" si="1"/>
        <v>14731.718030255515</v>
      </c>
      <c r="C14" s="1">
        <f t="shared" si="2"/>
        <v>376.11515144893144</v>
      </c>
      <c r="D14" s="1">
        <f t="shared" si="3"/>
        <v>0</v>
      </c>
      <c r="E14" s="5">
        <f t="shared" si="4"/>
        <v>2.5530976813191684E-2</v>
      </c>
      <c r="F14" s="12"/>
      <c r="G14" s="1">
        <f t="shared" si="5"/>
        <v>12826.052650682899</v>
      </c>
      <c r="H14" s="1">
        <f t="shared" si="6"/>
        <v>664.65583362842551</v>
      </c>
      <c r="I14" s="1">
        <f t="shared" si="7"/>
        <v>0</v>
      </c>
      <c r="J14" s="5">
        <f t="shared" si="8"/>
        <v>5.1820762921399449E-2</v>
      </c>
      <c r="O14" s="25">
        <f t="shared" ref="O14:O30" si="23">O13+(S13-T13)/U13</f>
        <v>107.07091092618515</v>
      </c>
      <c r="P14" s="1">
        <f t="shared" si="13"/>
        <v>124.88737887313334</v>
      </c>
      <c r="Q14" s="1">
        <f t="shared" si="9"/>
        <v>13371.805419129998</v>
      </c>
      <c r="R14" s="1">
        <f t="shared" si="14"/>
        <v>3.1884967742702526</v>
      </c>
      <c r="S14" s="1">
        <f t="shared" si="0"/>
        <v>341.39525410631887</v>
      </c>
      <c r="T14" s="1">
        <f t="shared" si="10"/>
        <v>0</v>
      </c>
      <c r="U14" s="4">
        <f t="shared" si="15"/>
        <v>121.69888209886309</v>
      </c>
      <c r="W14" s="25">
        <f t="shared" si="16"/>
        <v>114.88635511216405</v>
      </c>
      <c r="X14" s="1">
        <f t="shared" si="17"/>
        <v>104.90623783053518</v>
      </c>
      <c r="Y14" s="1">
        <f t="shared" si="18"/>
        <v>12052.295292880002</v>
      </c>
      <c r="Z14" s="1">
        <f t="shared" si="19"/>
        <v>5.4363212795921099</v>
      </c>
      <c r="AA14" s="1">
        <f t="shared" si="20"/>
        <v>624.55913703103317</v>
      </c>
      <c r="AB14" s="1">
        <f t="shared" si="21"/>
        <v>0</v>
      </c>
      <c r="AC14" s="4">
        <f t="shared" si="22"/>
        <v>99.469916550943069</v>
      </c>
      <c r="AD14" s="5">
        <f t="shared" si="12"/>
        <v>5.1820762921399449E-2</v>
      </c>
    </row>
    <row r="15" spans="1:30" x14ac:dyDescent="0.25">
      <c r="A15" s="7">
        <v>5</v>
      </c>
      <c r="B15" s="1">
        <f t="shared" si="1"/>
        <v>16229.933753932499</v>
      </c>
      <c r="C15" s="1">
        <f t="shared" si="2"/>
        <v>437.73630826790043</v>
      </c>
      <c r="D15" s="1">
        <f t="shared" si="3"/>
        <v>0</v>
      </c>
      <c r="E15" s="5">
        <f t="shared" si="4"/>
        <v>2.6970923905455701E-2</v>
      </c>
      <c r="F15" s="12"/>
      <c r="G15" s="1">
        <f t="shared" si="5"/>
        <v>13649.485230856742</v>
      </c>
      <c r="H15" s="1">
        <f t="shared" si="6"/>
        <v>750.89806521724847</v>
      </c>
      <c r="I15" s="1">
        <f t="shared" si="7"/>
        <v>0</v>
      </c>
      <c r="J15" s="5">
        <f t="shared" si="8"/>
        <v>5.5012921917357654E-2</v>
      </c>
      <c r="O15" s="25">
        <f t="shared" si="23"/>
        <v>109.87615653089813</v>
      </c>
      <c r="P15" s="1">
        <f t="shared" si="13"/>
        <v>134.07565840831745</v>
      </c>
      <c r="Q15" s="1">
        <f t="shared" si="9"/>
        <v>14731.718030255517</v>
      </c>
      <c r="R15" s="1">
        <f t="shared" si="14"/>
        <v>3.6161443805046014</v>
      </c>
      <c r="S15" s="1">
        <f t="shared" si="0"/>
        <v>397.32804599065122</v>
      </c>
      <c r="T15" s="1">
        <f t="shared" si="10"/>
        <v>0</v>
      </c>
      <c r="U15" s="4">
        <f t="shared" si="15"/>
        <v>130.45951402781284</v>
      </c>
      <c r="W15" s="25">
        <f t="shared" si="16"/>
        <v>121.16522975775771</v>
      </c>
      <c r="X15" s="1">
        <f t="shared" si="17"/>
        <v>105.85588519351361</v>
      </c>
      <c r="Y15" s="1">
        <f t="shared" si="18"/>
        <v>12826.052650682899</v>
      </c>
      <c r="Z15" s="1">
        <f t="shared" si="19"/>
        <v>5.823441546643541</v>
      </c>
      <c r="AA15" s="1">
        <f t="shared" si="20"/>
        <v>705.59863297993661</v>
      </c>
      <c r="AB15" s="1">
        <f t="shared" si="21"/>
        <v>0</v>
      </c>
      <c r="AC15" s="4">
        <f t="shared" si="22"/>
        <v>100.03244364687008</v>
      </c>
      <c r="AD15" s="5">
        <f t="shared" si="12"/>
        <v>5.5012921917357661E-2</v>
      </c>
    </row>
    <row r="16" spans="1:30" x14ac:dyDescent="0.25">
      <c r="A16" s="7">
        <v>6</v>
      </c>
      <c r="B16" s="1">
        <f t="shared" si="1"/>
        <v>17880.518016707432</v>
      </c>
      <c r="C16" s="1">
        <f t="shared" si="2"/>
        <v>509.45322154092304</v>
      </c>
      <c r="D16" s="1">
        <f t="shared" si="3"/>
        <v>0</v>
      </c>
      <c r="E16" s="5">
        <f t="shared" si="4"/>
        <v>2.8492084013723398E-2</v>
      </c>
      <c r="F16" s="12"/>
      <c r="G16" s="1">
        <f t="shared" si="5"/>
        <v>14525.782182677745</v>
      </c>
      <c r="H16" s="1">
        <f t="shared" si="6"/>
        <v>848.33063341805439</v>
      </c>
      <c r="I16" s="1">
        <f t="shared" si="7"/>
        <v>0</v>
      </c>
      <c r="J16" s="5">
        <f t="shared" si="8"/>
        <v>5.8401717907466892E-2</v>
      </c>
      <c r="O16" s="25">
        <f t="shared" si="23"/>
        <v>112.92176074728317</v>
      </c>
      <c r="P16" s="1">
        <f t="shared" si="13"/>
        <v>143.7272466044414</v>
      </c>
      <c r="Q16" s="1">
        <f t="shared" si="9"/>
        <v>16229.933753932501</v>
      </c>
      <c r="R16" s="1">
        <f t="shared" si="14"/>
        <v>4.0950887853148856</v>
      </c>
      <c r="S16" s="1">
        <f t="shared" si="0"/>
        <v>462.42463605421</v>
      </c>
      <c r="T16" s="1">
        <f t="shared" si="10"/>
        <v>0</v>
      </c>
      <c r="U16" s="4">
        <f t="shared" si="15"/>
        <v>139.63215781912652</v>
      </c>
      <c r="W16" s="25">
        <f t="shared" si="16"/>
        <v>128.21892761073437</v>
      </c>
      <c r="X16" s="1">
        <f t="shared" si="17"/>
        <v>106.45452652899914</v>
      </c>
      <c r="Y16" s="1">
        <f t="shared" si="18"/>
        <v>13649.485230856742</v>
      </c>
      <c r="Z16" s="1">
        <f t="shared" si="19"/>
        <v>6.2171272283195576</v>
      </c>
      <c r="AA16" s="1">
        <f t="shared" si="20"/>
        <v>797.15338603463101</v>
      </c>
      <c r="AB16" s="1">
        <f t="shared" si="21"/>
        <v>0</v>
      </c>
      <c r="AC16" s="4">
        <f t="shared" si="22"/>
        <v>100.23739930067958</v>
      </c>
      <c r="AD16" s="5">
        <f t="shared" si="12"/>
        <v>5.8401717907466885E-2</v>
      </c>
    </row>
    <row r="17" spans="1:30" x14ac:dyDescent="0.25">
      <c r="A17" s="7">
        <v>7</v>
      </c>
      <c r="B17" s="1">
        <f t="shared" si="1"/>
        <v>19698.966699006578</v>
      </c>
      <c r="C17" s="1">
        <f t="shared" si="2"/>
        <v>592.91993841091517</v>
      </c>
      <c r="D17" s="1">
        <f t="shared" si="3"/>
        <v>0</v>
      </c>
      <c r="E17" s="5">
        <f t="shared" ref="E17:E26" si="24">C17/B17</f>
        <v>3.0099037552097401E-2</v>
      </c>
      <c r="F17" s="12"/>
      <c r="G17" s="1">
        <f t="shared" si="5"/>
        <v>15458.337398805657</v>
      </c>
      <c r="H17" s="1">
        <f t="shared" si="6"/>
        <v>958.40553722463676</v>
      </c>
      <c r="I17" s="1">
        <f t="shared" si="7"/>
        <v>0</v>
      </c>
      <c r="J17" s="5">
        <f t="shared" ref="J17:J26" si="25">H17/G17</f>
        <v>6.1999263730566856E-2</v>
      </c>
      <c r="O17" s="25">
        <f t="shared" si="23"/>
        <v>116.23349525942338</v>
      </c>
      <c r="P17" s="1">
        <f t="shared" si="13"/>
        <v>153.83274826933166</v>
      </c>
      <c r="Q17" s="1">
        <f t="shared" si="9"/>
        <v>17880.518016707432</v>
      </c>
      <c r="R17" s="1">
        <f t="shared" si="14"/>
        <v>4.6302176669009594</v>
      </c>
      <c r="S17" s="1">
        <f t="shared" si="0"/>
        <v>538.18638323583104</v>
      </c>
      <c r="T17" s="1">
        <f t="shared" si="10"/>
        <v>0</v>
      </c>
      <c r="U17" s="4">
        <f t="shared" si="15"/>
        <v>149.2025306024307</v>
      </c>
      <c r="W17" s="25">
        <f t="shared" si="16"/>
        <v>136.17158192535231</v>
      </c>
      <c r="X17" s="1">
        <f t="shared" si="17"/>
        <v>106.67264033578321</v>
      </c>
      <c r="Y17" s="1">
        <f t="shared" si="18"/>
        <v>14525.782182677745</v>
      </c>
      <c r="Z17" s="1">
        <f t="shared" si="19"/>
        <v>6.6136251610141272</v>
      </c>
      <c r="AA17" s="1">
        <f t="shared" si="20"/>
        <v>900.58780043660659</v>
      </c>
      <c r="AB17" s="1">
        <f t="shared" si="21"/>
        <v>0</v>
      </c>
      <c r="AC17" s="4">
        <f t="shared" si="22"/>
        <v>100.05901517476909</v>
      </c>
      <c r="AD17" s="5">
        <f t="shared" si="12"/>
        <v>6.1999263730566856E-2</v>
      </c>
    </row>
    <row r="18" spans="1:30" x14ac:dyDescent="0.25">
      <c r="A18" s="7">
        <v>8</v>
      </c>
      <c r="B18" s="1">
        <f t="shared" si="1"/>
        <v>21702.351612295544</v>
      </c>
      <c r="C18" s="1">
        <f t="shared" si="2"/>
        <v>690.06149829001299</v>
      </c>
      <c r="D18" s="1">
        <f t="shared" si="3"/>
        <v>0</v>
      </c>
      <c r="E18" s="5">
        <f t="shared" si="24"/>
        <v>3.1796623270035684E-2</v>
      </c>
      <c r="F18" s="12"/>
      <c r="G18" s="1">
        <f t="shared" si="5"/>
        <v>16450.762659808981</v>
      </c>
      <c r="H18" s="1">
        <f t="shared" si="6"/>
        <v>1082.7631793536693</v>
      </c>
      <c r="I18" s="1">
        <f t="shared" si="7"/>
        <v>0</v>
      </c>
      <c r="J18" s="5">
        <f t="shared" si="25"/>
        <v>6.5818418376369786E-2</v>
      </c>
      <c r="O18" s="25">
        <f t="shared" si="23"/>
        <v>119.84058141984447</v>
      </c>
      <c r="P18" s="1">
        <f t="shared" si="13"/>
        <v>164.37642796469788</v>
      </c>
      <c r="Q18" s="1">
        <f t="shared" si="9"/>
        <v>19698.966699006574</v>
      </c>
      <c r="R18" s="1">
        <f t="shared" si="14"/>
        <v>5.2266153544676577</v>
      </c>
      <c r="S18" s="1">
        <f t="shared" si="0"/>
        <v>626.3606229372906</v>
      </c>
      <c r="T18" s="1">
        <f t="shared" si="10"/>
        <v>0</v>
      </c>
      <c r="U18" s="4">
        <f t="shared" si="15"/>
        <v>159.14981261023021</v>
      </c>
      <c r="W18" s="25">
        <f t="shared" si="16"/>
        <v>145.1721482297836</v>
      </c>
      <c r="X18" s="1">
        <f t="shared" si="17"/>
        <v>106.48280394898927</v>
      </c>
      <c r="Y18" s="1">
        <f t="shared" si="18"/>
        <v>15458.337398805657</v>
      </c>
      <c r="Z18" s="1">
        <f t="shared" si="19"/>
        <v>7.0085297402035369</v>
      </c>
      <c r="AA18" s="1">
        <f t="shared" si="20"/>
        <v>1017.4433183176747</v>
      </c>
      <c r="AB18" s="1">
        <f t="shared" si="21"/>
        <v>0</v>
      </c>
      <c r="AC18" s="4">
        <f t="shared" si="22"/>
        <v>99.474274208785729</v>
      </c>
      <c r="AD18" s="5">
        <f t="shared" si="12"/>
        <v>6.5818418376369786E-2</v>
      </c>
    </row>
    <row r="19" spans="1:30" x14ac:dyDescent="0.25">
      <c r="A19" s="7">
        <v>9</v>
      </c>
      <c r="B19" s="1">
        <f t="shared" si="1"/>
        <v>23909.480771266</v>
      </c>
      <c r="C19" s="1">
        <f t="shared" si="2"/>
        <v>803.1183311164757</v>
      </c>
      <c r="D19" s="1">
        <f t="shared" si="3"/>
        <v>0</v>
      </c>
      <c r="E19" s="5">
        <f t="shared" si="24"/>
        <v>3.3589952822465699E-2</v>
      </c>
      <c r="F19" s="12"/>
      <c r="G19" s="1">
        <f t="shared" si="5"/>
        <v>17506.901622568719</v>
      </c>
      <c r="H19" s="1">
        <f t="shared" si="6"/>
        <v>1223.2568125170146</v>
      </c>
      <c r="I19" s="1">
        <f t="shared" si="7"/>
        <v>0</v>
      </c>
      <c r="J19" s="5">
        <f t="shared" si="25"/>
        <v>6.9872832948354169E-2</v>
      </c>
      <c r="O19" s="25">
        <f t="shared" si="23"/>
        <v>123.77624815211574</v>
      </c>
      <c r="P19" s="1">
        <f t="shared" si="13"/>
        <v>175.33534855269062</v>
      </c>
      <c r="Q19" s="1">
        <f t="shared" si="9"/>
        <v>21702.351612295541</v>
      </c>
      <c r="R19" s="1">
        <f t="shared" si="14"/>
        <v>5.8895060859954569</v>
      </c>
      <c r="S19" s="1">
        <f t="shared" si="0"/>
        <v>728.98096679356956</v>
      </c>
      <c r="T19" s="1">
        <f t="shared" si="10"/>
        <v>0</v>
      </c>
      <c r="U19" s="4">
        <f t="shared" si="15"/>
        <v>169.44584246669515</v>
      </c>
      <c r="W19" s="25">
        <f t="shared" si="16"/>
        <v>155.40035372723887</v>
      </c>
      <c r="X19" s="1">
        <f t="shared" si="17"/>
        <v>105.86052261298978</v>
      </c>
      <c r="Y19" s="1">
        <f t="shared" si="18"/>
        <v>16450.762659808981</v>
      </c>
      <c r="Z19" s="1">
        <f t="shared" si="19"/>
        <v>7.3967746123629041</v>
      </c>
      <c r="AA19" s="1">
        <f t="shared" si="20"/>
        <v>1149.4613912018553</v>
      </c>
      <c r="AB19" s="1">
        <f t="shared" si="21"/>
        <v>0</v>
      </c>
      <c r="AC19" s="4">
        <f t="shared" si="22"/>
        <v>98.463748000626879</v>
      </c>
      <c r="AD19" s="5">
        <f t="shared" si="12"/>
        <v>6.9872832948354169E-2</v>
      </c>
    </row>
    <row r="20" spans="1:30" x14ac:dyDescent="0.25">
      <c r="A20" s="7">
        <v>10</v>
      </c>
      <c r="B20" s="1">
        <f t="shared" si="1"/>
        <v>26341.074965703749</v>
      </c>
      <c r="C20" s="1">
        <f t="shared" si="2"/>
        <v>934.69792963907457</v>
      </c>
      <c r="D20" s="1">
        <f t="shared" si="3"/>
        <v>0</v>
      </c>
      <c r="E20" s="5">
        <f t="shared" si="24"/>
        <v>3.5484426161652753E-2</v>
      </c>
      <c r="F20" s="12"/>
      <c r="G20" s="1">
        <f t="shared" si="5"/>
        <v>18630.844706737633</v>
      </c>
      <c r="H20" s="1">
        <f t="shared" si="6"/>
        <v>1381.9801577132528</v>
      </c>
      <c r="I20" s="1">
        <f t="shared" si="7"/>
        <v>0</v>
      </c>
      <c r="J20" s="5">
        <f t="shared" si="25"/>
        <v>7.4176999457972792E-2</v>
      </c>
      <c r="O20" s="25">
        <f t="shared" si="23"/>
        <v>128.07839541156739</v>
      </c>
      <c r="P20" s="1">
        <f t="shared" si="13"/>
        <v>186.67848464555803</v>
      </c>
      <c r="Q20" s="1">
        <f t="shared" si="9"/>
        <v>23909.480771265993</v>
      </c>
      <c r="R20" s="1">
        <f t="shared" si="14"/>
        <v>6.6241789043745314</v>
      </c>
      <c r="S20" s="1">
        <f t="shared" si="0"/>
        <v>848.41420499144442</v>
      </c>
      <c r="T20" s="1">
        <f t="shared" si="10"/>
        <v>0</v>
      </c>
      <c r="U20" s="4">
        <f t="shared" si="15"/>
        <v>180.0543057411835</v>
      </c>
      <c r="W20" s="25">
        <f t="shared" si="16"/>
        <v>167.0743090107056</v>
      </c>
      <c r="X20" s="1">
        <f t="shared" si="17"/>
        <v>104.78512062226713</v>
      </c>
      <c r="Y20" s="1">
        <f t="shared" si="18"/>
        <v>17506.901622568719</v>
      </c>
      <c r="Z20" s="1">
        <f t="shared" si="19"/>
        <v>7.772645835601522</v>
      </c>
      <c r="AA20" s="1">
        <f t="shared" si="20"/>
        <v>1298.6094321680628</v>
      </c>
      <c r="AB20" s="1">
        <f t="shared" si="21"/>
        <v>0</v>
      </c>
      <c r="AC20" s="4">
        <f t="shared" si="22"/>
        <v>97.012474786665607</v>
      </c>
      <c r="AD20" s="5">
        <f t="shared" si="12"/>
        <v>7.4176999457972792E-2</v>
      </c>
    </row>
    <row r="21" spans="1:30" x14ac:dyDescent="0.25">
      <c r="A21" s="7">
        <v>11</v>
      </c>
      <c r="B21" s="1">
        <f t="shared" si="1"/>
        <v>29019.962289715819</v>
      </c>
      <c r="C21" s="1">
        <f t="shared" si="2"/>
        <v>1087.8349874756705</v>
      </c>
      <c r="D21" s="1">
        <f t="shared" si="3"/>
        <v>0</v>
      </c>
      <c r="E21" s="5">
        <f t="shared" si="24"/>
        <v>3.7485747797169976E-2</v>
      </c>
      <c r="F21" s="12"/>
      <c r="G21" s="1">
        <f t="shared" si="5"/>
        <v>19826.944936910189</v>
      </c>
      <c r="H21" s="1">
        <f t="shared" si="6"/>
        <v>1561.2986061228917</v>
      </c>
      <c r="I21" s="1">
        <f t="shared" si="7"/>
        <v>0</v>
      </c>
      <c r="J21" s="5">
        <f t="shared" si="25"/>
        <v>7.8746302624583916E-2</v>
      </c>
      <c r="O21" s="25">
        <f t="shared" si="23"/>
        <v>132.79038606071623</v>
      </c>
      <c r="P21" s="1">
        <f t="shared" si="13"/>
        <v>198.36582863506183</v>
      </c>
      <c r="Q21" s="1">
        <f t="shared" si="9"/>
        <v>26341.074965703738</v>
      </c>
      <c r="R21" s="1">
        <f t="shared" si="14"/>
        <v>7.435891423790566</v>
      </c>
      <c r="S21" s="1">
        <f t="shared" si="0"/>
        <v>987.41489287071818</v>
      </c>
      <c r="T21" s="1">
        <f t="shared" si="10"/>
        <v>0</v>
      </c>
      <c r="U21" s="4">
        <f t="shared" si="15"/>
        <v>190.92993721127127</v>
      </c>
      <c r="W21" s="25">
        <f t="shared" si="16"/>
        <v>180.46031359438166</v>
      </c>
      <c r="X21" s="1">
        <f t="shared" si="17"/>
        <v>103.24067566796954</v>
      </c>
      <c r="Y21" s="1">
        <f t="shared" si="18"/>
        <v>18630.844706737633</v>
      </c>
      <c r="Z21" s="1">
        <f t="shared" si="19"/>
        <v>8.1298214893164467</v>
      </c>
      <c r="AA21" s="1">
        <f t="shared" si="20"/>
        <v>1467.110135428389</v>
      </c>
      <c r="AB21" s="1">
        <f t="shared" si="21"/>
        <v>0</v>
      </c>
      <c r="AC21" s="4">
        <f t="shared" si="22"/>
        <v>95.110854178653099</v>
      </c>
      <c r="AD21" s="5">
        <f t="shared" si="12"/>
        <v>7.8746302624583916E-2</v>
      </c>
    </row>
    <row r="22" spans="1:30" x14ac:dyDescent="0.25">
      <c r="A22" s="7">
        <v>12</v>
      </c>
      <c r="B22" s="1">
        <f t="shared" si="1"/>
        <v>31971.292454579914</v>
      </c>
      <c r="C22" s="1">
        <f t="shared" si="2"/>
        <v>1266.0613899435355</v>
      </c>
      <c r="D22" s="1">
        <f t="shared" si="3"/>
        <v>0</v>
      </c>
      <c r="E22" s="5">
        <f t="shared" si="24"/>
        <v>3.9599943972930353E-2</v>
      </c>
      <c r="F22" s="12"/>
      <c r="G22" s="1">
        <f t="shared" si="5"/>
        <v>21099.834801859823</v>
      </c>
      <c r="H22" s="1">
        <f t="shared" si="6"/>
        <v>1763.884469596758</v>
      </c>
      <c r="I22" s="1">
        <f t="shared" si="7"/>
        <v>0</v>
      </c>
      <c r="J22" s="5">
        <f t="shared" si="25"/>
        <v>8.3597074866258295E-2</v>
      </c>
      <c r="O22" s="25">
        <f t="shared" si="23"/>
        <v>137.96199459572614</v>
      </c>
      <c r="P22" s="1">
        <f t="shared" si="13"/>
        <v>210.34751182565753</v>
      </c>
      <c r="Q22" s="1">
        <f t="shared" si="9"/>
        <v>29019.962289715804</v>
      </c>
      <c r="R22" s="1">
        <f t="shared" si="14"/>
        <v>8.3297496831413422</v>
      </c>
      <c r="S22" s="1">
        <f t="shared" si="0"/>
        <v>1149.1888807692974</v>
      </c>
      <c r="T22" s="1">
        <f t="shared" si="10"/>
        <v>0</v>
      </c>
      <c r="U22" s="4">
        <f t="shared" si="15"/>
        <v>202.0177621425162</v>
      </c>
      <c r="W22" s="25">
        <f t="shared" si="16"/>
        <v>195.885578650593</v>
      </c>
      <c r="X22" s="1">
        <f t="shared" si="17"/>
        <v>101.21697101692263</v>
      </c>
      <c r="Y22" s="1">
        <f t="shared" si="18"/>
        <v>19826.944936910189</v>
      </c>
      <c r="Z22" s="1">
        <f t="shared" si="19"/>
        <v>8.4614427038375783</v>
      </c>
      <c r="AA22" s="1">
        <f t="shared" si="20"/>
        <v>1657.4746002600623</v>
      </c>
      <c r="AB22" s="1">
        <f t="shared" si="21"/>
        <v>0</v>
      </c>
      <c r="AC22" s="4">
        <f t="shared" si="22"/>
        <v>92.755528313085051</v>
      </c>
      <c r="AD22" s="5">
        <f t="shared" si="12"/>
        <v>8.3597074866258309E-2</v>
      </c>
    </row>
    <row r="23" spans="1:30" x14ac:dyDescent="0.25">
      <c r="A23" s="7">
        <v>13</v>
      </c>
      <c r="B23" s="1">
        <f t="shared" si="1"/>
        <v>35222.772897210685</v>
      </c>
      <c r="C23" s="1">
        <f t="shared" si="2"/>
        <v>1473.4876718989576</v>
      </c>
      <c r="D23" s="1">
        <f t="shared" si="3"/>
        <v>0</v>
      </c>
      <c r="E23" s="5">
        <f t="shared" si="24"/>
        <v>4.1833380813003626E-2</v>
      </c>
      <c r="F23" s="12"/>
      <c r="G23" s="1">
        <f t="shared" si="5"/>
        <v>22454.444196139222</v>
      </c>
      <c r="H23" s="1">
        <f t="shared" si="6"/>
        <v>1992.7568050616342</v>
      </c>
      <c r="I23" s="1">
        <f t="shared" si="7"/>
        <v>0</v>
      </c>
      <c r="J23" s="5">
        <f t="shared" si="25"/>
        <v>8.8746654678019829E-2</v>
      </c>
      <c r="O23" s="25">
        <f t="shared" si="23"/>
        <v>143.65054825844115</v>
      </c>
      <c r="P23" s="1">
        <f t="shared" si="13"/>
        <v>222.56296855241007</v>
      </c>
      <c r="Q23" s="1">
        <f t="shared" si="9"/>
        <v>31971.292454579903</v>
      </c>
      <c r="R23" s="1">
        <f t="shared" si="14"/>
        <v>9.3105614183255199</v>
      </c>
      <c r="S23" s="1">
        <f t="shared" si="0"/>
        <v>1337.4672523363504</v>
      </c>
      <c r="T23" s="1">
        <f t="shared" si="10"/>
        <v>0</v>
      </c>
      <c r="U23" s="4">
        <f t="shared" si="15"/>
        <v>213.25240713408454</v>
      </c>
      <c r="W23" s="25">
        <f t="shared" si="16"/>
        <v>213.75485965630793</v>
      </c>
      <c r="X23" s="1">
        <f t="shared" si="17"/>
        <v>98.710433230785114</v>
      </c>
      <c r="Y23" s="1">
        <f t="shared" si="18"/>
        <v>21099.834801859826</v>
      </c>
      <c r="Z23" s="1">
        <f t="shared" si="19"/>
        <v>8.7602207310502216</v>
      </c>
      <c r="AA23" s="1">
        <f t="shared" si="20"/>
        <v>1872.5397529239194</v>
      </c>
      <c r="AB23" s="1">
        <f t="shared" si="21"/>
        <v>0</v>
      </c>
      <c r="AC23" s="4">
        <f t="shared" si="22"/>
        <v>89.950212499734889</v>
      </c>
      <c r="AD23" s="5">
        <f t="shared" si="12"/>
        <v>8.8746654678019857E-2</v>
      </c>
    </row>
    <row r="24" spans="1:30" x14ac:dyDescent="0.25">
      <c r="A24" s="7">
        <v>14</v>
      </c>
      <c r="B24" s="1">
        <f t="shared" si="1"/>
        <v>38804.928900857005</v>
      </c>
      <c r="C24" s="1">
        <f t="shared" si="2"/>
        <v>1714.897821293674</v>
      </c>
      <c r="D24" s="1">
        <f t="shared" si="3"/>
        <v>0</v>
      </c>
      <c r="E24" s="5">
        <f t="shared" si="24"/>
        <v>4.4192783490857021E-2</v>
      </c>
      <c r="F24" s="12"/>
      <c r="G24" s="1">
        <f t="shared" si="5"/>
        <v>23896.019513531362</v>
      </c>
      <c r="H24" s="1">
        <f t="shared" si="6"/>
        <v>2251.326406330501</v>
      </c>
      <c r="I24" s="1">
        <f t="shared" si="7"/>
        <v>66.28733966966962</v>
      </c>
      <c r="J24" s="5">
        <f t="shared" si="25"/>
        <v>9.4213448606185843E-2</v>
      </c>
      <c r="O24" s="25">
        <f t="shared" si="23"/>
        <v>149.92230514180147</v>
      </c>
      <c r="P24" s="1">
        <f t="shared" si="13"/>
        <v>234.9401769396209</v>
      </c>
      <c r="Q24" s="1">
        <f t="shared" si="9"/>
        <v>35222.772897210671</v>
      </c>
      <c r="R24" s="1">
        <f t="shared" si="14"/>
        <v>10.382660372796307</v>
      </c>
      <c r="S24" s="1">
        <f t="shared" si="0"/>
        <v>1556.5923765940581</v>
      </c>
      <c r="T24" s="1">
        <f t="shared" si="10"/>
        <v>0</v>
      </c>
      <c r="U24" s="4">
        <f t="shared" si="15"/>
        <v>224.5575165668246</v>
      </c>
      <c r="W24" s="25">
        <f t="shared" si="16"/>
        <v>234.57237304383258</v>
      </c>
      <c r="X24" s="1">
        <f t="shared" si="17"/>
        <v>95.725016142217868</v>
      </c>
      <c r="Y24" s="1">
        <f t="shared" si="18"/>
        <v>22454.444196139226</v>
      </c>
      <c r="Z24" s="1">
        <f t="shared" si="19"/>
        <v>9.0185838886411549</v>
      </c>
      <c r="AA24" s="1">
        <f t="shared" si="20"/>
        <v>2115.5106242534312</v>
      </c>
      <c r="AB24" s="1">
        <f t="shared" si="21"/>
        <v>30.465927146842468</v>
      </c>
      <c r="AC24" s="4">
        <f t="shared" si="22"/>
        <v>86.706432253576708</v>
      </c>
      <c r="AD24" s="5">
        <f t="shared" si="12"/>
        <v>9.4213448606185857E-2</v>
      </c>
    </row>
    <row r="25" spans="1:30" x14ac:dyDescent="0.25">
      <c r="A25" s="7">
        <v>15</v>
      </c>
      <c r="B25" s="1">
        <f t="shared" si="1"/>
        <v>42751.390170074155</v>
      </c>
      <c r="C25" s="1">
        <f t="shared" si="2"/>
        <v>1995.8596149554057</v>
      </c>
      <c r="D25" s="1">
        <f t="shared" si="3"/>
        <v>0</v>
      </c>
      <c r="E25" s="5">
        <f t="shared" si="24"/>
        <v>4.6685256479741366E-2</v>
      </c>
      <c r="F25" s="12"/>
      <c r="G25" s="1">
        <f t="shared" si="5"/>
        <v>25359.600979423612</v>
      </c>
      <c r="H25" s="1">
        <f t="shared" si="6"/>
        <v>2536.3911361028827</v>
      </c>
      <c r="I25" s="1">
        <f t="shared" si="7"/>
        <v>141.4731621471353</v>
      </c>
      <c r="J25" s="5">
        <f t="shared" si="25"/>
        <v>0.1000169970403269</v>
      </c>
      <c r="O25" s="25">
        <f t="shared" si="23"/>
        <v>156.85412555196726</v>
      </c>
      <c r="P25" s="1">
        <f t="shared" si="13"/>
        <v>247.39501600167065</v>
      </c>
      <c r="Q25" s="1">
        <f t="shared" si="9"/>
        <v>38804.928900856998</v>
      </c>
      <c r="R25" s="1">
        <f t="shared" si="14"/>
        <v>11.549699773847715</v>
      </c>
      <c r="S25" s="1">
        <f t="shared" si="0"/>
        <v>1811.6180584146373</v>
      </c>
      <c r="T25" s="1">
        <f t="shared" si="10"/>
        <v>0</v>
      </c>
      <c r="U25" s="4">
        <f t="shared" si="15"/>
        <v>235.84531622782293</v>
      </c>
      <c r="W25" s="25">
        <f t="shared" si="16"/>
        <v>258.61954743348787</v>
      </c>
      <c r="X25" s="1">
        <f t="shared" si="17"/>
        <v>92.272985204256329</v>
      </c>
      <c r="Y25" s="1">
        <f t="shared" si="18"/>
        <v>23863.597673861696</v>
      </c>
      <c r="Z25" s="1">
        <f t="shared" si="19"/>
        <v>9.2288668880762348</v>
      </c>
      <c r="AA25" s="1">
        <f t="shared" si="20"/>
        <v>2386.7653779181774</v>
      </c>
      <c r="AB25" s="1">
        <f t="shared" si="21"/>
        <v>102.00936842591928</v>
      </c>
      <c r="AC25" s="4">
        <f t="shared" si="22"/>
        <v>83.044118316180089</v>
      </c>
      <c r="AD25" s="5">
        <f t="shared" si="12"/>
        <v>0.1000169970403269</v>
      </c>
    </row>
    <row r="26" spans="1:30" x14ac:dyDescent="0.25">
      <c r="A26" s="7">
        <v>16</v>
      </c>
      <c r="B26" s="1">
        <f t="shared" si="1"/>
        <v>47099.206550370691</v>
      </c>
      <c r="C26" s="1">
        <f t="shared" si="2"/>
        <v>2322.8530313280849</v>
      </c>
      <c r="D26" s="1">
        <f t="shared" si="3"/>
        <v>85.152487012782387</v>
      </c>
      <c r="E26" s="5">
        <f t="shared" si="24"/>
        <v>4.9318304945198767E-2</v>
      </c>
      <c r="F26" s="12"/>
      <c r="G26" s="1">
        <f t="shared" si="5"/>
        <v>26837.131623145626</v>
      </c>
      <c r="H26" s="1">
        <f t="shared" si="6"/>
        <v>2849.5141438729984</v>
      </c>
      <c r="I26" s="1">
        <f t="shared" si="7"/>
        <v>224.05935544650333</v>
      </c>
      <c r="J26" s="5">
        <f t="shared" si="25"/>
        <v>0.10617804405801107</v>
      </c>
      <c r="O26" s="25">
        <f t="shared" si="23"/>
        <v>164.53550794017903</v>
      </c>
      <c r="P26" s="1">
        <f t="shared" si="13"/>
        <v>259.83078488819251</v>
      </c>
      <c r="Q26" s="1">
        <f t="shared" si="9"/>
        <v>42751.390170074148</v>
      </c>
      <c r="R26" s="1">
        <f t="shared" si="14"/>
        <v>12.814413883266223</v>
      </c>
      <c r="S26" s="1">
        <f t="shared" si="0"/>
        <v>2108.4260972388902</v>
      </c>
      <c r="T26" s="1">
        <f t="shared" si="10"/>
        <v>28.597383146757284</v>
      </c>
      <c r="U26" s="4">
        <f t="shared" si="15"/>
        <v>247.0163710049263</v>
      </c>
      <c r="W26" s="25">
        <f t="shared" si="16"/>
        <v>286.132104081911</v>
      </c>
      <c r="X26" s="1">
        <f t="shared" si="17"/>
        <v>88.375550712078848</v>
      </c>
      <c r="Y26" s="1">
        <f t="shared" si="18"/>
        <v>25287.082274644748</v>
      </c>
      <c r="Z26" s="1">
        <f t="shared" si="19"/>
        <v>9.3835431171580996</v>
      </c>
      <c r="AA26" s="1">
        <f t="shared" si="20"/>
        <v>2684.9329358557811</v>
      </c>
      <c r="AB26" s="1">
        <f t="shared" si="21"/>
        <v>180.65106183196227</v>
      </c>
      <c r="AC26" s="4">
        <f t="shared" si="22"/>
        <v>78.99200759492075</v>
      </c>
      <c r="AD26" s="5">
        <f t="shared" si="12"/>
        <v>0.10617804405801108</v>
      </c>
    </row>
    <row r="27" spans="1:30" x14ac:dyDescent="0.25">
      <c r="A27" s="7">
        <v>17</v>
      </c>
      <c r="B27" s="1">
        <f t="shared" si="1"/>
        <v>51795.383361601402</v>
      </c>
      <c r="C27" s="1">
        <f t="shared" si="2"/>
        <v>2698.5320842228166</v>
      </c>
      <c r="D27" s="1">
        <f t="shared" si="3"/>
        <v>184.23783721376788</v>
      </c>
      <c r="E27" s="5">
        <f t="shared" ref="E27:E30" si="26">C27/B27</f>
        <v>5.2099857344107971E-2</v>
      </c>
      <c r="F27" s="12"/>
      <c r="G27" s="1">
        <f t="shared" si="5"/>
        <v>28321.631507285405</v>
      </c>
      <c r="H27" s="1">
        <f t="shared" si="6"/>
        <v>3192.374980954583</v>
      </c>
      <c r="I27" s="1">
        <f t="shared" si="7"/>
        <v>314.48890122677125</v>
      </c>
      <c r="J27" s="5">
        <f t="shared" ref="J27:J30" si="27">H27/G27</f>
        <v>0.11271861157198455</v>
      </c>
      <c r="O27" s="25">
        <f t="shared" si="23"/>
        <v>172.95530904741275</v>
      </c>
      <c r="P27" s="1">
        <f t="shared" si="13"/>
        <v>272.13793593612729</v>
      </c>
      <c r="Q27" s="1">
        <f t="shared" si="9"/>
        <v>47067.700813357907</v>
      </c>
      <c r="R27" s="1">
        <f t="shared" si="14"/>
        <v>14.178347640192227</v>
      </c>
      <c r="S27" s="1">
        <f t="shared" si="0"/>
        <v>2452.2204978911018</v>
      </c>
      <c r="T27" s="1">
        <f t="shared" si="10"/>
        <v>119.27315631877809</v>
      </c>
      <c r="U27" s="4">
        <f t="shared" si="15"/>
        <v>257.95958829593508</v>
      </c>
      <c r="W27" s="25">
        <f t="shared" si="16"/>
        <v>317.8350820194517</v>
      </c>
      <c r="X27" s="1">
        <f t="shared" si="17"/>
        <v>84.063294482514664</v>
      </c>
      <c r="Y27" s="1">
        <f t="shared" si="18"/>
        <v>26718.264096675372</v>
      </c>
      <c r="Z27" s="1">
        <f t="shared" si="19"/>
        <v>9.4754978382359241</v>
      </c>
      <c r="AA27" s="1">
        <f t="shared" si="20"/>
        <v>3011.6456325908521</v>
      </c>
      <c r="AB27" s="1">
        <f t="shared" si="21"/>
        <v>266.82153559583725</v>
      </c>
      <c r="AC27" s="4">
        <f t="shared" si="22"/>
        <v>74.58779664427874</v>
      </c>
      <c r="AD27" s="5">
        <f t="shared" si="12"/>
        <v>0.11271861157198455</v>
      </c>
    </row>
    <row r="28" spans="1:30" x14ac:dyDescent="0.25">
      <c r="A28" s="7">
        <v>18</v>
      </c>
      <c r="B28" s="1">
        <f t="shared" si="1"/>
        <v>56859.999024217854</v>
      </c>
      <c r="C28" s="1">
        <f t="shared" si="2"/>
        <v>3129.4770757968486</v>
      </c>
      <c r="D28" s="1">
        <f t="shared" si="3"/>
        <v>297.89957874141879</v>
      </c>
      <c r="E28" s="5">
        <f t="shared" si="26"/>
        <v>5.5038289298315661E-2</v>
      </c>
      <c r="F28" s="12"/>
      <c r="G28" s="1">
        <f t="shared" si="5"/>
        <v>29805.2011613676</v>
      </c>
      <c r="H28" s="1">
        <f t="shared" si="6"/>
        <v>3566.5523075130941</v>
      </c>
      <c r="I28" s="1">
        <f t="shared" si="7"/>
        <v>413.17817110657859</v>
      </c>
      <c r="J28" s="5">
        <f t="shared" si="27"/>
        <v>0.11966207804481881</v>
      </c>
      <c r="O28" s="25">
        <f t="shared" si="23"/>
        <v>181.99915718263281</v>
      </c>
      <c r="P28" s="1">
        <f t="shared" si="13"/>
        <v>284.19407842563163</v>
      </c>
      <c r="Q28" s="1">
        <f t="shared" si="9"/>
        <v>51723.082749760011</v>
      </c>
      <c r="R28" s="1">
        <f t="shared" si="14"/>
        <v>15.641555905258123</v>
      </c>
      <c r="S28" s="1">
        <f t="shared" si="0"/>
        <v>2846.7499917820114</v>
      </c>
      <c r="T28" s="1">
        <f t="shared" si="10"/>
        <v>223.33031033250549</v>
      </c>
      <c r="U28" s="4">
        <f t="shared" si="15"/>
        <v>268.55252252037349</v>
      </c>
      <c r="W28" s="25">
        <f t="shared" si="16"/>
        <v>354.63499059009263</v>
      </c>
      <c r="X28" s="1">
        <f t="shared" si="17"/>
        <v>79.376333188841443</v>
      </c>
      <c r="Y28" s="1">
        <f t="shared" si="18"/>
        <v>28149.625173500841</v>
      </c>
      <c r="Z28" s="1">
        <f t="shared" si="19"/>
        <v>9.4983369769546879</v>
      </c>
      <c r="AA28" s="1">
        <f t="shared" si="20"/>
        <v>3368.4426444438545</v>
      </c>
      <c r="AB28" s="1">
        <f t="shared" si="21"/>
        <v>360.92674747206661</v>
      </c>
      <c r="AC28" s="4">
        <f t="shared" si="22"/>
        <v>69.877996211886753</v>
      </c>
      <c r="AD28" s="5">
        <f t="shared" si="12"/>
        <v>0.11966207804481883</v>
      </c>
    </row>
    <row r="29" spans="1:30" x14ac:dyDescent="0.25">
      <c r="A29" s="7">
        <v>19</v>
      </c>
      <c r="B29" s="1">
        <f t="shared" si="1"/>
        <v>62314.464959081386</v>
      </c>
      <c r="C29" s="1">
        <f t="shared" si="2"/>
        <v>3623.1155893013402</v>
      </c>
      <c r="D29" s="1">
        <f t="shared" si="3"/>
        <v>428.09673667822847</v>
      </c>
      <c r="E29" s="5">
        <f t="shared" si="26"/>
        <v>5.8142448814740663E-2</v>
      </c>
      <c r="F29" s="12"/>
      <c r="G29" s="1">
        <f t="shared" si="5"/>
        <v>31278.990866235781</v>
      </c>
      <c r="H29" s="1">
        <f t="shared" si="6"/>
        <v>3973.4722434445202</v>
      </c>
      <c r="I29" s="1">
        <f t="shared" si="7"/>
        <v>520.50330420849218</v>
      </c>
      <c r="J29" s="5">
        <f t="shared" si="27"/>
        <v>0.12703326205237966</v>
      </c>
      <c r="O29" s="25">
        <f t="shared" si="23"/>
        <v>191.76789685719865</v>
      </c>
      <c r="P29" s="1">
        <f t="shared" si="13"/>
        <v>295.86431406069545</v>
      </c>
      <c r="Q29" s="1">
        <f t="shared" si="9"/>
        <v>56737.277262517273</v>
      </c>
      <c r="R29" s="1">
        <f t="shared" si="14"/>
        <v>17.20227573638234</v>
      </c>
      <c r="S29" s="1">
        <f t="shared" si="0"/>
        <v>3298.8442391236595</v>
      </c>
      <c r="T29" s="1">
        <f t="shared" si="10"/>
        <v>342.57016806886514</v>
      </c>
      <c r="U29" s="4">
        <f t="shared" si="15"/>
        <v>278.66203832431313</v>
      </c>
      <c r="W29" s="25">
        <f t="shared" si="16"/>
        <v>397.67451747996341</v>
      </c>
      <c r="X29" s="1">
        <f t="shared" si="17"/>
        <v>74.364163568689889</v>
      </c>
      <c r="Y29" s="1">
        <f t="shared" si="18"/>
        <v>29572.732864979826</v>
      </c>
      <c r="Z29" s="1">
        <f t="shared" si="19"/>
        <v>9.4467222779274085</v>
      </c>
      <c r="AA29" s="1">
        <f t="shared" si="20"/>
        <v>3756.7207236420031</v>
      </c>
      <c r="AB29" s="1">
        <f t="shared" si="21"/>
        <v>463.3350908605783</v>
      </c>
      <c r="AC29" s="4">
        <f t="shared" si="22"/>
        <v>64.917441290762483</v>
      </c>
      <c r="AD29" s="5">
        <f t="shared" si="12"/>
        <v>0.12703326205237969</v>
      </c>
    </row>
    <row r="30" spans="1:30" x14ac:dyDescent="0.25">
      <c r="A30" s="7">
        <v>20</v>
      </c>
      <c r="B30" s="1">
        <f t="shared" si="1"/>
        <v>68180.211870621555</v>
      </c>
      <c r="C30" s="1">
        <f t="shared" si="2"/>
        <v>4187.7433554738172</v>
      </c>
      <c r="D30" s="1">
        <f t="shared" si="3"/>
        <v>577.0173100062193</v>
      </c>
      <c r="E30" s="5">
        <f t="shared" si="26"/>
        <v>6.1421682927892025E-2</v>
      </c>
      <c r="F30" s="12" t="s">
        <v>5</v>
      </c>
      <c r="G30" s="19">
        <f t="shared" si="5"/>
        <v>32733.182463509445</v>
      </c>
      <c r="H30" s="19">
        <f t="shared" si="6"/>
        <v>4414.3482471501884</v>
      </c>
      <c r="I30" s="19">
        <f t="shared" si="7"/>
        <v>636.78435018586219</v>
      </c>
      <c r="J30" s="20">
        <f t="shared" si="27"/>
        <v>0.13485851099480628</v>
      </c>
      <c r="O30" s="25">
        <f t="shared" si="23"/>
        <v>202.37671206874251</v>
      </c>
      <c r="P30" s="1">
        <f t="shared" si="13"/>
        <v>307.00196762189574</v>
      </c>
      <c r="Q30" s="19">
        <f t="shared" si="9"/>
        <v>62130.048805953804</v>
      </c>
      <c r="R30" s="1">
        <f t="shared" si="14"/>
        <v>18.856577513511052</v>
      </c>
      <c r="S30" s="19">
        <f t="shared" si="0"/>
        <v>3816.1321580537506</v>
      </c>
      <c r="T30" s="1">
        <f t="shared" si="10"/>
        <v>479.0048566866767</v>
      </c>
      <c r="U30" s="4">
        <f t="shared" si="15"/>
        <v>288.14539010838467</v>
      </c>
      <c r="W30" s="25">
        <f t="shared" si="16"/>
        <v>448.40642507364828</v>
      </c>
      <c r="X30" s="1">
        <f t="shared" si="17"/>
        <v>69.08514102162944</v>
      </c>
      <c r="Y30" s="18">
        <f t="shared" si="18"/>
        <v>30978.221111217706</v>
      </c>
      <c r="Z30" s="1">
        <f t="shared" si="19"/>
        <v>9.316719250043155</v>
      </c>
      <c r="AA30" s="18">
        <f t="shared" si="20"/>
        <v>4177.676772326693</v>
      </c>
      <c r="AB30" s="1">
        <f t="shared" si="21"/>
        <v>574.3622487011653</v>
      </c>
      <c r="AC30" s="4">
        <f t="shared" si="22"/>
        <v>59.768421771586283</v>
      </c>
      <c r="AD30" s="5">
        <f t="shared" si="12"/>
        <v>0.13485851099480628</v>
      </c>
    </row>
    <row r="31" spans="1:30" x14ac:dyDescent="0.25">
      <c r="B31" s="1"/>
    </row>
    <row r="32" spans="1:30" s="15" customFormat="1" x14ac:dyDescent="0.25">
      <c r="A32" s="88" t="s">
        <v>14</v>
      </c>
      <c r="B32" s="89"/>
      <c r="C32" s="89"/>
      <c r="D32" s="89"/>
      <c r="E32" s="89"/>
      <c r="F32" s="89"/>
      <c r="G32" s="89"/>
      <c r="H32" s="89"/>
      <c r="I32" s="89"/>
      <c r="J32" s="90"/>
      <c r="N32" s="28"/>
      <c r="P32" s="24"/>
      <c r="Q32" s="24"/>
      <c r="R32" s="24"/>
      <c r="S32" s="24"/>
      <c r="V32" s="28"/>
    </row>
    <row r="33" spans="1:27" x14ac:dyDescent="0.25">
      <c r="A33" t="s">
        <v>15</v>
      </c>
      <c r="B33" s="4">
        <f>B30-SUM(C11:C30)-B5</f>
        <v>29530.402961325053</v>
      </c>
      <c r="C33" s="4"/>
      <c r="D33" s="4">
        <f>B33*L12*26.375/100</f>
        <v>5452.0506467346386</v>
      </c>
      <c r="F33" s="10" t="s">
        <v>17</v>
      </c>
      <c r="G33" s="9">
        <f>B30</f>
        <v>68180.211870621555</v>
      </c>
      <c r="H33" s="9">
        <f>G33*G3</f>
        <v>2781.7526443213596</v>
      </c>
      <c r="I33" s="1">
        <f>IF(H33&lt;$L$10,0,(H33-$L$10)*26.375/100)</f>
        <v>206.18725993975858</v>
      </c>
      <c r="J33" s="8">
        <f>H33/G33</f>
        <v>4.0800000000000003E-2</v>
      </c>
    </row>
    <row r="34" spans="1:27" ht="30" x14ac:dyDescent="0.25">
      <c r="A34" t="s">
        <v>16</v>
      </c>
      <c r="B34" s="4">
        <f>B30-D33</f>
        <v>62728.161223886913</v>
      </c>
      <c r="C34" s="4"/>
      <c r="F34" s="22" t="s">
        <v>19</v>
      </c>
      <c r="G34" s="21">
        <f>B34</f>
        <v>62728.161223886913</v>
      </c>
      <c r="H34" s="21">
        <f>G34*G3</f>
        <v>2559.3089779345864</v>
      </c>
      <c r="I34" s="19">
        <f>IF(H34&lt;$L$10,0,(H34-$L$10)*26.375/100)</f>
        <v>147.51774293024718</v>
      </c>
      <c r="J34" s="20">
        <f>H34/G34</f>
        <v>4.0800000000000003E-2</v>
      </c>
      <c r="W34" t="s">
        <v>84</v>
      </c>
      <c r="X34" s="4">
        <f>Q30-SUM(T11:T30)-B5</f>
        <v>50937.272931400221</v>
      </c>
      <c r="Y34" s="36">
        <f>Q30-X35</f>
        <v>52725.75479099404</v>
      </c>
      <c r="Z34" s="4">
        <f>Z30</f>
        <v>9.316719250043155</v>
      </c>
      <c r="AA34" s="36">
        <f>Y34/X30*Z34</f>
        <v>7110.5167821907289</v>
      </c>
    </row>
    <row r="35" spans="1:27" x14ac:dyDescent="0.25">
      <c r="X35" s="4">
        <f>X34*0.7*0.26375</f>
        <v>9404.2940149597653</v>
      </c>
    </row>
  </sheetData>
  <mergeCells count="5">
    <mergeCell ref="B8:E8"/>
    <mergeCell ref="G8:J8"/>
    <mergeCell ref="A32:J32"/>
    <mergeCell ref="O8:U8"/>
    <mergeCell ref="W8:AC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Stueck,Kurs</vt:lpstr>
      <vt:lpstr>Tabelle2</vt:lpstr>
      <vt:lpstr>Vaneck</vt:lpstr>
      <vt:lpstr>GesamtKurs,schlecht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F</dc:creator>
  <cp:lastModifiedBy>Phil F</cp:lastModifiedBy>
  <dcterms:created xsi:type="dcterms:W3CDTF">2023-07-08T09:56:49Z</dcterms:created>
  <dcterms:modified xsi:type="dcterms:W3CDTF">2023-07-09T08:19:44Z</dcterms:modified>
</cp:coreProperties>
</file>