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v011073\Desktop\Laugesen\Geldanlage\"/>
    </mc:Choice>
  </mc:AlternateContent>
  <xr:revisionPtr revIDLastSave="0" documentId="13_ncr:1_{B8B277CC-A6D8-4AD4-8D9C-77FBCF5670DA}" xr6:coauthVersionLast="47" xr6:coauthVersionMax="47" xr10:uidLastSave="{00000000-0000-0000-0000-000000000000}"/>
  <bookViews>
    <workbookView xWindow="57480" yWindow="-1875" windowWidth="29040" windowHeight="17640" xr2:uid="{74BCABC7-018A-4A6D-9BD1-6D44F446450C}"/>
  </bookViews>
  <sheets>
    <sheet name="Übersicht" sheetId="3" r:id="rId1"/>
    <sheet name="Fondspolice" sheetId="1" r:id="rId2"/>
    <sheet name="Depo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3" l="1"/>
  <c r="F53" i="3"/>
  <c r="F44" i="3"/>
  <c r="F34" i="3"/>
  <c r="F33" i="3"/>
  <c r="F32" i="3"/>
  <c r="H12" i="3"/>
  <c r="H11" i="3"/>
  <c r="B2" i="1"/>
  <c r="D6" i="3"/>
  <c r="B26" i="3"/>
  <c r="O2" i="1" l="1"/>
  <c r="R3" i="2"/>
  <c r="B6" i="3" l="1"/>
  <c r="X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3" i="2"/>
  <c r="C3" i="2"/>
  <c r="J3" i="2" s="1"/>
  <c r="V3" i="2" l="1"/>
  <c r="AF3" i="2"/>
  <c r="AG3" i="2" s="1"/>
  <c r="B3" i="2"/>
  <c r="AR3" i="2" s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2" i="1"/>
  <c r="H13" i="3"/>
  <c r="K13" i="3" s="1"/>
  <c r="H14" i="3"/>
  <c r="K14" i="3" s="1"/>
  <c r="I13" i="3"/>
  <c r="I14" i="3"/>
  <c r="I12" i="3"/>
  <c r="J11" i="3"/>
  <c r="I11" i="3"/>
  <c r="K11" i="3"/>
  <c r="F2" i="1"/>
  <c r="C2" i="1"/>
  <c r="F13" i="3"/>
  <c r="J13" i="3" s="1"/>
  <c r="F14" i="3"/>
  <c r="J14" i="3" s="1"/>
  <c r="F12" i="3"/>
  <c r="J12" i="3" s="1"/>
  <c r="D7" i="3"/>
  <c r="F5" i="3"/>
  <c r="D9" i="2"/>
  <c r="F9" i="2" s="1"/>
  <c r="K3" i="2" l="1"/>
  <c r="K12" i="3"/>
  <c r="G2" i="1"/>
  <c r="B3" i="1"/>
  <c r="O3" i="1" s="1"/>
  <c r="D26" i="1"/>
  <c r="H26" i="1" s="1"/>
  <c r="D32" i="2"/>
  <c r="F32" i="2" s="1"/>
  <c r="D16" i="2"/>
  <c r="F16" i="2" s="1"/>
  <c r="D25" i="1"/>
  <c r="H25" i="1" s="1"/>
  <c r="D9" i="1"/>
  <c r="H9" i="1" s="1"/>
  <c r="D39" i="2"/>
  <c r="F39" i="2" s="1"/>
  <c r="D23" i="2"/>
  <c r="F23" i="2" s="1"/>
  <c r="D7" i="2"/>
  <c r="F7" i="2" s="1"/>
  <c r="D39" i="1"/>
  <c r="H39" i="1" s="1"/>
  <c r="D31" i="1"/>
  <c r="H31" i="1" s="1"/>
  <c r="D23" i="1"/>
  <c r="H23" i="1" s="1"/>
  <c r="D15" i="1"/>
  <c r="H15" i="1" s="1"/>
  <c r="D37" i="2"/>
  <c r="F37" i="2" s="1"/>
  <c r="D29" i="2"/>
  <c r="F29" i="2" s="1"/>
  <c r="D21" i="2"/>
  <c r="F21" i="2" s="1"/>
  <c r="D13" i="2"/>
  <c r="F13" i="2" s="1"/>
  <c r="D5" i="2"/>
  <c r="F5" i="2" s="1"/>
  <c r="D18" i="1"/>
  <c r="H18" i="1" s="1"/>
  <c r="D40" i="2"/>
  <c r="F40" i="2" s="1"/>
  <c r="D33" i="1"/>
  <c r="H33" i="1" s="1"/>
  <c r="D17" i="1"/>
  <c r="H17" i="1" s="1"/>
  <c r="D31" i="2"/>
  <c r="F31" i="2" s="1"/>
  <c r="D15" i="2"/>
  <c r="F15" i="2" s="1"/>
  <c r="D38" i="1"/>
  <c r="H38" i="1" s="1"/>
  <c r="D30" i="1"/>
  <c r="H30" i="1" s="1"/>
  <c r="D22" i="1"/>
  <c r="H22" i="1" s="1"/>
  <c r="D14" i="1"/>
  <c r="H14" i="1" s="1"/>
  <c r="D3" i="2"/>
  <c r="D36" i="2"/>
  <c r="F36" i="2" s="1"/>
  <c r="D28" i="2"/>
  <c r="F28" i="2" s="1"/>
  <c r="D20" i="2"/>
  <c r="F20" i="2" s="1"/>
  <c r="D12" i="2"/>
  <c r="F12" i="2" s="1"/>
  <c r="D4" i="2"/>
  <c r="F4" i="2" s="1"/>
  <c r="D34" i="1"/>
  <c r="H34" i="1" s="1"/>
  <c r="D8" i="2"/>
  <c r="F8" i="2" s="1"/>
  <c r="D40" i="1"/>
  <c r="H40" i="1" s="1"/>
  <c r="D24" i="1"/>
  <c r="H24" i="1" s="1"/>
  <c r="D8" i="1"/>
  <c r="H8" i="1" s="1"/>
  <c r="D30" i="2"/>
  <c r="F30" i="2" s="1"/>
  <c r="D6" i="2"/>
  <c r="F6" i="2" s="1"/>
  <c r="D37" i="1"/>
  <c r="H37" i="1" s="1"/>
  <c r="D29" i="1"/>
  <c r="H29" i="1" s="1"/>
  <c r="D21" i="1"/>
  <c r="H21" i="1" s="1"/>
  <c r="D13" i="1"/>
  <c r="H13" i="1" s="1"/>
  <c r="D43" i="2"/>
  <c r="F43" i="2" s="1"/>
  <c r="D35" i="2"/>
  <c r="F35" i="2" s="1"/>
  <c r="D27" i="2"/>
  <c r="F27" i="2" s="1"/>
  <c r="D19" i="2"/>
  <c r="F19" i="2" s="1"/>
  <c r="D11" i="2"/>
  <c r="F11" i="2" s="1"/>
  <c r="D10" i="1"/>
  <c r="H10" i="1" s="1"/>
  <c r="D24" i="2"/>
  <c r="F24" i="2" s="1"/>
  <c r="D41" i="1"/>
  <c r="H41" i="1" s="1"/>
  <c r="D32" i="1"/>
  <c r="H32" i="1" s="1"/>
  <c r="D16" i="1"/>
  <c r="H16" i="1" s="1"/>
  <c r="D38" i="2"/>
  <c r="F38" i="2" s="1"/>
  <c r="D22" i="2"/>
  <c r="F22" i="2" s="1"/>
  <c r="D14" i="2"/>
  <c r="F14" i="2" s="1"/>
  <c r="D3" i="1"/>
  <c r="H3" i="1" s="1"/>
  <c r="D36" i="1"/>
  <c r="H36" i="1" s="1"/>
  <c r="D28" i="1"/>
  <c r="H28" i="1" s="1"/>
  <c r="D20" i="1"/>
  <c r="H20" i="1" s="1"/>
  <c r="D12" i="1"/>
  <c r="H12" i="1" s="1"/>
  <c r="D42" i="2"/>
  <c r="F42" i="2" s="1"/>
  <c r="D34" i="2"/>
  <c r="F34" i="2" s="1"/>
  <c r="D26" i="2"/>
  <c r="F26" i="2" s="1"/>
  <c r="D18" i="2"/>
  <c r="F18" i="2" s="1"/>
  <c r="D10" i="2"/>
  <c r="F10" i="2" s="1"/>
  <c r="D42" i="1"/>
  <c r="H42" i="1" s="1"/>
  <c r="D2" i="1"/>
  <c r="H2" i="1" s="1"/>
  <c r="D35" i="1"/>
  <c r="H35" i="1" s="1"/>
  <c r="D27" i="1"/>
  <c r="H27" i="1" s="1"/>
  <c r="D19" i="1"/>
  <c r="H19" i="1" s="1"/>
  <c r="D11" i="1"/>
  <c r="H11" i="1" s="1"/>
  <c r="D41" i="2"/>
  <c r="F41" i="2" s="1"/>
  <c r="D33" i="2"/>
  <c r="F33" i="2" s="1"/>
  <c r="D25" i="2"/>
  <c r="F25" i="2" s="1"/>
  <c r="D17" i="2"/>
  <c r="F17" i="2" s="1"/>
  <c r="B4" i="2"/>
  <c r="AR4" i="2" s="1"/>
  <c r="AD3" i="2"/>
  <c r="G3" i="2"/>
  <c r="J2" i="1"/>
  <c r="L2" i="1"/>
  <c r="B4" i="1" l="1"/>
  <c r="O4" i="1" s="1"/>
  <c r="F3" i="2"/>
  <c r="I3" i="2" s="1"/>
  <c r="C4" i="2" s="1"/>
  <c r="K2" i="1"/>
  <c r="C3" i="1" s="1"/>
  <c r="G4" i="2"/>
  <c r="E6" i="2"/>
  <c r="E2" i="1"/>
  <c r="AH3" i="2"/>
  <c r="AI3" i="2" s="1"/>
  <c r="E24" i="2"/>
  <c r="E40" i="2"/>
  <c r="E21" i="2"/>
  <c r="E8" i="2"/>
  <c r="E29" i="2"/>
  <c r="E16" i="2"/>
  <c r="E32" i="2"/>
  <c r="E9" i="2"/>
  <c r="E17" i="2"/>
  <c r="E25" i="2"/>
  <c r="E33" i="2"/>
  <c r="E41" i="2"/>
  <c r="E37" i="2"/>
  <c r="E10" i="2"/>
  <c r="E18" i="2"/>
  <c r="E26" i="2"/>
  <c r="E34" i="2"/>
  <c r="E42" i="2"/>
  <c r="E13" i="2"/>
  <c r="E11" i="2"/>
  <c r="E19" i="2"/>
  <c r="E27" i="2"/>
  <c r="E35" i="2"/>
  <c r="E43" i="2"/>
  <c r="E4" i="2"/>
  <c r="E36" i="2"/>
  <c r="E7" i="2"/>
  <c r="E28" i="2"/>
  <c r="E5" i="2"/>
  <c r="E30" i="2"/>
  <c r="E20" i="2"/>
  <c r="E38" i="2"/>
  <c r="E12" i="2"/>
  <c r="E3" i="2"/>
  <c r="E39" i="2"/>
  <c r="E22" i="2"/>
  <c r="E23" i="2"/>
  <c r="E15" i="2"/>
  <c r="E31" i="2"/>
  <c r="E14" i="2"/>
  <c r="E3" i="1"/>
  <c r="L3" i="1"/>
  <c r="B5" i="2"/>
  <c r="AR5" i="2" s="1"/>
  <c r="AD4" i="2"/>
  <c r="AE4" i="2" s="1"/>
  <c r="D5" i="1"/>
  <c r="H5" i="1" s="1"/>
  <c r="D7" i="1"/>
  <c r="H7" i="1" s="1"/>
  <c r="D6" i="1"/>
  <c r="H6" i="1" s="1"/>
  <c r="D4" i="1"/>
  <c r="H4" i="1" s="1"/>
  <c r="B5" i="1" l="1"/>
  <c r="O5" i="1" s="1"/>
  <c r="L4" i="1"/>
  <c r="H4" i="2"/>
  <c r="J4" i="2" s="1"/>
  <c r="AF4" i="2"/>
  <c r="AG4" i="2" s="1"/>
  <c r="S4" i="2"/>
  <c r="E34" i="1"/>
  <c r="E40" i="1"/>
  <c r="E12" i="1"/>
  <c r="E8" i="1"/>
  <c r="E36" i="1"/>
  <c r="E19" i="1"/>
  <c r="E32" i="1"/>
  <c r="E29" i="1"/>
  <c r="E38" i="1"/>
  <c r="E6" i="1"/>
  <c r="E24" i="1"/>
  <c r="E18" i="1"/>
  <c r="E16" i="1"/>
  <c r="E37" i="1"/>
  <c r="E26" i="1"/>
  <c r="E14" i="1"/>
  <c r="E4" i="1"/>
  <c r="E15" i="1"/>
  <c r="E23" i="1"/>
  <c r="E13" i="1"/>
  <c r="E30" i="1"/>
  <c r="E10" i="1"/>
  <c r="E21" i="1"/>
  <c r="E17" i="1"/>
  <c r="E25" i="1"/>
  <c r="E22" i="1"/>
  <c r="E39" i="1"/>
  <c r="E35" i="1"/>
  <c r="E7" i="1"/>
  <c r="E42" i="1"/>
  <c r="E11" i="1"/>
  <c r="E31" i="1"/>
  <c r="E41" i="1"/>
  <c r="E5" i="1"/>
  <c r="E9" i="1"/>
  <c r="E20" i="1"/>
  <c r="E28" i="1"/>
  <c r="E33" i="1"/>
  <c r="E27" i="1"/>
  <c r="AJ3" i="2"/>
  <c r="AK3" i="2" s="1"/>
  <c r="M3" i="1"/>
  <c r="N3" i="1"/>
  <c r="B6" i="2"/>
  <c r="AR6" i="2" s="1"/>
  <c r="AD5" i="2"/>
  <c r="AE5" i="2" s="1"/>
  <c r="G5" i="2"/>
  <c r="J3" i="1"/>
  <c r="K3" i="1" s="1"/>
  <c r="C4" i="1" s="1"/>
  <c r="B6" i="1" l="1"/>
  <c r="O6" i="1" s="1"/>
  <c r="L5" i="1"/>
  <c r="Q4" i="2"/>
  <c r="R4" i="2" s="1"/>
  <c r="AL3" i="2"/>
  <c r="M4" i="1"/>
  <c r="N4" i="1"/>
  <c r="B7" i="2"/>
  <c r="AR7" i="2" s="1"/>
  <c r="AD6" i="2"/>
  <c r="AE6" i="2" s="1"/>
  <c r="G6" i="2"/>
  <c r="B7" i="1" l="1"/>
  <c r="O7" i="1" s="1"/>
  <c r="L6" i="1"/>
  <c r="U4" i="2"/>
  <c r="K4" i="2"/>
  <c r="V4" i="2"/>
  <c r="AJ4" i="2"/>
  <c r="L4" i="2"/>
  <c r="M4" i="2" s="1"/>
  <c r="AA4" i="2" s="1"/>
  <c r="AN3" i="2"/>
  <c r="AO3" i="2" s="1"/>
  <c r="AM3" i="2"/>
  <c r="AQ3" i="2" s="1"/>
  <c r="B8" i="2"/>
  <c r="AR8" i="2" s="1"/>
  <c r="AD7" i="2"/>
  <c r="AE7" i="2" s="1"/>
  <c r="G7" i="2"/>
  <c r="J4" i="1"/>
  <c r="K4" i="1" s="1"/>
  <c r="C5" i="1" s="1"/>
  <c r="B8" i="1" l="1"/>
  <c r="O8" i="1" s="1"/>
  <c r="L7" i="1"/>
  <c r="W4" i="2"/>
  <c r="X4" i="2" s="1"/>
  <c r="O4" i="2"/>
  <c r="P4" i="2" s="1"/>
  <c r="M5" i="1"/>
  <c r="N5" i="1"/>
  <c r="B9" i="2"/>
  <c r="AR9" i="2" s="1"/>
  <c r="AD8" i="2"/>
  <c r="AE8" i="2" s="1"/>
  <c r="G8" i="2"/>
  <c r="J5" i="1"/>
  <c r="K5" i="1" s="1"/>
  <c r="C6" i="1" s="1"/>
  <c r="B9" i="1" l="1"/>
  <c r="O9" i="1" s="1"/>
  <c r="L8" i="1"/>
  <c r="Y4" i="2"/>
  <c r="Z4" i="2" s="1"/>
  <c r="AB4" i="2" s="1"/>
  <c r="AC4" i="2" s="1"/>
  <c r="AK4" i="2"/>
  <c r="M6" i="1"/>
  <c r="N6" i="1"/>
  <c r="B10" i="2"/>
  <c r="AR10" i="2" s="1"/>
  <c r="AD9" i="2"/>
  <c r="AE9" i="2" s="1"/>
  <c r="G9" i="2"/>
  <c r="B10" i="1" l="1"/>
  <c r="O10" i="1" s="1"/>
  <c r="L9" i="1"/>
  <c r="B11" i="2"/>
  <c r="AR11" i="2" s="1"/>
  <c r="AD10" i="2"/>
  <c r="AE10" i="2" s="1"/>
  <c r="G10" i="2"/>
  <c r="J6" i="1"/>
  <c r="K6" i="1" s="1"/>
  <c r="C7" i="1" s="1"/>
  <c r="B11" i="1" l="1"/>
  <c r="O11" i="1" s="1"/>
  <c r="L10" i="1"/>
  <c r="M7" i="1"/>
  <c r="N7" i="1"/>
  <c r="B12" i="2"/>
  <c r="AR12" i="2" s="1"/>
  <c r="AD11" i="2"/>
  <c r="AE11" i="2" s="1"/>
  <c r="G11" i="2"/>
  <c r="B12" i="1" l="1"/>
  <c r="O12" i="1" s="1"/>
  <c r="L11" i="1"/>
  <c r="B13" i="2"/>
  <c r="AR13" i="2" s="1"/>
  <c r="AD12" i="2"/>
  <c r="AE12" i="2" s="1"/>
  <c r="G12" i="2"/>
  <c r="J7" i="1"/>
  <c r="K7" i="1" s="1"/>
  <c r="C8" i="1" s="1"/>
  <c r="B13" i="1" l="1"/>
  <c r="O13" i="1" s="1"/>
  <c r="L12" i="1"/>
  <c r="M8" i="1"/>
  <c r="N8" i="1"/>
  <c r="B14" i="2"/>
  <c r="AR14" i="2" s="1"/>
  <c r="AD13" i="2"/>
  <c r="AE13" i="2" s="1"/>
  <c r="G13" i="2"/>
  <c r="B14" i="1" l="1"/>
  <c r="O14" i="1" s="1"/>
  <c r="L13" i="1"/>
  <c r="B15" i="2"/>
  <c r="AR15" i="2" s="1"/>
  <c r="AD14" i="2"/>
  <c r="AE14" i="2" s="1"/>
  <c r="G14" i="2"/>
  <c r="J8" i="1"/>
  <c r="K8" i="1" s="1"/>
  <c r="C9" i="1" s="1"/>
  <c r="B15" i="1" l="1"/>
  <c r="O15" i="1" s="1"/>
  <c r="L14" i="1"/>
  <c r="M9" i="1"/>
  <c r="N9" i="1"/>
  <c r="B16" i="2"/>
  <c r="AR16" i="2" s="1"/>
  <c r="AD15" i="2"/>
  <c r="AE15" i="2" s="1"/>
  <c r="G15" i="2"/>
  <c r="B16" i="1" l="1"/>
  <c r="O16" i="1" s="1"/>
  <c r="L15" i="1"/>
  <c r="B17" i="2"/>
  <c r="AR17" i="2" s="1"/>
  <c r="AD16" i="2"/>
  <c r="AE16" i="2" s="1"/>
  <c r="G16" i="2"/>
  <c r="J9" i="1"/>
  <c r="K9" i="1" s="1"/>
  <c r="C10" i="1" s="1"/>
  <c r="B17" i="1" l="1"/>
  <c r="O17" i="1" s="1"/>
  <c r="L16" i="1"/>
  <c r="M10" i="1"/>
  <c r="N10" i="1"/>
  <c r="B18" i="2"/>
  <c r="AR18" i="2" s="1"/>
  <c r="AD17" i="2"/>
  <c r="AE17" i="2" s="1"/>
  <c r="G17" i="2"/>
  <c r="B18" i="1" l="1"/>
  <c r="O18" i="1" s="1"/>
  <c r="L17" i="1"/>
  <c r="B19" i="2"/>
  <c r="AR19" i="2" s="1"/>
  <c r="AD18" i="2"/>
  <c r="AE18" i="2" s="1"/>
  <c r="G18" i="2"/>
  <c r="J10" i="1"/>
  <c r="K10" i="1" s="1"/>
  <c r="C11" i="1" s="1"/>
  <c r="B19" i="1" l="1"/>
  <c r="O19" i="1" s="1"/>
  <c r="L18" i="1"/>
  <c r="M11" i="1"/>
  <c r="N11" i="1"/>
  <c r="B20" i="2"/>
  <c r="AR20" i="2" s="1"/>
  <c r="AD19" i="2"/>
  <c r="AE19" i="2" s="1"/>
  <c r="G19" i="2"/>
  <c r="B20" i="1" l="1"/>
  <c r="O20" i="1" s="1"/>
  <c r="L19" i="1"/>
  <c r="B21" i="2"/>
  <c r="AR21" i="2" s="1"/>
  <c r="AD20" i="2"/>
  <c r="AE20" i="2" s="1"/>
  <c r="G20" i="2"/>
  <c r="J11" i="1"/>
  <c r="K11" i="1" s="1"/>
  <c r="C12" i="1" s="1"/>
  <c r="B21" i="1" l="1"/>
  <c r="O21" i="1" s="1"/>
  <c r="L20" i="1"/>
  <c r="M12" i="1"/>
  <c r="N12" i="1"/>
  <c r="B22" i="2"/>
  <c r="AR22" i="2" s="1"/>
  <c r="AD21" i="2"/>
  <c r="AE21" i="2" s="1"/>
  <c r="G21" i="2"/>
  <c r="B22" i="1" l="1"/>
  <c r="O22" i="1" s="1"/>
  <c r="L21" i="1"/>
  <c r="B23" i="2"/>
  <c r="AR23" i="2" s="1"/>
  <c r="AD22" i="2"/>
  <c r="AE22" i="2" s="1"/>
  <c r="G22" i="2"/>
  <c r="J12" i="1"/>
  <c r="K12" i="1" s="1"/>
  <c r="C13" i="1" s="1"/>
  <c r="L22" i="1" l="1"/>
  <c r="B23" i="1"/>
  <c r="O23" i="1" s="1"/>
  <c r="M13" i="1"/>
  <c r="N13" i="1"/>
  <c r="B24" i="2"/>
  <c r="AR24" i="2" s="1"/>
  <c r="AD23" i="2"/>
  <c r="AE23" i="2" s="1"/>
  <c r="G23" i="2"/>
  <c r="J13" i="1"/>
  <c r="K13" i="1" s="1"/>
  <c r="C14" i="1" s="1"/>
  <c r="L23" i="1" l="1"/>
  <c r="B24" i="1"/>
  <c r="O24" i="1" s="1"/>
  <c r="M14" i="1"/>
  <c r="N14" i="1"/>
  <c r="B25" i="2"/>
  <c r="AR25" i="2" s="1"/>
  <c r="AD24" i="2"/>
  <c r="AE24" i="2" s="1"/>
  <c r="G24" i="2"/>
  <c r="B25" i="1" l="1"/>
  <c r="O25" i="1" s="1"/>
  <c r="L24" i="1"/>
  <c r="B26" i="2"/>
  <c r="AR26" i="2" s="1"/>
  <c r="AD25" i="2"/>
  <c r="AE25" i="2" s="1"/>
  <c r="G25" i="2"/>
  <c r="J14" i="1"/>
  <c r="K14" i="1" s="1"/>
  <c r="C15" i="1" s="1"/>
  <c r="B26" i="1" l="1"/>
  <c r="O26" i="1" s="1"/>
  <c r="L25" i="1"/>
  <c r="M15" i="1"/>
  <c r="N15" i="1"/>
  <c r="B27" i="2"/>
  <c r="AR27" i="2" s="1"/>
  <c r="AD26" i="2"/>
  <c r="AE26" i="2" s="1"/>
  <c r="G26" i="2"/>
  <c r="B27" i="1" l="1"/>
  <c r="O27" i="1" s="1"/>
  <c r="L26" i="1"/>
  <c r="B28" i="2"/>
  <c r="AR28" i="2" s="1"/>
  <c r="AD27" i="2"/>
  <c r="AE27" i="2" s="1"/>
  <c r="G27" i="2"/>
  <c r="J15" i="1"/>
  <c r="K15" i="1" s="1"/>
  <c r="C16" i="1" s="1"/>
  <c r="B28" i="1" l="1"/>
  <c r="O28" i="1" s="1"/>
  <c r="L27" i="1"/>
  <c r="M16" i="1"/>
  <c r="N16" i="1"/>
  <c r="B29" i="2"/>
  <c r="AR29" i="2" s="1"/>
  <c r="AD28" i="2"/>
  <c r="AE28" i="2" s="1"/>
  <c r="G28" i="2"/>
  <c r="B29" i="1" l="1"/>
  <c r="O29" i="1" s="1"/>
  <c r="L28" i="1"/>
  <c r="B30" i="2"/>
  <c r="AR30" i="2" s="1"/>
  <c r="AD29" i="2"/>
  <c r="AE29" i="2" s="1"/>
  <c r="G29" i="2"/>
  <c r="J16" i="1"/>
  <c r="K16" i="1" s="1"/>
  <c r="C17" i="1" s="1"/>
  <c r="L29" i="1" l="1"/>
  <c r="B30" i="1"/>
  <c r="O30" i="1" s="1"/>
  <c r="M17" i="1"/>
  <c r="N17" i="1"/>
  <c r="B31" i="2"/>
  <c r="AR31" i="2" s="1"/>
  <c r="AD30" i="2"/>
  <c r="AE30" i="2" s="1"/>
  <c r="G30" i="2"/>
  <c r="L30" i="1" l="1"/>
  <c r="B31" i="1"/>
  <c r="O31" i="1" s="1"/>
  <c r="B32" i="2"/>
  <c r="AR32" i="2" s="1"/>
  <c r="AD31" i="2"/>
  <c r="AE31" i="2" s="1"/>
  <c r="G31" i="2"/>
  <c r="J17" i="1"/>
  <c r="K17" i="1" s="1"/>
  <c r="C18" i="1" s="1"/>
  <c r="L31" i="1" l="1"/>
  <c r="B32" i="1"/>
  <c r="O32" i="1" s="1"/>
  <c r="M18" i="1"/>
  <c r="N18" i="1"/>
  <c r="B33" i="2"/>
  <c r="AR33" i="2" s="1"/>
  <c r="AD32" i="2"/>
  <c r="AE32" i="2" s="1"/>
  <c r="G32" i="2"/>
  <c r="L32" i="1" l="1"/>
  <c r="B33" i="1"/>
  <c r="O33" i="1" s="1"/>
  <c r="B34" i="2"/>
  <c r="AR34" i="2" s="1"/>
  <c r="AD33" i="2"/>
  <c r="AE33" i="2" s="1"/>
  <c r="G33" i="2"/>
  <c r="J18" i="1"/>
  <c r="K18" i="1" s="1"/>
  <c r="C19" i="1" s="1"/>
  <c r="L33" i="1" l="1"/>
  <c r="B34" i="1"/>
  <c r="O34" i="1" s="1"/>
  <c r="M19" i="1"/>
  <c r="N19" i="1"/>
  <c r="B35" i="2"/>
  <c r="AR35" i="2" s="1"/>
  <c r="AD34" i="2"/>
  <c r="AE34" i="2" s="1"/>
  <c r="G34" i="2"/>
  <c r="L34" i="1" l="1"/>
  <c r="B35" i="1"/>
  <c r="O35" i="1" s="1"/>
  <c r="B36" i="2"/>
  <c r="AR36" i="2" s="1"/>
  <c r="AD35" i="2"/>
  <c r="AE35" i="2" s="1"/>
  <c r="G35" i="2"/>
  <c r="J19" i="1"/>
  <c r="K19" i="1" s="1"/>
  <c r="C20" i="1" s="1"/>
  <c r="B36" i="1" l="1"/>
  <c r="O36" i="1" s="1"/>
  <c r="L35" i="1"/>
  <c r="M20" i="1"/>
  <c r="N20" i="1"/>
  <c r="B37" i="2"/>
  <c r="AR37" i="2" s="1"/>
  <c r="AD36" i="2"/>
  <c r="AE36" i="2" s="1"/>
  <c r="G36" i="2"/>
  <c r="L36" i="1" l="1"/>
  <c r="B37" i="1"/>
  <c r="O37" i="1" s="1"/>
  <c r="B38" i="2"/>
  <c r="AR38" i="2" s="1"/>
  <c r="AD37" i="2"/>
  <c r="AE37" i="2" s="1"/>
  <c r="G37" i="2"/>
  <c r="J20" i="1"/>
  <c r="K20" i="1" s="1"/>
  <c r="C21" i="1" s="1"/>
  <c r="L37" i="1" l="1"/>
  <c r="B38" i="1"/>
  <c r="O38" i="1" s="1"/>
  <c r="M21" i="1"/>
  <c r="N21" i="1"/>
  <c r="B39" i="2"/>
  <c r="AR39" i="2" s="1"/>
  <c r="AD38" i="2"/>
  <c r="AE38" i="2" s="1"/>
  <c r="G38" i="2"/>
  <c r="L38" i="1" l="1"/>
  <c r="B39" i="1"/>
  <c r="O39" i="1" s="1"/>
  <c r="B40" i="2"/>
  <c r="AR40" i="2" s="1"/>
  <c r="AD39" i="2"/>
  <c r="AE39" i="2" s="1"/>
  <c r="G39" i="2"/>
  <c r="J21" i="1"/>
  <c r="K21" i="1" s="1"/>
  <c r="C22" i="1" s="1"/>
  <c r="B40" i="1" l="1"/>
  <c r="O40" i="1" s="1"/>
  <c r="L39" i="1"/>
  <c r="M22" i="1"/>
  <c r="N22" i="1"/>
  <c r="B41" i="2"/>
  <c r="AR41" i="2" s="1"/>
  <c r="AD40" i="2"/>
  <c r="AE40" i="2" s="1"/>
  <c r="G40" i="2"/>
  <c r="B41" i="1" l="1"/>
  <c r="O41" i="1" s="1"/>
  <c r="L40" i="1"/>
  <c r="B42" i="2"/>
  <c r="AR42" i="2" s="1"/>
  <c r="AD41" i="2"/>
  <c r="AE41" i="2" s="1"/>
  <c r="G41" i="2"/>
  <c r="J22" i="1"/>
  <c r="K22" i="1" s="1"/>
  <c r="C23" i="1" s="1"/>
  <c r="B42" i="1" l="1"/>
  <c r="O42" i="1" s="1"/>
  <c r="L41" i="1"/>
  <c r="M23" i="1"/>
  <c r="N23" i="1"/>
  <c r="B43" i="2"/>
  <c r="AR43" i="2" s="1"/>
  <c r="AD42" i="2"/>
  <c r="AE42" i="2" s="1"/>
  <c r="G42" i="2"/>
  <c r="L42" i="1" l="1"/>
  <c r="G43" i="2"/>
  <c r="AD43" i="2"/>
  <c r="AE43" i="2" s="1"/>
  <c r="J23" i="1"/>
  <c r="K23" i="1" s="1"/>
  <c r="C24" i="1" l="1"/>
  <c r="M24" i="1" l="1"/>
  <c r="N24" i="1"/>
  <c r="J24" i="1"/>
  <c r="K24" i="1" s="1"/>
  <c r="C25" i="1" s="1"/>
  <c r="M25" i="1" l="1"/>
  <c r="N25" i="1"/>
  <c r="J25" i="1"/>
  <c r="K25" i="1" s="1"/>
  <c r="C26" i="1" l="1"/>
  <c r="M26" i="1" l="1"/>
  <c r="N26" i="1"/>
  <c r="J26" i="1"/>
  <c r="K26" i="1" l="1"/>
  <c r="C27" i="1" s="1"/>
  <c r="M27" i="1" l="1"/>
  <c r="N27" i="1"/>
  <c r="J27" i="1"/>
  <c r="K27" i="1" l="1"/>
  <c r="C28" i="1" l="1"/>
  <c r="M28" i="1" l="1"/>
  <c r="N28" i="1"/>
  <c r="J28" i="1"/>
  <c r="K28" i="1" s="1"/>
  <c r="C29" i="1" s="1"/>
  <c r="M29" i="1" l="1"/>
  <c r="N29" i="1"/>
  <c r="J29" i="1"/>
  <c r="K29" i="1" s="1"/>
  <c r="C30" i="1" l="1"/>
  <c r="M30" i="1" l="1"/>
  <c r="N30" i="1"/>
  <c r="J30" i="1"/>
  <c r="K30" i="1" l="1"/>
  <c r="C31" i="1" s="1"/>
  <c r="M31" i="1" l="1"/>
  <c r="N31" i="1"/>
  <c r="J31" i="1"/>
  <c r="K31" i="1" s="1"/>
  <c r="C32" i="1" s="1"/>
  <c r="M32" i="1" l="1"/>
  <c r="N32" i="1"/>
  <c r="J32" i="1"/>
  <c r="K32" i="1" s="1"/>
  <c r="C33" i="1" l="1"/>
  <c r="M33" i="1" s="1"/>
  <c r="J33" i="1" l="1"/>
  <c r="K33" i="1" s="1"/>
  <c r="C34" i="1" s="1"/>
  <c r="M34" i="1" s="1"/>
  <c r="N33" i="1"/>
  <c r="J34" i="1" l="1"/>
  <c r="K34" i="1" s="1"/>
  <c r="C35" i="1" s="1"/>
  <c r="N35" i="1" s="1"/>
  <c r="N34" i="1"/>
  <c r="M35" i="1" l="1"/>
  <c r="J35" i="1"/>
  <c r="K35" i="1" s="1"/>
  <c r="C36" i="1" l="1"/>
  <c r="M36" i="1" s="1"/>
  <c r="D26" i="3"/>
  <c r="D27" i="3" s="1"/>
  <c r="D33" i="3" s="1"/>
  <c r="N36" i="1" l="1"/>
  <c r="J36" i="1"/>
  <c r="K36" i="1" s="1"/>
  <c r="D40" i="3" s="1"/>
  <c r="D41" i="3" s="1"/>
  <c r="D44" i="3" s="1"/>
  <c r="D55" i="3" s="1"/>
  <c r="C37" i="1" l="1"/>
  <c r="M37" i="1" s="1"/>
  <c r="D47" i="3"/>
  <c r="D48" i="3" s="1"/>
  <c r="D50" i="3" l="1"/>
  <c r="D51" i="3" s="1"/>
  <c r="N37" i="1"/>
  <c r="J37" i="1"/>
  <c r="K37" i="1" s="1"/>
  <c r="C38" i="1" l="1"/>
  <c r="D34" i="3" l="1"/>
  <c r="D35" i="3" s="1"/>
  <c r="D36" i="3" s="1"/>
  <c r="M38" i="1"/>
  <c r="N38" i="1"/>
  <c r="J38" i="1"/>
  <c r="K38" i="1" s="1"/>
  <c r="C39" i="1" s="1"/>
  <c r="M39" i="1" l="1"/>
  <c r="N39" i="1"/>
  <c r="J39" i="1"/>
  <c r="K39" i="1" s="1"/>
  <c r="C40" i="1" s="1"/>
  <c r="M40" i="1" l="1"/>
  <c r="N40" i="1"/>
  <c r="J40" i="1"/>
  <c r="K40" i="1" s="1"/>
  <c r="C41" i="1" s="1"/>
  <c r="M41" i="1" l="1"/>
  <c r="N41" i="1"/>
  <c r="J41" i="1"/>
  <c r="K41" i="1" s="1"/>
  <c r="C42" i="1" s="1"/>
  <c r="M42" i="1" l="1"/>
  <c r="N42" i="1"/>
  <c r="J42" i="1"/>
  <c r="K42" i="1" s="1"/>
  <c r="T4" i="2"/>
  <c r="AH4" i="2" l="1"/>
  <c r="AI4" i="2"/>
  <c r="AL4" i="2" s="1"/>
  <c r="AN4" i="2" l="1"/>
  <c r="AO4" i="2" s="1"/>
  <c r="AM4" i="2"/>
  <c r="AQ4" i="2" s="1"/>
  <c r="AP4" i="2" l="1"/>
  <c r="I4" i="2" l="1"/>
  <c r="C5" i="2" s="1"/>
  <c r="S5" i="2" l="1"/>
  <c r="AF5" i="2"/>
  <c r="AG5" i="2" s="1"/>
  <c r="H5" i="2"/>
  <c r="Q5" i="2" s="1"/>
  <c r="J5" i="2" l="1"/>
  <c r="U5" i="2"/>
  <c r="R5" i="2"/>
  <c r="AI5" i="2"/>
  <c r="AH5" i="2"/>
  <c r="T5" i="2"/>
  <c r="AJ5" i="2" l="1"/>
  <c r="V5" i="2"/>
  <c r="K5" i="2"/>
  <c r="L5" i="2"/>
  <c r="M5" i="2" s="1"/>
  <c r="AA5" i="2" s="1"/>
  <c r="W5" i="2" l="1"/>
  <c r="X5" i="2" s="1"/>
  <c r="O5" i="2"/>
  <c r="P5" i="2" s="1"/>
  <c r="AK5" i="2" l="1"/>
  <c r="AL5" i="2" s="1"/>
  <c r="AM5" i="2" s="1"/>
  <c r="AQ5" i="2" s="1"/>
  <c r="Y5" i="2"/>
  <c r="Z5" i="2" s="1"/>
  <c r="AN5" i="2" l="1"/>
  <c r="AO5" i="2" s="1"/>
  <c r="AP5" i="2" s="1"/>
  <c r="AB5" i="2"/>
  <c r="AC5" i="2" s="1"/>
  <c r="I5" i="2" l="1"/>
  <c r="C6" i="2" s="1"/>
  <c r="H6" i="2" l="1"/>
  <c r="J6" i="2" s="1"/>
  <c r="S6" i="2"/>
  <c r="AF6" i="2"/>
  <c r="Q6" i="2" l="1"/>
  <c r="T6" i="2" s="1"/>
  <c r="AG6" i="2"/>
  <c r="AI6" i="2"/>
  <c r="AH6" i="2"/>
  <c r="R6" i="2" l="1"/>
  <c r="U6" i="2"/>
  <c r="V6" i="2"/>
  <c r="K6" i="2"/>
  <c r="L6" i="2"/>
  <c r="M6" i="2" s="1"/>
  <c r="AA6" i="2" s="1"/>
  <c r="AJ6" i="2"/>
  <c r="W6" i="2" l="1"/>
  <c r="X6" i="2" s="1"/>
  <c r="O6" i="2"/>
  <c r="P6" i="2" s="1"/>
  <c r="Y6" i="2" l="1"/>
  <c r="Z6" i="2" s="1"/>
  <c r="AB6" i="2" s="1"/>
  <c r="AC6" i="2" s="1"/>
  <c r="AK6" i="2"/>
  <c r="AL6" i="2" s="1"/>
  <c r="AM6" i="2" s="1"/>
  <c r="AQ6" i="2" s="1"/>
  <c r="AN6" i="2" l="1"/>
  <c r="AO6" i="2" s="1"/>
  <c r="AP6" i="2" s="1"/>
  <c r="I6" i="2" s="1"/>
  <c r="C7" i="2" s="1"/>
  <c r="AF7" i="2" s="1"/>
  <c r="AG7" i="2" s="1"/>
  <c r="H7" i="2" l="1"/>
  <c r="Q7" i="2" s="1"/>
  <c r="R7" i="2" s="1"/>
  <c r="S7" i="2"/>
  <c r="AH7" i="2" s="1"/>
  <c r="AI7" i="2" l="1"/>
  <c r="J7" i="2"/>
  <c r="V7" i="2" s="1"/>
  <c r="T7" i="2"/>
  <c r="U7" i="2"/>
  <c r="K7" i="2" l="1"/>
  <c r="L7" i="2"/>
  <c r="M7" i="2" s="1"/>
  <c r="O7" i="2" s="1"/>
  <c r="P7" i="2" s="1"/>
  <c r="AJ7" i="2"/>
  <c r="W7" i="2"/>
  <c r="X7" i="2" s="1"/>
  <c r="AK7" i="2" l="1"/>
  <c r="AL7" i="2" s="1"/>
  <c r="AM7" i="2" s="1"/>
  <c r="AQ7" i="2" s="1"/>
  <c r="Y7" i="2"/>
  <c r="Z7" i="2" s="1"/>
  <c r="AA7" i="2"/>
  <c r="AN7" i="2" l="1"/>
  <c r="AO7" i="2" s="1"/>
  <c r="AP7" i="2" s="1"/>
  <c r="AB7" i="2"/>
  <c r="AC7" i="2" s="1"/>
  <c r="I7" i="2" l="1"/>
  <c r="C8" i="2" s="1"/>
  <c r="S8" i="2" s="1"/>
  <c r="AF8" i="2" l="1"/>
  <c r="AG8" i="2" s="1"/>
  <c r="H8" i="2"/>
  <c r="Q8" i="2" s="1"/>
  <c r="R8" i="2" s="1"/>
  <c r="U8" i="2"/>
  <c r="T8" i="2" l="1"/>
  <c r="J8" i="2"/>
  <c r="K8" i="2" s="1"/>
  <c r="AH8" i="2"/>
  <c r="AI8" i="2"/>
  <c r="L8" i="2"/>
  <c r="M8" i="2" s="1"/>
  <c r="AA8" i="2" s="1"/>
  <c r="AJ8" i="2"/>
  <c r="V8" i="2"/>
  <c r="W8" i="2" s="1"/>
  <c r="O8" i="2" l="1"/>
  <c r="P8" i="2" s="1"/>
  <c r="X8" i="2"/>
  <c r="AK8" i="2"/>
  <c r="AL8" i="2" s="1"/>
  <c r="AN8" i="2" s="1"/>
  <c r="AO8" i="2" s="1"/>
  <c r="AP8" i="2" s="1"/>
  <c r="Y8" i="2"/>
  <c r="Z8" i="2" s="1"/>
  <c r="AB8" i="2" s="1"/>
  <c r="AC8" i="2" s="1"/>
  <c r="AM8" i="2" l="1"/>
  <c r="AQ8" i="2" s="1"/>
  <c r="I8" i="2"/>
  <c r="C9" i="2" s="1"/>
  <c r="S9" i="2" s="1"/>
  <c r="AF9" i="2" l="1"/>
  <c r="AI9" i="2" s="1"/>
  <c r="H9" i="2"/>
  <c r="Q9" i="2" s="1"/>
  <c r="R9" i="2" s="1"/>
  <c r="J9" i="2"/>
  <c r="T9" i="2" l="1"/>
  <c r="U9" i="2"/>
  <c r="AH9" i="2"/>
  <c r="AG9" i="2"/>
  <c r="L9" i="2"/>
  <c r="M9" i="2" s="1"/>
  <c r="K9" i="2"/>
  <c r="V9" i="2"/>
  <c r="AJ9" i="2"/>
  <c r="W9" i="2" l="1"/>
  <c r="AK9" i="2" s="1"/>
  <c r="AL9" i="2" s="1"/>
  <c r="O9" i="2"/>
  <c r="P9" i="2" s="1"/>
  <c r="AA9" i="2"/>
  <c r="X9" i="2" l="1"/>
  <c r="Y9" i="2"/>
  <c r="Z9" i="2" s="1"/>
  <c r="AB9" i="2" s="1"/>
  <c r="AC9" i="2" s="1"/>
  <c r="AM9" i="2"/>
  <c r="AN9" i="2"/>
  <c r="AO9" i="2" s="1"/>
  <c r="AP9" i="2" s="1"/>
  <c r="AQ9" i="2" l="1"/>
  <c r="I9" i="2"/>
  <c r="C10" i="2" s="1"/>
  <c r="S10" i="2" l="1"/>
  <c r="H10" i="2"/>
  <c r="Q10" i="2" s="1"/>
  <c r="R10" i="2" s="1"/>
  <c r="AF10" i="2"/>
  <c r="AG10" i="2" s="1"/>
  <c r="J10" i="2" l="1"/>
  <c r="V10" i="2" s="1"/>
  <c r="AI10" i="2"/>
  <c r="AH10" i="2"/>
  <c r="U10" i="2"/>
  <c r="T10" i="2"/>
  <c r="W10" i="2" l="1"/>
  <c r="X10" i="2" s="1"/>
  <c r="AJ10" i="2"/>
  <c r="K10" i="2"/>
  <c r="L10" i="2"/>
  <c r="M10" i="2" s="1"/>
  <c r="AA10" i="2" s="1"/>
  <c r="AK10" i="2" l="1"/>
  <c r="AL10" i="2" s="1"/>
  <c r="Y10" i="2"/>
  <c r="Z10" i="2" s="1"/>
  <c r="AB10" i="2" s="1"/>
  <c r="AC10" i="2" s="1"/>
  <c r="O10" i="2"/>
  <c r="P10" i="2" s="1"/>
  <c r="AM10" i="2" l="1"/>
  <c r="AQ10" i="2" s="1"/>
  <c r="AN10" i="2"/>
  <c r="AO10" i="2" s="1"/>
  <c r="AP10" i="2" s="1"/>
  <c r="I10" i="2" s="1"/>
  <c r="C11" i="2" s="1"/>
  <c r="S11" i="2" l="1"/>
  <c r="H11" i="2"/>
  <c r="J11" i="2" s="1"/>
  <c r="AF11" i="2"/>
  <c r="Q11" i="2" l="1"/>
  <c r="AG11" i="2"/>
  <c r="AI11" i="2"/>
  <c r="AH11" i="2"/>
  <c r="R11" i="2" l="1"/>
  <c r="T11" i="2"/>
  <c r="U11" i="2"/>
  <c r="V11" i="2"/>
  <c r="L11" i="2"/>
  <c r="M11" i="2" s="1"/>
  <c r="K11" i="2"/>
  <c r="AJ11" i="2"/>
  <c r="W11" i="2" l="1"/>
  <c r="Y11" i="2" s="1"/>
  <c r="Z11" i="2" s="1"/>
  <c r="O11" i="2"/>
  <c r="P11" i="2" s="1"/>
  <c r="AA11" i="2"/>
  <c r="X11" i="2" l="1"/>
  <c r="AK11" i="2"/>
  <c r="AL11" i="2" s="1"/>
  <c r="AN11" i="2" s="1"/>
  <c r="AO11" i="2" s="1"/>
  <c r="AP11" i="2" s="1"/>
  <c r="AB11" i="2"/>
  <c r="AC11" i="2" s="1"/>
  <c r="AM11" i="2" l="1"/>
  <c r="AQ11" i="2" s="1"/>
  <c r="I11" i="2"/>
  <c r="C12" i="2" s="1"/>
  <c r="AF12" i="2" l="1"/>
  <c r="AG12" i="2" s="1"/>
  <c r="S12" i="2"/>
  <c r="H12" i="2"/>
  <c r="Q12" i="2" s="1"/>
  <c r="J12" i="2" l="1"/>
  <c r="K12" i="2" s="1"/>
  <c r="AH12" i="2"/>
  <c r="T12" i="2"/>
  <c r="AI12" i="2"/>
  <c r="R12" i="2"/>
  <c r="U12" i="2"/>
  <c r="L12" i="2" l="1"/>
  <c r="M12" i="2" s="1"/>
  <c r="O12" i="2" s="1"/>
  <c r="P12" i="2" s="1"/>
  <c r="V12" i="2"/>
  <c r="W12" i="2" s="1"/>
  <c r="X12" i="2" s="1"/>
  <c r="AJ12" i="2"/>
  <c r="AA12" i="2" l="1"/>
  <c r="Y12" i="2"/>
  <c r="Z12" i="2" s="1"/>
  <c r="AK12" i="2"/>
  <c r="AL12" i="2" s="1"/>
  <c r="AN12" i="2" s="1"/>
  <c r="AO12" i="2" s="1"/>
  <c r="AP12" i="2" s="1"/>
  <c r="AB12" i="2" l="1"/>
  <c r="AC12" i="2" s="1"/>
  <c r="I12" i="2" s="1"/>
  <c r="C13" i="2" s="1"/>
  <c r="AM12" i="2"/>
  <c r="AQ12" i="2" s="1"/>
  <c r="AF13" i="2" l="1"/>
  <c r="AG13" i="2" s="1"/>
  <c r="S13" i="2"/>
  <c r="H13" i="2"/>
  <c r="Q13" i="2" s="1"/>
  <c r="R13" i="2" s="1"/>
  <c r="J13" i="2" l="1"/>
  <c r="V13" i="2" s="1"/>
  <c r="U13" i="2"/>
  <c r="AI13" i="2"/>
  <c r="AH13" i="2"/>
  <c r="T13" i="2"/>
  <c r="AJ13" i="2" l="1"/>
  <c r="W13" i="2"/>
  <c r="Y13" i="2" s="1"/>
  <c r="Z13" i="2" s="1"/>
  <c r="K13" i="2"/>
  <c r="L13" i="2"/>
  <c r="M13" i="2" s="1"/>
  <c r="AA13" i="2" s="1"/>
  <c r="AK13" i="2" l="1"/>
  <c r="AL13" i="2" s="1"/>
  <c r="AM13" i="2" s="1"/>
  <c r="X13" i="2"/>
  <c r="AB13" i="2"/>
  <c r="AC13" i="2" s="1"/>
  <c r="O13" i="2"/>
  <c r="P13" i="2" s="1"/>
  <c r="AQ13" i="2" l="1"/>
  <c r="AN13" i="2"/>
  <c r="AO13" i="2" s="1"/>
  <c r="AP13" i="2" s="1"/>
  <c r="I13" i="2" s="1"/>
  <c r="C14" i="2" s="1"/>
  <c r="AF14" i="2" l="1"/>
  <c r="AG14" i="2" s="1"/>
  <c r="S14" i="2"/>
  <c r="H14" i="2"/>
  <c r="Q14" i="2" s="1"/>
  <c r="R14" i="2" s="1"/>
  <c r="J14" i="2" l="1"/>
  <c r="AH14" i="2"/>
  <c r="U14" i="2"/>
  <c r="T14" i="2"/>
  <c r="AI14" i="2"/>
  <c r="AJ14" i="2" l="1"/>
  <c r="L14" i="2"/>
  <c r="M14" i="2" s="1"/>
  <c r="V14" i="2"/>
  <c r="W14" i="2" s="1"/>
  <c r="K14" i="2"/>
  <c r="X14" i="2" l="1"/>
  <c r="Y14" i="2"/>
  <c r="Z14" i="2" s="1"/>
  <c r="AK14" i="2"/>
  <c r="AL14" i="2" s="1"/>
  <c r="AA14" i="2"/>
  <c r="O14" i="2"/>
  <c r="P14" i="2" s="1"/>
  <c r="AB14" i="2" l="1"/>
  <c r="AC14" i="2" s="1"/>
  <c r="AM14" i="2"/>
  <c r="AQ14" i="2" s="1"/>
  <c r="AN14" i="2"/>
  <c r="AO14" i="2" s="1"/>
  <c r="AP14" i="2" s="1"/>
  <c r="I14" i="2" l="1"/>
  <c r="C15" i="2" s="1"/>
  <c r="AF15" i="2" l="1"/>
  <c r="AG15" i="2" s="1"/>
  <c r="S15" i="2"/>
  <c r="H15" i="2"/>
  <c r="Q15" i="2" s="1"/>
  <c r="AI15" i="2" l="1"/>
  <c r="J15" i="2"/>
  <c r="V15" i="2" s="1"/>
  <c r="AH15" i="2"/>
  <c r="T15" i="2"/>
  <c r="U15" i="2"/>
  <c r="R15" i="2"/>
  <c r="L15" i="2" l="1"/>
  <c r="M15" i="2" s="1"/>
  <c r="AA15" i="2" s="1"/>
  <c r="AJ15" i="2"/>
  <c r="K15" i="2"/>
  <c r="W15" i="2"/>
  <c r="Y15" i="2" s="1"/>
  <c r="Z15" i="2" s="1"/>
  <c r="O15" i="2" l="1"/>
  <c r="P15" i="2" s="1"/>
  <c r="X15" i="2"/>
  <c r="AK15" i="2"/>
  <c r="AL15" i="2" s="1"/>
  <c r="AN15" i="2" s="1"/>
  <c r="AO15" i="2" s="1"/>
  <c r="AP15" i="2" s="1"/>
  <c r="AB15" i="2"/>
  <c r="AC15" i="2" s="1"/>
  <c r="AM15" i="2" l="1"/>
  <c r="AQ15" i="2" s="1"/>
  <c r="I15" i="2"/>
  <c r="C16" i="2" s="1"/>
  <c r="H16" i="2" l="1"/>
  <c r="Q16" i="2" s="1"/>
  <c r="R16" i="2" s="1"/>
  <c r="AF16" i="2"/>
  <c r="AG16" i="2" s="1"/>
  <c r="S16" i="2"/>
  <c r="J16" i="2" l="1"/>
  <c r="AJ16" i="2" s="1"/>
  <c r="AH16" i="2"/>
  <c r="T16" i="2"/>
  <c r="U16" i="2"/>
  <c r="AI16" i="2"/>
  <c r="L16" i="2" l="1"/>
  <c r="M16" i="2" s="1"/>
  <c r="AA16" i="2" s="1"/>
  <c r="K16" i="2"/>
  <c r="V16" i="2"/>
  <c r="W16" i="2" s="1"/>
  <c r="AK16" i="2" s="1"/>
  <c r="AL16" i="2" s="1"/>
  <c r="O16" i="2" l="1"/>
  <c r="P16" i="2" s="1"/>
  <c r="Y16" i="2"/>
  <c r="Z16" i="2" s="1"/>
  <c r="AB16" i="2" s="1"/>
  <c r="AC16" i="2" s="1"/>
  <c r="X16" i="2"/>
  <c r="AN16" i="2"/>
  <c r="AO16" i="2" s="1"/>
  <c r="AP16" i="2" s="1"/>
  <c r="AM16" i="2"/>
  <c r="AQ16" i="2" l="1"/>
  <c r="I16" i="2"/>
  <c r="C17" i="2" s="1"/>
  <c r="AF17" i="2" l="1"/>
  <c r="AG17" i="2" s="1"/>
  <c r="H17" i="2"/>
  <c r="Q17" i="2" s="1"/>
  <c r="R17" i="2" s="1"/>
  <c r="S17" i="2"/>
  <c r="AH17" i="2" l="1"/>
  <c r="J17" i="2"/>
  <c r="T17" i="2"/>
  <c r="AI17" i="2"/>
  <c r="U17" i="2"/>
  <c r="V17" i="2" l="1"/>
  <c r="W17" i="2" s="1"/>
  <c r="L17" i="2"/>
  <c r="M17" i="2" s="1"/>
  <c r="AJ17" i="2"/>
  <c r="K17" i="2"/>
  <c r="Y17" i="2" l="1"/>
  <c r="Z17" i="2" s="1"/>
  <c r="X17" i="2"/>
  <c r="AK17" i="2"/>
  <c r="AL17" i="2" s="1"/>
  <c r="AN17" i="2" s="1"/>
  <c r="AO17" i="2" s="1"/>
  <c r="AP17" i="2" s="1"/>
  <c r="O17" i="2"/>
  <c r="P17" i="2" s="1"/>
  <c r="AA17" i="2"/>
  <c r="AM17" i="2" l="1"/>
  <c r="AQ17" i="2" s="1"/>
  <c r="AB17" i="2"/>
  <c r="AC17" i="2" s="1"/>
  <c r="I17" i="2" s="1"/>
  <c r="C18" i="2" s="1"/>
  <c r="AF18" i="2" l="1"/>
  <c r="AG18" i="2" s="1"/>
  <c r="S18" i="2"/>
  <c r="H18" i="2"/>
  <c r="Q18" i="2" s="1"/>
  <c r="R18" i="2" s="1"/>
  <c r="AH18" i="2" l="1"/>
  <c r="J18" i="2"/>
  <c r="L18" i="2" s="1"/>
  <c r="M18" i="2" s="1"/>
  <c r="O18" i="2" s="1"/>
  <c r="P18" i="2" s="1"/>
  <c r="U18" i="2"/>
  <c r="T18" i="2"/>
  <c r="AI18" i="2"/>
  <c r="K18" i="2" l="1"/>
  <c r="V18" i="2"/>
  <c r="W18" i="2" s="1"/>
  <c r="AJ18" i="2"/>
  <c r="AA18" i="2"/>
  <c r="AK18" i="2" l="1"/>
  <c r="AL18" i="2" s="1"/>
  <c r="AN18" i="2" s="1"/>
  <c r="AO18" i="2" s="1"/>
  <c r="AP18" i="2" s="1"/>
  <c r="Y18" i="2"/>
  <c r="Z18" i="2" s="1"/>
  <c r="AB18" i="2" s="1"/>
  <c r="AC18" i="2" s="1"/>
  <c r="X18" i="2"/>
  <c r="AM18" i="2" l="1"/>
  <c r="AQ18" i="2" s="1"/>
  <c r="I18" i="2"/>
  <c r="C19" i="2" s="1"/>
  <c r="H19" i="2" s="1"/>
  <c r="Q19" i="2" s="1"/>
  <c r="AF19" i="2" l="1"/>
  <c r="AG19" i="2" s="1"/>
  <c r="S19" i="2"/>
  <c r="T19" i="2" s="1"/>
  <c r="J19" i="2"/>
  <c r="L19" i="2" s="1"/>
  <c r="M19" i="2" s="1"/>
  <c r="R19" i="2"/>
  <c r="U19" i="2" l="1"/>
  <c r="AI19" i="2"/>
  <c r="AH19" i="2"/>
  <c r="V19" i="2"/>
  <c r="K19" i="2"/>
  <c r="AJ19" i="2"/>
  <c r="AA19" i="2"/>
  <c r="O19" i="2"/>
  <c r="P19" i="2" s="1"/>
  <c r="W19" i="2" l="1"/>
  <c r="AK19" i="2" s="1"/>
  <c r="AL19" i="2" s="1"/>
  <c r="X19" i="2" l="1"/>
  <c r="Y19" i="2"/>
  <c r="Z19" i="2" s="1"/>
  <c r="AB19" i="2" s="1"/>
  <c r="AC19" i="2" s="1"/>
  <c r="AN19" i="2"/>
  <c r="AO19" i="2" s="1"/>
  <c r="AP19" i="2" s="1"/>
  <c r="AM19" i="2"/>
  <c r="AQ19" i="2" l="1"/>
  <c r="I19" i="2"/>
  <c r="C20" i="2" s="1"/>
  <c r="H20" i="2" s="1"/>
  <c r="Q20" i="2" s="1"/>
  <c r="S20" i="2" l="1"/>
  <c r="AH20" i="2" s="1"/>
  <c r="AF20" i="2"/>
  <c r="AG20" i="2" s="1"/>
  <c r="J20" i="2"/>
  <c r="AJ20" i="2" s="1"/>
  <c r="R20" i="2"/>
  <c r="T20" i="2" l="1"/>
  <c r="U20" i="2"/>
  <c r="AI20" i="2"/>
  <c r="K20" i="2"/>
  <c r="V20" i="2"/>
  <c r="W20" i="2" s="1"/>
  <c r="L20" i="2"/>
  <c r="M20" i="2" s="1"/>
  <c r="O20" i="2" s="1"/>
  <c r="P20" i="2" s="1"/>
  <c r="AA20" i="2" l="1"/>
  <c r="Y20" i="2"/>
  <c r="Z20" i="2" s="1"/>
  <c r="AK20" i="2"/>
  <c r="AL20" i="2" s="1"/>
  <c r="X20" i="2"/>
  <c r="AB20" i="2" l="1"/>
  <c r="AC20" i="2" s="1"/>
  <c r="AM20" i="2"/>
  <c r="AQ20" i="2" s="1"/>
  <c r="AN20" i="2"/>
  <c r="AO20" i="2" s="1"/>
  <c r="AP20" i="2" s="1"/>
  <c r="I20" i="2" l="1"/>
  <c r="C21" i="2" s="1"/>
  <c r="S21" i="2" l="1"/>
  <c r="AF21" i="2"/>
  <c r="H21" i="2"/>
  <c r="Q21" i="2" s="1"/>
  <c r="R21" i="2" s="1"/>
  <c r="AH21" i="2" l="1"/>
  <c r="J21" i="2"/>
  <c r="K21" i="2" s="1"/>
  <c r="T21" i="2"/>
  <c r="U21" i="2"/>
  <c r="AG21" i="2"/>
  <c r="AI21" i="2"/>
  <c r="AJ21" i="2" l="1"/>
  <c r="V21" i="2"/>
  <c r="W21" i="2" s="1"/>
  <c r="AK21" i="2" s="1"/>
  <c r="L21" i="2"/>
  <c r="M21" i="2" s="1"/>
  <c r="AA21" i="2" s="1"/>
  <c r="Y21" i="2" l="1"/>
  <c r="Z21" i="2" s="1"/>
  <c r="X21" i="2"/>
  <c r="AL21" i="2"/>
  <c r="AN21" i="2" s="1"/>
  <c r="AO21" i="2" s="1"/>
  <c r="AP21" i="2" s="1"/>
  <c r="AB21" i="2"/>
  <c r="AC21" i="2" s="1"/>
  <c r="O21" i="2"/>
  <c r="P21" i="2" s="1"/>
  <c r="AM21" i="2" l="1"/>
  <c r="AQ21" i="2" s="1"/>
  <c r="I21" i="2"/>
  <c r="C22" i="2" s="1"/>
  <c r="AF22" i="2" s="1"/>
  <c r="S22" i="2" l="1"/>
  <c r="AH22" i="2" s="1"/>
  <c r="H22" i="2"/>
  <c r="Q22" i="2" s="1"/>
  <c r="R22" i="2" s="1"/>
  <c r="AG22" i="2"/>
  <c r="J22" i="2" l="1"/>
  <c r="L22" i="2" s="1"/>
  <c r="M22" i="2" s="1"/>
  <c r="O22" i="2" s="1"/>
  <c r="P22" i="2" s="1"/>
  <c r="AI22" i="2"/>
  <c r="T22" i="2"/>
  <c r="U22" i="2"/>
  <c r="AJ22" i="2" l="1"/>
  <c r="V22" i="2"/>
  <c r="W22" i="2" s="1"/>
  <c r="Y22" i="2" s="1"/>
  <c r="Z22" i="2" s="1"/>
  <c r="AA22" i="2"/>
  <c r="K22" i="2"/>
  <c r="X22" i="2"/>
  <c r="AK22" i="2"/>
  <c r="AL22" i="2" s="1"/>
  <c r="AM22" i="2" s="1"/>
  <c r="AQ22" i="2" s="1"/>
  <c r="AB22" i="2" l="1"/>
  <c r="AC22" i="2" s="1"/>
  <c r="AN22" i="2"/>
  <c r="AO22" i="2" s="1"/>
  <c r="AP22" i="2" s="1"/>
  <c r="I22" i="2" s="1"/>
  <c r="C23" i="2" s="1"/>
  <c r="H23" i="2" s="1"/>
  <c r="Q23" i="2" s="1"/>
  <c r="R23" i="2" s="1"/>
  <c r="J23" i="2" l="1"/>
  <c r="K23" i="2" s="1"/>
  <c r="S23" i="2"/>
  <c r="T23" i="2" s="1"/>
  <c r="AF23" i="2"/>
  <c r="AG23" i="2" s="1"/>
  <c r="AH23" i="2" l="1"/>
  <c r="AI23" i="2"/>
  <c r="U23" i="2"/>
  <c r="L23" i="2"/>
  <c r="M23" i="2" s="1"/>
  <c r="O23" i="2" s="1"/>
  <c r="P23" i="2" s="1"/>
  <c r="V23" i="2"/>
  <c r="AJ23" i="2"/>
  <c r="W23" i="2" l="1"/>
  <c r="X23" i="2" s="1"/>
  <c r="AA23" i="2"/>
  <c r="Y23" i="2" l="1"/>
  <c r="Z23" i="2" s="1"/>
  <c r="AB23" i="2" s="1"/>
  <c r="AC23" i="2" s="1"/>
  <c r="AK23" i="2"/>
  <c r="AL23" i="2" s="1"/>
  <c r="AM23" i="2" s="1"/>
  <c r="AQ23" i="2" s="1"/>
  <c r="AN23" i="2" l="1"/>
  <c r="AO23" i="2" s="1"/>
  <c r="AP23" i="2" s="1"/>
  <c r="I23" i="2" s="1"/>
  <c r="C24" i="2" s="1"/>
  <c r="AF24" i="2" s="1"/>
  <c r="AG24" i="2" l="1"/>
  <c r="H24" i="2"/>
  <c r="Q24" i="2" s="1"/>
  <c r="R24" i="2" s="1"/>
  <c r="S24" i="2"/>
  <c r="AI24" i="2" s="1"/>
  <c r="J24" i="2"/>
  <c r="K24" i="2" s="1"/>
  <c r="T24" i="2" l="1"/>
  <c r="AH24" i="2"/>
  <c r="U24" i="2"/>
  <c r="L24" i="2"/>
  <c r="M24" i="2" s="1"/>
  <c r="O24" i="2" s="1"/>
  <c r="P24" i="2" s="1"/>
  <c r="AJ24" i="2"/>
  <c r="V24" i="2"/>
  <c r="W24" i="2" l="1"/>
  <c r="Y24" i="2" s="1"/>
  <c r="Z24" i="2" s="1"/>
  <c r="AA24" i="2"/>
  <c r="AB24" i="2" l="1"/>
  <c r="AC24" i="2" s="1"/>
  <c r="X24" i="2"/>
  <c r="AK24" i="2"/>
  <c r="AL24" i="2" s="1"/>
  <c r="AM24" i="2" l="1"/>
  <c r="AQ24" i="2" s="1"/>
  <c r="AN24" i="2"/>
  <c r="AO24" i="2" s="1"/>
  <c r="AP24" i="2" s="1"/>
  <c r="I24" i="2" s="1"/>
  <c r="C25" i="2" s="1"/>
  <c r="AF25" i="2" s="1"/>
  <c r="AG25" i="2" s="1"/>
  <c r="S25" i="2" l="1"/>
  <c r="H25" i="2"/>
  <c r="Q25" i="2" s="1"/>
  <c r="R25" i="2" s="1"/>
  <c r="U25" i="2" l="1"/>
  <c r="T25" i="2"/>
  <c r="AI25" i="2"/>
  <c r="AH25" i="2"/>
  <c r="J25" i="2"/>
  <c r="L25" i="2" s="1"/>
  <c r="M25" i="2" s="1"/>
  <c r="AA25" i="2" s="1"/>
  <c r="O25" i="2" l="1"/>
  <c r="P25" i="2" s="1"/>
  <c r="K25" i="2"/>
  <c r="V25" i="2"/>
  <c r="W25" i="2" s="1"/>
  <c r="Y25" i="2" s="1"/>
  <c r="Z25" i="2" s="1"/>
  <c r="AB25" i="2" s="1"/>
  <c r="AC25" i="2" s="1"/>
  <c r="AJ25" i="2"/>
  <c r="AK25" i="2" l="1"/>
  <c r="AL25" i="2" s="1"/>
  <c r="AN25" i="2" s="1"/>
  <c r="AO25" i="2" s="1"/>
  <c r="AP25" i="2" s="1"/>
  <c r="I25" i="2" s="1"/>
  <c r="C26" i="2" s="1"/>
  <c r="X25" i="2"/>
  <c r="AM25" i="2" l="1"/>
  <c r="AQ25" i="2" s="1"/>
  <c r="AF26" i="2"/>
  <c r="AG26" i="2" s="1"/>
  <c r="S26" i="2"/>
  <c r="AI26" i="2" s="1"/>
  <c r="H26" i="2"/>
  <c r="Q26" i="2" s="1"/>
  <c r="R26" i="2" s="1"/>
  <c r="U26" i="2" l="1"/>
  <c r="T26" i="2"/>
  <c r="AH26" i="2"/>
  <c r="J26" i="2"/>
  <c r="AJ26" i="2" s="1"/>
  <c r="L26" i="2" l="1"/>
  <c r="M26" i="2" s="1"/>
  <c r="AA26" i="2" s="1"/>
  <c r="K26" i="2"/>
  <c r="V26" i="2"/>
  <c r="W26" i="2" s="1"/>
  <c r="X26" i="2" s="1"/>
  <c r="O26" i="2" l="1"/>
  <c r="P26" i="2" s="1"/>
  <c r="Y26" i="2"/>
  <c r="Z26" i="2" s="1"/>
  <c r="AB26" i="2" s="1"/>
  <c r="AC26" i="2" s="1"/>
  <c r="AK26" i="2"/>
  <c r="AL26" i="2" s="1"/>
  <c r="AM26" i="2" s="1"/>
  <c r="AQ26" i="2" s="1"/>
  <c r="AN26" i="2" l="1"/>
  <c r="AO26" i="2" s="1"/>
  <c r="AP26" i="2" s="1"/>
  <c r="I26" i="2" s="1"/>
  <c r="C27" i="2" s="1"/>
  <c r="AF27" i="2" l="1"/>
  <c r="AG27" i="2" s="1"/>
  <c r="S27" i="2"/>
  <c r="H27" i="2"/>
  <c r="Q27" i="2" s="1"/>
  <c r="R27" i="2" s="1"/>
  <c r="AH27" i="2" l="1"/>
  <c r="AI27" i="2"/>
  <c r="J27" i="2"/>
  <c r="V27" i="2" s="1"/>
  <c r="U27" i="2"/>
  <c r="T27" i="2"/>
  <c r="K27" i="2" l="1"/>
  <c r="L27" i="2"/>
  <c r="M27" i="2" s="1"/>
  <c r="O27" i="2" s="1"/>
  <c r="P27" i="2" s="1"/>
  <c r="AJ27" i="2"/>
  <c r="W27" i="2"/>
  <c r="AK27" i="2" s="1"/>
  <c r="AL27" i="2" l="1"/>
  <c r="AM27" i="2" s="1"/>
  <c r="AA27" i="2"/>
  <c r="X27" i="2"/>
  <c r="Y27" i="2"/>
  <c r="Z27" i="2" s="1"/>
  <c r="AN27" i="2" l="1"/>
  <c r="AO27" i="2" s="1"/>
  <c r="AP27" i="2" s="1"/>
  <c r="AQ27" i="2"/>
  <c r="AB27" i="2"/>
  <c r="AC27" i="2" s="1"/>
  <c r="I27" i="2" s="1"/>
  <c r="C28" i="2" s="1"/>
  <c r="AF28" i="2" l="1"/>
  <c r="AG28" i="2" s="1"/>
  <c r="H28" i="2"/>
  <c r="Q28" i="2" s="1"/>
  <c r="R28" i="2" s="1"/>
  <c r="S28" i="2"/>
  <c r="AI28" i="2" l="1"/>
  <c r="J28" i="2"/>
  <c r="K28" i="2" s="1"/>
  <c r="AH28" i="2"/>
  <c r="U28" i="2"/>
  <c r="T28" i="2"/>
  <c r="L28" i="2" l="1"/>
  <c r="M28" i="2" s="1"/>
  <c r="O28" i="2" s="1"/>
  <c r="P28" i="2" s="1"/>
  <c r="AJ28" i="2"/>
  <c r="V28" i="2"/>
  <c r="W28" i="2" s="1"/>
  <c r="X28" i="2" s="1"/>
  <c r="AK28" i="2" l="1"/>
  <c r="AL28" i="2" s="1"/>
  <c r="AM28" i="2" s="1"/>
  <c r="AQ28" i="2" s="1"/>
  <c r="Y28" i="2"/>
  <c r="Z28" i="2" s="1"/>
  <c r="AA28" i="2"/>
  <c r="AB28" i="2" l="1"/>
  <c r="AC28" i="2" s="1"/>
  <c r="AN28" i="2"/>
  <c r="AO28" i="2" s="1"/>
  <c r="AP28" i="2" s="1"/>
  <c r="I28" i="2" l="1"/>
  <c r="C29" i="2" s="1"/>
  <c r="S29" i="2" l="1"/>
  <c r="AF29" i="2"/>
  <c r="AG29" i="2" s="1"/>
  <c r="H29" i="2"/>
  <c r="Q29" i="2" s="1"/>
  <c r="R29" i="2" s="1"/>
  <c r="J29" i="2" l="1"/>
  <c r="K29" i="2" s="1"/>
  <c r="AI29" i="2"/>
  <c r="T29" i="2"/>
  <c r="U29" i="2"/>
  <c r="AH29" i="2"/>
  <c r="AJ29" i="2" l="1"/>
  <c r="V29" i="2"/>
  <c r="W29" i="2" s="1"/>
  <c r="AK29" i="2" s="1"/>
  <c r="L29" i="2"/>
  <c r="M29" i="2" s="1"/>
  <c r="AA29" i="2" s="1"/>
  <c r="AL29" i="2" l="1"/>
  <c r="AN29" i="2" s="1"/>
  <c r="AO29" i="2" s="1"/>
  <c r="AP29" i="2" s="1"/>
  <c r="O29" i="2"/>
  <c r="P29" i="2" s="1"/>
  <c r="Y29" i="2"/>
  <c r="Z29" i="2" s="1"/>
  <c r="AB29" i="2" s="1"/>
  <c r="AC29" i="2" s="1"/>
  <c r="X29" i="2"/>
  <c r="AM29" i="2" l="1"/>
  <c r="AQ29" i="2" s="1"/>
  <c r="I29" i="2"/>
  <c r="C30" i="2" s="1"/>
  <c r="AF30" i="2" l="1"/>
  <c r="AG30" i="2" s="1"/>
  <c r="S30" i="2"/>
  <c r="H30" i="2"/>
  <c r="Q30" i="2" s="1"/>
  <c r="R30" i="2" s="1"/>
  <c r="AI30" i="2" l="1"/>
  <c r="J30" i="2"/>
  <c r="K30" i="2" s="1"/>
  <c r="AH30" i="2"/>
  <c r="U30" i="2"/>
  <c r="T30" i="2"/>
  <c r="L30" i="2" l="1"/>
  <c r="M30" i="2" s="1"/>
  <c r="O30" i="2" s="1"/>
  <c r="P30" i="2" s="1"/>
  <c r="V30" i="2"/>
  <c r="W30" i="2" s="1"/>
  <c r="Y30" i="2" s="1"/>
  <c r="Z30" i="2" s="1"/>
  <c r="AJ30" i="2"/>
  <c r="AA30" i="2" l="1"/>
  <c r="AB30" i="2" s="1"/>
  <c r="AC30" i="2" s="1"/>
  <c r="AK30" i="2"/>
  <c r="AL30" i="2" s="1"/>
  <c r="AM30" i="2" s="1"/>
  <c r="X30" i="2"/>
  <c r="AQ30" i="2" l="1"/>
  <c r="AN30" i="2"/>
  <c r="AO30" i="2" s="1"/>
  <c r="AP30" i="2" s="1"/>
  <c r="I30" i="2" s="1"/>
  <c r="C31" i="2" s="1"/>
  <c r="S31" i="2" l="1"/>
  <c r="H31" i="2"/>
  <c r="Q31" i="2" s="1"/>
  <c r="R31" i="2" s="1"/>
  <c r="AF31" i="2"/>
  <c r="AG31" i="2" s="1"/>
  <c r="J31" i="2" l="1"/>
  <c r="L31" i="2" s="1"/>
  <c r="M31" i="2" s="1"/>
  <c r="O31" i="2" s="1"/>
  <c r="P31" i="2" s="1"/>
  <c r="T31" i="2"/>
  <c r="U31" i="2"/>
  <c r="AI31" i="2"/>
  <c r="AH31" i="2"/>
  <c r="V31" i="2" l="1"/>
  <c r="W31" i="2" s="1"/>
  <c r="Y31" i="2" s="1"/>
  <c r="Z31" i="2" s="1"/>
  <c r="K31" i="2"/>
  <c r="AJ31" i="2"/>
  <c r="AA31" i="2"/>
  <c r="AK31" i="2" l="1"/>
  <c r="AL31" i="2" s="1"/>
  <c r="AM31" i="2" s="1"/>
  <c r="X31" i="2"/>
  <c r="AB31" i="2"/>
  <c r="AC31" i="2" s="1"/>
  <c r="AQ31" i="2" l="1"/>
  <c r="AN31" i="2"/>
  <c r="AO31" i="2" s="1"/>
  <c r="AP31" i="2" s="1"/>
  <c r="I31" i="2" s="1"/>
  <c r="C32" i="2" s="1"/>
  <c r="AF32" i="2" l="1"/>
  <c r="AG32" i="2" s="1"/>
  <c r="S32" i="2"/>
  <c r="H32" i="2"/>
  <c r="Q32" i="2" s="1"/>
  <c r="J32" i="2" l="1"/>
  <c r="AJ32" i="2" s="1"/>
  <c r="U32" i="2"/>
  <c r="R32" i="2"/>
  <c r="AI32" i="2"/>
  <c r="AH32" i="2"/>
  <c r="T32" i="2"/>
  <c r="K32" i="2" l="1"/>
  <c r="V32" i="2"/>
  <c r="W32" i="2" s="1"/>
  <c r="L32" i="2"/>
  <c r="M32" i="2" s="1"/>
  <c r="AA32" i="2" s="1"/>
  <c r="X32" i="2" l="1"/>
  <c r="AK32" i="2"/>
  <c r="AL32" i="2" s="1"/>
  <c r="AM32" i="2" s="1"/>
  <c r="O32" i="2"/>
  <c r="P32" i="2" s="1"/>
  <c r="Y32" i="2"/>
  <c r="Z32" i="2" s="1"/>
  <c r="AB32" i="2" s="1"/>
  <c r="AC32" i="2" s="1"/>
  <c r="AQ32" i="2" l="1"/>
  <c r="AN32" i="2"/>
  <c r="AO32" i="2" s="1"/>
  <c r="AP32" i="2" s="1"/>
  <c r="I32" i="2" s="1"/>
  <c r="C33" i="2" l="1"/>
  <c r="S33" i="2" l="1"/>
  <c r="AF33" i="2"/>
  <c r="AG33" i="2" s="1"/>
  <c r="H33" i="2"/>
  <c r="Q33" i="2" s="1"/>
  <c r="J33" i="2" l="1"/>
  <c r="K33" i="2" s="1"/>
  <c r="U33" i="2"/>
  <c r="R33" i="2"/>
  <c r="AI33" i="2"/>
  <c r="AH33" i="2"/>
  <c r="T33" i="2"/>
  <c r="L33" i="2" l="1"/>
  <c r="M33" i="2" s="1"/>
  <c r="AA33" i="2" s="1"/>
  <c r="V33" i="2"/>
  <c r="W33" i="2" s="1"/>
  <c r="AJ33" i="2"/>
  <c r="X33" i="2" l="1"/>
  <c r="Y33" i="2"/>
  <c r="Z33" i="2" s="1"/>
  <c r="AB33" i="2" s="1"/>
  <c r="AC33" i="2" s="1"/>
  <c r="O33" i="2"/>
  <c r="P33" i="2" s="1"/>
  <c r="AK33" i="2"/>
  <c r="AL33" i="2" s="1"/>
  <c r="AM33" i="2" s="1"/>
  <c r="AN33" i="2" l="1"/>
  <c r="AO33" i="2" s="1"/>
  <c r="AP33" i="2" s="1"/>
  <c r="I33" i="2" s="1"/>
  <c r="AQ33" i="2"/>
  <c r="C34" i="2" l="1"/>
  <c r="S34" i="2" l="1"/>
  <c r="H34" i="2"/>
  <c r="Q34" i="2" s="1"/>
  <c r="R34" i="2" s="1"/>
  <c r="AF34" i="2"/>
  <c r="AG34" i="2" s="1"/>
  <c r="J34" i="2" l="1"/>
  <c r="K34" i="2" s="1"/>
  <c r="AI34" i="2"/>
  <c r="AH34" i="2"/>
  <c r="U34" i="2"/>
  <c r="T34" i="2"/>
  <c r="AJ34" i="2" l="1"/>
  <c r="L34" i="2"/>
  <c r="M34" i="2" s="1"/>
  <c r="O34" i="2" s="1"/>
  <c r="P34" i="2" s="1"/>
  <c r="V34" i="2"/>
  <c r="W34" i="2" s="1"/>
  <c r="X34" i="2" s="1"/>
  <c r="AK34" i="2" l="1"/>
  <c r="AL34" i="2" s="1"/>
  <c r="AM34" i="2" s="1"/>
  <c r="AQ34" i="2" s="1"/>
  <c r="Y34" i="2"/>
  <c r="Z34" i="2" s="1"/>
  <c r="AA34" i="2"/>
  <c r="AB34" i="2" l="1"/>
  <c r="AC34" i="2" s="1"/>
  <c r="AN34" i="2"/>
  <c r="AO34" i="2" s="1"/>
  <c r="AP34" i="2" s="1"/>
  <c r="I34" i="2" l="1"/>
  <c r="C35" i="2" s="1"/>
  <c r="S35" i="2" l="1"/>
  <c r="H35" i="2"/>
  <c r="Q35" i="2" s="1"/>
  <c r="R35" i="2" s="1"/>
  <c r="AF35" i="2"/>
  <c r="AG35" i="2" s="1"/>
  <c r="J35" i="2" l="1"/>
  <c r="L35" i="2" s="1"/>
  <c r="M35" i="2" s="1"/>
  <c r="AA35" i="2" s="1"/>
  <c r="AH35" i="2"/>
  <c r="U35" i="2"/>
  <c r="AI35" i="2"/>
  <c r="T35" i="2"/>
  <c r="AJ35" i="2" l="1"/>
  <c r="V35" i="2"/>
  <c r="W35" i="2" s="1"/>
  <c r="X35" i="2" s="1"/>
  <c r="K35" i="2"/>
  <c r="O35" i="2"/>
  <c r="P35" i="2" s="1"/>
  <c r="Y35" i="2" l="1"/>
  <c r="Z35" i="2" s="1"/>
  <c r="AB35" i="2" s="1"/>
  <c r="AC35" i="2" s="1"/>
  <c r="AK35" i="2"/>
  <c r="AL35" i="2" s="1"/>
  <c r="AM35" i="2" s="1"/>
  <c r="AQ35" i="2" s="1"/>
  <c r="AN35" i="2" l="1"/>
  <c r="AO35" i="2" s="1"/>
  <c r="AP35" i="2" s="1"/>
  <c r="I35" i="2" s="1"/>
  <c r="C36" i="2" l="1"/>
  <c r="H36" i="2" l="1"/>
  <c r="Q36" i="2" s="1"/>
  <c r="R36" i="2" s="1"/>
  <c r="AF36" i="2"/>
  <c r="AG36" i="2" s="1"/>
  <c r="S36" i="2"/>
  <c r="J36" i="2" l="1"/>
  <c r="AH36" i="2"/>
  <c r="AI36" i="2"/>
  <c r="U36" i="2"/>
  <c r="T36" i="2"/>
  <c r="K36" i="2" l="1"/>
  <c r="F28" i="3" s="1"/>
  <c r="V36" i="2"/>
  <c r="W36" i="2" s="1"/>
  <c r="AJ36" i="2"/>
  <c r="L36" i="2"/>
  <c r="M36" i="2" s="1"/>
  <c r="O36" i="2" s="1"/>
  <c r="P36" i="2" s="1"/>
  <c r="AA36" i="2" l="1"/>
  <c r="X36" i="2"/>
  <c r="F29" i="3" s="1"/>
  <c r="Y36" i="2"/>
  <c r="Z36" i="2" s="1"/>
  <c r="AK36" i="2"/>
  <c r="AL36" i="2" s="1"/>
  <c r="AN36" i="2" s="1"/>
  <c r="AO36" i="2" s="1"/>
  <c r="AP36" i="2" s="1"/>
  <c r="AB36" i="2" l="1"/>
  <c r="AC36" i="2" s="1"/>
  <c r="I36" i="2" s="1"/>
  <c r="C37" i="2" s="1"/>
  <c r="AM36" i="2"/>
  <c r="AQ36" i="2" l="1"/>
  <c r="F30" i="3"/>
  <c r="S37" i="2"/>
  <c r="H37" i="2"/>
  <c r="Q37" i="2" s="1"/>
  <c r="AF37" i="2"/>
  <c r="AG37" i="2" s="1"/>
  <c r="J37" i="2" l="1"/>
  <c r="L37" i="2" s="1"/>
  <c r="M37" i="2" s="1"/>
  <c r="O37" i="2" s="1"/>
  <c r="AI37" i="2"/>
  <c r="T37" i="2"/>
  <c r="R37" i="2"/>
  <c r="U37" i="2"/>
  <c r="AH37" i="2"/>
  <c r="K37" i="2" l="1"/>
  <c r="V37" i="2"/>
  <c r="W37" i="2" s="1"/>
  <c r="AJ37" i="2"/>
  <c r="AA37" i="2"/>
  <c r="P37" i="2"/>
  <c r="X37" i="2" l="1"/>
  <c r="AK37" i="2"/>
  <c r="AL37" i="2" s="1"/>
  <c r="AM37" i="2" s="1"/>
  <c r="Y37" i="2"/>
  <c r="Z37" i="2" s="1"/>
  <c r="AB37" i="2" s="1"/>
  <c r="AC37" i="2" s="1"/>
  <c r="AQ37" i="2" l="1"/>
  <c r="AN37" i="2"/>
  <c r="AO37" i="2" s="1"/>
  <c r="AP37" i="2" s="1"/>
  <c r="I37" i="2" s="1"/>
  <c r="C38" i="2" s="1"/>
  <c r="S38" i="2" l="1"/>
  <c r="AF38" i="2"/>
  <c r="AG38" i="2" s="1"/>
  <c r="H38" i="2"/>
  <c r="Q38" i="2" s="1"/>
  <c r="R38" i="2" s="1"/>
  <c r="J38" i="2" l="1"/>
  <c r="T38" i="2"/>
  <c r="AI38" i="2"/>
  <c r="U38" i="2"/>
  <c r="AH38" i="2"/>
  <c r="K38" i="2" l="1"/>
  <c r="V38" i="2"/>
  <c r="W38" i="2" s="1"/>
  <c r="AK38" i="2" s="1"/>
  <c r="L38" i="2"/>
  <c r="M38" i="2" s="1"/>
  <c r="AA38" i="2" s="1"/>
  <c r="AJ38" i="2"/>
  <c r="AL38" i="2" l="1"/>
  <c r="AM38" i="2" s="1"/>
  <c r="O38" i="2"/>
  <c r="P38" i="2" s="1"/>
  <c r="Y38" i="2"/>
  <c r="Z38" i="2" s="1"/>
  <c r="AB38" i="2" s="1"/>
  <c r="AC38" i="2" s="1"/>
  <c r="X38" i="2"/>
  <c r="AQ38" i="2" l="1"/>
  <c r="AN38" i="2"/>
  <c r="AO38" i="2" s="1"/>
  <c r="AP38" i="2" s="1"/>
  <c r="I38" i="2" s="1"/>
  <c r="C39" i="2" s="1"/>
  <c r="AF39" i="2" l="1"/>
  <c r="AG39" i="2" s="1"/>
  <c r="S39" i="2"/>
  <c r="H39" i="2"/>
  <c r="Q39" i="2" s="1"/>
  <c r="J39" i="2" l="1"/>
  <c r="AH39" i="2"/>
  <c r="R39" i="2"/>
  <c r="T39" i="2"/>
  <c r="U39" i="2"/>
  <c r="AI39" i="2"/>
  <c r="K39" i="2" l="1"/>
  <c r="V39" i="2"/>
  <c r="W39" i="2" s="1"/>
  <c r="L39" i="2"/>
  <c r="M39" i="2" s="1"/>
  <c r="AJ39" i="2"/>
  <c r="X39" i="2" l="1"/>
  <c r="Y39" i="2"/>
  <c r="Z39" i="2" s="1"/>
  <c r="AK39" i="2"/>
  <c r="AL39" i="2" s="1"/>
  <c r="AM39" i="2" s="1"/>
  <c r="AA39" i="2"/>
  <c r="O39" i="2"/>
  <c r="P39" i="2" s="1"/>
  <c r="AB39" i="2" l="1"/>
  <c r="AC39" i="2" s="1"/>
  <c r="AN39" i="2"/>
  <c r="AO39" i="2" s="1"/>
  <c r="AP39" i="2" s="1"/>
  <c r="AQ39" i="2"/>
  <c r="I39" i="2" l="1"/>
  <c r="C40" i="2" s="1"/>
  <c r="AF40" i="2" l="1"/>
  <c r="AG40" i="2" s="1"/>
  <c r="H40" i="2"/>
  <c r="Q40" i="2" s="1"/>
  <c r="R40" i="2" s="1"/>
  <c r="S40" i="2"/>
  <c r="AH40" i="2" l="1"/>
  <c r="J40" i="2"/>
  <c r="V40" i="2" s="1"/>
  <c r="U40" i="2"/>
  <c r="AI40" i="2"/>
  <c r="T40" i="2"/>
  <c r="K40" i="2" l="1"/>
  <c r="AJ40" i="2"/>
  <c r="W40" i="2"/>
  <c r="AK40" i="2" s="1"/>
  <c r="AL40" i="2" s="1"/>
  <c r="AM40" i="2" s="1"/>
  <c r="L40" i="2"/>
  <c r="M40" i="2" s="1"/>
  <c r="AA40" i="2" s="1"/>
  <c r="Y40" i="2" l="1"/>
  <c r="Z40" i="2" s="1"/>
  <c r="AB40" i="2" s="1"/>
  <c r="AC40" i="2" s="1"/>
  <c r="X40" i="2"/>
  <c r="AQ40" i="2" s="1"/>
  <c r="O40" i="2"/>
  <c r="P40" i="2" s="1"/>
  <c r="AN40" i="2"/>
  <c r="AO40" i="2" s="1"/>
  <c r="AP40" i="2" s="1"/>
  <c r="I40" i="2" l="1"/>
  <c r="C41" i="2" s="1"/>
  <c r="AF41" i="2" l="1"/>
  <c r="AG41" i="2" s="1"/>
  <c r="S41" i="2"/>
  <c r="AI41" i="2" s="1"/>
  <c r="H41" i="2"/>
  <c r="Q41" i="2" s="1"/>
  <c r="J41" i="2" l="1"/>
  <c r="K41" i="2" s="1"/>
  <c r="T41" i="2"/>
  <c r="R41" i="2"/>
  <c r="U41" i="2"/>
  <c r="AH41" i="2"/>
  <c r="L41" i="2" l="1"/>
  <c r="M41" i="2" s="1"/>
  <c r="O41" i="2" s="1"/>
  <c r="P41" i="2" s="1"/>
  <c r="AJ41" i="2"/>
  <c r="V41" i="2"/>
  <c r="W41" i="2" s="1"/>
  <c r="AA41" i="2" l="1"/>
  <c r="X41" i="2"/>
  <c r="Y41" i="2"/>
  <c r="Z41" i="2" s="1"/>
  <c r="AK41" i="2"/>
  <c r="AL41" i="2" s="1"/>
  <c r="AB41" i="2" l="1"/>
  <c r="AC41" i="2" s="1"/>
  <c r="AM41" i="2"/>
  <c r="AQ41" i="2" s="1"/>
  <c r="AN41" i="2"/>
  <c r="AO41" i="2" s="1"/>
  <c r="AP41" i="2" s="1"/>
  <c r="I41" i="2" l="1"/>
  <c r="C42" i="2" s="1"/>
  <c r="S42" i="2" l="1"/>
  <c r="H42" i="2"/>
  <c r="Q42" i="2" s="1"/>
  <c r="R42" i="2" s="1"/>
  <c r="AF42" i="2"/>
  <c r="AG42" i="2" s="1"/>
  <c r="J42" i="2" l="1"/>
  <c r="L42" i="2" s="1"/>
  <c r="M42" i="2" s="1"/>
  <c r="AA42" i="2" s="1"/>
  <c r="T42" i="2"/>
  <c r="U42" i="2"/>
  <c r="AI42" i="2"/>
  <c r="AH42" i="2"/>
  <c r="K42" i="2" l="1"/>
  <c r="AJ42" i="2"/>
  <c r="V42" i="2"/>
  <c r="W42" i="2" s="1"/>
  <c r="O42" i="2"/>
  <c r="P42" i="2" s="1"/>
  <c r="X42" i="2"/>
  <c r="AK42" i="2"/>
  <c r="AL42" i="2" s="1"/>
  <c r="AM42" i="2" s="1"/>
  <c r="AQ42" i="2" s="1"/>
  <c r="Y42" i="2"/>
  <c r="Z42" i="2" s="1"/>
  <c r="AB42" i="2" s="1"/>
  <c r="AC42" i="2" s="1"/>
  <c r="AN42" i="2" l="1"/>
  <c r="AO42" i="2" s="1"/>
  <c r="AP42" i="2" s="1"/>
  <c r="I42" i="2" s="1"/>
  <c r="C43" i="2" l="1"/>
  <c r="H43" i="2" l="1"/>
  <c r="Q43" i="2" s="1"/>
  <c r="R43" i="2" s="1"/>
  <c r="S43" i="2"/>
  <c r="AF43" i="2"/>
  <c r="AG43" i="2" s="1"/>
  <c r="J43" i="2" l="1"/>
  <c r="AI43" i="2"/>
  <c r="AH43" i="2"/>
  <c r="U43" i="2"/>
  <c r="T43" i="2"/>
  <c r="K43" i="2" l="1"/>
  <c r="V43" i="2"/>
  <c r="W43" i="2" s="1"/>
  <c r="AJ43" i="2"/>
  <c r="L43" i="2"/>
  <c r="M43" i="2" s="1"/>
  <c r="X43" i="2" l="1"/>
  <c r="O43" i="2"/>
  <c r="P43" i="2" s="1"/>
  <c r="AA43" i="2"/>
  <c r="AK43" i="2"/>
  <c r="AL43" i="2" s="1"/>
  <c r="AM43" i="2" s="1"/>
  <c r="AQ43" i="2" s="1"/>
  <c r="Y43" i="2"/>
  <c r="Z43" i="2" s="1"/>
  <c r="AB43" i="2" l="1"/>
  <c r="AC43" i="2" s="1"/>
  <c r="AN43" i="2"/>
  <c r="AO43" i="2" s="1"/>
  <c r="AP43" i="2" s="1"/>
  <c r="F40" i="3" s="1"/>
  <c r="F41" i="3" s="1"/>
  <c r="F42" i="3" s="1"/>
  <c r="F45" i="3" s="1"/>
  <c r="F46" i="3" s="1"/>
  <c r="F47" i="3" l="1"/>
  <c r="F48" i="3" s="1"/>
  <c r="F50" i="3" s="1"/>
  <c r="I43" i="2"/>
  <c r="F26" i="3"/>
  <c r="F27" i="3" s="1"/>
  <c r="F31" i="3" l="1"/>
  <c r="F55" i="3"/>
  <c r="F35" i="3" l="1"/>
  <c r="F36" i="3" s="1"/>
  <c r="F51" i="3" l="1"/>
</calcChain>
</file>

<file path=xl/sharedStrings.xml><?xml version="1.0" encoding="utf-8"?>
<sst xmlns="http://schemas.openxmlformats.org/spreadsheetml/2006/main" count="156" uniqueCount="99">
  <si>
    <t>Jahr</t>
  </si>
  <si>
    <t>Rendite</t>
  </si>
  <si>
    <t>Wertsteigerung</t>
  </si>
  <si>
    <t>Kosten auf Fondsguthaben</t>
  </si>
  <si>
    <t>Teilfreistellung</t>
  </si>
  <si>
    <t>zu besteuern</t>
  </si>
  <si>
    <t>Einzahlungen</t>
  </si>
  <si>
    <t>Erträge</t>
  </si>
  <si>
    <t>Steuerlast</t>
  </si>
  <si>
    <t>Fondspolice</t>
  </si>
  <si>
    <t>Jahresbeitrag</t>
  </si>
  <si>
    <t>Teilfreistellung Aktienfonds</t>
  </si>
  <si>
    <t>Basiszins</t>
  </si>
  <si>
    <t>Freistellungsauftrag</t>
  </si>
  <si>
    <t>Freistellung übrig</t>
  </si>
  <si>
    <t>Einmalanlage</t>
  </si>
  <si>
    <t>Vergleich Fondspolice (fondsgebundene Rentenversicherung) mit Depot</t>
  </si>
  <si>
    <t>Allgemeine Angaben</t>
  </si>
  <si>
    <t>monatlicher Sparplan</t>
  </si>
  <si>
    <t>Beginn (erste Einzahlung)</t>
  </si>
  <si>
    <t>Alter</t>
  </si>
  <si>
    <t>Geburtsdatum</t>
  </si>
  <si>
    <t>mgl. Renteneintritt (62 J)</t>
  </si>
  <si>
    <t>Ende Ansparphase</t>
  </si>
  <si>
    <t>anfängliche Aktienquote</t>
  </si>
  <si>
    <t>Renditeerwartung</t>
  </si>
  <si>
    <t>jährliches Rebalancing</t>
  </si>
  <si>
    <t>1. Umschichtung nach</t>
  </si>
  <si>
    <t>Aktienquote</t>
  </si>
  <si>
    <t>2. Umschichtung nach</t>
  </si>
  <si>
    <t>3. Umschichtung nach</t>
  </si>
  <si>
    <t>Ansparphase | Aktienquote / Renditeerwartungen / Rebalancing / Umschichtungen</t>
  </si>
  <si>
    <t>Beginn (erste Entnahme)</t>
  </si>
  <si>
    <t>Datum</t>
  </si>
  <si>
    <t>Abschlussgebühr</t>
  </si>
  <si>
    <t>Abschluss- gebühr</t>
  </si>
  <si>
    <t>Stückkosten p.a.</t>
  </si>
  <si>
    <t>Stückkosten</t>
  </si>
  <si>
    <t>Beitragskosten Einmalanlage</t>
  </si>
  <si>
    <t>Beitragskosten Sparplan</t>
  </si>
  <si>
    <t>Zeitraum</t>
  </si>
  <si>
    <t>Kosten auf Fondsguthaben p.a.</t>
  </si>
  <si>
    <t>Bestand Jahresbeginn</t>
  </si>
  <si>
    <t>Vorab- pauschale</t>
  </si>
  <si>
    <t>Freistellungs- auftrag</t>
  </si>
  <si>
    <r>
      <t xml:space="preserve">Steuerlast
</t>
    </r>
    <r>
      <rPr>
        <sz val="10"/>
        <color theme="1"/>
        <rFont val="Calibri"/>
        <family val="2"/>
        <scheme val="minor"/>
      </rPr>
      <t>infolge Vorabpauschale</t>
    </r>
  </si>
  <si>
    <t>Rebalancing</t>
  </si>
  <si>
    <t>der erwirtschafteten Wertsteigerung</t>
  </si>
  <si>
    <t>Ertragsanteil Rebalancing</t>
  </si>
  <si>
    <t>Verhältnis Depotbestand / Einzahlungen</t>
  </si>
  <si>
    <t>Beitragsanteil Rebalancing</t>
  </si>
  <si>
    <t>Umschichtung %</t>
  </si>
  <si>
    <t>Umschichtung €</t>
  </si>
  <si>
    <r>
      <t xml:space="preserve">Steuerlast
</t>
    </r>
    <r>
      <rPr>
        <sz val="10"/>
        <color theme="1"/>
        <rFont val="Calibri"/>
        <family val="2"/>
        <scheme val="minor"/>
      </rPr>
      <t>infolge Rebalancing</t>
    </r>
  </si>
  <si>
    <r>
      <t xml:space="preserve">Bestand 
</t>
    </r>
    <r>
      <rPr>
        <b/>
        <sz val="10"/>
        <color theme="1"/>
        <rFont val="Calibri"/>
        <family val="2"/>
        <scheme val="minor"/>
      </rPr>
      <t>nach Beitragskosten und Steuern</t>
    </r>
  </si>
  <si>
    <t>Guthaben</t>
  </si>
  <si>
    <t>Besteuerung 50%</t>
  </si>
  <si>
    <t>Ertrag netto</t>
  </si>
  <si>
    <t>Wertpapierdepot</t>
  </si>
  <si>
    <t>Besteuerung kumuliert</t>
  </si>
  <si>
    <t>abzgl. Teilfreistellung</t>
  </si>
  <si>
    <t>Vergleich Komplettverkauf</t>
  </si>
  <si>
    <t>Besteuerung 100%</t>
  </si>
  <si>
    <r>
      <t xml:space="preserve">Steuerlast
</t>
    </r>
    <r>
      <rPr>
        <sz val="10"/>
        <color theme="1"/>
        <rFont val="Calibri"/>
        <family val="2"/>
        <scheme val="minor"/>
      </rPr>
      <t>infolge Umschichtung</t>
    </r>
  </si>
  <si>
    <t>Kosten</t>
  </si>
  <si>
    <t>Vorabpauschale</t>
  </si>
  <si>
    <t>Umschichtung</t>
  </si>
  <si>
    <r>
      <rPr>
        <sz val="10"/>
        <color theme="1"/>
        <rFont val="Calibri"/>
        <family val="2"/>
        <scheme val="minor"/>
      </rPr>
      <t xml:space="preserve">bereits versteuerte </t>
    </r>
    <r>
      <rPr>
        <sz val="14"/>
        <color theme="1"/>
        <rFont val="Calibri"/>
        <family val="2"/>
        <scheme val="minor"/>
      </rPr>
      <t>Vorabpauschale</t>
    </r>
  </si>
  <si>
    <r>
      <t xml:space="preserve">Ertragsanteil Rebalancing </t>
    </r>
    <r>
      <rPr>
        <sz val="10"/>
        <color theme="1"/>
        <rFont val="Calibri"/>
        <family val="2"/>
        <scheme val="minor"/>
      </rPr>
      <t>abzgl. Vorabpauschale</t>
    </r>
  </si>
  <si>
    <r>
      <rPr>
        <sz val="10"/>
        <color theme="1"/>
        <rFont val="Calibri"/>
        <family val="2"/>
        <scheme val="minor"/>
      </rPr>
      <t xml:space="preserve">bereits versteuert </t>
    </r>
    <r>
      <rPr>
        <sz val="14"/>
        <color theme="1"/>
        <rFont val="Calibri"/>
        <family val="2"/>
        <scheme val="minor"/>
      </rPr>
      <t>Rebalancing</t>
    </r>
  </si>
  <si>
    <t>Vorab- pauschale kumuliert</t>
  </si>
  <si>
    <t>abzgl. Vorabpauschale</t>
  </si>
  <si>
    <t>abzgl. Steuer Rebalancing</t>
  </si>
  <si>
    <t>Ertragsanteil Rebalancing kumuliert</t>
  </si>
  <si>
    <t>abzgl. Steuer Umschichtung</t>
  </si>
  <si>
    <t>Einzahlungen kumuliert</t>
  </si>
  <si>
    <t>Steuern gesamt kumuliert</t>
  </si>
  <si>
    <t>Teilentnahme brutto</t>
  </si>
  <si>
    <t>Teilentnahme netto</t>
  </si>
  <si>
    <t>Teilfreistellung Ertragsanteil</t>
  </si>
  <si>
    <t>Teilentnahme brutto Ertragsanteil</t>
  </si>
  <si>
    <t>Kapitalertragssteuer</t>
  </si>
  <si>
    <t>Dauer bis Kapital verbraucht ist</t>
  </si>
  <si>
    <t>monatliche Entnahme (netto)</t>
  </si>
  <si>
    <t>Steuersatz</t>
  </si>
  <si>
    <t>Ausgabeaufschlag</t>
  </si>
  <si>
    <t>Ausgabe- &amp; Rücknahmeaufschlag</t>
  </si>
  <si>
    <t>Rücknahmeabschlag</t>
  </si>
  <si>
    <r>
      <t xml:space="preserve">Persönlicher Steuersatz </t>
    </r>
    <r>
      <rPr>
        <sz val="8"/>
        <rFont val="Ubuntu"/>
        <family val="2"/>
      </rPr>
      <t>×</t>
    </r>
    <r>
      <rPr>
        <sz val="8"/>
        <rFont val="Calibri"/>
        <family val="2"/>
      </rPr>
      <t xml:space="preserve"> 0,5</t>
    </r>
  </si>
  <si>
    <t>Erträge abzgl. bereits gezahlter Steuern</t>
  </si>
  <si>
    <t>Persönlicher Steuersatz (im Rentenalter)</t>
  </si>
  <si>
    <t>alternativ: Teilentnahmen</t>
  </si>
  <si>
    <t>Aktion</t>
  </si>
  <si>
    <r>
      <t xml:space="preserve">Bestand 
</t>
    </r>
    <r>
      <rPr>
        <b/>
        <sz val="10"/>
        <color theme="1"/>
        <rFont val="Calibri Light"/>
        <family val="2"/>
        <scheme val="major"/>
      </rPr>
      <t>nach Beitragskosten</t>
    </r>
  </si>
  <si>
    <r>
      <rPr>
        <sz val="10"/>
        <color theme="1"/>
        <rFont val="Calibri"/>
        <family val="2"/>
        <scheme val="minor"/>
      </rPr>
      <t xml:space="preserve">bereits versteuerte </t>
    </r>
    <r>
      <rPr>
        <sz val="14"/>
        <color theme="1"/>
        <rFont val="Calibri"/>
        <family val="2"/>
        <scheme val="minor"/>
      </rPr>
      <t>Vorab- pauschale</t>
    </r>
  </si>
  <si>
    <t>Ausgabe- &amp; Rücknahme- aufschlag</t>
  </si>
  <si>
    <t>Vereinfachung: Ertragsanteil konstant während der Entnahmephase</t>
  </si>
  <si>
    <t>abzgl. 1 / 12 Freistellungsauftrag</t>
  </si>
  <si>
    <t>abzgl. Freistellungsauftrag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</si>
</sst>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#,##0\ &quot;€&quot;;\-#,##0\ &quot;€&quot;"/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  <numFmt numFmtId="166" formatCode="0\ &quot;Jahre&quot;"/>
    <numFmt numFmtId="167" formatCode="0\ &quot;Jahren&quot;"/>
    <numFmt numFmtId="168" formatCode="0.0%\ &quot;p. a.&quot;"/>
    <numFmt numFmtId="169" formatCode="mm\ \/\ yyyy"/>
    <numFmt numFmtId="170" formatCode="&quot;ab&quot;\ dd/mm/yyyy"/>
    <numFmt numFmtId="171" formatCode="0.0%"/>
    <numFmt numFmtId="172" formatCode="_-* #,##0.00\ %_-;\-* #,##0.00\ %_-;_-* &quot;-&quot;??\ %_-;_-@_-"/>
    <numFmt numFmtId="173" formatCode="&quot;... nach &quot;0\ &quot;Jahren:&quot;"/>
    <numFmt numFmtId="174" formatCode="#,##0.00000"/>
    <numFmt numFmtId="175" formatCode="#,##0.0\ &quot;Jahre&quot;_ ;\-#,##0.0\ &quot;Jahre&quot;"/>
    <numFmt numFmtId="176" formatCode="0.000"/>
    <numFmt numFmtId="177" formatCode="#,##0.00_ ;\-#,##0.00\ "/>
  </numFmts>
  <fonts count="22" x14ac:knownFonts="1">
    <font>
      <sz val="11"/>
      <color theme="1"/>
      <name val="Ubuntu"/>
      <family val="2"/>
    </font>
    <font>
      <sz val="11"/>
      <color theme="1"/>
      <name val="Ubuntu"/>
      <family val="2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Ubuntu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name val="Ubuntu"/>
      <family val="2"/>
    </font>
    <font>
      <sz val="8"/>
      <name val="Calibri"/>
      <family val="2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2" fillId="0" borderId="0" xfId="0" applyFont="1" applyAlignment="1">
      <alignment vertical="center" wrapText="1"/>
    </xf>
    <xf numFmtId="1" fontId="0" fillId="0" borderId="0" xfId="0" applyNumberFormat="1" applyAlignment="1">
      <alignment horizontal="left"/>
    </xf>
    <xf numFmtId="44" fontId="0" fillId="0" borderId="0" xfId="0" applyNumberFormat="1"/>
    <xf numFmtId="164" fontId="0" fillId="0" borderId="0" xfId="0" applyNumberFormat="1"/>
    <xf numFmtId="44" fontId="0" fillId="0" borderId="0" xfId="1" applyFont="1"/>
    <xf numFmtId="0" fontId="0" fillId="0" borderId="0" xfId="0" applyAlignment="1">
      <alignment horizontal="right"/>
    </xf>
    <xf numFmtId="165" fontId="0" fillId="0" borderId="0" xfId="1" applyNumberFormat="1" applyFont="1"/>
    <xf numFmtId="44" fontId="0" fillId="0" borderId="0" xfId="1" applyFont="1" applyFill="1"/>
    <xf numFmtId="165" fontId="0" fillId="0" borderId="0" xfId="1" applyNumberFormat="1" applyFont="1" applyFill="1"/>
    <xf numFmtId="165" fontId="0" fillId="0" borderId="0" xfId="0" applyNumberFormat="1"/>
    <xf numFmtId="164" fontId="0" fillId="0" borderId="0" xfId="1" applyNumberFormat="1" applyFont="1" applyFill="1"/>
    <xf numFmtId="17" fontId="0" fillId="0" borderId="0" xfId="0" applyNumberFormat="1" applyAlignment="1">
      <alignment horizontal="left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right" indent="1"/>
    </xf>
    <xf numFmtId="0" fontId="0" fillId="0" borderId="0" xfId="0" applyFill="1" applyBorder="1" applyAlignment="1">
      <alignment horizontal="right" indent="1"/>
    </xf>
    <xf numFmtId="0" fontId="0" fillId="0" borderId="0" xfId="0" applyFill="1" applyBorder="1" applyAlignment="1">
      <alignment horizontal="left" indent="1"/>
    </xf>
    <xf numFmtId="1" fontId="0" fillId="0" borderId="0" xfId="0" applyNumberFormat="1" applyFill="1" applyAlignment="1">
      <alignment horizontal="left"/>
    </xf>
    <xf numFmtId="164" fontId="0" fillId="0" borderId="0" xfId="0" applyNumberFormat="1" applyFill="1"/>
    <xf numFmtId="44" fontId="0" fillId="0" borderId="0" xfId="0" applyNumberFormat="1" applyFill="1"/>
    <xf numFmtId="0" fontId="0" fillId="0" borderId="0" xfId="0" applyFill="1"/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174" fontId="0" fillId="0" borderId="0" xfId="0" applyNumberFormat="1" applyBorder="1" applyAlignment="1">
      <alignment horizontal="right" indent="1"/>
    </xf>
    <xf numFmtId="0" fontId="0" fillId="0" borderId="0" xfId="0" quotePrefix="1" applyBorder="1" applyAlignment="1">
      <alignment horizontal="right" indent="1"/>
    </xf>
    <xf numFmtId="2" fontId="0" fillId="0" borderId="0" xfId="0" applyNumberFormat="1" applyBorder="1" applyAlignment="1">
      <alignment horizontal="right" indent="1"/>
    </xf>
    <xf numFmtId="7" fontId="0" fillId="0" borderId="0" xfId="0" applyNumberFormat="1" applyBorder="1" applyAlignment="1">
      <alignment horizontal="right" indent="1"/>
    </xf>
    <xf numFmtId="0" fontId="0" fillId="0" borderId="0" xfId="0" applyFill="1" applyBorder="1"/>
    <xf numFmtId="0" fontId="5" fillId="0" borderId="0" xfId="0" applyFont="1" applyFill="1" applyBorder="1" applyAlignment="1">
      <alignment horizontal="left" vertical="center"/>
    </xf>
    <xf numFmtId="176" fontId="0" fillId="0" borderId="0" xfId="0" applyNumberFormat="1" applyFill="1" applyBorder="1"/>
    <xf numFmtId="0" fontId="10" fillId="0" borderId="0" xfId="0" applyFont="1" applyBorder="1" applyAlignment="1">
      <alignment horizontal="right" vertical="center" indent="1"/>
    </xf>
    <xf numFmtId="165" fontId="10" fillId="3" borderId="0" xfId="1" applyNumberFormat="1" applyFont="1" applyFill="1" applyBorder="1" applyAlignment="1">
      <alignment horizontal="right" vertical="center" indent="1"/>
    </xf>
    <xf numFmtId="14" fontId="10" fillId="3" borderId="0" xfId="1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right" indent="1"/>
    </xf>
    <xf numFmtId="0" fontId="9" fillId="0" borderId="0" xfId="0" applyFont="1" applyFill="1" applyBorder="1"/>
    <xf numFmtId="0" fontId="9" fillId="0" borderId="0" xfId="0" applyFont="1" applyBorder="1"/>
    <xf numFmtId="166" fontId="10" fillId="0" borderId="0" xfId="1" applyNumberFormat="1" applyFont="1" applyFill="1" applyBorder="1" applyAlignment="1">
      <alignment horizontal="right" vertical="center" indent="1"/>
    </xf>
    <xf numFmtId="165" fontId="10" fillId="0" borderId="0" xfId="1" applyNumberFormat="1" applyFont="1" applyBorder="1" applyAlignment="1">
      <alignment horizontal="right" vertical="center" indent="1"/>
    </xf>
    <xf numFmtId="14" fontId="10" fillId="0" borderId="0" xfId="1" applyNumberFormat="1" applyFont="1" applyFill="1" applyBorder="1" applyAlignment="1">
      <alignment horizontal="right" vertical="center" indent="1"/>
    </xf>
    <xf numFmtId="0" fontId="9" fillId="0" borderId="0" xfId="0" applyFont="1" applyFill="1" applyBorder="1" applyAlignment="1">
      <alignment horizontal="right" indent="1"/>
    </xf>
    <xf numFmtId="166" fontId="10" fillId="3" borderId="0" xfId="1" applyNumberFormat="1" applyFont="1" applyFill="1" applyBorder="1" applyAlignment="1">
      <alignment horizontal="right" vertical="center" indent="1"/>
    </xf>
    <xf numFmtId="0" fontId="9" fillId="0" borderId="0" xfId="0" applyFont="1" applyFill="1" applyBorder="1" applyAlignment="1">
      <alignment horizontal="left" indent="1"/>
    </xf>
    <xf numFmtId="9" fontId="10" fillId="3" borderId="0" xfId="1" applyNumberFormat="1" applyFont="1" applyFill="1" applyBorder="1" applyAlignment="1">
      <alignment horizontal="right" vertical="center" indent="1"/>
    </xf>
    <xf numFmtId="168" fontId="10" fillId="3" borderId="0" xfId="1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1"/>
    </xf>
    <xf numFmtId="170" fontId="10" fillId="0" borderId="0" xfId="1" applyNumberFormat="1" applyFont="1" applyFill="1" applyBorder="1" applyAlignment="1">
      <alignment horizontal="right" vertical="center" indent="1"/>
    </xf>
    <xf numFmtId="9" fontId="10" fillId="0" borderId="0" xfId="1" applyNumberFormat="1" applyFont="1" applyFill="1" applyBorder="1" applyAlignment="1">
      <alignment horizontal="right" vertical="center" indent="1"/>
    </xf>
    <xf numFmtId="168" fontId="10" fillId="0" borderId="0" xfId="1" applyNumberFormat="1" applyFont="1" applyFill="1" applyBorder="1" applyAlignment="1">
      <alignment horizontal="right" vertical="center" indent="1"/>
    </xf>
    <xf numFmtId="167" fontId="10" fillId="3" borderId="0" xfId="1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/>
    </xf>
    <xf numFmtId="5" fontId="10" fillId="0" borderId="0" xfId="1" applyNumberFormat="1" applyFont="1" applyBorder="1" applyAlignment="1">
      <alignment horizontal="right" vertical="center" indent="1"/>
    </xf>
    <xf numFmtId="10" fontId="10" fillId="0" borderId="0" xfId="0" applyNumberFormat="1" applyFont="1" applyBorder="1" applyAlignment="1">
      <alignment horizontal="right" vertical="center" indent="1"/>
    </xf>
    <xf numFmtId="10" fontId="10" fillId="3" borderId="0" xfId="0" applyNumberFormat="1" applyFont="1" applyFill="1" applyBorder="1" applyAlignment="1">
      <alignment horizontal="right" vertical="center" indent="1"/>
    </xf>
    <xf numFmtId="165" fontId="10" fillId="3" borderId="0" xfId="0" applyNumberFormat="1" applyFont="1" applyFill="1" applyBorder="1" applyAlignment="1">
      <alignment horizontal="right" vertical="center" indent="1"/>
    </xf>
    <xf numFmtId="0" fontId="12" fillId="0" borderId="0" xfId="0" applyFont="1" applyFill="1" applyBorder="1" applyAlignment="1">
      <alignment horizontal="left" vertical="center"/>
    </xf>
    <xf numFmtId="9" fontId="10" fillId="0" borderId="0" xfId="0" applyNumberFormat="1" applyFont="1" applyBorder="1" applyAlignment="1">
      <alignment horizontal="right" vertical="center" indent="1"/>
    </xf>
    <xf numFmtId="9" fontId="10" fillId="3" borderId="0" xfId="0" applyNumberFormat="1" applyFont="1" applyFill="1" applyBorder="1" applyAlignment="1">
      <alignment horizontal="right" vertical="center" indent="1"/>
    </xf>
    <xf numFmtId="164" fontId="10" fillId="0" borderId="0" xfId="1" applyNumberFormat="1" applyFont="1" applyBorder="1" applyAlignment="1">
      <alignment horizontal="right" vertical="center" indent="1"/>
    </xf>
    <xf numFmtId="173" fontId="10" fillId="3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Border="1" applyAlignment="1">
      <alignment horizontal="right" vertical="center" indent="1"/>
    </xf>
    <xf numFmtId="5" fontId="10" fillId="0" borderId="0" xfId="0" applyNumberFormat="1" applyFont="1" applyFill="1" applyBorder="1" applyAlignment="1">
      <alignment horizontal="left" vertical="center"/>
    </xf>
    <xf numFmtId="14" fontId="10" fillId="0" borderId="0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horizontal="right" vertical="center" indent="1"/>
    </xf>
    <xf numFmtId="5" fontId="10" fillId="0" borderId="0" xfId="1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horizontal="right" vertical="center" indent="1"/>
    </xf>
    <xf numFmtId="0" fontId="11" fillId="0" borderId="0" xfId="0" applyFont="1" applyBorder="1" applyAlignment="1">
      <alignment horizontal="right" vertical="center" indent="1"/>
    </xf>
    <xf numFmtId="5" fontId="11" fillId="0" borderId="0" xfId="0" applyNumberFormat="1" applyFont="1" applyBorder="1" applyAlignment="1">
      <alignment horizontal="right" vertical="center" indent="1"/>
    </xf>
    <xf numFmtId="0" fontId="11" fillId="0" borderId="0" xfId="0" applyFont="1" applyFill="1" applyBorder="1" applyAlignment="1">
      <alignment horizontal="right" vertical="center" indent="1"/>
    </xf>
    <xf numFmtId="5" fontId="11" fillId="0" borderId="0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Border="1" applyAlignment="1">
      <alignment horizontal="right" vertic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17" fontId="0" fillId="0" borderId="0" xfId="0" applyNumberFormat="1" applyFill="1" applyAlignment="1">
      <alignment horizontal="left"/>
    </xf>
    <xf numFmtId="0" fontId="3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5" fontId="10" fillId="3" borderId="0" xfId="1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" fontId="18" fillId="0" borderId="0" xfId="0" applyNumberFormat="1" applyFont="1" applyFill="1" applyAlignment="1">
      <alignment horizontal="left"/>
    </xf>
    <xf numFmtId="169" fontId="18" fillId="0" borderId="0" xfId="0" applyNumberFormat="1" applyFont="1" applyFill="1"/>
    <xf numFmtId="165" fontId="18" fillId="0" borderId="0" xfId="0" applyNumberFormat="1" applyFont="1" applyFill="1"/>
    <xf numFmtId="164" fontId="18" fillId="0" borderId="0" xfId="0" applyNumberFormat="1" applyFont="1" applyFill="1"/>
    <xf numFmtId="165" fontId="18" fillId="0" borderId="0" xfId="0" applyNumberFormat="1" applyFont="1"/>
    <xf numFmtId="44" fontId="18" fillId="0" borderId="0" xfId="0" applyNumberFormat="1" applyFont="1" applyFill="1"/>
    <xf numFmtId="44" fontId="19" fillId="0" borderId="0" xfId="0" applyNumberFormat="1" applyFont="1" applyFill="1"/>
    <xf numFmtId="171" fontId="18" fillId="0" borderId="0" xfId="0" applyNumberFormat="1" applyFont="1" applyFill="1"/>
    <xf numFmtId="0" fontId="18" fillId="0" borderId="0" xfId="0" applyFont="1" applyAlignment="1">
      <alignment horizontal="left" vertical="center" wrapText="1" indent="1"/>
    </xf>
    <xf numFmtId="0" fontId="20" fillId="0" borderId="0" xfId="0" applyFont="1" applyFill="1" applyAlignment="1">
      <alignment horizontal="left"/>
    </xf>
    <xf numFmtId="0" fontId="20" fillId="0" borderId="0" xfId="0" applyFont="1" applyFill="1"/>
    <xf numFmtId="1" fontId="20" fillId="0" borderId="0" xfId="0" applyNumberFormat="1" applyFont="1" applyFill="1" applyAlignment="1">
      <alignment horizontal="left"/>
    </xf>
    <xf numFmtId="169" fontId="20" fillId="0" borderId="0" xfId="0" applyNumberFormat="1" applyFont="1" applyFill="1"/>
    <xf numFmtId="165" fontId="20" fillId="0" borderId="0" xfId="0" applyNumberFormat="1" applyFont="1" applyFill="1"/>
    <xf numFmtId="164" fontId="20" fillId="0" borderId="0" xfId="0" applyNumberFormat="1" applyFont="1" applyFill="1"/>
    <xf numFmtId="171" fontId="20" fillId="0" borderId="0" xfId="0" applyNumberFormat="1" applyFont="1" applyFill="1"/>
    <xf numFmtId="44" fontId="20" fillId="0" borderId="0" xfId="0" applyNumberFormat="1" applyFont="1" applyFill="1"/>
    <xf numFmtId="165" fontId="21" fillId="0" borderId="0" xfId="0" applyNumberFormat="1" applyFont="1" applyFill="1"/>
    <xf numFmtId="165" fontId="20" fillId="0" borderId="1" xfId="0" applyNumberFormat="1" applyFont="1" applyFill="1" applyBorder="1"/>
    <xf numFmtId="165" fontId="20" fillId="0" borderId="0" xfId="0" applyNumberFormat="1" applyFont="1" applyFill="1" applyBorder="1"/>
    <xf numFmtId="44" fontId="20" fillId="0" borderId="0" xfId="0" applyNumberFormat="1" applyFont="1" applyFill="1" applyBorder="1"/>
    <xf numFmtId="44" fontId="20" fillId="0" borderId="2" xfId="0" applyNumberFormat="1" applyFont="1" applyFill="1" applyBorder="1"/>
    <xf numFmtId="9" fontId="20" fillId="0" borderId="0" xfId="0" applyNumberFormat="1" applyFont="1" applyFill="1"/>
    <xf numFmtId="172" fontId="20" fillId="0" borderId="0" xfId="0" applyNumberFormat="1" applyFont="1" applyFill="1" applyBorder="1"/>
    <xf numFmtId="0" fontId="20" fillId="0" borderId="0" xfId="0" applyFont="1" applyFill="1" applyAlignment="1">
      <alignment horizontal="left" vertical="center" wrapText="1" indent="1"/>
    </xf>
    <xf numFmtId="0" fontId="20" fillId="0" borderId="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indent="1"/>
    </xf>
    <xf numFmtId="173" fontId="10" fillId="0" borderId="0" xfId="0" applyNumberFormat="1" applyFont="1" applyFill="1" applyBorder="1" applyAlignment="1">
      <alignment horizontal="right" vertical="center" indent="1"/>
    </xf>
    <xf numFmtId="175" fontId="10" fillId="0" borderId="0" xfId="1" applyNumberFormat="1" applyFont="1" applyBorder="1" applyAlignment="1">
      <alignment horizontal="right" vertical="center" indent="1"/>
    </xf>
    <xf numFmtId="177" fontId="9" fillId="0" borderId="0" xfId="0" applyNumberFormat="1" applyFont="1" applyFill="1" applyBorder="1"/>
  </cellXfs>
  <cellStyles count="2">
    <cellStyle name="Standard" xfId="0" builtinId="0"/>
    <cellStyle name="Währung" xfId="1" builtinId="4"/>
  </cellStyles>
  <dxfs count="4"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9B245-1415-4B6C-A486-4EC5E7682EE8}">
  <sheetPr codeName="Tabelle1"/>
  <dimension ref="A1:AL58"/>
  <sheetViews>
    <sheetView tabSelected="1" zoomScaleNormal="100" workbookViewId="0"/>
  </sheetViews>
  <sheetFormatPr baseColWidth="10" defaultRowHeight="15" customHeight="1" x14ac:dyDescent="0.25"/>
  <cols>
    <col min="1" max="1" width="20.58203125" style="15" customWidth="1"/>
    <col min="2" max="2" width="11.08203125" style="16" customWidth="1"/>
    <col min="3" max="3" width="20.58203125" style="15" customWidth="1"/>
    <col min="4" max="4" width="11.08203125" style="16" customWidth="1"/>
    <col min="5" max="5" width="20.58203125" style="15" customWidth="1"/>
    <col min="6" max="6" width="11.08203125" style="16" customWidth="1"/>
    <col min="7" max="7" width="14" style="29" customWidth="1"/>
    <col min="8" max="8" width="15" style="29" customWidth="1"/>
    <col min="9" max="9" width="9.58203125" style="29" customWidth="1"/>
    <col min="10" max="10" width="10.6640625" style="29"/>
    <col min="11" max="11" width="14.1640625" style="29" bestFit="1" customWidth="1"/>
    <col min="12" max="38" width="10.6640625" style="29"/>
    <col min="39" max="16384" width="10.6640625" style="24"/>
  </cols>
  <sheetData>
    <row r="1" spans="1:38" ht="15" customHeight="1" x14ac:dyDescent="0.25">
      <c r="A1" s="84" t="s">
        <v>16</v>
      </c>
      <c r="B1" s="85"/>
      <c r="C1" s="84"/>
      <c r="D1" s="85"/>
      <c r="E1" s="84"/>
      <c r="F1" s="85"/>
    </row>
    <row r="2" spans="1:38" ht="15" customHeight="1" x14ac:dyDescent="0.25">
      <c r="B2" s="17"/>
      <c r="C2" s="18"/>
      <c r="D2" s="17"/>
      <c r="E2" s="18"/>
      <c r="F2" s="17"/>
    </row>
    <row r="3" spans="1:38" ht="15" customHeight="1" x14ac:dyDescent="0.25">
      <c r="A3" s="84" t="s">
        <v>17</v>
      </c>
      <c r="B3" s="85"/>
      <c r="C3" s="84"/>
      <c r="D3" s="85"/>
      <c r="E3" s="84"/>
      <c r="F3" s="85"/>
    </row>
    <row r="4" spans="1:38" s="38" customFormat="1" ht="15" customHeight="1" x14ac:dyDescent="0.25">
      <c r="A4" s="32" t="s">
        <v>15</v>
      </c>
      <c r="B4" s="33">
        <v>50000</v>
      </c>
      <c r="C4" s="32" t="s">
        <v>21</v>
      </c>
      <c r="D4" s="34">
        <v>32874</v>
      </c>
      <c r="E4" s="35"/>
      <c r="F4" s="36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</row>
    <row r="5" spans="1:38" s="38" customFormat="1" ht="15" customHeight="1" x14ac:dyDescent="0.25">
      <c r="A5" s="32" t="s">
        <v>18</v>
      </c>
      <c r="B5" s="33">
        <v>200</v>
      </c>
      <c r="C5" s="32" t="s">
        <v>19</v>
      </c>
      <c r="D5" s="34">
        <v>45200</v>
      </c>
      <c r="E5" s="32" t="s">
        <v>20</v>
      </c>
      <c r="F5" s="39">
        <f>YEAR(D5)-YEAR(D4)</f>
        <v>33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38" s="38" customFormat="1" ht="15" customHeight="1" x14ac:dyDescent="0.25">
      <c r="A6" s="32" t="s">
        <v>10</v>
      </c>
      <c r="B6" s="40">
        <f>B5*12</f>
        <v>2400</v>
      </c>
      <c r="C6" s="32" t="s">
        <v>22</v>
      </c>
      <c r="D6" s="41">
        <f>DATE(YEAR(D4)+F6,MONTH(D5),DAY(D5))</f>
        <v>55793</v>
      </c>
      <c r="E6" s="32" t="s">
        <v>20</v>
      </c>
      <c r="F6" s="39">
        <v>62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1:38" s="38" customFormat="1" ht="15" customHeight="1" x14ac:dyDescent="0.25">
      <c r="A7" s="35"/>
      <c r="B7" s="42"/>
      <c r="C7" s="32" t="s">
        <v>23</v>
      </c>
      <c r="D7" s="41">
        <f>DATE(YEAR(D4)+F7,MONTH(D5),DAY(D5))</f>
        <v>56888</v>
      </c>
      <c r="E7" s="32" t="s">
        <v>20</v>
      </c>
      <c r="F7" s="43">
        <v>65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</row>
    <row r="8" spans="1:38" s="38" customFormat="1" ht="15" customHeight="1" x14ac:dyDescent="0.25">
      <c r="A8" s="35"/>
      <c r="B8" s="42"/>
      <c r="C8" s="44"/>
      <c r="D8" s="42"/>
      <c r="E8" s="44"/>
      <c r="F8" s="42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38" ht="15" customHeight="1" x14ac:dyDescent="0.25">
      <c r="A9" s="84" t="s">
        <v>31</v>
      </c>
      <c r="B9" s="85"/>
      <c r="C9" s="84"/>
      <c r="D9" s="85"/>
      <c r="E9" s="84"/>
      <c r="F9" s="85"/>
    </row>
    <row r="10" spans="1:38" s="38" customFormat="1" ht="15" customHeight="1" x14ac:dyDescent="0.25">
      <c r="A10" s="35"/>
      <c r="B10" s="36"/>
      <c r="C10" s="32" t="s">
        <v>24</v>
      </c>
      <c r="D10" s="45">
        <v>1</v>
      </c>
      <c r="E10" s="32" t="s">
        <v>25</v>
      </c>
      <c r="F10" s="46">
        <v>0.08</v>
      </c>
      <c r="G10" s="37"/>
      <c r="H10" s="41" t="s">
        <v>40</v>
      </c>
      <c r="I10" s="41" t="s">
        <v>28</v>
      </c>
      <c r="J10" s="41" t="s">
        <v>1</v>
      </c>
      <c r="K10" s="41" t="s">
        <v>20</v>
      </c>
      <c r="L10" s="37"/>
      <c r="M10" s="47"/>
      <c r="N10" s="48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38" customFormat="1" ht="15" customHeight="1" x14ac:dyDescent="0.25">
      <c r="A11" s="32" t="s">
        <v>26</v>
      </c>
      <c r="B11" s="45">
        <v>0.1</v>
      </c>
      <c r="C11" s="49" t="s">
        <v>47</v>
      </c>
      <c r="D11" s="42"/>
      <c r="E11" s="44"/>
      <c r="F11" s="42"/>
      <c r="G11" s="37"/>
      <c r="H11" s="50">
        <f>D5</f>
        <v>45200</v>
      </c>
      <c r="I11" s="51">
        <f>D10</f>
        <v>1</v>
      </c>
      <c r="J11" s="52">
        <f>F10</f>
        <v>0.08</v>
      </c>
      <c r="K11" s="39">
        <f>YEAR(H11)-YEAR(D$4)</f>
        <v>33</v>
      </c>
      <c r="L11" s="37"/>
      <c r="M11" s="48"/>
      <c r="N11" s="48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38" customFormat="1" ht="15" customHeight="1" x14ac:dyDescent="0.25">
      <c r="A12" s="32" t="s">
        <v>27</v>
      </c>
      <c r="B12" s="53">
        <v>15</v>
      </c>
      <c r="C12" s="32" t="s">
        <v>28</v>
      </c>
      <c r="D12" s="45">
        <v>0.75</v>
      </c>
      <c r="E12" s="32" t="s">
        <v>25</v>
      </c>
      <c r="F12" s="52">
        <f>F$10*D12</f>
        <v>0.06</v>
      </c>
      <c r="G12" s="37"/>
      <c r="H12" s="50">
        <f>DATE(YEAR(D$5)+B12,MONTH(D$5),DAY(D$5))</f>
        <v>50679</v>
      </c>
      <c r="I12" s="51">
        <f>D12</f>
        <v>0.75</v>
      </c>
      <c r="J12" s="52">
        <f>F12</f>
        <v>0.06</v>
      </c>
      <c r="K12" s="39">
        <f t="shared" ref="K12:K14" si="0">YEAR(H12)-YEAR(D$4)</f>
        <v>48</v>
      </c>
      <c r="L12" s="37"/>
      <c r="M12" s="48"/>
      <c r="N12" s="48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8" customFormat="1" ht="15" customHeight="1" x14ac:dyDescent="0.25">
      <c r="A13" s="32" t="s">
        <v>29</v>
      </c>
      <c r="B13" s="53">
        <v>25</v>
      </c>
      <c r="C13" s="32" t="s">
        <v>28</v>
      </c>
      <c r="D13" s="45">
        <v>0.5</v>
      </c>
      <c r="E13" s="32" t="s">
        <v>25</v>
      </c>
      <c r="F13" s="52">
        <f t="shared" ref="F13:F14" si="1">F$10*D13</f>
        <v>0.04</v>
      </c>
      <c r="G13" s="37"/>
      <c r="H13" s="50">
        <f t="shared" ref="H13:H14" si="2">DATE(YEAR(D$5)+B13,MONTH(D$5),DAY(D$5))</f>
        <v>54332</v>
      </c>
      <c r="I13" s="51">
        <f t="shared" ref="I13:I14" si="3">D13</f>
        <v>0.5</v>
      </c>
      <c r="J13" s="52">
        <f t="shared" ref="J13:J14" si="4">F13</f>
        <v>0.04</v>
      </c>
      <c r="K13" s="39">
        <f t="shared" si="0"/>
        <v>58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38" customFormat="1" ht="15" customHeight="1" x14ac:dyDescent="0.25">
      <c r="A14" s="32" t="s">
        <v>30</v>
      </c>
      <c r="B14" s="53">
        <v>30</v>
      </c>
      <c r="C14" s="32" t="s">
        <v>28</v>
      </c>
      <c r="D14" s="45">
        <v>0.25</v>
      </c>
      <c r="E14" s="32" t="s">
        <v>25</v>
      </c>
      <c r="F14" s="52">
        <f t="shared" si="1"/>
        <v>0.02</v>
      </c>
      <c r="G14" s="37"/>
      <c r="H14" s="50">
        <f t="shared" si="2"/>
        <v>56158</v>
      </c>
      <c r="I14" s="51">
        <f t="shared" si="3"/>
        <v>0.25</v>
      </c>
      <c r="J14" s="52">
        <f t="shared" si="4"/>
        <v>0.02</v>
      </c>
      <c r="K14" s="39">
        <f t="shared" si="0"/>
        <v>63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8" customFormat="1" ht="15" customHeight="1" x14ac:dyDescent="0.25">
      <c r="A15" s="35"/>
      <c r="B15" s="42"/>
      <c r="C15" s="44"/>
      <c r="D15" s="42"/>
      <c r="E15" s="44"/>
      <c r="F15" s="42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87" customFormat="1" ht="15" customHeight="1" x14ac:dyDescent="0.25">
      <c r="A16" s="84" t="s">
        <v>64</v>
      </c>
      <c r="B16" s="85"/>
      <c r="C16" s="84" t="s">
        <v>9</v>
      </c>
      <c r="D16" s="85"/>
      <c r="E16" s="84" t="s">
        <v>58</v>
      </c>
      <c r="F16" s="85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</row>
    <row r="17" spans="1:38" s="54" customFormat="1" ht="15" customHeight="1" x14ac:dyDescent="0.25">
      <c r="C17" s="32" t="s">
        <v>34</v>
      </c>
      <c r="D17" s="88">
        <v>149</v>
      </c>
      <c r="E17" s="32"/>
      <c r="F17" s="39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1:38" s="54" customFormat="1" ht="15" customHeight="1" x14ac:dyDescent="0.25">
      <c r="C18" s="32" t="s">
        <v>38</v>
      </c>
      <c r="D18" s="57">
        <v>5.0000000000000001E-3</v>
      </c>
      <c r="E18" s="32" t="s">
        <v>85</v>
      </c>
      <c r="F18" s="57">
        <v>2E-3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1:38" s="54" customFormat="1" ht="15" customHeight="1" x14ac:dyDescent="0.25">
      <c r="C19" s="32" t="s">
        <v>39</v>
      </c>
      <c r="D19" s="57">
        <v>0.04</v>
      </c>
      <c r="E19" s="32" t="s">
        <v>87</v>
      </c>
      <c r="F19" s="57">
        <v>2E-3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1:38" s="54" customFormat="1" ht="15" customHeight="1" x14ac:dyDescent="0.25">
      <c r="C20" s="32" t="s">
        <v>36</v>
      </c>
      <c r="D20" s="88">
        <v>0</v>
      </c>
      <c r="E20" s="32" t="s">
        <v>13</v>
      </c>
      <c r="F20" s="58">
        <v>1000</v>
      </c>
      <c r="G20" s="48"/>
      <c r="H20" s="59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1:38" s="54" customFormat="1" ht="15" customHeight="1" x14ac:dyDescent="0.25">
      <c r="C21" s="32" t="s">
        <v>41</v>
      </c>
      <c r="D21" s="57">
        <v>2.2000000000000001E-3</v>
      </c>
      <c r="E21" s="32" t="s">
        <v>12</v>
      </c>
      <c r="F21" s="57">
        <v>0.03</v>
      </c>
      <c r="G21" s="48"/>
      <c r="H21" s="59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1:38" s="54" customFormat="1" ht="15" customHeight="1" x14ac:dyDescent="0.25">
      <c r="C22" s="32" t="s">
        <v>4</v>
      </c>
      <c r="D22" s="60">
        <v>0.15</v>
      </c>
      <c r="E22" s="32" t="s">
        <v>11</v>
      </c>
      <c r="F22" s="60">
        <v>0.3</v>
      </c>
      <c r="G22" s="48"/>
      <c r="H22" s="59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1:38" s="54" customFormat="1" ht="15" customHeight="1" x14ac:dyDescent="0.25">
      <c r="C23" s="32" t="s">
        <v>90</v>
      </c>
      <c r="D23" s="61">
        <v>0.25</v>
      </c>
      <c r="E23" s="32" t="s">
        <v>84</v>
      </c>
      <c r="F23" s="57">
        <v>0.2782</v>
      </c>
      <c r="G23" s="48"/>
      <c r="H23" s="59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</row>
    <row r="24" spans="1:38" s="54" customFormat="1" ht="15" customHeight="1" x14ac:dyDescent="0.25">
      <c r="A24" s="32"/>
      <c r="B24" s="62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</row>
    <row r="25" spans="1:38" s="23" customFormat="1" ht="15" customHeight="1" x14ac:dyDescent="0.25">
      <c r="A25" s="84" t="s">
        <v>61</v>
      </c>
      <c r="B25" s="85"/>
      <c r="C25" s="84" t="s">
        <v>9</v>
      </c>
      <c r="D25" s="85"/>
      <c r="E25" s="84" t="s">
        <v>58</v>
      </c>
      <c r="F25" s="85"/>
      <c r="G25" s="30"/>
      <c r="H25" s="119"/>
      <c r="I25" s="119"/>
      <c r="J25" s="119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</row>
    <row r="26" spans="1:38" s="54" customFormat="1" ht="15" customHeight="1" x14ac:dyDescent="0.25">
      <c r="A26" s="63">
        <v>32</v>
      </c>
      <c r="B26" s="64">
        <f>DATE(YEAR(D$5)+A26,MONTH(D$5),DAY(D$5))</f>
        <v>56888</v>
      </c>
      <c r="C26" s="32" t="s">
        <v>55</v>
      </c>
      <c r="D26" s="55">
        <f>VLOOKUP(B26,Fondspolice!B2:K42,MATCH(Fondspolice!K1,Fondspolice!B1:N1,FALSE),FALSE)</f>
        <v>553784.64713566145</v>
      </c>
      <c r="E26" s="32" t="s">
        <v>55</v>
      </c>
      <c r="F26" s="55">
        <f>VLOOKUP(B26,Depot!B3:I43,MATCH(Depot!I2,Depot!B2:AQ2,0),FALSE)</f>
        <v>511334.58297488868</v>
      </c>
      <c r="G26" s="65"/>
      <c r="H26" s="120"/>
      <c r="I26" s="66"/>
      <c r="J26" s="67"/>
      <c r="K26" s="6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</row>
    <row r="27" spans="1:38" s="54" customFormat="1" ht="15" customHeight="1" x14ac:dyDescent="0.25">
      <c r="A27" s="32"/>
      <c r="B27" s="56"/>
      <c r="C27" s="32" t="s">
        <v>7</v>
      </c>
      <c r="D27" s="55">
        <f>D26-VLOOKUP(B26,Fondspolice!B2:N42,MATCH(Fondspolice!E1,Fondspolice!B1:N1,FALSE),FALSE)</f>
        <v>424584.64713566145</v>
      </c>
      <c r="E27" s="32" t="s">
        <v>7</v>
      </c>
      <c r="F27" s="55">
        <f>F26-VLOOKUP(B26,Depot!$B$3:$AQ$43,MATCH(Depot!E2,Depot!$B$2:$AQ$2,0),FALSE)</f>
        <v>382134.58297488868</v>
      </c>
      <c r="G27" s="48"/>
      <c r="H27" s="67"/>
      <c r="I27" s="69"/>
      <c r="J27" s="67"/>
      <c r="K27" s="6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1:38" s="54" customFormat="1" ht="15" customHeight="1" x14ac:dyDescent="0.25">
      <c r="A28" s="32"/>
      <c r="B28" s="56"/>
      <c r="E28" s="32" t="s">
        <v>71</v>
      </c>
      <c r="F28" s="55">
        <f>VLOOKUP(B26,Depot!B3:AO43,MATCH(Depot!K2,Depot!$B$2:$AQ$2,0),FALSE)</f>
        <v>161513.55378583193</v>
      </c>
      <c r="G28" s="48"/>
      <c r="H28" s="67"/>
      <c r="I28" s="69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1:38" s="54" customFormat="1" ht="15" customHeight="1" x14ac:dyDescent="0.25">
      <c r="A29" s="32"/>
      <c r="B29" s="56"/>
      <c r="E29" s="32" t="s">
        <v>72</v>
      </c>
      <c r="F29" s="55">
        <f>VLOOKUP(B26,Depot!B3:AO43,MATCH(Depot!X2,Depot!$B$2:$AQ$2,0),FALSE)</f>
        <v>23122.172499339817</v>
      </c>
      <c r="G29" s="48"/>
      <c r="H29" s="67"/>
      <c r="I29" s="69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1:38" s="54" customFormat="1" ht="15" customHeight="1" x14ac:dyDescent="0.25">
      <c r="A30" s="32"/>
      <c r="B30" s="56"/>
      <c r="E30" s="32" t="s">
        <v>74</v>
      </c>
      <c r="F30" s="55">
        <f>VLOOKUP(B26,Depot!B3:AO43,MATCH(Depot!AM2,Depot!$B$2:$AQ$2,0),FALSE)</f>
        <v>156152.58720842097</v>
      </c>
      <c r="G30" s="48"/>
      <c r="H30" s="67"/>
      <c r="I30" s="69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1:38" s="54" customFormat="1" ht="15" customHeight="1" x14ac:dyDescent="0.25">
      <c r="A31" s="32"/>
      <c r="B31" s="56"/>
      <c r="E31" s="75" t="s">
        <v>89</v>
      </c>
      <c r="F31" s="55">
        <f>F27-F28-F29-F30</f>
        <v>41346.269481295953</v>
      </c>
      <c r="G31" s="48"/>
      <c r="H31" s="67"/>
      <c r="I31" s="69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1:38" s="54" customFormat="1" ht="15" customHeight="1" x14ac:dyDescent="0.25">
      <c r="A32" s="32"/>
      <c r="B32" s="56"/>
      <c r="E32" s="32" t="s">
        <v>98</v>
      </c>
      <c r="F32" s="55">
        <f>F31-F20</f>
        <v>40346.269481295953</v>
      </c>
      <c r="G32" s="48"/>
      <c r="H32" s="67"/>
      <c r="I32" s="69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</row>
    <row r="33" spans="1:38" s="54" customFormat="1" ht="15" customHeight="1" x14ac:dyDescent="0.25">
      <c r="A33" s="32"/>
      <c r="B33" s="56"/>
      <c r="C33" s="32" t="s">
        <v>60</v>
      </c>
      <c r="D33" s="55">
        <f>D$22*D27</f>
        <v>63687.697070349212</v>
      </c>
      <c r="E33" s="32" t="s">
        <v>60</v>
      </c>
      <c r="F33" s="55">
        <f>F32*F22</f>
        <v>12103.880844388785</v>
      </c>
      <c r="G33" s="48"/>
      <c r="H33" s="67"/>
      <c r="I33" s="69"/>
      <c r="J33" s="67"/>
      <c r="K33" s="6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</row>
    <row r="34" spans="1:38" s="38" customFormat="1" ht="15" customHeight="1" x14ac:dyDescent="0.25">
      <c r="A34" s="35"/>
      <c r="B34" s="36"/>
      <c r="C34" s="32" t="s">
        <v>56</v>
      </c>
      <c r="D34" s="55">
        <f>(D27-D33)/2</f>
        <v>180448.4750326561</v>
      </c>
      <c r="E34" s="32" t="s">
        <v>62</v>
      </c>
      <c r="F34" s="55">
        <f>F32-F33</f>
        <v>28242.38863690717</v>
      </c>
      <c r="G34" s="48"/>
      <c r="H34" s="44"/>
      <c r="I34" s="42"/>
      <c r="J34" s="67"/>
      <c r="K34" s="68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s="38" customFormat="1" ht="15" customHeight="1" x14ac:dyDescent="0.25">
      <c r="A35" s="35"/>
      <c r="B35" s="36"/>
      <c r="C35" s="32" t="s">
        <v>8</v>
      </c>
      <c r="D35" s="55">
        <f>D34*D$23</f>
        <v>45112.118758164026</v>
      </c>
      <c r="E35" s="32" t="s">
        <v>8</v>
      </c>
      <c r="F35" s="55">
        <f>F34*F$23</f>
        <v>7857.0325187875751</v>
      </c>
      <c r="G35" s="48"/>
      <c r="H35" s="44"/>
      <c r="I35" s="42"/>
      <c r="J35" s="67"/>
      <c r="K35" s="68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s="38" customFormat="1" ht="15" customHeight="1" x14ac:dyDescent="0.25">
      <c r="A36" s="35"/>
      <c r="B36" s="36"/>
      <c r="C36" s="70" t="s">
        <v>57</v>
      </c>
      <c r="D36" s="71">
        <f>D26-D35</f>
        <v>508672.52837749745</v>
      </c>
      <c r="E36" s="70" t="s">
        <v>57</v>
      </c>
      <c r="F36" s="71">
        <f>F26-F35</f>
        <v>503477.55045610107</v>
      </c>
      <c r="G36" s="48"/>
      <c r="H36" s="44"/>
      <c r="I36" s="42"/>
      <c r="J36" s="72"/>
      <c r="K36" s="73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5" customHeight="1" x14ac:dyDescent="0.25">
      <c r="G37" s="30"/>
      <c r="H37" s="30"/>
    </row>
    <row r="38" spans="1:38" ht="15" customHeight="1" x14ac:dyDescent="0.25">
      <c r="A38" s="84" t="s">
        <v>91</v>
      </c>
      <c r="B38" s="84"/>
      <c r="C38" s="84" t="s">
        <v>9</v>
      </c>
      <c r="D38" s="85"/>
      <c r="E38" s="84" t="s">
        <v>58</v>
      </c>
      <c r="F38" s="85"/>
      <c r="G38" s="30"/>
      <c r="H38" s="30"/>
      <c r="J38" s="18"/>
      <c r="K38" s="17"/>
      <c r="L38" s="18"/>
      <c r="M38" s="17"/>
      <c r="N38" s="18"/>
      <c r="O38" s="17"/>
    </row>
    <row r="39" spans="1:38" s="38" customFormat="1" ht="15" customHeight="1" x14ac:dyDescent="0.25">
      <c r="A39" s="35"/>
      <c r="B39" s="36"/>
      <c r="C39" s="35"/>
      <c r="D39" s="36"/>
      <c r="E39" s="35"/>
      <c r="F39" s="36"/>
      <c r="G39" s="37"/>
      <c r="H39" s="37"/>
      <c r="I39" s="37"/>
      <c r="J39" s="44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s="38" customFormat="1" ht="15" customHeight="1" x14ac:dyDescent="0.25">
      <c r="A40" s="32" t="s">
        <v>32</v>
      </c>
      <c r="B40" s="34">
        <v>56888</v>
      </c>
      <c r="C40" s="32" t="s">
        <v>55</v>
      </c>
      <c r="D40" s="55">
        <f>VLOOKUP(B40,Fondspolice!B2:K42,10,FALSE)</f>
        <v>553784.64713566145</v>
      </c>
      <c r="E40" s="32" t="s">
        <v>55</v>
      </c>
      <c r="F40" s="55">
        <f>VLOOKUP(B40,Depot!B3:I43,MATCH(Depot!I2,Depot!B2:AQ2,0),FALSE)</f>
        <v>511334.58297488868</v>
      </c>
      <c r="G40" s="37"/>
      <c r="H40" s="122"/>
      <c r="I40" s="37"/>
      <c r="J40" s="44"/>
      <c r="K40" s="42"/>
      <c r="L40" s="44"/>
      <c r="M40" s="42"/>
      <c r="N40" s="67"/>
      <c r="O40" s="39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s="38" customFormat="1" ht="15" customHeight="1" x14ac:dyDescent="0.25">
      <c r="A41" s="32"/>
      <c r="B41" s="36"/>
      <c r="C41" s="32" t="s">
        <v>7</v>
      </c>
      <c r="D41" s="55">
        <f>D40-VLOOKUP(B40,Fondspolice!B2:N42,4,FALSE)</f>
        <v>424584.64713566145</v>
      </c>
      <c r="E41" s="32" t="s">
        <v>7</v>
      </c>
      <c r="F41" s="55">
        <f>F40-VLOOKUP(B40,Depot!$B$3:$AQ$43,MATCH(Depot!E2,Depot!$B$2:$AQ$2,0),FALSE)</f>
        <v>382134.58297488868</v>
      </c>
      <c r="G41" s="37"/>
      <c r="H41" s="37"/>
      <c r="I41" s="37"/>
      <c r="J41" s="67"/>
      <c r="K41" s="51"/>
      <c r="L41" s="74"/>
      <c r="M41" s="42"/>
      <c r="N41" s="44"/>
      <c r="O41" s="42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s="38" customFormat="1" ht="15" customHeight="1" x14ac:dyDescent="0.25">
      <c r="A42" s="32" t="s">
        <v>83</v>
      </c>
      <c r="B42" s="58">
        <v>2000</v>
      </c>
      <c r="C42" s="35"/>
      <c r="D42" s="36"/>
      <c r="E42" s="75" t="s">
        <v>89</v>
      </c>
      <c r="F42" s="55">
        <f>F41-VLOOKUP(B40,Depot!B3:AQ43,MATCH(Depot!AQ2,Depot!$B$2:$AQ$2,0),FALSE)</f>
        <v>41346.269481295953</v>
      </c>
      <c r="G42" s="68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s="38" customFormat="1" ht="15" customHeight="1" x14ac:dyDescent="0.25">
      <c r="A43" s="35"/>
      <c r="B43" s="36"/>
      <c r="C43" s="35"/>
      <c r="D43" s="36"/>
      <c r="E43" s="35"/>
      <c r="F43" s="36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s="38" customFormat="1" ht="15" customHeight="1" x14ac:dyDescent="0.25">
      <c r="A44" s="35"/>
      <c r="B44" s="36"/>
      <c r="C44" s="32" t="s">
        <v>77</v>
      </c>
      <c r="D44" s="55">
        <f>B42/(1-D41/D40*(1-D22)*D23/2)</f>
        <v>2177.3719485188526</v>
      </c>
      <c r="E44" s="32" t="s">
        <v>77</v>
      </c>
      <c r="F44" s="55">
        <f>B42/(1-F42/F40*(1-F22)*F23)-F20/12*(1-F22)*F23</f>
        <v>2015.7686765048952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s="38" customFormat="1" ht="15" customHeight="1" x14ac:dyDescent="0.25">
      <c r="A45" s="35"/>
      <c r="B45" s="36"/>
      <c r="C45" s="32" t="s">
        <v>80</v>
      </c>
      <c r="D45" s="55">
        <f>D44*D41/D40</f>
        <v>1669.3830448833185</v>
      </c>
      <c r="E45" s="32" t="s">
        <v>80</v>
      </c>
      <c r="F45" s="55">
        <f>F44*F42/F40</f>
        <v>162.99408975203164</v>
      </c>
      <c r="G45" s="49" t="s">
        <v>96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s="38" customFormat="1" ht="15" customHeight="1" x14ac:dyDescent="0.25">
      <c r="A46" s="35"/>
      <c r="B46" s="36"/>
      <c r="C46" s="32"/>
      <c r="D46" s="55"/>
      <c r="E46" s="32" t="s">
        <v>97</v>
      </c>
      <c r="F46" s="55">
        <f>F45-F20/12</f>
        <v>79.660756418698313</v>
      </c>
      <c r="G46" s="49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s="38" customFormat="1" ht="15" customHeight="1" x14ac:dyDescent="0.25">
      <c r="A47" s="35"/>
      <c r="B47" s="36"/>
      <c r="C47" s="32" t="s">
        <v>79</v>
      </c>
      <c r="D47" s="55">
        <f>D45*D22</f>
        <v>250.40745673249776</v>
      </c>
      <c r="E47" s="32" t="s">
        <v>79</v>
      </c>
      <c r="F47" s="55">
        <f>F46*F22</f>
        <v>23.898226925609492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s="38" customFormat="1" ht="15" customHeight="1" x14ac:dyDescent="0.25">
      <c r="A48" s="35"/>
      <c r="B48" s="36"/>
      <c r="C48" s="32" t="s">
        <v>5</v>
      </c>
      <c r="D48" s="55">
        <f>D45-D47</f>
        <v>1418.9755881508206</v>
      </c>
      <c r="E48" s="32" t="s">
        <v>5</v>
      </c>
      <c r="F48" s="55">
        <f>F46-F47</f>
        <v>55.76252949308882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s="38" customFormat="1" ht="15" customHeight="1" x14ac:dyDescent="0.25">
      <c r="A49" s="35"/>
      <c r="B49" s="36"/>
      <c r="C49" s="32"/>
      <c r="D49" s="55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s="38" customFormat="1" ht="15" customHeight="1" x14ac:dyDescent="0.25">
      <c r="A50" s="35"/>
      <c r="B50" s="36"/>
      <c r="C50" s="32" t="s">
        <v>88</v>
      </c>
      <c r="D50" s="55">
        <f>D48*D23/2</f>
        <v>177.37194851885258</v>
      </c>
      <c r="E50" s="32" t="s">
        <v>81</v>
      </c>
      <c r="F50" s="55">
        <f>F48*F23</f>
        <v>15.51313570497731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s="38" customFormat="1" ht="15" customHeight="1" x14ac:dyDescent="0.25">
      <c r="A51" s="35"/>
      <c r="B51" s="36"/>
      <c r="C51" s="32" t="s">
        <v>78</v>
      </c>
      <c r="D51" s="55">
        <f>D44-D50</f>
        <v>2000</v>
      </c>
      <c r="E51" s="32" t="s">
        <v>78</v>
      </c>
      <c r="F51" s="55">
        <f>F44-F50</f>
        <v>2000.255540799918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</row>
    <row r="52" spans="1:38" s="38" customFormat="1" ht="15" customHeight="1" x14ac:dyDescent="0.25">
      <c r="A52" s="35"/>
      <c r="B52" s="36"/>
      <c r="C52" s="35"/>
      <c r="D52" s="55"/>
      <c r="E52" s="35"/>
      <c r="F52" s="36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</row>
    <row r="53" spans="1:38" s="38" customFormat="1" ht="15" customHeight="1" x14ac:dyDescent="0.25">
      <c r="A53" s="35"/>
      <c r="B53" s="36"/>
      <c r="C53" s="32" t="s">
        <v>24</v>
      </c>
      <c r="D53" s="45">
        <v>0.25</v>
      </c>
      <c r="E53" s="32" t="s">
        <v>25</v>
      </c>
      <c r="F53" s="52">
        <f>F$10*D53</f>
        <v>0.02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</row>
    <row r="54" spans="1:38" ht="15" customHeight="1" x14ac:dyDescent="0.25">
      <c r="D54" s="25"/>
      <c r="F54" s="25"/>
      <c r="G54" s="31"/>
    </row>
    <row r="55" spans="1:38" ht="15" customHeight="1" x14ac:dyDescent="0.25">
      <c r="B55" s="26"/>
      <c r="C55" s="32" t="s">
        <v>82</v>
      </c>
      <c r="D55" s="121">
        <f>NPER(F53/12,D44,-D40,0)/12</f>
        <v>27.596131983551384</v>
      </c>
      <c r="E55" s="32" t="s">
        <v>82</v>
      </c>
      <c r="F55" s="121">
        <f>NPER(F53/12,F44,-F40,0)/12</f>
        <v>27.499378744763916</v>
      </c>
    </row>
    <row r="56" spans="1:38" ht="15" customHeight="1" x14ac:dyDescent="0.25">
      <c r="D56" s="27"/>
    </row>
    <row r="57" spans="1:38" ht="15" customHeight="1" x14ac:dyDescent="0.25">
      <c r="D57" s="27"/>
    </row>
    <row r="58" spans="1:38" ht="15" customHeight="1" x14ac:dyDescent="0.25">
      <c r="D58" s="2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5523-543E-4BE7-9B49-12AD19617DDA}">
  <sheetPr codeName="Tabelle2"/>
  <dimension ref="A1:V362"/>
  <sheetViews>
    <sheetView zoomScale="85" zoomScaleNormal="85" workbookViewId="0"/>
  </sheetViews>
  <sheetFormatPr baseColWidth="10" defaultRowHeight="13.5" x14ac:dyDescent="0.25"/>
  <cols>
    <col min="1" max="1" width="4.83203125" style="14" bestFit="1" customWidth="1"/>
    <col min="2" max="2" width="13.08203125" style="14" customWidth="1"/>
    <col min="3" max="5" width="16.08203125" customWidth="1"/>
    <col min="6" max="6" width="11.25" bestFit="1" customWidth="1"/>
    <col min="7" max="7" width="15.25" bestFit="1" customWidth="1"/>
    <col min="8" max="8" width="17.25" customWidth="1"/>
    <col min="9" max="10" width="16.08203125" customWidth="1"/>
    <col min="11" max="13" width="18.33203125" customWidth="1"/>
    <col min="14" max="14" width="19.08203125" customWidth="1"/>
    <col min="15" max="15" width="22.75" bestFit="1" customWidth="1"/>
    <col min="16" max="16" width="12.33203125" customWidth="1"/>
    <col min="18" max="18" width="12.58203125" customWidth="1"/>
  </cols>
  <sheetData>
    <row r="1" spans="1:22" s="1" customFormat="1" ht="55.5" customHeight="1" x14ac:dyDescent="0.25">
      <c r="A1" s="89" t="s">
        <v>0</v>
      </c>
      <c r="B1" s="89" t="s">
        <v>33</v>
      </c>
      <c r="C1" s="89" t="s">
        <v>42</v>
      </c>
      <c r="D1" s="89" t="s">
        <v>6</v>
      </c>
      <c r="E1" s="89" t="s">
        <v>75</v>
      </c>
      <c r="F1" s="89" t="s">
        <v>35</v>
      </c>
      <c r="G1" s="89" t="s">
        <v>38</v>
      </c>
      <c r="H1" s="89" t="s">
        <v>39</v>
      </c>
      <c r="I1" s="89" t="s">
        <v>37</v>
      </c>
      <c r="J1" s="89" t="s">
        <v>3</v>
      </c>
      <c r="K1" s="90" t="s">
        <v>93</v>
      </c>
      <c r="L1" s="89" t="s">
        <v>1</v>
      </c>
      <c r="M1" s="89" t="s">
        <v>2</v>
      </c>
      <c r="N1" s="89" t="s">
        <v>49</v>
      </c>
      <c r="O1" s="89" t="s">
        <v>92</v>
      </c>
    </row>
    <row r="2" spans="1:22" s="1" customFormat="1" ht="14.5" customHeight="1" x14ac:dyDescent="0.35">
      <c r="A2" s="91">
        <v>0</v>
      </c>
      <c r="B2" s="92">
        <f>Übersicht!D5</f>
        <v>45200</v>
      </c>
      <c r="C2" s="93">
        <f>Übersicht!B4</f>
        <v>50000</v>
      </c>
      <c r="D2" s="94">
        <f>Übersicht!$B$6</f>
        <v>2400</v>
      </c>
      <c r="E2" s="95">
        <f>C$2+SUM(D2:D$2)</f>
        <v>52400</v>
      </c>
      <c r="F2" s="96">
        <f>Übersicht!D17</f>
        <v>149</v>
      </c>
      <c r="G2" s="96">
        <f>C2*Übersicht!D18</f>
        <v>250</v>
      </c>
      <c r="H2" s="96">
        <f>D2*Übersicht!$D$19</f>
        <v>96</v>
      </c>
      <c r="I2" s="96">
        <f>Übersicht!$D$20</f>
        <v>0</v>
      </c>
      <c r="J2" s="96">
        <f>C2*Übersicht!$D$21</f>
        <v>110</v>
      </c>
      <c r="K2" s="97">
        <f>C2-F2-G2-H2-I2-J2</f>
        <v>49395</v>
      </c>
      <c r="L2" s="98">
        <f>VLOOKUP(B2,Übersicht!H$11:J$14,3)</f>
        <v>0.08</v>
      </c>
      <c r="M2" s="96">
        <v>0</v>
      </c>
      <c r="N2" s="98">
        <v>0</v>
      </c>
      <c r="O2" s="99" t="str">
        <f>IF(B2=Übersicht!$H$11,"Beginn Ansparphase",IF(B2=Übersicht!$H$12,"1. Umschichtung",IF(B2=Übersicht!$H$13,"2. Umschichtung",IF(B2=Übersicht!$H$14,"3. Umschichtung",IF(B2=Übersicht!$B$26,"Komplettverkauf",IF(B2=Übersicht!$B$40,"Beginn Entnahmephase",""))))))</f>
        <v>Beginn Ansparphase</v>
      </c>
    </row>
    <row r="3" spans="1:22" ht="18.5" x14ac:dyDescent="0.35">
      <c r="A3" s="91">
        <v>1</v>
      </c>
      <c r="B3" s="92">
        <f>EDATE(B2,12)</f>
        <v>45566</v>
      </c>
      <c r="C3" s="93">
        <f>FV(L2/12,12,-Übersicht!B$5,-K2)</f>
        <v>55984.745842982251</v>
      </c>
      <c r="D3" s="94">
        <f>Übersicht!$B$6</f>
        <v>2400</v>
      </c>
      <c r="E3" s="95">
        <f>C$2+SUM(D$2:D3)</f>
        <v>54800</v>
      </c>
      <c r="F3" s="96">
        <v>0</v>
      </c>
      <c r="G3" s="96">
        <v>0</v>
      </c>
      <c r="H3" s="96">
        <f>D3*Übersicht!$D$19</f>
        <v>96</v>
      </c>
      <c r="I3" s="96">
        <f>Übersicht!$D$20</f>
        <v>0</v>
      </c>
      <c r="J3" s="96">
        <f>C3*Übersicht!$D$21</f>
        <v>123.16644085456096</v>
      </c>
      <c r="K3" s="97">
        <f t="shared" ref="K3:K42" si="0">C3-F3-G3-H3-I3-J3</f>
        <v>55765.579402127689</v>
      </c>
      <c r="L3" s="98">
        <f>VLOOKUP(B3,Übersicht!H$11:J$14,3)</f>
        <v>0.08</v>
      </c>
      <c r="M3" s="96">
        <f>C3-C2-D2</f>
        <v>3584.7458429822509</v>
      </c>
      <c r="N3" s="98">
        <f>C3/(C$2+SUM(D$2:D2))</f>
        <v>1.068411180209585</v>
      </c>
      <c r="O3" s="99" t="str">
        <f>IF(B3=Übersicht!$H$11,"Beginn Ansparphase",IF(B3=Übersicht!$H$12,"1. Umschichtung",IF(B3=Übersicht!$H$13,"2. Umschichtung",IF(B3=Übersicht!$H$14,"3. Umschichtung",IF(B3=Übersicht!$B$26,"Komplettverkauf",IF(B3=Übersicht!$B$40,"Beginn Entnahmephase",""))))))</f>
        <v/>
      </c>
      <c r="Q3" s="1"/>
      <c r="S3" s="4"/>
      <c r="T3" s="6"/>
      <c r="U3" s="7"/>
      <c r="V3" s="5"/>
    </row>
    <row r="4" spans="1:22" ht="14.5" x14ac:dyDescent="0.35">
      <c r="A4" s="91">
        <v>2</v>
      </c>
      <c r="B4" s="92">
        <f t="shared" ref="B4:B21" si="1">EDATE(B3,12)</f>
        <v>45931</v>
      </c>
      <c r="C4" s="93">
        <f>FV(L3/12,12,-Übersicht!B$5,-K3)</f>
        <v>62884.080193564623</v>
      </c>
      <c r="D4" s="94">
        <f>Übersicht!$B$6</f>
        <v>2400</v>
      </c>
      <c r="E4" s="95">
        <f>C$2+SUM(D$2:D4)</f>
        <v>57200</v>
      </c>
      <c r="F4" s="96">
        <v>0</v>
      </c>
      <c r="G4" s="96">
        <v>0</v>
      </c>
      <c r="H4" s="96">
        <f>D4*Übersicht!$D$19</f>
        <v>96</v>
      </c>
      <c r="I4" s="96">
        <f>Übersicht!$D$20</f>
        <v>0</v>
      </c>
      <c r="J4" s="96">
        <f>C4*Übersicht!$D$21</f>
        <v>138.34497642584219</v>
      </c>
      <c r="K4" s="97">
        <f t="shared" si="0"/>
        <v>62649.735217138783</v>
      </c>
      <c r="L4" s="98">
        <f>VLOOKUP(B4,Übersicht!H$11:J$14,3)</f>
        <v>0.08</v>
      </c>
      <c r="M4" s="96">
        <f t="shared" ref="M4:M42" si="2">C4-C3-D3</f>
        <v>4499.3343505823723</v>
      </c>
      <c r="N4" s="98">
        <f>C4/(C$2+SUM(D$2:D3))</f>
        <v>1.1475197115613982</v>
      </c>
      <c r="O4" s="99" t="str">
        <f>IF(B4=Übersicht!$H$11,"Beginn Ansparphase",IF(B4=Übersicht!$H$12,"1. Umschichtung",IF(B4=Übersicht!$H$13,"2. Umschichtung",IF(B4=Übersicht!$H$14,"3. Umschichtung",IF(B4=Übersicht!$B$26,"Komplettverkauf",IF(B4=Übersicht!$B$40,"Beginn Entnahmephase",""))))))</f>
        <v/>
      </c>
      <c r="T4" s="6"/>
      <c r="U4" s="7"/>
      <c r="V4" s="5"/>
    </row>
    <row r="5" spans="1:22" ht="14.5" x14ac:dyDescent="0.35">
      <c r="A5" s="91">
        <v>3</v>
      </c>
      <c r="B5" s="92">
        <f t="shared" si="1"/>
        <v>46296</v>
      </c>
      <c r="C5" s="93">
        <f>FV(L4/12,12,-Übersicht!B$5,-K4)</f>
        <v>70339.617546007692</v>
      </c>
      <c r="D5" s="94">
        <f>Übersicht!$B$6</f>
        <v>2400</v>
      </c>
      <c r="E5" s="95">
        <f>C$2+SUM(D$2:D5)</f>
        <v>59600</v>
      </c>
      <c r="F5" s="96">
        <v>0</v>
      </c>
      <c r="G5" s="96">
        <v>0</v>
      </c>
      <c r="H5" s="96">
        <f>D5*Übersicht!$D$19</f>
        <v>96</v>
      </c>
      <c r="I5" s="96">
        <f>Übersicht!$D$20</f>
        <v>0</v>
      </c>
      <c r="J5" s="96">
        <f>C5*Übersicht!$D$21</f>
        <v>154.74715860121694</v>
      </c>
      <c r="K5" s="97">
        <f t="shared" si="0"/>
        <v>70088.870387406481</v>
      </c>
      <c r="L5" s="98">
        <f>VLOOKUP(B5,Übersicht!H$11:J$14,3)</f>
        <v>0.08</v>
      </c>
      <c r="M5" s="96">
        <f t="shared" si="2"/>
        <v>5055.5373524430688</v>
      </c>
      <c r="N5" s="98">
        <f>C5/(C$2+SUM(D$2:D4))</f>
        <v>1.229713593461673</v>
      </c>
      <c r="O5" s="99" t="str">
        <f>IF(B5=Übersicht!$H$11,"Beginn Ansparphase",IF(B5=Übersicht!$H$12,"1. Umschichtung",IF(B5=Übersicht!$H$13,"2. Umschichtung",IF(B5=Übersicht!$H$14,"3. Umschichtung",IF(B5=Übersicht!$B$26,"Komplettverkauf",IF(B5=Übersicht!$B$40,"Beginn Entnahmephase",""))))))</f>
        <v/>
      </c>
      <c r="T5" s="6"/>
      <c r="U5" s="7"/>
      <c r="V5" s="5"/>
    </row>
    <row r="6" spans="1:22" ht="14.5" x14ac:dyDescent="0.35">
      <c r="A6" s="91">
        <v>4</v>
      </c>
      <c r="B6" s="92">
        <f t="shared" si="1"/>
        <v>46661</v>
      </c>
      <c r="C6" s="93">
        <f>FV(L5/12,12,-Übersicht!B$5,-K5)</f>
        <v>78396.19726648202</v>
      </c>
      <c r="D6" s="94">
        <f>Übersicht!$B$6</f>
        <v>2400</v>
      </c>
      <c r="E6" s="95">
        <f>C$2+SUM(D$2:D6)</f>
        <v>62000</v>
      </c>
      <c r="F6" s="96">
        <v>0</v>
      </c>
      <c r="G6" s="96">
        <v>0</v>
      </c>
      <c r="H6" s="96">
        <f>D6*Übersicht!$D$19</f>
        <v>96</v>
      </c>
      <c r="I6" s="96">
        <f>Übersicht!$D$20</f>
        <v>0</v>
      </c>
      <c r="J6" s="96">
        <f>C6*Übersicht!$D$21</f>
        <v>172.47163398626046</v>
      </c>
      <c r="K6" s="97">
        <f t="shared" si="0"/>
        <v>78127.725632495756</v>
      </c>
      <c r="L6" s="98">
        <f>VLOOKUP(B6,Übersicht!H$11:J$14,3)</f>
        <v>0.08</v>
      </c>
      <c r="M6" s="96">
        <f t="shared" si="2"/>
        <v>5656.5797204743285</v>
      </c>
      <c r="N6" s="98">
        <f>C6/(C$2+SUM(D$2:D5))</f>
        <v>1.315372437357081</v>
      </c>
      <c r="O6" s="99" t="str">
        <f>IF(B6=Übersicht!$H$11,"Beginn Ansparphase",IF(B6=Übersicht!$H$12,"1. Umschichtung",IF(B6=Übersicht!$H$13,"2. Umschichtung",IF(B6=Übersicht!$H$14,"3. Umschichtung",IF(B6=Übersicht!$B$26,"Komplettverkauf",IF(B6=Übersicht!$B$40,"Beginn Entnahmephase",""))))))</f>
        <v/>
      </c>
      <c r="T6" s="6"/>
      <c r="U6" s="7"/>
      <c r="V6" s="5"/>
    </row>
    <row r="7" spans="1:22" ht="14.5" x14ac:dyDescent="0.35">
      <c r="A7" s="91">
        <v>5</v>
      </c>
      <c r="B7" s="92">
        <f t="shared" si="1"/>
        <v>47027</v>
      </c>
      <c r="C7" s="93">
        <f>FV(L6/12,12,-Übersicht!B$5,-K6)</f>
        <v>87102.27353221066</v>
      </c>
      <c r="D7" s="94">
        <f>Übersicht!$B$6</f>
        <v>2400</v>
      </c>
      <c r="E7" s="95">
        <f>C$2+SUM(D$2:D7)</f>
        <v>64400</v>
      </c>
      <c r="F7" s="96">
        <v>0</v>
      </c>
      <c r="G7" s="96">
        <v>0</v>
      </c>
      <c r="H7" s="96">
        <f>D7*Übersicht!$D$19</f>
        <v>96</v>
      </c>
      <c r="I7" s="96">
        <f>Übersicht!$D$20</f>
        <v>0</v>
      </c>
      <c r="J7" s="96">
        <f>C7*Übersicht!$D$21</f>
        <v>191.62500177086346</v>
      </c>
      <c r="K7" s="97">
        <f t="shared" si="0"/>
        <v>86814.648530439794</v>
      </c>
      <c r="L7" s="98">
        <f>VLOOKUP(B7,Übersicht!H$11:J$14,3)</f>
        <v>0.08</v>
      </c>
      <c r="M7" s="96">
        <f t="shared" si="2"/>
        <v>6306.0762657286396</v>
      </c>
      <c r="N7" s="98">
        <f>C7/(C$2+SUM(D$2:D6))</f>
        <v>1.4048753795517848</v>
      </c>
      <c r="O7" s="99" t="str">
        <f>IF(B7=Übersicht!$H$11,"Beginn Ansparphase",IF(B7=Übersicht!$H$12,"1. Umschichtung",IF(B7=Übersicht!$H$13,"2. Umschichtung",IF(B7=Übersicht!$H$14,"3. Umschichtung",IF(B7=Übersicht!$B$26,"Komplettverkauf",IF(B7=Übersicht!$B$40,"Beginn Entnahmephase",""))))))</f>
        <v/>
      </c>
      <c r="T7" s="6"/>
      <c r="U7" s="7"/>
      <c r="V7" s="5"/>
    </row>
    <row r="8" spans="1:22" ht="14.5" x14ac:dyDescent="0.35">
      <c r="A8" s="91">
        <v>6</v>
      </c>
      <c r="B8" s="92">
        <f t="shared" si="1"/>
        <v>47392</v>
      </c>
      <c r="C8" s="93">
        <f>FV(L7/12,12,-Übersicht!B$5,-K7)</f>
        <v>96510.206746358919</v>
      </c>
      <c r="D8" s="94">
        <f>Übersicht!$B$6</f>
        <v>2400</v>
      </c>
      <c r="E8" s="95">
        <f>C$2+SUM(D$2:D8)</f>
        <v>66800</v>
      </c>
      <c r="F8" s="96">
        <v>0</v>
      </c>
      <c r="G8" s="96">
        <v>0</v>
      </c>
      <c r="H8" s="96">
        <f>D8*Übersicht!$D$19</f>
        <v>96</v>
      </c>
      <c r="I8" s="96">
        <f>Übersicht!$D$20</f>
        <v>0</v>
      </c>
      <c r="J8" s="96">
        <f>C8*Übersicht!$D$21</f>
        <v>212.32245484198964</v>
      </c>
      <c r="K8" s="97">
        <f t="shared" si="0"/>
        <v>96201.884291516923</v>
      </c>
      <c r="L8" s="98">
        <f>VLOOKUP(B8,Übersicht!H$11:J$14,3)</f>
        <v>0.08</v>
      </c>
      <c r="M8" s="96">
        <f t="shared" si="2"/>
        <v>7007.9332141482591</v>
      </c>
      <c r="N8" s="98">
        <f>C8/(C$2+SUM(D$2:D7))</f>
        <v>1.4986056948192379</v>
      </c>
      <c r="O8" s="99" t="str">
        <f>IF(B8=Übersicht!$H$11,"Beginn Ansparphase",IF(B8=Übersicht!$H$12,"1. Umschichtung",IF(B8=Übersicht!$H$13,"2. Umschichtung",IF(B8=Übersicht!$H$14,"3. Umschichtung",IF(B8=Übersicht!$B$26,"Komplettverkauf",IF(B8=Übersicht!$B$40,"Beginn Entnahmephase",""))))))</f>
        <v/>
      </c>
      <c r="T8" s="6"/>
      <c r="U8" s="7"/>
      <c r="V8" s="5"/>
    </row>
    <row r="9" spans="1:22" ht="14.5" x14ac:dyDescent="0.35">
      <c r="A9" s="91">
        <v>7</v>
      </c>
      <c r="B9" s="92">
        <f t="shared" si="1"/>
        <v>47757</v>
      </c>
      <c r="C9" s="93">
        <f>FV(L8/12,12,-Übersicht!B$5,-K8)</f>
        <v>106676.57844589128</v>
      </c>
      <c r="D9" s="94">
        <f>Übersicht!$B$6</f>
        <v>2400</v>
      </c>
      <c r="E9" s="95">
        <f>C$2+SUM(D$2:D9)</f>
        <v>69200</v>
      </c>
      <c r="F9" s="96">
        <v>0</v>
      </c>
      <c r="G9" s="96">
        <v>0</v>
      </c>
      <c r="H9" s="96">
        <f>D9*Übersicht!$D$19</f>
        <v>96</v>
      </c>
      <c r="I9" s="96">
        <f>Übersicht!$D$20</f>
        <v>0</v>
      </c>
      <c r="J9" s="96">
        <f>C9*Übersicht!$D$21</f>
        <v>234.68847258096085</v>
      </c>
      <c r="K9" s="97">
        <f t="shared" si="0"/>
        <v>106345.88997331032</v>
      </c>
      <c r="L9" s="98">
        <f>VLOOKUP(B9,Übersicht!H$11:J$14,3)</f>
        <v>0.08</v>
      </c>
      <c r="M9" s="96">
        <f t="shared" si="2"/>
        <v>7766.371699532363</v>
      </c>
      <c r="N9" s="98">
        <f>C9/(C$2+SUM(D$2:D8))</f>
        <v>1.5969547671540611</v>
      </c>
      <c r="O9" s="99" t="str">
        <f>IF(B9=Übersicht!$H$11,"Beginn Ansparphase",IF(B9=Übersicht!$H$12,"1. Umschichtung",IF(B9=Übersicht!$H$13,"2. Umschichtung",IF(B9=Übersicht!$H$14,"3. Umschichtung",IF(B9=Übersicht!$B$26,"Komplettverkauf",IF(B9=Übersicht!$B$40,"Beginn Entnahmephase",""))))))</f>
        <v/>
      </c>
      <c r="T9" s="6"/>
      <c r="U9" s="7"/>
      <c r="V9" s="7"/>
    </row>
    <row r="10" spans="1:22" ht="14.5" x14ac:dyDescent="0.35">
      <c r="A10" s="91">
        <v>8</v>
      </c>
      <c r="B10" s="92">
        <f t="shared" si="1"/>
        <v>48122</v>
      </c>
      <c r="C10" s="93">
        <f>FV(L9/12,12,-Übersicht!B$5,-K9)</f>
        <v>117662.53159632609</v>
      </c>
      <c r="D10" s="94">
        <f>Übersicht!$B$6</f>
        <v>2400</v>
      </c>
      <c r="E10" s="95">
        <f>C$2+SUM(D$2:D10)</f>
        <v>71600</v>
      </c>
      <c r="F10" s="96">
        <v>0</v>
      </c>
      <c r="G10" s="96">
        <v>0</v>
      </c>
      <c r="H10" s="96">
        <f>D10*Übersicht!$D$19</f>
        <v>96</v>
      </c>
      <c r="I10" s="96">
        <f>Übersicht!$D$20</f>
        <v>0</v>
      </c>
      <c r="J10" s="96">
        <f>C10*Übersicht!$D$21</f>
        <v>258.8575695119174</v>
      </c>
      <c r="K10" s="97">
        <f t="shared" si="0"/>
        <v>117307.67402681417</v>
      </c>
      <c r="L10" s="98">
        <f>VLOOKUP(B10,Übersicht!H$11:J$14,3)</f>
        <v>0.08</v>
      </c>
      <c r="M10" s="96">
        <f t="shared" si="2"/>
        <v>8585.9531504348124</v>
      </c>
      <c r="N10" s="98">
        <f>C10/(C$2+SUM(D$2:D9))</f>
        <v>1.7003256011029781</v>
      </c>
      <c r="O10" s="99" t="str">
        <f>IF(B10=Übersicht!$H$11,"Beginn Ansparphase",IF(B10=Übersicht!$H$12,"1. Umschichtung",IF(B10=Übersicht!$H$13,"2. Umschichtung",IF(B10=Übersicht!$H$14,"3. Umschichtung",IF(B10=Übersicht!$B$26,"Komplettverkauf",IF(B10=Übersicht!$B$40,"Beginn Entnahmephase",""))))))</f>
        <v/>
      </c>
      <c r="T10" s="6"/>
      <c r="U10" s="7"/>
      <c r="V10" s="7"/>
    </row>
    <row r="11" spans="1:22" ht="14.5" x14ac:dyDescent="0.35">
      <c r="A11" s="91">
        <v>9</v>
      </c>
      <c r="B11" s="92">
        <f t="shared" si="1"/>
        <v>48488</v>
      </c>
      <c r="C11" s="93">
        <f>FV(L10/12,12,-Übersicht!B$5,-K10)</f>
        <v>129534.13832000121</v>
      </c>
      <c r="D11" s="94">
        <f>Übersicht!$B$6</f>
        <v>2400</v>
      </c>
      <c r="E11" s="95">
        <f>C$2+SUM(D$2:D11)</f>
        <v>74000</v>
      </c>
      <c r="F11" s="96">
        <v>0</v>
      </c>
      <c r="G11" s="96">
        <v>0</v>
      </c>
      <c r="H11" s="96">
        <f>D11*Übersicht!$D$19</f>
        <v>96</v>
      </c>
      <c r="I11" s="96">
        <f>Übersicht!$D$20</f>
        <v>0</v>
      </c>
      <c r="J11" s="96">
        <f>C11*Übersicht!$D$21</f>
        <v>284.97510430400268</v>
      </c>
      <c r="K11" s="97">
        <f t="shared" si="0"/>
        <v>129153.1632156972</v>
      </c>
      <c r="L11" s="98">
        <f>VLOOKUP(B11,Übersicht!H$11:J$14,3)</f>
        <v>0.08</v>
      </c>
      <c r="M11" s="96">
        <f t="shared" si="2"/>
        <v>9471.6067236751114</v>
      </c>
      <c r="N11" s="98">
        <f>C11/(C$2+SUM(D$2:D10))</f>
        <v>1.8091360100558829</v>
      </c>
      <c r="O11" s="99" t="str">
        <f>IF(B11=Übersicht!$H$11,"Beginn Ansparphase",IF(B11=Übersicht!$H$12,"1. Umschichtung",IF(B11=Übersicht!$H$13,"2. Umschichtung",IF(B11=Übersicht!$H$14,"3. Umschichtung",IF(B11=Übersicht!$B$26,"Komplettverkauf",IF(B11=Übersicht!$B$40,"Beginn Entnahmephase",""))))))</f>
        <v/>
      </c>
      <c r="T11" s="6"/>
      <c r="U11" s="7"/>
      <c r="V11" s="7"/>
    </row>
    <row r="12" spans="1:22" ht="14.5" x14ac:dyDescent="0.35">
      <c r="A12" s="91">
        <v>10</v>
      </c>
      <c r="B12" s="92">
        <f t="shared" si="1"/>
        <v>48853</v>
      </c>
      <c r="C12" s="93">
        <f>FV(L11/12,12,-Übersicht!B$5,-K11)</f>
        <v>142362.79726945522</v>
      </c>
      <c r="D12" s="94">
        <f>Übersicht!$B$6</f>
        <v>2400</v>
      </c>
      <c r="E12" s="95">
        <f>C$2+SUM(D$2:D12)</f>
        <v>76400</v>
      </c>
      <c r="F12" s="96">
        <v>0</v>
      </c>
      <c r="G12" s="96">
        <v>0</v>
      </c>
      <c r="H12" s="96">
        <f>D12*Übersicht!$D$19</f>
        <v>96</v>
      </c>
      <c r="I12" s="96">
        <f>Übersicht!$D$20</f>
        <v>0</v>
      </c>
      <c r="J12" s="96">
        <f>C12*Übersicht!$D$21</f>
        <v>313.19815399280151</v>
      </c>
      <c r="K12" s="97">
        <f t="shared" si="0"/>
        <v>141953.59911546242</v>
      </c>
      <c r="L12" s="98">
        <f>VLOOKUP(B12,Übersicht!H$11:J$14,3)</f>
        <v>0.08</v>
      </c>
      <c r="M12" s="96">
        <f t="shared" si="2"/>
        <v>10428.658949454009</v>
      </c>
      <c r="N12" s="98">
        <f>C12/(C$2+SUM(D$2:D11))</f>
        <v>1.9238215847223679</v>
      </c>
      <c r="O12" s="99" t="str">
        <f>IF(B12=Übersicht!$H$11,"Beginn Ansparphase",IF(B12=Übersicht!$H$12,"1. Umschichtung",IF(B12=Übersicht!$H$13,"2. Umschichtung",IF(B12=Übersicht!$H$14,"3. Umschichtung",IF(B12=Übersicht!$B$26,"Komplettverkauf",IF(B12=Übersicht!$B$40,"Beginn Entnahmephase",""))))))</f>
        <v/>
      </c>
      <c r="T12" s="6"/>
      <c r="U12" s="9"/>
      <c r="V12" s="9"/>
    </row>
    <row r="13" spans="1:22" ht="14.5" x14ac:dyDescent="0.35">
      <c r="A13" s="91">
        <v>11</v>
      </c>
      <c r="B13" s="92">
        <f t="shared" si="1"/>
        <v>49218</v>
      </c>
      <c r="C13" s="93">
        <f>FV(L12/12,12,-Übersicht!B$5,-K12)</f>
        <v>156225.66303582207</v>
      </c>
      <c r="D13" s="94">
        <f>Übersicht!$B$6</f>
        <v>2400</v>
      </c>
      <c r="E13" s="95">
        <f>C$2+SUM(D$2:D13)</f>
        <v>78800</v>
      </c>
      <c r="F13" s="96">
        <v>0</v>
      </c>
      <c r="G13" s="96">
        <v>0</v>
      </c>
      <c r="H13" s="96">
        <f>D13*Übersicht!$D$19</f>
        <v>96</v>
      </c>
      <c r="I13" s="96">
        <f>Übersicht!$D$20</f>
        <v>0</v>
      </c>
      <c r="J13" s="96">
        <f>C13*Übersicht!$D$21</f>
        <v>343.6964586788086</v>
      </c>
      <c r="K13" s="97">
        <f t="shared" si="0"/>
        <v>155785.96657714326</v>
      </c>
      <c r="L13" s="98">
        <f>VLOOKUP(B13,Übersicht!H$11:J$14,3)</f>
        <v>0.08</v>
      </c>
      <c r="M13" s="96">
        <f t="shared" si="2"/>
        <v>11462.865766366856</v>
      </c>
      <c r="N13" s="98">
        <f>C13/(C$2+SUM(D$2:D12))</f>
        <v>2.0448385214112839</v>
      </c>
      <c r="O13" s="99" t="str">
        <f>IF(B13=Übersicht!$H$11,"Beginn Ansparphase",IF(B13=Übersicht!$H$12,"1. Umschichtung",IF(B13=Übersicht!$H$13,"2. Umschichtung",IF(B13=Übersicht!$H$14,"3. Umschichtung",IF(B13=Übersicht!$B$26,"Komplettverkauf",IF(B13=Übersicht!$B$40,"Beginn Entnahmephase",""))))))</f>
        <v/>
      </c>
      <c r="T13" s="6"/>
      <c r="U13" s="10"/>
      <c r="V13" s="10"/>
    </row>
    <row r="14" spans="1:22" ht="14.5" x14ac:dyDescent="0.35">
      <c r="A14" s="91">
        <v>12</v>
      </c>
      <c r="B14" s="92">
        <f t="shared" si="1"/>
        <v>49583</v>
      </c>
      <c r="C14" s="93">
        <f>FV(L13/12,12,-Übersicht!B$5,-K13)</f>
        <v>171206.11017480268</v>
      </c>
      <c r="D14" s="94">
        <f>Übersicht!$B$6</f>
        <v>2400</v>
      </c>
      <c r="E14" s="95">
        <f>C$2+SUM(D$2:D14)</f>
        <v>81200</v>
      </c>
      <c r="F14" s="96">
        <v>0</v>
      </c>
      <c r="G14" s="96">
        <v>0</v>
      </c>
      <c r="H14" s="96">
        <f>D14*Übersicht!$D$19</f>
        <v>96</v>
      </c>
      <c r="I14" s="96">
        <f>Übersicht!$D$20</f>
        <v>0</v>
      </c>
      <c r="J14" s="96">
        <f>C14*Übersicht!$D$21</f>
        <v>376.65344238456595</v>
      </c>
      <c r="K14" s="97">
        <f t="shared" si="0"/>
        <v>170733.45673241813</v>
      </c>
      <c r="L14" s="98">
        <f>VLOOKUP(B14,Übersicht!H$11:J$14,3)</f>
        <v>0.08</v>
      </c>
      <c r="M14" s="96">
        <f t="shared" si="2"/>
        <v>12580.447138980613</v>
      </c>
      <c r="N14" s="98">
        <f>C14/(C$2+SUM(D$2:D13))</f>
        <v>2.1726663727766837</v>
      </c>
      <c r="O14" s="99" t="str">
        <f>IF(B14=Übersicht!$H$11,"Beginn Ansparphase",IF(B14=Übersicht!$H$12,"1. Umschichtung",IF(B14=Übersicht!$H$13,"2. Umschichtung",IF(B14=Übersicht!$H$14,"3. Umschichtung",IF(B14=Übersicht!$B$26,"Komplettverkauf",IF(B14=Übersicht!$B$40,"Beginn Entnahmephase",""))))))</f>
        <v/>
      </c>
      <c r="T14" s="6"/>
      <c r="U14" s="10"/>
      <c r="V14" s="10"/>
    </row>
    <row r="15" spans="1:22" ht="14.5" x14ac:dyDescent="0.35">
      <c r="A15" s="91">
        <v>13</v>
      </c>
      <c r="B15" s="92">
        <f t="shared" si="1"/>
        <v>49949</v>
      </c>
      <c r="C15" s="93">
        <f>FV(L14/12,12,-Übersicht!B$5,-K14)</f>
        <v>187394.23464097548</v>
      </c>
      <c r="D15" s="94">
        <f>Übersicht!$B$6</f>
        <v>2400</v>
      </c>
      <c r="E15" s="95">
        <f>C$2+SUM(D$2:D15)</f>
        <v>83600</v>
      </c>
      <c r="F15" s="96">
        <v>0</v>
      </c>
      <c r="G15" s="96">
        <v>0</v>
      </c>
      <c r="H15" s="96">
        <f>D15*Übersicht!$D$19</f>
        <v>96</v>
      </c>
      <c r="I15" s="96">
        <f>Übersicht!$D$20</f>
        <v>0</v>
      </c>
      <c r="J15" s="96">
        <f>C15*Übersicht!$D$21</f>
        <v>412.26731621014608</v>
      </c>
      <c r="K15" s="97">
        <f t="shared" si="0"/>
        <v>186885.96732476534</v>
      </c>
      <c r="L15" s="98">
        <f>VLOOKUP(B15,Übersicht!H$11:J$14,3)</f>
        <v>0.08</v>
      </c>
      <c r="M15" s="96">
        <f t="shared" si="2"/>
        <v>13788.124466172798</v>
      </c>
      <c r="N15" s="98">
        <f>C15/(C$2+SUM(D$2:D14))</f>
        <v>2.3078107714405847</v>
      </c>
      <c r="O15" s="99" t="str">
        <f>IF(B15=Übersicht!$H$11,"Beginn Ansparphase",IF(B15=Übersicht!$H$12,"1. Umschichtung",IF(B15=Übersicht!$H$13,"2. Umschichtung",IF(B15=Übersicht!$H$14,"3. Umschichtung",IF(B15=Übersicht!$B$26,"Komplettverkauf",IF(B15=Übersicht!$B$40,"Beginn Entnahmephase",""))))))</f>
        <v/>
      </c>
    </row>
    <row r="16" spans="1:22" s="22" customFormat="1" ht="14.5" x14ac:dyDescent="0.35">
      <c r="A16" s="91">
        <v>14</v>
      </c>
      <c r="B16" s="92">
        <f t="shared" si="1"/>
        <v>50314</v>
      </c>
      <c r="C16" s="93">
        <f>FV(L15/12,12,-Übersicht!B$5,-K15)</f>
        <v>204887.39564619059</v>
      </c>
      <c r="D16" s="94">
        <f>Übersicht!$B$6</f>
        <v>2400</v>
      </c>
      <c r="E16" s="95">
        <f>C$2+SUM(D$2:D16)</f>
        <v>86000</v>
      </c>
      <c r="F16" s="96">
        <v>0</v>
      </c>
      <c r="G16" s="96">
        <v>0</v>
      </c>
      <c r="H16" s="96">
        <f>D16*Übersicht!$D$19</f>
        <v>96</v>
      </c>
      <c r="I16" s="96">
        <f>Übersicht!$D$20</f>
        <v>0</v>
      </c>
      <c r="J16" s="96">
        <f>C16*Übersicht!$D$21</f>
        <v>450.7522704216193</v>
      </c>
      <c r="K16" s="97">
        <f t="shared" si="0"/>
        <v>204340.64337576897</v>
      </c>
      <c r="L16" s="98">
        <f>VLOOKUP(B16,Übersicht!H$11:J$14,3)</f>
        <v>0.08</v>
      </c>
      <c r="M16" s="96">
        <f t="shared" si="2"/>
        <v>15093.161005215108</v>
      </c>
      <c r="N16" s="98">
        <f>C16/(C$2+SUM(D$2:D15))</f>
        <v>2.450806168016634</v>
      </c>
      <c r="O16" s="99" t="str">
        <f>IF(B16=Übersicht!$H$11,"Beginn Ansparphase",IF(B16=Übersicht!$H$12,"1. Umschichtung",IF(B16=Übersicht!$H$13,"2. Umschichtung",IF(B16=Übersicht!$H$14,"3. Umschichtung",IF(B16=Übersicht!$B$26,"Komplettverkauf",IF(B16=Übersicht!$B$40,"Beginn Entnahmephase",""))))))</f>
        <v/>
      </c>
    </row>
    <row r="17" spans="1:15" s="22" customFormat="1" ht="14.5" x14ac:dyDescent="0.35">
      <c r="A17" s="91">
        <v>15</v>
      </c>
      <c r="B17" s="92">
        <f t="shared" si="1"/>
        <v>50679</v>
      </c>
      <c r="C17" s="93">
        <f>FV(L16/12,12,-Übersicht!B$5,-K16)</f>
        <v>223790.80120091236</v>
      </c>
      <c r="D17" s="94">
        <f>Übersicht!$B$6</f>
        <v>2400</v>
      </c>
      <c r="E17" s="95">
        <f>C$2+SUM(D$2:D17)</f>
        <v>88400</v>
      </c>
      <c r="F17" s="96">
        <v>0</v>
      </c>
      <c r="G17" s="96">
        <v>0</v>
      </c>
      <c r="H17" s="96">
        <f>D17*Übersicht!$D$19</f>
        <v>96</v>
      </c>
      <c r="I17" s="96">
        <f>Übersicht!$D$20</f>
        <v>0</v>
      </c>
      <c r="J17" s="96">
        <f>C17*Übersicht!$D$21</f>
        <v>492.3397626420072</v>
      </c>
      <c r="K17" s="97">
        <f t="shared" si="0"/>
        <v>223202.46143827034</v>
      </c>
      <c r="L17" s="98">
        <f>VLOOKUP(B17,Übersicht!H$11:J$14,3)</f>
        <v>0.06</v>
      </c>
      <c r="M17" s="96">
        <f t="shared" si="2"/>
        <v>16503.405554721772</v>
      </c>
      <c r="N17" s="98">
        <f>C17/(C$2+SUM(D$2:D16))</f>
        <v>2.60221861861526</v>
      </c>
      <c r="O17" s="99" t="str">
        <f>IF(B17=Übersicht!$H$11,"Beginn Ansparphase",IF(B17=Übersicht!$H$12,"1. Umschichtung",IF(B17=Übersicht!$H$13,"2. Umschichtung",IF(B17=Übersicht!$H$14,"3. Umschichtung",IF(B17=Übersicht!$B$26,"Komplettverkauf",IF(B17=Übersicht!$B$40,"Beginn Entnahmephase",""))))))</f>
        <v>1. Umschichtung</v>
      </c>
    </row>
    <row r="18" spans="1:15" s="22" customFormat="1" ht="14.5" x14ac:dyDescent="0.35">
      <c r="A18" s="91">
        <v>16</v>
      </c>
      <c r="B18" s="92">
        <f t="shared" si="1"/>
        <v>51044</v>
      </c>
      <c r="C18" s="93">
        <f>FV(L17/12,12,-Übersicht!B$5,-K17)</f>
        <v>239436.21333713268</v>
      </c>
      <c r="D18" s="94">
        <f>Übersicht!$B$6</f>
        <v>2400</v>
      </c>
      <c r="E18" s="95">
        <f>C$2+SUM(D$2:D18)</f>
        <v>90800</v>
      </c>
      <c r="F18" s="96">
        <v>0</v>
      </c>
      <c r="G18" s="96">
        <v>0</v>
      </c>
      <c r="H18" s="96">
        <f>D18*Übersicht!$D$19</f>
        <v>96</v>
      </c>
      <c r="I18" s="96">
        <f>Übersicht!$D$20</f>
        <v>0</v>
      </c>
      <c r="J18" s="96">
        <f>C18*Übersicht!$D$21</f>
        <v>526.75966934169196</v>
      </c>
      <c r="K18" s="97">
        <f t="shared" si="0"/>
        <v>238813.45366779098</v>
      </c>
      <c r="L18" s="98">
        <f>VLOOKUP(B18,Übersicht!H$11:J$14,3)</f>
        <v>0.06</v>
      </c>
      <c r="M18" s="96">
        <f t="shared" si="2"/>
        <v>13245.412136220315</v>
      </c>
      <c r="N18" s="98">
        <f>C18/(C$2+SUM(D$2:D17))</f>
        <v>2.7085544495150757</v>
      </c>
      <c r="O18" s="99" t="str">
        <f>IF(B18=Übersicht!$H$11,"Beginn Ansparphase",IF(B18=Übersicht!$H$12,"1. Umschichtung",IF(B18=Übersicht!$H$13,"2. Umschichtung",IF(B18=Übersicht!$H$14,"3. Umschichtung",IF(B18=Übersicht!$B$26,"Komplettverkauf",IF(B18=Übersicht!$B$40,"Beginn Entnahmephase",""))))))</f>
        <v/>
      </c>
    </row>
    <row r="19" spans="1:15" s="22" customFormat="1" ht="14.5" x14ac:dyDescent="0.35">
      <c r="A19" s="91">
        <v>17</v>
      </c>
      <c r="B19" s="92">
        <f t="shared" si="1"/>
        <v>51410</v>
      </c>
      <c r="C19" s="93">
        <f>FV(L18/12,12,-Übersicht!B$5,-K18)</f>
        <v>256010.05740840384</v>
      </c>
      <c r="D19" s="94">
        <f>Übersicht!$B$6</f>
        <v>2400</v>
      </c>
      <c r="E19" s="95">
        <f>C$2+SUM(D$2:D19)</f>
        <v>93200</v>
      </c>
      <c r="F19" s="96">
        <v>0</v>
      </c>
      <c r="G19" s="96">
        <v>0</v>
      </c>
      <c r="H19" s="96">
        <f>D19*Übersicht!$D$19</f>
        <v>96</v>
      </c>
      <c r="I19" s="96">
        <f>Übersicht!$D$20</f>
        <v>0</v>
      </c>
      <c r="J19" s="96">
        <f>C19*Übersicht!$D$21</f>
        <v>563.22212629848843</v>
      </c>
      <c r="K19" s="97">
        <f t="shared" si="0"/>
        <v>255350.83528210534</v>
      </c>
      <c r="L19" s="98">
        <f>VLOOKUP(B19,Übersicht!H$11:J$14,3)</f>
        <v>0.06</v>
      </c>
      <c r="M19" s="96">
        <f t="shared" si="2"/>
        <v>14173.84407127116</v>
      </c>
      <c r="N19" s="98">
        <f>C19/(C$2+SUM(D$2:D18))</f>
        <v>2.819494024321628</v>
      </c>
      <c r="O19" s="99" t="str">
        <f>IF(B19=Übersicht!$H$11,"Beginn Ansparphase",IF(B19=Übersicht!$H$12,"1. Umschichtung",IF(B19=Übersicht!$H$13,"2. Umschichtung",IF(B19=Übersicht!$H$14,"3. Umschichtung",IF(B19=Übersicht!$B$26,"Komplettverkauf",IF(B19=Übersicht!$B$40,"Beginn Entnahmephase",""))))))</f>
        <v/>
      </c>
    </row>
    <row r="20" spans="1:15" s="22" customFormat="1" ht="14.5" x14ac:dyDescent="0.35">
      <c r="A20" s="91">
        <v>18</v>
      </c>
      <c r="B20" s="92">
        <f t="shared" si="1"/>
        <v>51775</v>
      </c>
      <c r="C20" s="93">
        <f>FV(L19/12,12,-Übersicht!B$5,-K19)</f>
        <v>273567.42853465723</v>
      </c>
      <c r="D20" s="94">
        <f>Übersicht!$B$6</f>
        <v>2400</v>
      </c>
      <c r="E20" s="95">
        <f>C$2+SUM(D$2:D20)</f>
        <v>95600</v>
      </c>
      <c r="F20" s="96">
        <v>0</v>
      </c>
      <c r="G20" s="96">
        <v>0</v>
      </c>
      <c r="H20" s="96">
        <f>D20*Übersicht!$D$19</f>
        <v>96</v>
      </c>
      <c r="I20" s="96">
        <f>Übersicht!$D$20</f>
        <v>0</v>
      </c>
      <c r="J20" s="96">
        <f>C20*Übersicht!$D$21</f>
        <v>601.84834277624589</v>
      </c>
      <c r="K20" s="97">
        <f t="shared" si="0"/>
        <v>272869.58019188099</v>
      </c>
      <c r="L20" s="98">
        <f>VLOOKUP(B20,Übersicht!H$11:J$14,3)</f>
        <v>0.06</v>
      </c>
      <c r="M20" s="96">
        <f t="shared" si="2"/>
        <v>15157.371126253391</v>
      </c>
      <c r="N20" s="98">
        <f>C20/(C$2+SUM(D$2:D19))</f>
        <v>2.9352728383546913</v>
      </c>
      <c r="O20" s="99" t="str">
        <f>IF(B20=Übersicht!$H$11,"Beginn Ansparphase",IF(B20=Übersicht!$H$12,"1. Umschichtung",IF(B20=Übersicht!$H$13,"2. Umschichtung",IF(B20=Übersicht!$H$14,"3. Umschichtung",IF(B20=Übersicht!$B$26,"Komplettverkauf",IF(B20=Übersicht!$B$40,"Beginn Entnahmephase",""))))))</f>
        <v/>
      </c>
    </row>
    <row r="21" spans="1:15" s="22" customFormat="1" ht="14.5" x14ac:dyDescent="0.35">
      <c r="A21" s="91">
        <v>19</v>
      </c>
      <c r="B21" s="92">
        <f t="shared" si="1"/>
        <v>52140</v>
      </c>
      <c r="C21" s="93">
        <f>FV(L20/12,12,-Übersicht!B$5,-K20)</f>
        <v>292166.69129708013</v>
      </c>
      <c r="D21" s="94">
        <f>Übersicht!$B$6</f>
        <v>2400</v>
      </c>
      <c r="E21" s="95">
        <f>C$2+SUM(D$2:D21)</f>
        <v>98000</v>
      </c>
      <c r="F21" s="96">
        <v>0</v>
      </c>
      <c r="G21" s="96">
        <v>0</v>
      </c>
      <c r="H21" s="96">
        <f>D21*Übersicht!$D$19</f>
        <v>96</v>
      </c>
      <c r="I21" s="96">
        <f>Übersicht!$D$20</f>
        <v>0</v>
      </c>
      <c r="J21" s="96">
        <f>C21*Übersicht!$D$21</f>
        <v>642.76672085357632</v>
      </c>
      <c r="K21" s="97">
        <f t="shared" si="0"/>
        <v>291427.92457622656</v>
      </c>
      <c r="L21" s="98">
        <f>VLOOKUP(B21,Übersicht!H$11:J$14,3)</f>
        <v>0.06</v>
      </c>
      <c r="M21" s="96">
        <f t="shared" si="2"/>
        <v>16199.262762422906</v>
      </c>
      <c r="N21" s="98">
        <f>C21/(C$2+SUM(D$2:D20))</f>
        <v>3.0561369382539763</v>
      </c>
      <c r="O21" s="99" t="str">
        <f>IF(B21=Übersicht!$H$11,"Beginn Ansparphase",IF(B21=Übersicht!$H$12,"1. Umschichtung",IF(B21=Übersicht!$H$13,"2. Umschichtung",IF(B21=Übersicht!$H$14,"3. Umschichtung",IF(B21=Übersicht!$B$26,"Komplettverkauf",IF(B21=Übersicht!$B$40,"Beginn Entnahmephase",""))))))</f>
        <v/>
      </c>
    </row>
    <row r="22" spans="1:15" s="22" customFormat="1" ht="14.5" x14ac:dyDescent="0.35">
      <c r="A22" s="91">
        <v>20</v>
      </c>
      <c r="B22" s="92">
        <f t="shared" ref="B22:B42" si="3">EDATE(B21,12)</f>
        <v>52505</v>
      </c>
      <c r="C22" s="93">
        <f>FV(L21/12,12,-Übersicht!B$5,-K21)</f>
        <v>311869.67375487997</v>
      </c>
      <c r="D22" s="94">
        <f>Übersicht!$B$6</f>
        <v>2400</v>
      </c>
      <c r="E22" s="95">
        <f>C$2+SUM(D$2:D22)</f>
        <v>100400</v>
      </c>
      <c r="F22" s="96">
        <v>0</v>
      </c>
      <c r="G22" s="96">
        <v>0</v>
      </c>
      <c r="H22" s="96">
        <f>D22*Übersicht!$D$19</f>
        <v>96</v>
      </c>
      <c r="I22" s="96">
        <f>Übersicht!$D$20</f>
        <v>0</v>
      </c>
      <c r="J22" s="96">
        <f>C22*Übersicht!$D$21</f>
        <v>686.11328226073601</v>
      </c>
      <c r="K22" s="97">
        <f t="shared" si="0"/>
        <v>311087.56047261925</v>
      </c>
      <c r="L22" s="98">
        <f>VLOOKUP(B22,Übersicht!H$11:J$14,3)</f>
        <v>0.06</v>
      </c>
      <c r="M22" s="96">
        <f t="shared" si="2"/>
        <v>17302.982457799837</v>
      </c>
      <c r="N22" s="98">
        <f>C22/(C$2+SUM(D$2:D21))</f>
        <v>3.1823436097436733</v>
      </c>
      <c r="O22" s="99" t="str">
        <f>IF(B22=Übersicht!$H$11,"Beginn Ansparphase",IF(B22=Übersicht!$H$12,"1. Umschichtung",IF(B22=Übersicht!$H$13,"2. Umschichtung",IF(B22=Übersicht!$H$14,"3. Umschichtung",IF(B22=Übersicht!$B$26,"Komplettverkauf",IF(B22=Übersicht!$B$40,"Beginn Entnahmephase",""))))))</f>
        <v/>
      </c>
    </row>
    <row r="23" spans="1:15" s="22" customFormat="1" ht="14.5" x14ac:dyDescent="0.35">
      <c r="A23" s="91">
        <v>21</v>
      </c>
      <c r="B23" s="92">
        <f t="shared" si="3"/>
        <v>52871</v>
      </c>
      <c r="C23" s="93">
        <f>FV(L22/12,12,-Übersicht!B$5,-K22)</f>
        <v>332741.87297541485</v>
      </c>
      <c r="D23" s="94">
        <f>Übersicht!$B$6</f>
        <v>2400</v>
      </c>
      <c r="E23" s="95">
        <f>C$2+SUM(D$2:D23)</f>
        <v>102800</v>
      </c>
      <c r="F23" s="96">
        <v>0</v>
      </c>
      <c r="G23" s="96">
        <v>0</v>
      </c>
      <c r="H23" s="96">
        <f>D23*Übersicht!$D$19</f>
        <v>96</v>
      </c>
      <c r="I23" s="96">
        <f>Übersicht!$D$20</f>
        <v>0</v>
      </c>
      <c r="J23" s="96">
        <f>C23*Übersicht!$D$21</f>
        <v>732.03212054591268</v>
      </c>
      <c r="K23" s="97">
        <f t="shared" si="0"/>
        <v>331913.84085486893</v>
      </c>
      <c r="L23" s="98">
        <f>VLOOKUP(B23,Übersicht!H$11:J$14,3)</f>
        <v>0.06</v>
      </c>
      <c r="M23" s="96">
        <f t="shared" si="2"/>
        <v>18472.19922053488</v>
      </c>
      <c r="N23" s="98">
        <f>C23/(C$2+SUM(D$2:D22))</f>
        <v>3.3141620814284347</v>
      </c>
      <c r="O23" s="99" t="str">
        <f>IF(B23=Übersicht!$H$11,"Beginn Ansparphase",IF(B23=Übersicht!$H$12,"1. Umschichtung",IF(B23=Übersicht!$H$13,"2. Umschichtung",IF(B23=Übersicht!$H$14,"3. Umschichtung",IF(B23=Übersicht!$B$26,"Komplettverkauf",IF(B23=Übersicht!$B$40,"Beginn Entnahmephase",""))))))</f>
        <v/>
      </c>
    </row>
    <row r="24" spans="1:15" s="22" customFormat="1" ht="14.5" x14ac:dyDescent="0.35">
      <c r="A24" s="91">
        <v>22</v>
      </c>
      <c r="B24" s="92">
        <f t="shared" si="3"/>
        <v>53236</v>
      </c>
      <c r="C24" s="93">
        <f>FV(L23/12,12,-Übersicht!B$5,-K23)</f>
        <v>354852.67276091821</v>
      </c>
      <c r="D24" s="94">
        <f>Übersicht!$B$6</f>
        <v>2400</v>
      </c>
      <c r="E24" s="95">
        <f>C$2+SUM(D$2:D24)</f>
        <v>105200</v>
      </c>
      <c r="F24" s="96">
        <v>0</v>
      </c>
      <c r="G24" s="96">
        <v>0</v>
      </c>
      <c r="H24" s="96">
        <f>D24*Übersicht!$D$19</f>
        <v>96</v>
      </c>
      <c r="I24" s="96">
        <f>Übersicht!$D$20</f>
        <v>0</v>
      </c>
      <c r="J24" s="96">
        <f>C24*Übersicht!$D$21</f>
        <v>780.67588007402014</v>
      </c>
      <c r="K24" s="97">
        <f t="shared" si="0"/>
        <v>353975.99688084418</v>
      </c>
      <c r="L24" s="98">
        <f>VLOOKUP(B24,Übersicht!H$11:J$14,3)</f>
        <v>0.06</v>
      </c>
      <c r="M24" s="96">
        <f t="shared" si="2"/>
        <v>19710.799785503361</v>
      </c>
      <c r="N24" s="98">
        <f>C24/(C$2+SUM(D$2:D23))</f>
        <v>3.4518742486470644</v>
      </c>
      <c r="O24" s="99" t="str">
        <f>IF(B24=Übersicht!$H$11,"Beginn Ansparphase",IF(B24=Übersicht!$H$12,"1. Umschichtung",IF(B24=Übersicht!$H$13,"2. Umschichtung",IF(B24=Übersicht!$H$14,"3. Umschichtung",IF(B24=Übersicht!$B$26,"Komplettverkauf",IF(B24=Übersicht!$B$40,"Beginn Entnahmephase",""))))))</f>
        <v/>
      </c>
    </row>
    <row r="25" spans="1:15" s="22" customFormat="1" ht="14.5" x14ac:dyDescent="0.35">
      <c r="A25" s="91">
        <v>23</v>
      </c>
      <c r="B25" s="92">
        <f t="shared" si="3"/>
        <v>53601</v>
      </c>
      <c r="C25" s="93">
        <f>FV(L24/12,12,-Übersicht!B$5,-K24)</f>
        <v>378275.57429558877</v>
      </c>
      <c r="D25" s="94">
        <f>Übersicht!$B$6</f>
        <v>2400</v>
      </c>
      <c r="E25" s="95">
        <f>C$2+SUM(D$2:D25)</f>
        <v>107600</v>
      </c>
      <c r="F25" s="96">
        <v>0</v>
      </c>
      <c r="G25" s="96">
        <v>0</v>
      </c>
      <c r="H25" s="96">
        <f>D25*Übersicht!$D$19</f>
        <v>96</v>
      </c>
      <c r="I25" s="96">
        <f>Übersicht!$D$20</f>
        <v>0</v>
      </c>
      <c r="J25" s="96">
        <f>C25*Übersicht!$D$21</f>
        <v>832.2062634502953</v>
      </c>
      <c r="K25" s="97">
        <f t="shared" si="0"/>
        <v>377347.36803213845</v>
      </c>
      <c r="L25" s="98">
        <f>VLOOKUP(B25,Übersicht!H$11:J$14,3)</f>
        <v>0.06</v>
      </c>
      <c r="M25" s="96">
        <f t="shared" si="2"/>
        <v>21022.901534670556</v>
      </c>
      <c r="N25" s="98">
        <f>C25/(C$2+SUM(D$2:D24))</f>
        <v>3.5957754210607296</v>
      </c>
      <c r="O25" s="99" t="str">
        <f>IF(B25=Übersicht!$H$11,"Beginn Ansparphase",IF(B25=Übersicht!$H$12,"1. Umschichtung",IF(B25=Übersicht!$H$13,"2. Umschichtung",IF(B25=Übersicht!$H$14,"3. Umschichtung",IF(B25=Übersicht!$B$26,"Komplettverkauf",IF(B25=Übersicht!$B$40,"Beginn Entnahmephase",""))))))</f>
        <v/>
      </c>
    </row>
    <row r="26" spans="1:15" s="22" customFormat="1" ht="14.5" x14ac:dyDescent="0.35">
      <c r="A26" s="91">
        <v>24</v>
      </c>
      <c r="B26" s="92">
        <f t="shared" si="3"/>
        <v>53966</v>
      </c>
      <c r="C26" s="93">
        <f>FV(L25/12,12,-Übersicht!B$5,-K25)</f>
        <v>403088.44047976792</v>
      </c>
      <c r="D26" s="94">
        <f>Übersicht!$B$6</f>
        <v>2400</v>
      </c>
      <c r="E26" s="95">
        <f>C$2+SUM(D$2:D26)</f>
        <v>110000</v>
      </c>
      <c r="F26" s="96">
        <v>0</v>
      </c>
      <c r="G26" s="96">
        <v>0</v>
      </c>
      <c r="H26" s="96">
        <f>D26*Übersicht!$D$19</f>
        <v>96</v>
      </c>
      <c r="I26" s="96">
        <f>Übersicht!$D$20</f>
        <v>0</v>
      </c>
      <c r="J26" s="96">
        <f>C26*Übersicht!$D$21</f>
        <v>886.79456905548943</v>
      </c>
      <c r="K26" s="97">
        <f t="shared" si="0"/>
        <v>402105.64591071242</v>
      </c>
      <c r="L26" s="98">
        <f>VLOOKUP(B26,Übersicht!H$11:J$14,3)</f>
        <v>0.06</v>
      </c>
      <c r="M26" s="96">
        <f t="shared" si="2"/>
        <v>22412.866184179147</v>
      </c>
      <c r="N26" s="98">
        <f>C26/(C$2+SUM(D$2:D25))</f>
        <v>3.7461750973956125</v>
      </c>
      <c r="O26" s="99" t="str">
        <f>IF(B26=Übersicht!$H$11,"Beginn Ansparphase",IF(B26=Übersicht!$H$12,"1. Umschichtung",IF(B26=Übersicht!$H$13,"2. Umschichtung",IF(B26=Übersicht!$H$14,"3. Umschichtung",IF(B26=Übersicht!$B$26,"Komplettverkauf",IF(B26=Übersicht!$B$40,"Beginn Entnahmephase",""))))))</f>
        <v/>
      </c>
    </row>
    <row r="27" spans="1:15" s="22" customFormat="1" ht="14.5" x14ac:dyDescent="0.35">
      <c r="A27" s="91">
        <v>25</v>
      </c>
      <c r="B27" s="92">
        <f t="shared" si="3"/>
        <v>54332</v>
      </c>
      <c r="C27" s="93">
        <f>FV(L26/12,12,-Übersicht!B$5,-K26)</f>
        <v>429373.7547634255</v>
      </c>
      <c r="D27" s="94">
        <f>Übersicht!$B$6</f>
        <v>2400</v>
      </c>
      <c r="E27" s="95">
        <f>C$2+SUM(D$2:D27)</f>
        <v>112400</v>
      </c>
      <c r="F27" s="96">
        <v>0</v>
      </c>
      <c r="G27" s="96">
        <v>0</v>
      </c>
      <c r="H27" s="96">
        <f>D27*Übersicht!$D$19</f>
        <v>96</v>
      </c>
      <c r="I27" s="96">
        <f>Übersicht!$D$20</f>
        <v>0</v>
      </c>
      <c r="J27" s="96">
        <f>C27*Übersicht!$D$21</f>
        <v>944.62226047953618</v>
      </c>
      <c r="K27" s="97">
        <f t="shared" si="0"/>
        <v>428333.13250294595</v>
      </c>
      <c r="L27" s="98">
        <f>VLOOKUP(B27,Übersicht!H$11:J$14,3)</f>
        <v>0.04</v>
      </c>
      <c r="M27" s="96">
        <f t="shared" si="2"/>
        <v>23885.314283657586</v>
      </c>
      <c r="N27" s="98">
        <f>C27/(C$2+SUM(D$2:D26))</f>
        <v>3.9033977705765954</v>
      </c>
      <c r="O27" s="99" t="str">
        <f>IF(B27=Übersicht!$H$11,"Beginn Ansparphase",IF(B27=Übersicht!$H$12,"1. Umschichtung",IF(B27=Übersicht!$H$13,"2. Umschichtung",IF(B27=Übersicht!$H$14,"3. Umschichtung",IF(B27=Übersicht!$B$26,"Komplettverkauf",IF(B27=Übersicht!$B$40,"Beginn Entnahmephase",""))))))</f>
        <v>2. Umschichtung</v>
      </c>
    </row>
    <row r="28" spans="1:15" s="22" customFormat="1" ht="14.5" x14ac:dyDescent="0.35">
      <c r="A28" s="91">
        <v>26</v>
      </c>
      <c r="B28" s="92">
        <f t="shared" si="3"/>
        <v>54697</v>
      </c>
      <c r="C28" s="93">
        <f>FV(L27/12,12,-Übersicht!B$5,-K27)</f>
        <v>448228.57777997066</v>
      </c>
      <c r="D28" s="94">
        <f>Übersicht!$B$6</f>
        <v>2400</v>
      </c>
      <c r="E28" s="95">
        <f>C$2+SUM(D$2:D28)</f>
        <v>114800</v>
      </c>
      <c r="F28" s="96">
        <v>0</v>
      </c>
      <c r="G28" s="96">
        <v>0</v>
      </c>
      <c r="H28" s="96">
        <f>D28*Übersicht!$D$19</f>
        <v>96</v>
      </c>
      <c r="I28" s="96">
        <f>Übersicht!$D$20</f>
        <v>0</v>
      </c>
      <c r="J28" s="96">
        <f>C28*Übersicht!$D$21</f>
        <v>986.1028711159355</v>
      </c>
      <c r="K28" s="97">
        <f t="shared" si="0"/>
        <v>447146.4749088547</v>
      </c>
      <c r="L28" s="98">
        <f>VLOOKUP(B28,Übersicht!H$11:J$14,3)</f>
        <v>0.04</v>
      </c>
      <c r="M28" s="96">
        <f t="shared" si="2"/>
        <v>16454.823016545153</v>
      </c>
      <c r="N28" s="98">
        <f>C28/(C$2+SUM(D$2:D27))</f>
        <v>3.9877987346972477</v>
      </c>
      <c r="O28" s="99" t="str">
        <f>IF(B28=Übersicht!$H$11,"Beginn Ansparphase",IF(B28=Übersicht!$H$12,"1. Umschichtung",IF(B28=Übersicht!$H$13,"2. Umschichtung",IF(B28=Übersicht!$H$14,"3. Umschichtung",IF(B28=Übersicht!$B$26,"Komplettverkauf",IF(B28=Übersicht!$B$40,"Beginn Entnahmephase",""))))))</f>
        <v/>
      </c>
    </row>
    <row r="29" spans="1:15" s="22" customFormat="1" ht="14.5" x14ac:dyDescent="0.35">
      <c r="A29" s="91">
        <v>27</v>
      </c>
      <c r="B29" s="92">
        <f t="shared" si="3"/>
        <v>55062</v>
      </c>
      <c r="C29" s="93">
        <f>FV(L28/12,12,-Übersicht!B$5,-K28)</f>
        <v>467808.40478297445</v>
      </c>
      <c r="D29" s="94">
        <f>Übersicht!$B$6</f>
        <v>2400</v>
      </c>
      <c r="E29" s="95">
        <f>C$2+SUM(D$2:D29)</f>
        <v>117200</v>
      </c>
      <c r="F29" s="96">
        <v>0</v>
      </c>
      <c r="G29" s="96">
        <v>0</v>
      </c>
      <c r="H29" s="96">
        <f>D29*Übersicht!$D$19</f>
        <v>96</v>
      </c>
      <c r="I29" s="96">
        <f>Übersicht!$D$20</f>
        <v>0</v>
      </c>
      <c r="J29" s="96">
        <f>C29*Übersicht!$D$21</f>
        <v>1029.1784905225438</v>
      </c>
      <c r="K29" s="97">
        <f t="shared" si="0"/>
        <v>466683.2262924519</v>
      </c>
      <c r="L29" s="98">
        <f>VLOOKUP(B29,Übersicht!H$11:J$14,3)</f>
        <v>0.04</v>
      </c>
      <c r="M29" s="96">
        <f t="shared" si="2"/>
        <v>17179.827003003797</v>
      </c>
      <c r="N29" s="98">
        <f>C29/(C$2+SUM(D$2:D28))</f>
        <v>4.0749861043813107</v>
      </c>
      <c r="O29" s="99" t="str">
        <f>IF(B29=Übersicht!$H$11,"Beginn Ansparphase",IF(B29=Übersicht!$H$12,"1. Umschichtung",IF(B29=Übersicht!$H$13,"2. Umschichtung",IF(B29=Übersicht!$H$14,"3. Umschichtung",IF(B29=Übersicht!$B$26,"Komplettverkauf",IF(B29=Übersicht!$B$40,"Beginn Entnahmephase",""))))))</f>
        <v/>
      </c>
    </row>
    <row r="30" spans="1:15" s="22" customFormat="1" ht="14.5" x14ac:dyDescent="0.35">
      <c r="A30" s="91">
        <v>28</v>
      </c>
      <c r="B30" s="92">
        <f t="shared" si="3"/>
        <v>55427</v>
      </c>
      <c r="C30" s="93">
        <f>FV(L29/12,12,-Übersicht!B$5,-K29)</f>
        <v>488141.11356157972</v>
      </c>
      <c r="D30" s="94">
        <f>Übersicht!$B$6</f>
        <v>2400</v>
      </c>
      <c r="E30" s="95">
        <f>C$2+SUM(D$2:D30)</f>
        <v>119600</v>
      </c>
      <c r="F30" s="96">
        <v>0</v>
      </c>
      <c r="G30" s="96">
        <v>0</v>
      </c>
      <c r="H30" s="96">
        <f>D30*Übersicht!$D$19</f>
        <v>96</v>
      </c>
      <c r="I30" s="96">
        <f>Übersicht!$D$20</f>
        <v>0</v>
      </c>
      <c r="J30" s="96">
        <f>C30*Übersicht!$D$21</f>
        <v>1073.9104498354754</v>
      </c>
      <c r="K30" s="97">
        <f t="shared" si="0"/>
        <v>486971.20311174425</v>
      </c>
      <c r="L30" s="98">
        <f>VLOOKUP(B30,Übersicht!H$11:J$14,3)</f>
        <v>0.04</v>
      </c>
      <c r="M30" s="96">
        <f t="shared" si="2"/>
        <v>17932.708778605273</v>
      </c>
      <c r="N30" s="98">
        <f>C30/(C$2+SUM(D$2:D29))</f>
        <v>4.1650265662250829</v>
      </c>
      <c r="O30" s="99" t="str">
        <f>IF(B30=Übersicht!$H$11,"Beginn Ansparphase",IF(B30=Übersicht!$H$12,"1. Umschichtung",IF(B30=Übersicht!$H$13,"2. Umschichtung",IF(B30=Übersicht!$H$14,"3. Umschichtung",IF(B30=Übersicht!$B$26,"Komplettverkauf",IF(B30=Übersicht!$B$40,"Beginn Entnahmephase",""))))))</f>
        <v/>
      </c>
    </row>
    <row r="31" spans="1:15" s="22" customFormat="1" ht="14.5" x14ac:dyDescent="0.35">
      <c r="A31" s="91">
        <v>29</v>
      </c>
      <c r="B31" s="92">
        <f t="shared" si="3"/>
        <v>55793</v>
      </c>
      <c r="C31" s="93">
        <f>FV(L30/12,12,-Übersicht!B$5,-K30)</f>
        <v>509255.65385921102</v>
      </c>
      <c r="D31" s="94">
        <f>Übersicht!$B$6</f>
        <v>2400</v>
      </c>
      <c r="E31" s="95">
        <f>C$2+SUM(D$2:D31)</f>
        <v>122000</v>
      </c>
      <c r="F31" s="96">
        <v>0</v>
      </c>
      <c r="G31" s="96">
        <v>0</v>
      </c>
      <c r="H31" s="96">
        <f>D31*Übersicht!$D$19</f>
        <v>96</v>
      </c>
      <c r="I31" s="96">
        <f>Übersicht!$D$20</f>
        <v>0</v>
      </c>
      <c r="J31" s="96">
        <f>C31*Übersicht!$D$21</f>
        <v>1120.3624384902644</v>
      </c>
      <c r="K31" s="97">
        <f t="shared" si="0"/>
        <v>508039.29142072075</v>
      </c>
      <c r="L31" s="98">
        <f>VLOOKUP(B31,Übersicht!H$11:J$14,3)</f>
        <v>0.04</v>
      </c>
      <c r="M31" s="96">
        <f t="shared" si="2"/>
        <v>18714.540297631291</v>
      </c>
      <c r="N31" s="98">
        <f>C31/(C$2+SUM(D$2:D30))</f>
        <v>4.2579904168830351</v>
      </c>
      <c r="O31" s="99" t="str">
        <f>IF(B31=Übersicht!$H$11,"Beginn Ansparphase",IF(B31=Übersicht!$H$12,"1. Umschichtung",IF(B31=Übersicht!$H$13,"2. Umschichtung",IF(B31=Übersicht!$H$14,"3. Umschichtung",IF(B31=Übersicht!$B$26,"Komplettverkauf",IF(B31=Übersicht!$B$40,"Beginn Entnahmephase",""))))))</f>
        <v/>
      </c>
    </row>
    <row r="32" spans="1:15" s="22" customFormat="1" ht="14.5" x14ac:dyDescent="0.35">
      <c r="A32" s="91">
        <v>30</v>
      </c>
      <c r="B32" s="92">
        <f t="shared" si="3"/>
        <v>56158</v>
      </c>
      <c r="C32" s="93">
        <f>FV(L31/12,12,-Übersicht!B$5,-K31)</f>
        <v>531182.08859226562</v>
      </c>
      <c r="D32" s="94">
        <f>Übersicht!$B$6</f>
        <v>2400</v>
      </c>
      <c r="E32" s="95">
        <f>C$2+SUM(D$2:D32)</f>
        <v>124400</v>
      </c>
      <c r="F32" s="96">
        <v>0</v>
      </c>
      <c r="G32" s="96">
        <v>0</v>
      </c>
      <c r="H32" s="96">
        <f>D32*Übersicht!$D$19</f>
        <v>96</v>
      </c>
      <c r="I32" s="96">
        <f>Übersicht!$D$20</f>
        <v>0</v>
      </c>
      <c r="J32" s="96">
        <f>C32*Übersicht!$D$21</f>
        <v>1168.6005949029845</v>
      </c>
      <c r="K32" s="97">
        <f t="shared" si="0"/>
        <v>529917.48799736262</v>
      </c>
      <c r="L32" s="98">
        <f>VLOOKUP(B32,Übersicht!H$11:J$14,3)</f>
        <v>0.02</v>
      </c>
      <c r="M32" s="96">
        <f t="shared" si="2"/>
        <v>19526.434733054601</v>
      </c>
      <c r="N32" s="98">
        <f>C32/(C$2+SUM(D$2:D31))</f>
        <v>4.3539515458382425</v>
      </c>
      <c r="O32" s="99" t="str">
        <f>IF(B32=Übersicht!$H$11,"Beginn Ansparphase",IF(B32=Übersicht!$H$12,"1. Umschichtung",IF(B32=Übersicht!$H$13,"2. Umschichtung",IF(B32=Übersicht!$H$14,"3. Umschichtung",IF(B32=Übersicht!$B$26,"Komplettverkauf",IF(B32=Übersicht!$B$40,"Beginn Entnahmephase",""))))))</f>
        <v>3. Umschichtung</v>
      </c>
    </row>
    <row r="33" spans="1:18" s="22" customFormat="1" ht="14.5" x14ac:dyDescent="0.35">
      <c r="A33" s="91">
        <v>31</v>
      </c>
      <c r="B33" s="92">
        <f t="shared" si="3"/>
        <v>56523</v>
      </c>
      <c r="C33" s="93">
        <f>FV(L32/12,12,-Übersicht!B$5,-K32)</f>
        <v>543035.65373872977</v>
      </c>
      <c r="D33" s="94">
        <f>Übersicht!$B$6</f>
        <v>2400</v>
      </c>
      <c r="E33" s="95">
        <f>C$2+SUM(D$2:D33)</f>
        <v>126800</v>
      </c>
      <c r="F33" s="96">
        <v>0</v>
      </c>
      <c r="G33" s="96">
        <v>0</v>
      </c>
      <c r="H33" s="96">
        <f>D33*Übersicht!$D$19</f>
        <v>96</v>
      </c>
      <c r="I33" s="96">
        <f>Übersicht!$D$20</f>
        <v>0</v>
      </c>
      <c r="J33" s="96">
        <f>C33*Übersicht!$D$21</f>
        <v>1194.6784382252056</v>
      </c>
      <c r="K33" s="97">
        <f t="shared" si="0"/>
        <v>541744.97530050459</v>
      </c>
      <c r="L33" s="98">
        <f>VLOOKUP(B33,Übersicht!H$11:J$14,3)</f>
        <v>0.02</v>
      </c>
      <c r="M33" s="96">
        <f t="shared" si="2"/>
        <v>9453.565146464156</v>
      </c>
      <c r="N33" s="98">
        <f>C33/(C$2+SUM(D$2:D32))</f>
        <v>4.3652383741055445</v>
      </c>
      <c r="O33" s="99" t="str">
        <f>IF(B33=Übersicht!$H$11,"Beginn Ansparphase",IF(B33=Übersicht!$H$12,"1. Umschichtung",IF(B33=Übersicht!$H$13,"2. Umschichtung",IF(B33=Übersicht!$H$14,"3. Umschichtung",IF(B33=Übersicht!$B$26,"Komplettverkauf",IF(B33=Übersicht!$B$40,"Beginn Entnahmephase",""))))))</f>
        <v/>
      </c>
      <c r="P33" s="8"/>
      <c r="Q33" s="20"/>
      <c r="R33" s="8"/>
    </row>
    <row r="34" spans="1:18" s="22" customFormat="1" ht="14.5" x14ac:dyDescent="0.35">
      <c r="A34" s="91">
        <v>32</v>
      </c>
      <c r="B34" s="92">
        <f t="shared" si="3"/>
        <v>56888</v>
      </c>
      <c r="C34" s="93">
        <f>FV(L33/12,12,-Übersicht!B$5,-K33)</f>
        <v>555101.87125241675</v>
      </c>
      <c r="D34" s="94">
        <f>Übersicht!$B$6</f>
        <v>2400</v>
      </c>
      <c r="E34" s="95">
        <f>C$2+SUM(D$2:D34)</f>
        <v>129200</v>
      </c>
      <c r="F34" s="96">
        <v>0</v>
      </c>
      <c r="G34" s="96">
        <v>0</v>
      </c>
      <c r="H34" s="96">
        <f>D34*Übersicht!$D$19</f>
        <v>96</v>
      </c>
      <c r="I34" s="96">
        <f>Übersicht!$D$20</f>
        <v>0</v>
      </c>
      <c r="J34" s="96">
        <f>C34*Übersicht!$D$21</f>
        <v>1221.224116755317</v>
      </c>
      <c r="K34" s="97">
        <f t="shared" si="0"/>
        <v>553784.64713566145</v>
      </c>
      <c r="L34" s="98">
        <f>VLOOKUP(B34,Übersicht!H$11:J$14,3)</f>
        <v>0.02</v>
      </c>
      <c r="M34" s="96">
        <f t="shared" si="2"/>
        <v>9666.2175136869773</v>
      </c>
      <c r="N34" s="98">
        <f>C34/(C$2+SUM(D$2:D33))</f>
        <v>4.3777750098771033</v>
      </c>
      <c r="O34" s="99" t="str">
        <f>IF(B34=Übersicht!$H$11,"Beginn Ansparphase",IF(B34=Übersicht!$H$12,"1. Umschichtung",IF(B34=Übersicht!$H$13,"2. Umschichtung",IF(B34=Übersicht!$H$14,"3. Umschichtung",IF(B34=Übersicht!$B$26,"Komplettverkauf",IF(B34=Übersicht!$B$40,"Beginn Entnahmephase",""))))))</f>
        <v>Komplettverkauf</v>
      </c>
      <c r="P34" s="8"/>
      <c r="Q34" s="20"/>
      <c r="R34" s="8"/>
    </row>
    <row r="35" spans="1:18" s="22" customFormat="1" ht="14.5" x14ac:dyDescent="0.35">
      <c r="A35" s="91">
        <v>33</v>
      </c>
      <c r="B35" s="92">
        <f t="shared" si="3"/>
        <v>57254</v>
      </c>
      <c r="C35" s="93">
        <f>FV(L34/12,12,-Übersicht!B$5,-K34)</f>
        <v>567384.55610618298</v>
      </c>
      <c r="D35" s="94">
        <f>Übersicht!$B$6</f>
        <v>2400</v>
      </c>
      <c r="E35" s="95">
        <f>C$2+SUM(D$2:D35)</f>
        <v>131600</v>
      </c>
      <c r="F35" s="96">
        <v>0</v>
      </c>
      <c r="G35" s="96">
        <v>0</v>
      </c>
      <c r="H35" s="96">
        <f>D35*Übersicht!$D$19</f>
        <v>96</v>
      </c>
      <c r="I35" s="96">
        <f>Übersicht!$D$20</f>
        <v>0</v>
      </c>
      <c r="J35" s="96">
        <f>C35*Übersicht!$D$21</f>
        <v>1248.2460234336027</v>
      </c>
      <c r="K35" s="97">
        <f t="shared" si="0"/>
        <v>566040.31008274935</v>
      </c>
      <c r="L35" s="98">
        <f>VLOOKUP(B35,Übersicht!H$11:J$14,3)</f>
        <v>0.02</v>
      </c>
      <c r="M35" s="96">
        <f t="shared" si="2"/>
        <v>9882.6848537662299</v>
      </c>
      <c r="N35" s="98">
        <f>C35/(C$2+SUM(D$2:D34))</f>
        <v>4.3915213320911999</v>
      </c>
      <c r="O35" s="99" t="str">
        <f>IF(B35=Übersicht!$H$11,"Beginn Ansparphase",IF(B35=Übersicht!$H$12,"1. Umschichtung",IF(B35=Übersicht!$H$13,"2. Umschichtung",IF(B35=Übersicht!$H$14,"3. Umschichtung",IF(B35=Übersicht!$B$26,"Komplettverkauf",IF(B35=Übersicht!$B$40,"Beginn Entnahmephase",""))))))</f>
        <v/>
      </c>
      <c r="P35" s="11"/>
      <c r="Q35" s="20"/>
      <c r="R35" s="11"/>
    </row>
    <row r="36" spans="1:18" s="22" customFormat="1" ht="14.5" x14ac:dyDescent="0.35">
      <c r="A36" s="91">
        <v>34</v>
      </c>
      <c r="B36" s="92">
        <f t="shared" si="3"/>
        <v>57619</v>
      </c>
      <c r="C36" s="93">
        <f>FV(L35/12,12,-Übersicht!B$5,-K35)</f>
        <v>579887.59171330754</v>
      </c>
      <c r="D36" s="94">
        <f>Übersicht!$B$6</f>
        <v>2400</v>
      </c>
      <c r="E36" s="95">
        <f>C$2+SUM(D$2:D36)</f>
        <v>134000</v>
      </c>
      <c r="F36" s="96">
        <v>0</v>
      </c>
      <c r="G36" s="96">
        <v>0</v>
      </c>
      <c r="H36" s="96">
        <f>D36*Übersicht!$D$19</f>
        <v>96</v>
      </c>
      <c r="I36" s="96">
        <f>Übersicht!$D$20</f>
        <v>0</v>
      </c>
      <c r="J36" s="96">
        <f>C36*Übersicht!$D$21</f>
        <v>1275.7527017692767</v>
      </c>
      <c r="K36" s="97">
        <f t="shared" si="0"/>
        <v>578515.83901153831</v>
      </c>
      <c r="L36" s="98">
        <f>VLOOKUP(B36,Übersicht!H$11:J$14,3)</f>
        <v>0.02</v>
      </c>
      <c r="M36" s="96">
        <f t="shared" si="2"/>
        <v>10103.035607124562</v>
      </c>
      <c r="N36" s="98">
        <f>C36/(C$2+SUM(D$2:D35))</f>
        <v>4.4064406665144951</v>
      </c>
      <c r="O36" s="99" t="str">
        <f>IF(B36=Übersicht!$H$11,"Beginn Ansparphase",IF(B36=Übersicht!$H$12,"1. Umschichtung",IF(B36=Übersicht!$H$13,"2. Umschichtung",IF(B36=Übersicht!$H$14,"3. Umschichtung",IF(B36=Übersicht!$B$26,"Komplettverkauf",IF(B36=Übersicht!$B$40,"Beginn Entnahmephase",""))))))</f>
        <v/>
      </c>
      <c r="P36" s="11"/>
      <c r="Q36" s="11"/>
      <c r="R36" s="11"/>
    </row>
    <row r="37" spans="1:18" s="22" customFormat="1" ht="14.5" x14ac:dyDescent="0.35">
      <c r="A37" s="91">
        <v>35</v>
      </c>
      <c r="B37" s="92">
        <f t="shared" si="3"/>
        <v>57984</v>
      </c>
      <c r="C37" s="93">
        <f>FV(L36/12,12,-Übersicht!B$5,-K36)</f>
        <v>592614.93115531001</v>
      </c>
      <c r="D37" s="94">
        <f>Übersicht!$B$6</f>
        <v>2400</v>
      </c>
      <c r="E37" s="95">
        <f>C$2+SUM(D$2:D37)</f>
        <v>136400</v>
      </c>
      <c r="F37" s="96">
        <v>0</v>
      </c>
      <c r="G37" s="96">
        <v>0</v>
      </c>
      <c r="H37" s="96">
        <f>D37*Übersicht!$D$19</f>
        <v>96</v>
      </c>
      <c r="I37" s="96">
        <f>Übersicht!$D$20</f>
        <v>0</v>
      </c>
      <c r="J37" s="96">
        <f>C37*Übersicht!$D$21</f>
        <v>1303.7528485416822</v>
      </c>
      <c r="K37" s="97">
        <f t="shared" si="0"/>
        <v>591215.1783067683</v>
      </c>
      <c r="L37" s="98">
        <f>VLOOKUP(B37,Übersicht!H$11:J$14,3)</f>
        <v>0.02</v>
      </c>
      <c r="M37" s="96">
        <f t="shared" si="2"/>
        <v>10327.339442002471</v>
      </c>
      <c r="N37" s="98">
        <f>C37/(C$2+SUM(D$2:D36))</f>
        <v>4.4224994862336571</v>
      </c>
      <c r="O37" s="99" t="str">
        <f>IF(B37=Übersicht!$H$11,"Beginn Ansparphase",IF(B37=Übersicht!$H$12,"1. Umschichtung",IF(B37=Übersicht!$H$13,"2. Umschichtung",IF(B37=Übersicht!$H$14,"3. Umschichtung",IF(B37=Übersicht!$B$26,"Komplettverkauf",IF(B37=Übersicht!$B$40,"Beginn Entnahmephase",""))))))</f>
        <v/>
      </c>
      <c r="P37" s="11"/>
      <c r="Q37" s="11"/>
      <c r="R37" s="11"/>
    </row>
    <row r="38" spans="1:18" s="22" customFormat="1" ht="14.5" x14ac:dyDescent="0.35">
      <c r="A38" s="91">
        <v>36</v>
      </c>
      <c r="B38" s="92">
        <f t="shared" si="3"/>
        <v>58349</v>
      </c>
      <c r="C38" s="93">
        <f>FV(L37/12,12,-Übersicht!B$5,-K37)</f>
        <v>605570.59843179502</v>
      </c>
      <c r="D38" s="94">
        <f>Übersicht!$B$6</f>
        <v>2400</v>
      </c>
      <c r="E38" s="95">
        <f>C$2+SUM(D$2:D38)</f>
        <v>138800</v>
      </c>
      <c r="F38" s="96">
        <v>0</v>
      </c>
      <c r="G38" s="96">
        <v>0</v>
      </c>
      <c r="H38" s="96">
        <f>D38*Übersicht!$D$19</f>
        <v>96</v>
      </c>
      <c r="I38" s="96">
        <f>Übersicht!$D$20</f>
        <v>0</v>
      </c>
      <c r="J38" s="96">
        <f>C38*Übersicht!$D$21</f>
        <v>1332.2553165499492</v>
      </c>
      <c r="K38" s="97">
        <f t="shared" si="0"/>
        <v>604142.34311524511</v>
      </c>
      <c r="L38" s="98">
        <f>VLOOKUP(B38,Übersicht!H$11:J$14,3)</f>
        <v>0.02</v>
      </c>
      <c r="M38" s="96">
        <f t="shared" si="2"/>
        <v>10555.667276485008</v>
      </c>
      <c r="N38" s="98">
        <f>C38/(C$2+SUM(D$2:D37))</f>
        <v>4.4396671439281157</v>
      </c>
      <c r="O38" s="99" t="str">
        <f>IF(B38=Übersicht!$H$11,"Beginn Ansparphase",IF(B38=Übersicht!$H$12,"1. Umschichtung",IF(B38=Übersicht!$H$13,"2. Umschichtung",IF(B38=Übersicht!$H$14,"3. Umschichtung",IF(B38=Übersicht!$B$26,"Komplettverkauf",IF(B38=Übersicht!$B$40,"Beginn Entnahmephase",""))))))</f>
        <v/>
      </c>
      <c r="P38" s="20"/>
      <c r="Q38" s="20"/>
      <c r="R38" s="20"/>
    </row>
    <row r="39" spans="1:18" s="22" customFormat="1" ht="14.5" x14ac:dyDescent="0.35">
      <c r="A39" s="91">
        <v>37</v>
      </c>
      <c r="B39" s="92">
        <f t="shared" si="3"/>
        <v>58715</v>
      </c>
      <c r="C39" s="93">
        <f>FV(L38/12,12,-Übersicht!B$5,-K38)</f>
        <v>618758.68973271945</v>
      </c>
      <c r="D39" s="94">
        <f>Übersicht!$B$6</f>
        <v>2400</v>
      </c>
      <c r="E39" s="95">
        <f>C$2+SUM(D$2:D39)</f>
        <v>141200</v>
      </c>
      <c r="F39" s="96">
        <v>0</v>
      </c>
      <c r="G39" s="96">
        <v>0</v>
      </c>
      <c r="H39" s="96">
        <f>D39*Übersicht!$D$19</f>
        <v>96</v>
      </c>
      <c r="I39" s="96">
        <f>Übersicht!$D$20</f>
        <v>0</v>
      </c>
      <c r="J39" s="96">
        <f>C39*Übersicht!$D$21</f>
        <v>1361.269117411983</v>
      </c>
      <c r="K39" s="97">
        <f t="shared" si="0"/>
        <v>617301.4206153074</v>
      </c>
      <c r="L39" s="98">
        <f>VLOOKUP(B39,Übersicht!H$11:J$14,3)</f>
        <v>0.02</v>
      </c>
      <c r="M39" s="96">
        <f t="shared" si="2"/>
        <v>10788.091300924425</v>
      </c>
      <c r="N39" s="98">
        <f>C39/(C$2+SUM(D$2:D38))</f>
        <v>4.4579156320801117</v>
      </c>
      <c r="O39" s="99" t="str">
        <f>IF(B39=Übersicht!$H$11,"Beginn Ansparphase",IF(B39=Übersicht!$H$12,"1. Umschichtung",IF(B39=Übersicht!$H$13,"2. Umschichtung",IF(B39=Übersicht!$H$14,"3. Umschichtung",IF(B39=Übersicht!$B$26,"Komplettverkauf",IF(B39=Übersicht!$B$40,"Beginn Entnahmephase",""))))))</f>
        <v/>
      </c>
      <c r="P39" s="20"/>
      <c r="Q39" s="20"/>
      <c r="R39" s="20"/>
    </row>
    <row r="40" spans="1:18" s="22" customFormat="1" ht="14.5" x14ac:dyDescent="0.35">
      <c r="A40" s="91">
        <v>38</v>
      </c>
      <c r="B40" s="92">
        <f t="shared" si="3"/>
        <v>59080</v>
      </c>
      <c r="C40" s="93">
        <f>FV(L39/12,12,-Übersicht!B$5,-K39)</f>
        <v>632183.37473348354</v>
      </c>
      <c r="D40" s="94">
        <f>Übersicht!$B$6</f>
        <v>2400</v>
      </c>
      <c r="E40" s="95">
        <f>C$2+SUM(D$2:D40)</f>
        <v>143600</v>
      </c>
      <c r="F40" s="96">
        <v>0</v>
      </c>
      <c r="G40" s="96">
        <v>0</v>
      </c>
      <c r="H40" s="96">
        <f>D40*Übersicht!$D$19</f>
        <v>96</v>
      </c>
      <c r="I40" s="96">
        <f>Übersicht!$D$20</f>
        <v>0</v>
      </c>
      <c r="J40" s="96">
        <f>C40*Übersicht!$D$21</f>
        <v>1390.8034244136638</v>
      </c>
      <c r="K40" s="97">
        <f t="shared" si="0"/>
        <v>630696.57130906987</v>
      </c>
      <c r="L40" s="98">
        <f>VLOOKUP(B40,Übersicht!H$11:J$14,3)</f>
        <v>0.02</v>
      </c>
      <c r="M40" s="96">
        <f t="shared" si="2"/>
        <v>11024.68500076409</v>
      </c>
      <c r="N40" s="98">
        <f>C40/(C$2+SUM(D$2:D39))</f>
        <v>4.4772193678008749</v>
      </c>
      <c r="O40" s="99" t="str">
        <f>IF(B40=Übersicht!$H$11,"Beginn Ansparphase",IF(B40=Übersicht!$H$12,"1. Umschichtung",IF(B40=Übersicht!$H$13,"2. Umschichtung",IF(B40=Übersicht!$H$14,"3. Umschichtung",IF(B40=Übersicht!$B$26,"Komplettverkauf",IF(B40=Übersicht!$B$40,"Beginn Entnahmephase",""))))))</f>
        <v/>
      </c>
      <c r="P40" s="20"/>
      <c r="Q40" s="20"/>
      <c r="R40" s="20"/>
    </row>
    <row r="41" spans="1:18" s="22" customFormat="1" ht="14.5" x14ac:dyDescent="0.35">
      <c r="A41" s="91">
        <v>39</v>
      </c>
      <c r="B41" s="92">
        <f t="shared" si="3"/>
        <v>59445</v>
      </c>
      <c r="C41" s="93">
        <f>FV(L40/12,12,-Übersicht!B$5,-K40)</f>
        <v>645848.89791325619</v>
      </c>
      <c r="D41" s="94">
        <f>Übersicht!$B$6</f>
        <v>2400</v>
      </c>
      <c r="E41" s="95">
        <f>C$2+SUM(D$2:D41)</f>
        <v>146000</v>
      </c>
      <c r="F41" s="96">
        <v>0</v>
      </c>
      <c r="G41" s="96">
        <v>0</v>
      </c>
      <c r="H41" s="96">
        <f>D41*Übersicht!$D$19</f>
        <v>96</v>
      </c>
      <c r="I41" s="96">
        <f>Übersicht!$D$20</f>
        <v>0</v>
      </c>
      <c r="J41" s="96">
        <f>C41*Übersicht!$D$21</f>
        <v>1420.8675754091637</v>
      </c>
      <c r="K41" s="97">
        <f t="shared" si="0"/>
        <v>644332.03033784707</v>
      </c>
      <c r="L41" s="98">
        <f>VLOOKUP(B41,Übersicht!H$11:J$14,3)</f>
        <v>0.02</v>
      </c>
      <c r="M41" s="96">
        <f t="shared" si="2"/>
        <v>11265.523179772659</v>
      </c>
      <c r="N41" s="98">
        <f>C41/(C$2+SUM(D$2:D40))</f>
        <v>4.4975549993959341</v>
      </c>
      <c r="O41" s="99" t="str">
        <f>IF(B41=Übersicht!$H$11,"Beginn Ansparphase",IF(B41=Übersicht!$H$12,"1. Umschichtung",IF(B41=Übersicht!$H$13,"2. Umschichtung",IF(B41=Übersicht!$H$14,"3. Umschichtung",IF(B41=Übersicht!$B$26,"Komplettverkauf",IF(B41=Übersicht!$B$40,"Beginn Entnahmephase",""))))))</f>
        <v/>
      </c>
      <c r="P41" s="20"/>
      <c r="Q41" s="20"/>
      <c r="R41" s="20"/>
    </row>
    <row r="42" spans="1:18" s="22" customFormat="1" ht="14.5" x14ac:dyDescent="0.35">
      <c r="A42" s="91">
        <v>40</v>
      </c>
      <c r="B42" s="92">
        <f t="shared" si="3"/>
        <v>59810</v>
      </c>
      <c r="C42" s="93">
        <f>FV(L41/12,12,-Übersicht!B$5,-K41)</f>
        <v>659759.57989695075</v>
      </c>
      <c r="D42" s="94">
        <f>Übersicht!$B$6</f>
        <v>2400</v>
      </c>
      <c r="E42" s="95">
        <f>C$2+SUM(D$2:D42)</f>
        <v>148400</v>
      </c>
      <c r="F42" s="96">
        <v>0</v>
      </c>
      <c r="G42" s="96">
        <v>0</v>
      </c>
      <c r="H42" s="96">
        <f>D42*Übersicht!$D$19</f>
        <v>96</v>
      </c>
      <c r="I42" s="96">
        <f>Übersicht!$D$20</f>
        <v>0</v>
      </c>
      <c r="J42" s="96">
        <f>C42*Übersicht!$D$21</f>
        <v>1451.4710757732917</v>
      </c>
      <c r="K42" s="97">
        <f t="shared" si="0"/>
        <v>658212.10882117751</v>
      </c>
      <c r="L42" s="98">
        <f>VLOOKUP(B42,Übersicht!H$11:J$14,3)</f>
        <v>0.02</v>
      </c>
      <c r="M42" s="96">
        <f t="shared" si="2"/>
        <v>11510.681983694551</v>
      </c>
      <c r="N42" s="98">
        <f>C42/(C$2+SUM(D$2:D41))</f>
        <v>4.5189012321708955</v>
      </c>
      <c r="O42" s="99" t="str">
        <f>IF(B42=Übersicht!$H$11,"Beginn Ansparphase",IF(B42=Übersicht!$H$12,"1. Umschichtung",IF(B42=Übersicht!$H$13,"2. Umschichtung",IF(B42=Übersicht!$H$14,"3. Umschichtung",IF(B42=Übersicht!$B$26,"Komplettverkauf",IF(B42=Übersicht!$B$40,"Beginn Entnahmephase",""))))))</f>
        <v/>
      </c>
      <c r="P42" s="20"/>
      <c r="Q42" s="20"/>
      <c r="R42" s="20"/>
    </row>
    <row r="43" spans="1:18" x14ac:dyDescent="0.25">
      <c r="A43" s="2"/>
      <c r="B43" s="2"/>
      <c r="K43" s="3"/>
      <c r="L43" s="3"/>
      <c r="M43" s="3"/>
      <c r="N43" s="3"/>
      <c r="O43" s="4"/>
      <c r="P43" s="4"/>
      <c r="Q43" s="4"/>
      <c r="R43" s="4"/>
    </row>
    <row r="44" spans="1:18" x14ac:dyDescent="0.25">
      <c r="A44" s="2"/>
      <c r="B44" s="2"/>
      <c r="K44" s="3"/>
      <c r="L44" s="3"/>
      <c r="M44" s="3"/>
      <c r="N44" s="3"/>
      <c r="O44" s="4"/>
      <c r="P44" s="4"/>
      <c r="Q44" s="4"/>
      <c r="R44" s="4"/>
    </row>
    <row r="45" spans="1:18" x14ac:dyDescent="0.25">
      <c r="A45" s="2"/>
      <c r="B45" s="2"/>
      <c r="K45" s="3"/>
      <c r="L45" s="3"/>
      <c r="M45" s="3"/>
      <c r="N45" s="3"/>
      <c r="O45" s="4"/>
      <c r="P45" s="4"/>
      <c r="Q45" s="4"/>
      <c r="R45" s="4"/>
    </row>
    <row r="46" spans="1:18" x14ac:dyDescent="0.25">
      <c r="A46" s="2"/>
      <c r="B46" s="2"/>
      <c r="K46" s="3"/>
      <c r="L46" s="3"/>
      <c r="M46" s="3"/>
      <c r="N46" s="3"/>
      <c r="O46" s="4"/>
      <c r="P46" s="4"/>
      <c r="Q46" s="4"/>
      <c r="R46" s="4"/>
    </row>
    <row r="47" spans="1:18" x14ac:dyDescent="0.25">
      <c r="A47" s="2"/>
      <c r="B47" s="2"/>
      <c r="K47" s="3"/>
      <c r="L47" s="3"/>
      <c r="M47" s="3"/>
      <c r="N47" s="3"/>
      <c r="O47" s="4"/>
      <c r="P47" s="4"/>
      <c r="Q47" s="4"/>
      <c r="R47" s="4"/>
    </row>
    <row r="48" spans="1:18" x14ac:dyDescent="0.25">
      <c r="A48" s="2"/>
      <c r="B48" s="2"/>
      <c r="K48" s="3"/>
      <c r="L48" s="3"/>
      <c r="M48" s="3"/>
      <c r="N48" s="3"/>
      <c r="O48" s="4"/>
      <c r="P48" s="4"/>
      <c r="Q48" s="4"/>
      <c r="R48" s="4"/>
    </row>
    <row r="49" spans="1:18" x14ac:dyDescent="0.25">
      <c r="A49" s="2"/>
      <c r="B49" s="2"/>
      <c r="K49" s="3"/>
      <c r="L49" s="3"/>
      <c r="M49" s="3"/>
      <c r="N49" s="3"/>
      <c r="O49" s="4"/>
      <c r="P49" s="4"/>
      <c r="Q49" s="4"/>
      <c r="R49" s="4"/>
    </row>
    <row r="50" spans="1:18" x14ac:dyDescent="0.25">
      <c r="A50" s="2"/>
      <c r="B50" s="2"/>
      <c r="K50" s="3"/>
      <c r="L50" s="3"/>
      <c r="M50" s="3"/>
      <c r="N50" s="3"/>
      <c r="O50" s="4"/>
      <c r="P50" s="4"/>
      <c r="Q50" s="4"/>
      <c r="R50" s="4"/>
    </row>
    <row r="51" spans="1:18" x14ac:dyDescent="0.25">
      <c r="A51" s="2"/>
      <c r="B51" s="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4"/>
      <c r="P51" s="4"/>
      <c r="Q51" s="4"/>
      <c r="R51" s="4"/>
    </row>
    <row r="52" spans="1:18" x14ac:dyDescent="0.25">
      <c r="A52" s="2"/>
      <c r="B52" s="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  <c r="P52" s="4"/>
      <c r="Q52" s="4"/>
      <c r="R52" s="4"/>
    </row>
    <row r="53" spans="1:18" x14ac:dyDescent="0.25">
      <c r="A53" s="2"/>
      <c r="B53" s="2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/>
      <c r="Q53" s="4"/>
      <c r="R53" s="4"/>
    </row>
    <row r="54" spans="1:18" x14ac:dyDescent="0.25">
      <c r="A54" s="2"/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  <c r="P54" s="4"/>
      <c r="Q54" s="4"/>
      <c r="R54" s="4"/>
    </row>
    <row r="55" spans="1:18" x14ac:dyDescent="0.25">
      <c r="A55" s="12"/>
      <c r="B55" s="12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3"/>
    </row>
    <row r="56" spans="1:18" x14ac:dyDescent="0.25">
      <c r="A56" s="12"/>
      <c r="B56" s="12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3"/>
    </row>
    <row r="57" spans="1:18" x14ac:dyDescent="0.25">
      <c r="A57" s="12"/>
      <c r="B57" s="1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13"/>
    </row>
    <row r="58" spans="1:18" x14ac:dyDescent="0.25">
      <c r="A58" s="12"/>
      <c r="B58" s="1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13"/>
    </row>
    <row r="59" spans="1:18" x14ac:dyDescent="0.25">
      <c r="A59" s="12"/>
      <c r="B59" s="1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13"/>
    </row>
    <row r="60" spans="1:18" x14ac:dyDescent="0.25">
      <c r="A60" s="12"/>
      <c r="B60" s="1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13"/>
    </row>
    <row r="61" spans="1:18" x14ac:dyDescent="0.25">
      <c r="A61" s="12"/>
      <c r="B61" s="1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13"/>
    </row>
    <row r="62" spans="1:18" x14ac:dyDescent="0.25">
      <c r="A62" s="12"/>
      <c r="B62" s="1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13"/>
    </row>
    <row r="63" spans="1:18" x14ac:dyDescent="0.25">
      <c r="A63" s="12"/>
      <c r="B63" s="1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13"/>
    </row>
    <row r="64" spans="1:18" x14ac:dyDescent="0.25">
      <c r="A64" s="12"/>
      <c r="B64" s="1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3"/>
    </row>
    <row r="65" spans="1:14" x14ac:dyDescent="0.25">
      <c r="A65" s="12"/>
      <c r="B65" s="1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13"/>
    </row>
    <row r="66" spans="1:14" x14ac:dyDescent="0.25">
      <c r="A66" s="12"/>
      <c r="B66" s="12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13"/>
    </row>
    <row r="67" spans="1:14" x14ac:dyDescent="0.25">
      <c r="A67" s="12"/>
      <c r="B67" s="1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13"/>
    </row>
    <row r="68" spans="1:14" x14ac:dyDescent="0.25">
      <c r="A68" s="12"/>
      <c r="B68" s="1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3"/>
    </row>
    <row r="69" spans="1:14" x14ac:dyDescent="0.25">
      <c r="A69" s="12"/>
      <c r="B69" s="1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3"/>
    </row>
    <row r="70" spans="1:14" x14ac:dyDescent="0.25">
      <c r="A70" s="12"/>
      <c r="B70" s="1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3"/>
    </row>
    <row r="71" spans="1:14" x14ac:dyDescent="0.25">
      <c r="A71" s="12"/>
      <c r="B71" s="1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3"/>
    </row>
    <row r="72" spans="1:14" x14ac:dyDescent="0.25">
      <c r="A72" s="12"/>
      <c r="B72" s="1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13"/>
    </row>
    <row r="73" spans="1:14" x14ac:dyDescent="0.25">
      <c r="A73" s="12"/>
      <c r="B73" s="1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13"/>
    </row>
    <row r="74" spans="1:14" x14ac:dyDescent="0.25">
      <c r="A74" s="12"/>
      <c r="B74" s="1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13"/>
    </row>
    <row r="75" spans="1:14" x14ac:dyDescent="0.25">
      <c r="A75" s="12"/>
      <c r="B75" s="1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13"/>
    </row>
    <row r="76" spans="1:14" x14ac:dyDescent="0.25">
      <c r="A76" s="12"/>
      <c r="B76" s="1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13"/>
    </row>
    <row r="77" spans="1:14" x14ac:dyDescent="0.25">
      <c r="A77" s="12"/>
      <c r="B77" s="1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13"/>
    </row>
    <row r="78" spans="1:14" x14ac:dyDescent="0.25">
      <c r="A78" s="12"/>
      <c r="B78" s="1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13"/>
    </row>
    <row r="79" spans="1:14" x14ac:dyDescent="0.25">
      <c r="A79" s="12"/>
      <c r="B79" s="1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13"/>
    </row>
    <row r="80" spans="1:14" x14ac:dyDescent="0.25">
      <c r="A80" s="12"/>
      <c r="B80" s="1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13"/>
    </row>
    <row r="81" spans="1:14" x14ac:dyDescent="0.25">
      <c r="A81" s="12"/>
      <c r="B81" s="1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13"/>
    </row>
    <row r="82" spans="1:14" x14ac:dyDescent="0.25">
      <c r="A82" s="12"/>
      <c r="B82" s="1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13"/>
    </row>
    <row r="83" spans="1:14" x14ac:dyDescent="0.25">
      <c r="A83" s="12"/>
      <c r="B83" s="1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3"/>
    </row>
    <row r="84" spans="1:14" x14ac:dyDescent="0.25">
      <c r="A84" s="12"/>
      <c r="B84" s="1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13"/>
    </row>
    <row r="85" spans="1:14" x14ac:dyDescent="0.25">
      <c r="A85" s="12"/>
      <c r="B85" s="1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13"/>
    </row>
    <row r="86" spans="1:14" x14ac:dyDescent="0.25">
      <c r="A86" s="12"/>
      <c r="B86" s="12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13"/>
    </row>
    <row r="87" spans="1:14" x14ac:dyDescent="0.25">
      <c r="A87" s="12"/>
      <c r="B87" s="1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13"/>
    </row>
    <row r="88" spans="1:14" x14ac:dyDescent="0.25">
      <c r="A88" s="12"/>
      <c r="B88" s="1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13"/>
    </row>
    <row r="89" spans="1:14" x14ac:dyDescent="0.25">
      <c r="A89" s="12"/>
      <c r="B89" s="1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13"/>
    </row>
    <row r="90" spans="1:14" x14ac:dyDescent="0.25">
      <c r="A90" s="12"/>
      <c r="B90" s="1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13"/>
    </row>
    <row r="91" spans="1:14" x14ac:dyDescent="0.25">
      <c r="A91" s="12"/>
      <c r="B91" s="12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13"/>
    </row>
    <row r="92" spans="1:14" x14ac:dyDescent="0.25">
      <c r="A92" s="12"/>
      <c r="B92" s="1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13"/>
    </row>
    <row r="93" spans="1:14" x14ac:dyDescent="0.25">
      <c r="A93" s="12"/>
      <c r="B93" s="1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13"/>
    </row>
    <row r="94" spans="1:14" x14ac:dyDescent="0.25">
      <c r="A94" s="12"/>
      <c r="B94" s="1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13"/>
    </row>
    <row r="95" spans="1:14" x14ac:dyDescent="0.25">
      <c r="A95" s="12"/>
      <c r="B95" s="1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13"/>
    </row>
    <row r="96" spans="1:14" x14ac:dyDescent="0.25">
      <c r="A96" s="12"/>
      <c r="B96" s="1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13"/>
    </row>
    <row r="97" spans="1:14" x14ac:dyDescent="0.25">
      <c r="A97" s="12"/>
      <c r="B97" s="1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13"/>
    </row>
    <row r="98" spans="1:14" x14ac:dyDescent="0.25">
      <c r="A98" s="12"/>
      <c r="B98" s="1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13"/>
    </row>
    <row r="99" spans="1:14" x14ac:dyDescent="0.25">
      <c r="A99" s="12"/>
      <c r="B99" s="1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13"/>
    </row>
    <row r="100" spans="1:14" x14ac:dyDescent="0.25">
      <c r="A100" s="12"/>
      <c r="B100" s="1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13"/>
    </row>
    <row r="101" spans="1:14" x14ac:dyDescent="0.25">
      <c r="A101" s="12"/>
      <c r="B101" s="1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13"/>
    </row>
    <row r="102" spans="1:14" x14ac:dyDescent="0.25">
      <c r="A102" s="12"/>
      <c r="B102" s="1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13"/>
    </row>
    <row r="103" spans="1:14" x14ac:dyDescent="0.25">
      <c r="A103" s="12"/>
      <c r="B103" s="1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13"/>
    </row>
    <row r="104" spans="1:14" x14ac:dyDescent="0.25">
      <c r="A104" s="12"/>
      <c r="B104" s="1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13"/>
    </row>
    <row r="105" spans="1:14" x14ac:dyDescent="0.25">
      <c r="A105" s="12"/>
      <c r="B105" s="1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13"/>
    </row>
    <row r="106" spans="1:14" x14ac:dyDescent="0.25">
      <c r="A106" s="12"/>
      <c r="B106" s="1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13"/>
    </row>
    <row r="107" spans="1:14" x14ac:dyDescent="0.25">
      <c r="A107" s="12"/>
      <c r="B107" s="1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13"/>
    </row>
    <row r="108" spans="1:14" x14ac:dyDescent="0.25">
      <c r="A108" s="12"/>
      <c r="B108" s="1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13"/>
    </row>
    <row r="109" spans="1:14" x14ac:dyDescent="0.25">
      <c r="A109" s="12"/>
      <c r="B109" s="1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13"/>
    </row>
    <row r="110" spans="1:14" x14ac:dyDescent="0.25">
      <c r="A110" s="12"/>
      <c r="B110" s="1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13"/>
    </row>
    <row r="111" spans="1:14" x14ac:dyDescent="0.25">
      <c r="A111" s="12"/>
      <c r="B111" s="1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13"/>
    </row>
    <row r="112" spans="1:14" x14ac:dyDescent="0.25">
      <c r="A112" s="12"/>
      <c r="B112" s="1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13"/>
    </row>
    <row r="113" spans="1:14" x14ac:dyDescent="0.25">
      <c r="A113" s="12"/>
      <c r="B113" s="1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13"/>
    </row>
    <row r="114" spans="1:14" x14ac:dyDescent="0.25">
      <c r="A114" s="12"/>
      <c r="B114" s="1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13"/>
    </row>
    <row r="115" spans="1:14" x14ac:dyDescent="0.25">
      <c r="A115" s="12"/>
      <c r="B115" s="12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13"/>
    </row>
    <row r="116" spans="1:14" x14ac:dyDescent="0.25">
      <c r="A116" s="12"/>
      <c r="B116" s="12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13"/>
    </row>
    <row r="117" spans="1:14" x14ac:dyDescent="0.25">
      <c r="A117" s="12"/>
      <c r="B117" s="12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13"/>
    </row>
    <row r="118" spans="1:14" x14ac:dyDescent="0.25">
      <c r="A118" s="12"/>
      <c r="B118" s="12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13"/>
    </row>
    <row r="119" spans="1:14" x14ac:dyDescent="0.25">
      <c r="A119" s="12"/>
      <c r="B119" s="1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13"/>
    </row>
    <row r="120" spans="1:14" x14ac:dyDescent="0.25">
      <c r="A120" s="12"/>
      <c r="B120" s="1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13"/>
    </row>
    <row r="121" spans="1:14" x14ac:dyDescent="0.25">
      <c r="A121" s="12"/>
      <c r="B121" s="1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13"/>
    </row>
    <row r="122" spans="1:14" x14ac:dyDescent="0.25">
      <c r="A122" s="12"/>
      <c r="B122" s="1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13"/>
    </row>
    <row r="123" spans="1:14" x14ac:dyDescent="0.25">
      <c r="A123" s="12"/>
      <c r="B123" s="1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13"/>
    </row>
    <row r="124" spans="1:14" x14ac:dyDescent="0.25">
      <c r="A124" s="12"/>
      <c r="B124" s="12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13"/>
    </row>
    <row r="125" spans="1:14" x14ac:dyDescent="0.25">
      <c r="A125" s="12"/>
      <c r="B125" s="1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13"/>
    </row>
    <row r="126" spans="1:14" x14ac:dyDescent="0.25">
      <c r="A126" s="12"/>
      <c r="B126" s="1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13"/>
    </row>
    <row r="127" spans="1:14" x14ac:dyDescent="0.25">
      <c r="A127" s="12"/>
      <c r="B127" s="1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13"/>
    </row>
    <row r="128" spans="1:14" x14ac:dyDescent="0.25">
      <c r="A128" s="12"/>
      <c r="B128" s="1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13"/>
    </row>
    <row r="129" spans="1:14" x14ac:dyDescent="0.25">
      <c r="A129" s="12"/>
      <c r="B129" s="1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13"/>
    </row>
    <row r="130" spans="1:14" x14ac:dyDescent="0.25">
      <c r="A130" s="12"/>
      <c r="B130" s="1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13"/>
    </row>
    <row r="131" spans="1:14" x14ac:dyDescent="0.25">
      <c r="A131" s="12"/>
      <c r="B131" s="12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13"/>
    </row>
    <row r="132" spans="1:14" x14ac:dyDescent="0.25">
      <c r="A132" s="12"/>
      <c r="B132" s="1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13"/>
    </row>
    <row r="133" spans="1:14" x14ac:dyDescent="0.25">
      <c r="A133" s="12"/>
      <c r="B133" s="1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13"/>
    </row>
    <row r="134" spans="1:14" x14ac:dyDescent="0.25">
      <c r="A134" s="12"/>
      <c r="B134" s="12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13"/>
    </row>
    <row r="135" spans="1:14" x14ac:dyDescent="0.25">
      <c r="A135" s="12"/>
      <c r="B135" s="1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13"/>
    </row>
    <row r="136" spans="1:14" x14ac:dyDescent="0.25">
      <c r="A136" s="12"/>
      <c r="B136" s="1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13"/>
    </row>
    <row r="137" spans="1:14" x14ac:dyDescent="0.25">
      <c r="A137" s="12"/>
      <c r="B137" s="1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13"/>
    </row>
    <row r="138" spans="1:14" x14ac:dyDescent="0.25">
      <c r="A138" s="12"/>
      <c r="B138" s="12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13"/>
    </row>
    <row r="139" spans="1:14" x14ac:dyDescent="0.25">
      <c r="A139" s="12"/>
      <c r="B139" s="1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13"/>
    </row>
    <row r="140" spans="1:14" x14ac:dyDescent="0.25">
      <c r="A140" s="12"/>
      <c r="B140" s="1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13"/>
    </row>
    <row r="141" spans="1:14" x14ac:dyDescent="0.25">
      <c r="A141" s="12"/>
      <c r="B141" s="1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13"/>
    </row>
    <row r="142" spans="1:14" x14ac:dyDescent="0.25">
      <c r="A142" s="12"/>
      <c r="B142" s="1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13"/>
    </row>
    <row r="143" spans="1:14" x14ac:dyDescent="0.25">
      <c r="A143" s="12"/>
      <c r="B143" s="12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13"/>
    </row>
    <row r="144" spans="1:14" x14ac:dyDescent="0.25">
      <c r="A144" s="12"/>
      <c r="B144" s="12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13"/>
    </row>
    <row r="145" spans="1:14" x14ac:dyDescent="0.25">
      <c r="A145" s="12"/>
      <c r="B145" s="12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13"/>
    </row>
    <row r="146" spans="1:14" x14ac:dyDescent="0.25">
      <c r="A146" s="12"/>
      <c r="B146" s="12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13"/>
    </row>
    <row r="147" spans="1:14" x14ac:dyDescent="0.25">
      <c r="A147" s="12"/>
      <c r="B147" s="1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13"/>
    </row>
    <row r="148" spans="1:14" x14ac:dyDescent="0.25">
      <c r="A148" s="12"/>
      <c r="B148" s="1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13"/>
    </row>
    <row r="149" spans="1:14" x14ac:dyDescent="0.25">
      <c r="A149" s="12"/>
      <c r="B149" s="1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13"/>
    </row>
    <row r="150" spans="1:14" x14ac:dyDescent="0.25">
      <c r="A150" s="12"/>
      <c r="B150" s="1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13"/>
    </row>
    <row r="151" spans="1:14" x14ac:dyDescent="0.25">
      <c r="A151" s="12"/>
      <c r="B151" s="1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13"/>
    </row>
    <row r="152" spans="1:14" x14ac:dyDescent="0.25">
      <c r="A152" s="12"/>
      <c r="B152" s="12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13"/>
    </row>
    <row r="153" spans="1:14" x14ac:dyDescent="0.25">
      <c r="A153" s="12"/>
      <c r="B153" s="12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13"/>
    </row>
    <row r="154" spans="1:14" x14ac:dyDescent="0.25">
      <c r="A154" s="12"/>
      <c r="B154" s="12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13"/>
    </row>
    <row r="155" spans="1:14" x14ac:dyDescent="0.25">
      <c r="A155" s="12"/>
      <c r="B155" s="12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13"/>
    </row>
    <row r="156" spans="1:14" x14ac:dyDescent="0.25">
      <c r="A156" s="12"/>
      <c r="B156" s="12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13"/>
    </row>
    <row r="157" spans="1:14" x14ac:dyDescent="0.25">
      <c r="A157" s="12"/>
      <c r="B157" s="1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13"/>
    </row>
    <row r="158" spans="1:14" x14ac:dyDescent="0.25">
      <c r="A158" s="12"/>
      <c r="B158" s="12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13"/>
    </row>
    <row r="159" spans="1:14" x14ac:dyDescent="0.25">
      <c r="A159" s="12"/>
      <c r="B159" s="12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13"/>
    </row>
    <row r="160" spans="1:14" x14ac:dyDescent="0.25">
      <c r="A160" s="12"/>
      <c r="B160" s="1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13"/>
    </row>
    <row r="161" spans="1:14" x14ac:dyDescent="0.25">
      <c r="A161" s="12"/>
      <c r="B161" s="1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13"/>
    </row>
    <row r="162" spans="1:14" x14ac:dyDescent="0.25">
      <c r="A162" s="12"/>
      <c r="B162" s="1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13"/>
    </row>
    <row r="163" spans="1:14" x14ac:dyDescent="0.25">
      <c r="A163" s="12"/>
      <c r="B163" s="1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13"/>
    </row>
    <row r="164" spans="1:14" x14ac:dyDescent="0.25">
      <c r="A164" s="12"/>
      <c r="B164" s="1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13"/>
    </row>
    <row r="165" spans="1:14" x14ac:dyDescent="0.25">
      <c r="A165" s="12"/>
      <c r="B165" s="1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13"/>
    </row>
    <row r="166" spans="1:14" x14ac:dyDescent="0.25">
      <c r="A166" s="12"/>
      <c r="B166" s="1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13"/>
    </row>
    <row r="167" spans="1:14" x14ac:dyDescent="0.25">
      <c r="A167" s="12"/>
      <c r="B167" s="1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13"/>
    </row>
    <row r="168" spans="1:14" x14ac:dyDescent="0.25">
      <c r="A168" s="12"/>
      <c r="B168" s="1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13"/>
    </row>
    <row r="169" spans="1:14" x14ac:dyDescent="0.25">
      <c r="A169" s="12"/>
      <c r="B169" s="1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13"/>
    </row>
    <row r="170" spans="1:14" x14ac:dyDescent="0.25">
      <c r="A170" s="12"/>
      <c r="B170" s="1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13"/>
    </row>
    <row r="171" spans="1:14" x14ac:dyDescent="0.25">
      <c r="A171" s="12"/>
      <c r="B171" s="1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13"/>
    </row>
    <row r="172" spans="1:14" x14ac:dyDescent="0.25">
      <c r="A172" s="12"/>
      <c r="B172" s="1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13"/>
    </row>
    <row r="173" spans="1:14" x14ac:dyDescent="0.25">
      <c r="A173" s="12"/>
      <c r="B173" s="1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13"/>
    </row>
    <row r="174" spans="1:14" x14ac:dyDescent="0.25">
      <c r="A174" s="12"/>
      <c r="B174" s="1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13"/>
    </row>
    <row r="175" spans="1:14" x14ac:dyDescent="0.25">
      <c r="A175" s="12"/>
      <c r="B175" s="1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13"/>
    </row>
    <row r="176" spans="1:14" x14ac:dyDescent="0.25">
      <c r="A176" s="12"/>
      <c r="B176" s="1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13"/>
    </row>
    <row r="177" spans="1:14" x14ac:dyDescent="0.25">
      <c r="A177" s="12"/>
      <c r="B177" s="1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13"/>
    </row>
    <row r="178" spans="1:14" x14ac:dyDescent="0.25">
      <c r="A178" s="12"/>
      <c r="B178" s="12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13"/>
    </row>
    <row r="179" spans="1:14" x14ac:dyDescent="0.25">
      <c r="A179" s="12"/>
      <c r="B179" s="12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13"/>
    </row>
    <row r="180" spans="1:14" x14ac:dyDescent="0.25">
      <c r="A180" s="12"/>
      <c r="B180" s="12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13"/>
    </row>
    <row r="181" spans="1:14" x14ac:dyDescent="0.25">
      <c r="A181" s="12"/>
      <c r="B181" s="12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13"/>
    </row>
    <row r="182" spans="1:14" x14ac:dyDescent="0.25">
      <c r="A182" s="12"/>
      <c r="B182" s="12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13"/>
    </row>
    <row r="183" spans="1:14" x14ac:dyDescent="0.25">
      <c r="A183" s="12"/>
      <c r="B183" s="12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13"/>
    </row>
    <row r="184" spans="1:14" x14ac:dyDescent="0.25">
      <c r="A184" s="12"/>
      <c r="B184" s="12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13"/>
    </row>
    <row r="185" spans="1:14" x14ac:dyDescent="0.25">
      <c r="A185" s="12"/>
      <c r="B185" s="12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13"/>
    </row>
    <row r="186" spans="1:14" x14ac:dyDescent="0.25">
      <c r="A186" s="12"/>
      <c r="B186" s="12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13"/>
    </row>
    <row r="187" spans="1:14" x14ac:dyDescent="0.25">
      <c r="A187" s="12"/>
      <c r="B187" s="12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13"/>
    </row>
    <row r="188" spans="1:14" x14ac:dyDescent="0.25">
      <c r="A188" s="12"/>
      <c r="B188" s="12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13"/>
    </row>
    <row r="189" spans="1:14" x14ac:dyDescent="0.25">
      <c r="A189" s="12"/>
      <c r="B189" s="12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13"/>
    </row>
    <row r="190" spans="1:14" x14ac:dyDescent="0.25">
      <c r="A190" s="12"/>
      <c r="B190" s="12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13"/>
    </row>
    <row r="191" spans="1:14" x14ac:dyDescent="0.25">
      <c r="A191" s="12"/>
      <c r="B191" s="12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13"/>
    </row>
    <row r="192" spans="1:14" x14ac:dyDescent="0.25">
      <c r="A192" s="12"/>
      <c r="B192" s="12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13"/>
    </row>
    <row r="193" spans="1:14" x14ac:dyDescent="0.25">
      <c r="A193" s="12"/>
      <c r="B193" s="12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13"/>
    </row>
    <row r="194" spans="1:14" x14ac:dyDescent="0.25">
      <c r="A194" s="12"/>
      <c r="B194" s="1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13"/>
    </row>
    <row r="195" spans="1:14" x14ac:dyDescent="0.25">
      <c r="A195" s="12"/>
      <c r="B195" s="12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13"/>
    </row>
    <row r="196" spans="1:14" x14ac:dyDescent="0.25">
      <c r="A196" s="12"/>
      <c r="B196" s="12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13"/>
    </row>
    <row r="197" spans="1:14" x14ac:dyDescent="0.25">
      <c r="A197" s="12"/>
      <c r="B197" s="12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13"/>
    </row>
    <row r="198" spans="1:14" x14ac:dyDescent="0.25">
      <c r="A198" s="12"/>
      <c r="B198" s="1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13"/>
    </row>
    <row r="199" spans="1:14" x14ac:dyDescent="0.25">
      <c r="A199" s="12"/>
      <c r="B199" s="12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13"/>
    </row>
    <row r="200" spans="1:14" x14ac:dyDescent="0.25">
      <c r="A200" s="12"/>
      <c r="B200" s="12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13"/>
    </row>
    <row r="201" spans="1:14" x14ac:dyDescent="0.25">
      <c r="A201" s="12"/>
      <c r="B201" s="12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13"/>
    </row>
    <row r="202" spans="1:14" x14ac:dyDescent="0.25">
      <c r="A202" s="12"/>
      <c r="B202" s="1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13"/>
    </row>
    <row r="203" spans="1:14" x14ac:dyDescent="0.25">
      <c r="A203" s="12"/>
      <c r="B203" s="12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13"/>
    </row>
    <row r="204" spans="1:14" x14ac:dyDescent="0.25">
      <c r="A204" s="12"/>
      <c r="B204" s="12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13"/>
    </row>
    <row r="205" spans="1:14" x14ac:dyDescent="0.25">
      <c r="A205" s="12"/>
      <c r="B205" s="12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13"/>
    </row>
    <row r="206" spans="1:14" x14ac:dyDescent="0.25">
      <c r="A206" s="12"/>
      <c r="B206" s="12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13"/>
    </row>
    <row r="207" spans="1:14" x14ac:dyDescent="0.25">
      <c r="A207" s="12"/>
      <c r="B207" s="12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13"/>
    </row>
    <row r="208" spans="1:14" x14ac:dyDescent="0.25">
      <c r="A208" s="12"/>
      <c r="B208" s="12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13"/>
    </row>
    <row r="209" spans="1:14" x14ac:dyDescent="0.25">
      <c r="A209" s="12"/>
      <c r="B209" s="12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13"/>
    </row>
    <row r="210" spans="1:14" x14ac:dyDescent="0.25">
      <c r="A210" s="12"/>
      <c r="B210" s="12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13"/>
    </row>
    <row r="211" spans="1:14" x14ac:dyDescent="0.25">
      <c r="A211" s="12"/>
      <c r="B211" s="12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13"/>
    </row>
    <row r="212" spans="1:14" x14ac:dyDescent="0.25">
      <c r="A212" s="12"/>
      <c r="B212" s="12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13"/>
    </row>
    <row r="213" spans="1:14" x14ac:dyDescent="0.25">
      <c r="A213" s="12"/>
      <c r="B213" s="12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13"/>
    </row>
    <row r="214" spans="1:14" x14ac:dyDescent="0.25">
      <c r="A214" s="12"/>
      <c r="B214" s="12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13"/>
    </row>
    <row r="215" spans="1:14" x14ac:dyDescent="0.25">
      <c r="A215" s="12"/>
      <c r="B215" s="12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13"/>
    </row>
    <row r="216" spans="1:14" x14ac:dyDescent="0.25">
      <c r="A216" s="12"/>
      <c r="B216" s="12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13"/>
    </row>
    <row r="217" spans="1:14" x14ac:dyDescent="0.25">
      <c r="A217" s="12"/>
      <c r="B217" s="12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13"/>
    </row>
    <row r="218" spans="1:14" x14ac:dyDescent="0.25">
      <c r="A218" s="12"/>
      <c r="B218" s="12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13"/>
    </row>
    <row r="219" spans="1:14" x14ac:dyDescent="0.25">
      <c r="A219" s="12"/>
      <c r="B219" s="12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13"/>
    </row>
    <row r="220" spans="1:14" x14ac:dyDescent="0.25">
      <c r="A220" s="12"/>
      <c r="B220" s="12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13"/>
    </row>
    <row r="221" spans="1:14" x14ac:dyDescent="0.25">
      <c r="A221" s="12"/>
      <c r="B221" s="12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13"/>
    </row>
    <row r="222" spans="1:14" x14ac:dyDescent="0.25">
      <c r="A222" s="12"/>
      <c r="B222" s="12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13"/>
    </row>
    <row r="223" spans="1:14" x14ac:dyDescent="0.25">
      <c r="A223" s="12"/>
      <c r="B223" s="12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13"/>
    </row>
    <row r="224" spans="1:14" x14ac:dyDescent="0.25">
      <c r="A224" s="12"/>
      <c r="B224" s="12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13"/>
    </row>
    <row r="225" spans="1:14" x14ac:dyDescent="0.25">
      <c r="A225" s="12"/>
      <c r="B225" s="12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13"/>
    </row>
    <row r="226" spans="1:14" x14ac:dyDescent="0.25">
      <c r="A226" s="12"/>
      <c r="B226" s="12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13"/>
    </row>
    <row r="227" spans="1:14" x14ac:dyDescent="0.25">
      <c r="A227" s="12"/>
      <c r="B227" s="12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13"/>
    </row>
    <row r="228" spans="1:14" x14ac:dyDescent="0.25">
      <c r="A228" s="12"/>
      <c r="B228" s="12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13"/>
    </row>
    <row r="229" spans="1:14" x14ac:dyDescent="0.25">
      <c r="A229" s="12"/>
      <c r="B229" s="12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13"/>
    </row>
    <row r="230" spans="1:14" x14ac:dyDescent="0.25">
      <c r="A230" s="12"/>
      <c r="B230" s="12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13"/>
    </row>
    <row r="231" spans="1:14" x14ac:dyDescent="0.25">
      <c r="A231" s="12"/>
      <c r="B231" s="12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13"/>
    </row>
    <row r="232" spans="1:14" x14ac:dyDescent="0.25">
      <c r="A232" s="12"/>
      <c r="B232" s="12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13"/>
    </row>
    <row r="233" spans="1:14" x14ac:dyDescent="0.25">
      <c r="A233" s="12"/>
      <c r="B233" s="12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13"/>
    </row>
    <row r="234" spans="1:14" x14ac:dyDescent="0.25">
      <c r="A234" s="12"/>
      <c r="B234" s="12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13"/>
    </row>
    <row r="235" spans="1:14" x14ac:dyDescent="0.25">
      <c r="A235" s="12"/>
      <c r="B235" s="12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13"/>
    </row>
    <row r="236" spans="1:14" x14ac:dyDescent="0.25">
      <c r="A236" s="12"/>
      <c r="B236" s="12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13"/>
    </row>
    <row r="237" spans="1:14" x14ac:dyDescent="0.25">
      <c r="A237" s="12"/>
      <c r="B237" s="12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13"/>
    </row>
    <row r="238" spans="1:14" x14ac:dyDescent="0.25">
      <c r="A238" s="12"/>
      <c r="B238" s="12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13"/>
    </row>
    <row r="239" spans="1:14" x14ac:dyDescent="0.25">
      <c r="A239" s="12"/>
      <c r="B239" s="12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13"/>
    </row>
    <row r="240" spans="1:14" x14ac:dyDescent="0.25">
      <c r="A240" s="12"/>
      <c r="B240" s="12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13"/>
    </row>
    <row r="241" spans="1:14" x14ac:dyDescent="0.25">
      <c r="A241" s="12"/>
      <c r="B241" s="12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13"/>
    </row>
    <row r="242" spans="1:14" x14ac:dyDescent="0.25">
      <c r="A242" s="12"/>
      <c r="B242" s="12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13"/>
    </row>
    <row r="243" spans="1:14" x14ac:dyDescent="0.25">
      <c r="A243" s="12"/>
      <c r="B243" s="12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13"/>
    </row>
    <row r="244" spans="1:14" x14ac:dyDescent="0.25">
      <c r="A244" s="12"/>
      <c r="B244" s="12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13"/>
    </row>
    <row r="245" spans="1:14" x14ac:dyDescent="0.25">
      <c r="A245" s="12"/>
      <c r="B245" s="12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13"/>
    </row>
    <row r="246" spans="1:14" x14ac:dyDescent="0.25">
      <c r="A246" s="12"/>
      <c r="B246" s="12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13"/>
    </row>
    <row r="247" spans="1:14" x14ac:dyDescent="0.25">
      <c r="A247" s="12"/>
      <c r="B247" s="12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13"/>
    </row>
    <row r="248" spans="1:14" x14ac:dyDescent="0.25">
      <c r="A248" s="12"/>
      <c r="B248" s="12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13"/>
    </row>
    <row r="249" spans="1:14" x14ac:dyDescent="0.25">
      <c r="A249" s="12"/>
      <c r="B249" s="12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13"/>
    </row>
    <row r="250" spans="1:14" x14ac:dyDescent="0.25">
      <c r="A250" s="12"/>
      <c r="B250" s="12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13"/>
    </row>
    <row r="251" spans="1:14" x14ac:dyDescent="0.25">
      <c r="A251" s="12"/>
      <c r="B251" s="12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13"/>
    </row>
    <row r="252" spans="1:14" x14ac:dyDescent="0.25">
      <c r="A252" s="12"/>
      <c r="B252" s="12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13"/>
    </row>
    <row r="253" spans="1:14" x14ac:dyDescent="0.25">
      <c r="A253" s="12"/>
      <c r="B253" s="12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13"/>
    </row>
    <row r="254" spans="1:14" x14ac:dyDescent="0.25">
      <c r="A254" s="12"/>
      <c r="B254" s="12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13"/>
    </row>
    <row r="255" spans="1:14" x14ac:dyDescent="0.25">
      <c r="A255" s="12"/>
      <c r="B255" s="12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13"/>
    </row>
    <row r="256" spans="1:14" x14ac:dyDescent="0.25">
      <c r="A256" s="12"/>
      <c r="B256" s="12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13"/>
    </row>
    <row r="257" spans="1:14" x14ac:dyDescent="0.25">
      <c r="A257" s="12"/>
      <c r="B257" s="12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13"/>
    </row>
    <row r="258" spans="1:14" x14ac:dyDescent="0.25">
      <c r="A258" s="12"/>
      <c r="B258" s="12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13"/>
    </row>
    <row r="259" spans="1:14" x14ac:dyDescent="0.25">
      <c r="A259" s="12"/>
      <c r="B259" s="12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13"/>
    </row>
    <row r="260" spans="1:14" x14ac:dyDescent="0.25">
      <c r="A260" s="12"/>
      <c r="B260" s="12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13"/>
    </row>
    <row r="261" spans="1:14" x14ac:dyDescent="0.25">
      <c r="A261" s="12"/>
      <c r="B261" s="12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13"/>
    </row>
    <row r="262" spans="1:14" x14ac:dyDescent="0.25">
      <c r="A262" s="12"/>
      <c r="B262" s="12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13"/>
    </row>
    <row r="263" spans="1:14" x14ac:dyDescent="0.25">
      <c r="A263" s="12"/>
      <c r="B263" s="12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13"/>
    </row>
    <row r="264" spans="1:14" x14ac:dyDescent="0.25">
      <c r="A264" s="12"/>
      <c r="B264" s="12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13"/>
    </row>
    <row r="265" spans="1:14" x14ac:dyDescent="0.25">
      <c r="A265" s="12"/>
      <c r="B265" s="12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13"/>
    </row>
    <row r="266" spans="1:14" x14ac:dyDescent="0.25">
      <c r="A266" s="12"/>
      <c r="B266" s="12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13"/>
    </row>
    <row r="267" spans="1:14" x14ac:dyDescent="0.25">
      <c r="A267" s="12"/>
      <c r="B267" s="12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13"/>
    </row>
    <row r="268" spans="1:14" x14ac:dyDescent="0.25">
      <c r="A268" s="12"/>
      <c r="B268" s="12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13"/>
    </row>
    <row r="269" spans="1:14" x14ac:dyDescent="0.25">
      <c r="A269" s="12"/>
      <c r="B269" s="12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13"/>
    </row>
    <row r="270" spans="1:14" x14ac:dyDescent="0.25">
      <c r="A270" s="12"/>
      <c r="B270" s="12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13"/>
    </row>
    <row r="271" spans="1:14" x14ac:dyDescent="0.25">
      <c r="A271" s="12"/>
      <c r="B271" s="12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13"/>
    </row>
    <row r="272" spans="1:14" x14ac:dyDescent="0.25">
      <c r="A272" s="12"/>
      <c r="B272" s="12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13"/>
    </row>
    <row r="273" spans="1:14" x14ac:dyDescent="0.25">
      <c r="A273" s="12"/>
      <c r="B273" s="12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13"/>
    </row>
    <row r="274" spans="1:14" x14ac:dyDescent="0.25">
      <c r="A274" s="12"/>
      <c r="B274" s="12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13"/>
    </row>
    <row r="275" spans="1:14" x14ac:dyDescent="0.25">
      <c r="A275" s="12"/>
      <c r="B275" s="12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13"/>
    </row>
    <row r="276" spans="1:14" x14ac:dyDescent="0.25">
      <c r="A276" s="12"/>
      <c r="B276" s="12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13"/>
    </row>
    <row r="277" spans="1:14" x14ac:dyDescent="0.25">
      <c r="A277" s="12"/>
      <c r="B277" s="12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13"/>
    </row>
    <row r="278" spans="1:14" x14ac:dyDescent="0.25">
      <c r="A278" s="12"/>
      <c r="B278" s="12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13"/>
    </row>
    <row r="279" spans="1:14" x14ac:dyDescent="0.25">
      <c r="A279" s="12"/>
      <c r="B279" s="12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13"/>
    </row>
    <row r="280" spans="1:14" x14ac:dyDescent="0.25">
      <c r="A280" s="12"/>
      <c r="B280" s="12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13"/>
    </row>
    <row r="281" spans="1:14" x14ac:dyDescent="0.25">
      <c r="A281" s="12"/>
      <c r="B281" s="12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13"/>
    </row>
    <row r="282" spans="1:14" x14ac:dyDescent="0.25">
      <c r="A282" s="12"/>
      <c r="B282" s="12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13"/>
    </row>
    <row r="283" spans="1:14" x14ac:dyDescent="0.25">
      <c r="A283" s="12"/>
      <c r="B283" s="12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13"/>
    </row>
    <row r="284" spans="1:14" x14ac:dyDescent="0.25">
      <c r="A284" s="12"/>
      <c r="B284" s="12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13"/>
    </row>
    <row r="285" spans="1:14" x14ac:dyDescent="0.25">
      <c r="A285" s="12"/>
      <c r="B285" s="12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13"/>
    </row>
    <row r="286" spans="1:14" x14ac:dyDescent="0.25">
      <c r="A286" s="12"/>
      <c r="B286" s="12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13"/>
    </row>
    <row r="287" spans="1:14" x14ac:dyDescent="0.25">
      <c r="A287" s="12"/>
      <c r="B287" s="12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13"/>
    </row>
    <row r="288" spans="1:14" x14ac:dyDescent="0.25">
      <c r="A288" s="12"/>
      <c r="B288" s="12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13"/>
    </row>
    <row r="289" spans="1:14" x14ac:dyDescent="0.25">
      <c r="A289" s="12"/>
      <c r="B289" s="12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13"/>
    </row>
    <row r="290" spans="1:14" x14ac:dyDescent="0.25">
      <c r="A290" s="12"/>
      <c r="B290" s="12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13"/>
    </row>
    <row r="291" spans="1:14" x14ac:dyDescent="0.25">
      <c r="A291" s="12"/>
      <c r="B291" s="12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13"/>
    </row>
    <row r="292" spans="1:14" x14ac:dyDescent="0.25">
      <c r="A292" s="12"/>
      <c r="B292" s="12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13"/>
    </row>
    <row r="293" spans="1:14" x14ac:dyDescent="0.25">
      <c r="A293" s="12"/>
      <c r="B293" s="12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13"/>
    </row>
    <row r="294" spans="1:14" x14ac:dyDescent="0.25">
      <c r="A294" s="12"/>
      <c r="B294" s="12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13"/>
    </row>
    <row r="295" spans="1:14" x14ac:dyDescent="0.25">
      <c r="A295" s="12"/>
      <c r="B295" s="12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13"/>
    </row>
    <row r="296" spans="1:14" x14ac:dyDescent="0.25">
      <c r="A296" s="12"/>
      <c r="B296" s="12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13"/>
    </row>
    <row r="297" spans="1:14" x14ac:dyDescent="0.25">
      <c r="A297" s="12"/>
      <c r="B297" s="12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13"/>
    </row>
    <row r="298" spans="1:14" x14ac:dyDescent="0.25">
      <c r="A298" s="12"/>
      <c r="B298" s="12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13"/>
    </row>
    <row r="299" spans="1:14" x14ac:dyDescent="0.25">
      <c r="A299" s="12"/>
      <c r="B299" s="12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13"/>
    </row>
    <row r="300" spans="1:14" x14ac:dyDescent="0.25">
      <c r="A300" s="12"/>
      <c r="B300" s="12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13"/>
    </row>
    <row r="301" spans="1:14" x14ac:dyDescent="0.25">
      <c r="A301" s="12"/>
      <c r="B301" s="12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13"/>
    </row>
    <row r="302" spans="1:14" x14ac:dyDescent="0.25">
      <c r="A302" s="12"/>
      <c r="B302" s="12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13"/>
    </row>
    <row r="303" spans="1:14" x14ac:dyDescent="0.25">
      <c r="A303" s="12"/>
      <c r="B303" s="12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13"/>
    </row>
    <row r="304" spans="1:14" x14ac:dyDescent="0.25">
      <c r="A304" s="12"/>
      <c r="B304" s="12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13"/>
    </row>
    <row r="305" spans="1:14" x14ac:dyDescent="0.25">
      <c r="A305" s="12"/>
      <c r="B305" s="12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13"/>
    </row>
    <row r="306" spans="1:14" x14ac:dyDescent="0.25">
      <c r="A306" s="12"/>
      <c r="B306" s="12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13"/>
    </row>
    <row r="307" spans="1:14" x14ac:dyDescent="0.25">
      <c r="A307" s="12"/>
      <c r="B307" s="12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13"/>
    </row>
    <row r="308" spans="1:14" x14ac:dyDescent="0.25">
      <c r="A308" s="12"/>
      <c r="B308" s="12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13"/>
    </row>
    <row r="309" spans="1:14" x14ac:dyDescent="0.25">
      <c r="A309" s="12"/>
      <c r="B309" s="12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13"/>
    </row>
    <row r="310" spans="1:14" x14ac:dyDescent="0.25">
      <c r="A310" s="12"/>
      <c r="B310" s="12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13"/>
    </row>
    <row r="311" spans="1:14" x14ac:dyDescent="0.25">
      <c r="A311" s="12"/>
      <c r="B311" s="12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13"/>
    </row>
    <row r="312" spans="1:14" x14ac:dyDescent="0.25">
      <c r="A312" s="12"/>
      <c r="B312" s="12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13"/>
    </row>
    <row r="313" spans="1:14" x14ac:dyDescent="0.25">
      <c r="A313" s="12"/>
      <c r="B313" s="12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13"/>
    </row>
    <row r="314" spans="1:14" x14ac:dyDescent="0.25">
      <c r="A314" s="12"/>
      <c r="B314" s="12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13"/>
    </row>
    <row r="315" spans="1:14" x14ac:dyDescent="0.25">
      <c r="A315" s="12"/>
      <c r="B315" s="12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13"/>
    </row>
    <row r="316" spans="1:14" x14ac:dyDescent="0.25">
      <c r="A316" s="12"/>
      <c r="B316" s="12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13"/>
    </row>
    <row r="317" spans="1:14" x14ac:dyDescent="0.25">
      <c r="A317" s="12"/>
      <c r="B317" s="12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13"/>
    </row>
    <row r="318" spans="1:14" x14ac:dyDescent="0.25">
      <c r="A318" s="12"/>
      <c r="B318" s="12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13"/>
    </row>
    <row r="319" spans="1:14" x14ac:dyDescent="0.25">
      <c r="A319" s="12"/>
      <c r="B319" s="12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13"/>
    </row>
    <row r="320" spans="1:14" x14ac:dyDescent="0.25">
      <c r="A320" s="12"/>
      <c r="B320" s="12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13"/>
    </row>
    <row r="321" spans="1:14" x14ac:dyDescent="0.25">
      <c r="A321" s="12"/>
      <c r="B321" s="12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13"/>
    </row>
    <row r="322" spans="1:14" x14ac:dyDescent="0.25">
      <c r="A322" s="12"/>
      <c r="B322" s="12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13"/>
    </row>
    <row r="323" spans="1:14" x14ac:dyDescent="0.25">
      <c r="A323" s="12"/>
      <c r="B323" s="12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13"/>
    </row>
    <row r="324" spans="1:14" x14ac:dyDescent="0.25">
      <c r="A324" s="12"/>
      <c r="B324" s="12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13"/>
    </row>
    <row r="325" spans="1:14" x14ac:dyDescent="0.25">
      <c r="A325" s="12"/>
      <c r="B325" s="12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13"/>
    </row>
    <row r="326" spans="1:14" x14ac:dyDescent="0.25">
      <c r="A326" s="12"/>
      <c r="B326" s="12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13"/>
    </row>
    <row r="327" spans="1:14" x14ac:dyDescent="0.25">
      <c r="A327" s="12"/>
      <c r="B327" s="12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13"/>
    </row>
    <row r="328" spans="1:14" x14ac:dyDescent="0.25">
      <c r="A328" s="12"/>
      <c r="B328" s="12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13"/>
    </row>
    <row r="329" spans="1:14" x14ac:dyDescent="0.25">
      <c r="A329" s="12"/>
      <c r="B329" s="12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13"/>
    </row>
    <row r="330" spans="1:14" x14ac:dyDescent="0.25">
      <c r="A330" s="12"/>
      <c r="B330" s="12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13"/>
    </row>
    <row r="331" spans="1:14" x14ac:dyDescent="0.25">
      <c r="A331" s="12"/>
      <c r="B331" s="12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13"/>
    </row>
    <row r="332" spans="1:14" x14ac:dyDescent="0.25">
      <c r="A332" s="12"/>
      <c r="B332" s="12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13"/>
    </row>
    <row r="333" spans="1:14" x14ac:dyDescent="0.25">
      <c r="A333" s="12"/>
      <c r="B333" s="12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13"/>
    </row>
    <row r="334" spans="1:14" x14ac:dyDescent="0.25">
      <c r="A334" s="12"/>
      <c r="B334" s="12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13"/>
    </row>
    <row r="335" spans="1:14" x14ac:dyDescent="0.25">
      <c r="A335" s="12"/>
      <c r="B335" s="12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13"/>
    </row>
    <row r="336" spans="1:14" x14ac:dyDescent="0.25">
      <c r="A336" s="12"/>
      <c r="B336" s="12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13"/>
    </row>
    <row r="337" spans="1:14" x14ac:dyDescent="0.25">
      <c r="A337" s="12"/>
      <c r="B337" s="12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13"/>
    </row>
    <row r="338" spans="1:14" x14ac:dyDescent="0.25">
      <c r="A338" s="12"/>
      <c r="B338" s="12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13"/>
    </row>
    <row r="339" spans="1:14" x14ac:dyDescent="0.25">
      <c r="A339" s="12"/>
      <c r="B339" s="12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13"/>
    </row>
    <row r="340" spans="1:14" x14ac:dyDescent="0.25">
      <c r="A340" s="12"/>
      <c r="B340" s="12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13"/>
    </row>
    <row r="341" spans="1:14" x14ac:dyDescent="0.25">
      <c r="A341" s="12"/>
      <c r="B341" s="12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13"/>
    </row>
    <row r="342" spans="1:14" x14ac:dyDescent="0.25">
      <c r="A342" s="12"/>
      <c r="B342" s="12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13"/>
    </row>
    <row r="343" spans="1:14" x14ac:dyDescent="0.25">
      <c r="A343" s="12"/>
      <c r="B343" s="12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13"/>
    </row>
    <row r="344" spans="1:14" x14ac:dyDescent="0.25">
      <c r="A344" s="12"/>
      <c r="B344" s="12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13"/>
    </row>
    <row r="345" spans="1:14" x14ac:dyDescent="0.25">
      <c r="A345" s="12"/>
      <c r="B345" s="12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13"/>
    </row>
    <row r="346" spans="1:14" x14ac:dyDescent="0.25">
      <c r="A346" s="12"/>
      <c r="B346" s="12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13"/>
    </row>
    <row r="347" spans="1:14" x14ac:dyDescent="0.25">
      <c r="A347" s="12"/>
      <c r="B347" s="12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13"/>
    </row>
    <row r="348" spans="1:14" x14ac:dyDescent="0.25">
      <c r="A348" s="12"/>
      <c r="B348" s="12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13"/>
    </row>
    <row r="349" spans="1:14" x14ac:dyDescent="0.25">
      <c r="A349" s="12"/>
      <c r="B349" s="12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13"/>
    </row>
    <row r="350" spans="1:14" x14ac:dyDescent="0.25">
      <c r="A350" s="12"/>
      <c r="B350" s="12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13"/>
    </row>
    <row r="351" spans="1:14" x14ac:dyDescent="0.25">
      <c r="A351" s="12"/>
      <c r="B351" s="12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13"/>
    </row>
    <row r="352" spans="1:14" x14ac:dyDescent="0.25">
      <c r="A352" s="12"/>
      <c r="B352" s="12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13"/>
    </row>
    <row r="353" spans="1:14" x14ac:dyDescent="0.25">
      <c r="A353" s="12"/>
      <c r="B353" s="12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13"/>
    </row>
    <row r="354" spans="1:14" x14ac:dyDescent="0.25">
      <c r="A354" s="12"/>
      <c r="B354" s="12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13"/>
    </row>
    <row r="355" spans="1:14" x14ac:dyDescent="0.25">
      <c r="A355" s="12"/>
      <c r="B355" s="12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13"/>
    </row>
    <row r="356" spans="1:14" x14ac:dyDescent="0.25">
      <c r="A356" s="12"/>
      <c r="B356" s="12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13"/>
    </row>
    <row r="357" spans="1:14" x14ac:dyDescent="0.25">
      <c r="A357" s="12"/>
      <c r="B357" s="12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13"/>
    </row>
    <row r="358" spans="1:14" x14ac:dyDescent="0.25">
      <c r="A358" s="12"/>
      <c r="B358" s="12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13"/>
    </row>
    <row r="359" spans="1:14" x14ac:dyDescent="0.25">
      <c r="A359" s="12"/>
      <c r="B359" s="12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13"/>
    </row>
    <row r="360" spans="1:14" x14ac:dyDescent="0.25">
      <c r="A360" s="12"/>
      <c r="B360" s="12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13"/>
    </row>
    <row r="361" spans="1:14" x14ac:dyDescent="0.25">
      <c r="A361" s="12"/>
      <c r="B361" s="12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13"/>
    </row>
    <row r="362" spans="1:14" x14ac:dyDescent="0.25">
      <c r="A362" s="12"/>
      <c r="B362" s="12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13"/>
    </row>
  </sheetData>
  <conditionalFormatting sqref="A2:N2">
    <cfRule type="expression" dxfId="3" priority="5">
      <formula>LEN($O2)&gt;0</formula>
    </cfRule>
  </conditionalFormatting>
  <conditionalFormatting sqref="A3:N42 O2:O42">
    <cfRule type="expression" dxfId="2" priority="1">
      <formula>LEN($O2)&gt;0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CBC39-8ADB-4F61-8EA5-0D95B7B5C3B5}">
  <sheetPr codeName="Tabelle3"/>
  <dimension ref="A1:AR358"/>
  <sheetViews>
    <sheetView zoomScale="87" zoomScaleNormal="87" workbookViewId="0">
      <pane xSplit="3" topLeftCell="D1" activePane="topRight" state="frozen"/>
      <selection pane="topRight"/>
    </sheetView>
  </sheetViews>
  <sheetFormatPr baseColWidth="10" defaultRowHeight="13.5" x14ac:dyDescent="0.25"/>
  <cols>
    <col min="1" max="1" width="5.08203125" style="76" customWidth="1"/>
    <col min="2" max="2" width="8.58203125" style="76" bestFit="1" customWidth="1"/>
    <col min="3" max="8" width="15.33203125" style="22" customWidth="1"/>
    <col min="9" max="9" width="16.58203125" style="22" customWidth="1"/>
    <col min="10" max="43" width="15.33203125" style="22" customWidth="1"/>
    <col min="44" max="44" width="23.5" style="22" bestFit="1" customWidth="1"/>
    <col min="45" max="16384" width="10.6640625" style="22"/>
  </cols>
  <sheetData>
    <row r="1" spans="1:44" ht="14.5" x14ac:dyDescent="0.35">
      <c r="A1" s="100"/>
      <c r="B1" s="100"/>
      <c r="C1" s="101"/>
      <c r="D1" s="101"/>
      <c r="E1" s="101"/>
      <c r="F1" s="101"/>
      <c r="G1" s="101"/>
      <c r="H1" s="101"/>
      <c r="I1" s="101"/>
      <c r="J1" s="116" t="s">
        <v>65</v>
      </c>
      <c r="K1" s="117"/>
      <c r="L1" s="117"/>
      <c r="M1" s="117"/>
      <c r="N1" s="117"/>
      <c r="O1" s="117"/>
      <c r="P1" s="118"/>
      <c r="Q1" s="116" t="s">
        <v>46</v>
      </c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8"/>
      <c r="AD1" s="116" t="s">
        <v>66</v>
      </c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8"/>
      <c r="AQ1" s="101"/>
      <c r="AR1" s="101"/>
    </row>
    <row r="2" spans="1:44" s="77" customFormat="1" ht="63" customHeight="1" x14ac:dyDescent="0.25">
      <c r="A2" s="77" t="s">
        <v>0</v>
      </c>
      <c r="B2" s="78" t="s">
        <v>33</v>
      </c>
      <c r="C2" s="77" t="s">
        <v>42</v>
      </c>
      <c r="D2" s="77" t="s">
        <v>6</v>
      </c>
      <c r="E2" s="77" t="s">
        <v>75</v>
      </c>
      <c r="F2" s="77" t="s">
        <v>85</v>
      </c>
      <c r="G2" s="77" t="s">
        <v>1</v>
      </c>
      <c r="H2" s="77" t="s">
        <v>2</v>
      </c>
      <c r="I2" s="79" t="s">
        <v>54</v>
      </c>
      <c r="J2" s="80" t="s">
        <v>43</v>
      </c>
      <c r="K2" s="81" t="s">
        <v>70</v>
      </c>
      <c r="L2" s="81" t="s">
        <v>4</v>
      </c>
      <c r="M2" s="81" t="s">
        <v>5</v>
      </c>
      <c r="N2" s="81" t="s">
        <v>44</v>
      </c>
      <c r="O2" s="81" t="s">
        <v>5</v>
      </c>
      <c r="P2" s="82" t="s">
        <v>45</v>
      </c>
      <c r="Q2" s="77" t="s">
        <v>46</v>
      </c>
      <c r="R2" s="77" t="s">
        <v>86</v>
      </c>
      <c r="S2" s="77" t="s">
        <v>49</v>
      </c>
      <c r="T2" s="77" t="s">
        <v>50</v>
      </c>
      <c r="U2" s="77" t="s">
        <v>48</v>
      </c>
      <c r="V2" s="77" t="s">
        <v>67</v>
      </c>
      <c r="W2" s="77" t="s">
        <v>68</v>
      </c>
      <c r="X2" s="77" t="s">
        <v>73</v>
      </c>
      <c r="Y2" s="77" t="s">
        <v>4</v>
      </c>
      <c r="Z2" s="81" t="s">
        <v>5</v>
      </c>
      <c r="AA2" s="81" t="s">
        <v>14</v>
      </c>
      <c r="AB2" s="81" t="s">
        <v>5</v>
      </c>
      <c r="AC2" s="82" t="s">
        <v>53</v>
      </c>
      <c r="AD2" s="80" t="s">
        <v>28</v>
      </c>
      <c r="AE2" s="81" t="s">
        <v>51</v>
      </c>
      <c r="AF2" s="81" t="s">
        <v>52</v>
      </c>
      <c r="AG2" s="77" t="s">
        <v>95</v>
      </c>
      <c r="AH2" s="77" t="s">
        <v>50</v>
      </c>
      <c r="AI2" s="77" t="s">
        <v>48</v>
      </c>
      <c r="AJ2" s="77" t="s">
        <v>94</v>
      </c>
      <c r="AK2" s="77" t="s">
        <v>69</v>
      </c>
      <c r="AL2" s="81" t="s">
        <v>5</v>
      </c>
      <c r="AM2" s="81" t="s">
        <v>59</v>
      </c>
      <c r="AN2" s="77" t="s">
        <v>4</v>
      </c>
      <c r="AO2" s="81" t="s">
        <v>5</v>
      </c>
      <c r="AP2" s="82" t="s">
        <v>63</v>
      </c>
      <c r="AQ2" s="81" t="s">
        <v>76</v>
      </c>
      <c r="AR2" s="77" t="s">
        <v>92</v>
      </c>
    </row>
    <row r="3" spans="1:44" s="77" customFormat="1" ht="14.5" customHeight="1" x14ac:dyDescent="0.35">
      <c r="A3" s="102">
        <v>0</v>
      </c>
      <c r="B3" s="103">
        <f>Übersicht!D5</f>
        <v>45200</v>
      </c>
      <c r="C3" s="104">
        <f>Übersicht!B4</f>
        <v>50000</v>
      </c>
      <c r="D3" s="104">
        <f>Übersicht!$B$6</f>
        <v>2400</v>
      </c>
      <c r="E3" s="104">
        <f>C$3+SUM(D$3:D3)</f>
        <v>52400</v>
      </c>
      <c r="F3" s="105">
        <f>(D3+C3)*Übersicht!F$18</f>
        <v>104.8</v>
      </c>
      <c r="G3" s="106">
        <f>VLOOKUP(B3,Übersicht!H$11:J$14,3)</f>
        <v>0.08</v>
      </c>
      <c r="H3" s="107">
        <v>0</v>
      </c>
      <c r="I3" s="108">
        <f>C3-P3-AC3-AP3-F3-R3-AG3</f>
        <v>49895.199999999997</v>
      </c>
      <c r="J3" s="109">
        <f>MAX(MIN(C3*0.7*Übersicht!$F$21,H3),0)</f>
        <v>0</v>
      </c>
      <c r="K3" s="110">
        <f>SUM(J$3:J3)</f>
        <v>0</v>
      </c>
      <c r="L3" s="110">
        <v>0</v>
      </c>
      <c r="M3" s="111">
        <v>0</v>
      </c>
      <c r="N3" s="110">
        <f>Übersicht!$F$20</f>
        <v>1000</v>
      </c>
      <c r="O3" s="111">
        <v>0</v>
      </c>
      <c r="P3" s="112">
        <v>0</v>
      </c>
      <c r="Q3" s="111">
        <v>0</v>
      </c>
      <c r="R3" s="111">
        <f>Q3*(Übersicht!F$18+Übersicht!F$19)</f>
        <v>0</v>
      </c>
      <c r="S3" s="111">
        <v>0</v>
      </c>
      <c r="T3" s="111">
        <v>0</v>
      </c>
      <c r="U3" s="111">
        <v>0</v>
      </c>
      <c r="V3" s="104">
        <f>J3/C3*Q3</f>
        <v>0</v>
      </c>
      <c r="W3" s="111">
        <v>0</v>
      </c>
      <c r="X3" s="104">
        <f>SUM(W$3:W3)</f>
        <v>0</v>
      </c>
      <c r="Y3" s="111">
        <v>0</v>
      </c>
      <c r="Z3" s="111">
        <v>0</v>
      </c>
      <c r="AA3" s="111">
        <v>0</v>
      </c>
      <c r="AB3" s="111">
        <v>0</v>
      </c>
      <c r="AC3" s="112">
        <v>0</v>
      </c>
      <c r="AD3" s="113">
        <f>VLOOKUP(B3,Übersicht!H$11:I$14,2)</f>
        <v>1</v>
      </c>
      <c r="AE3" s="114">
        <v>0</v>
      </c>
      <c r="AF3" s="110">
        <f t="shared" ref="AF3:AF43" si="0">AE3*C3</f>
        <v>0</v>
      </c>
      <c r="AG3" s="110">
        <f>AF3*(Übersicht!F$18+Übersicht!F$19)</f>
        <v>0</v>
      </c>
      <c r="AH3" s="110">
        <f>AF3*D3</f>
        <v>0</v>
      </c>
      <c r="AI3" s="110">
        <f>AH3*G3</f>
        <v>0</v>
      </c>
      <c r="AJ3" s="110">
        <f t="shared" ref="AJ3" si="1">AI3*H3</f>
        <v>0</v>
      </c>
      <c r="AK3" s="110">
        <f t="shared" ref="AK3" si="2">AJ3*I3</f>
        <v>0</v>
      </c>
      <c r="AL3" s="110">
        <f t="shared" ref="AL3:AL43" si="3">MAX(AI3-AJ3-AK3,0)</f>
        <v>0</v>
      </c>
      <c r="AM3" s="110">
        <f>SUM(AL$3:AL3)</f>
        <v>0</v>
      </c>
      <c r="AN3" s="110">
        <f>AL3*Übersicht!$F$22</f>
        <v>0</v>
      </c>
      <c r="AO3" s="110">
        <f>AL3-AN3</f>
        <v>0</v>
      </c>
      <c r="AP3" s="112">
        <v>0</v>
      </c>
      <c r="AQ3" s="110">
        <f t="shared" ref="AQ3:AQ43" si="4">K3+X3+AM3</f>
        <v>0</v>
      </c>
      <c r="AR3" s="115" t="str">
        <f>IF(B3=Übersicht!$H$11,"Beginn Ansparphase",IF(B3=Übersicht!$H$12,"1. Umschichtung",IF(B3=Übersicht!$H$13,"2. Umschichtung",IF(B3=Übersicht!$H$14,"3. Umschichtung",IF(B3=Übersicht!$B$26,"Komplettverkauf",IF(B3=Übersicht!$B$40,"Beginn Entnahmephase",""))))))</f>
        <v>Beginn Ansparphase</v>
      </c>
    </row>
    <row r="4" spans="1:44" ht="14.5" x14ac:dyDescent="0.35">
      <c r="A4" s="102">
        <v>1</v>
      </c>
      <c r="B4" s="103">
        <f>EDATE(B3,12)</f>
        <v>45566</v>
      </c>
      <c r="C4" s="104">
        <f>FV(G3/12,12,-Übersicht!B$5,-I3)</f>
        <v>56526.462196287364</v>
      </c>
      <c r="D4" s="104">
        <f>Übersicht!$B$6</f>
        <v>2400</v>
      </c>
      <c r="E4" s="104">
        <f>C$3+SUM(D$3:D4)</f>
        <v>54800</v>
      </c>
      <c r="F4" s="105">
        <f>D4*Übersicht!F$18</f>
        <v>4.8</v>
      </c>
      <c r="G4" s="106">
        <f>VLOOKUP(B4,Übersicht!H$11:J$14,3)</f>
        <v>0.08</v>
      </c>
      <c r="H4" s="107">
        <f>C4-C3-D3</f>
        <v>4126.4621962873643</v>
      </c>
      <c r="I4" s="108">
        <f t="shared" ref="I4:I43" si="5">C4-P4-AC4-AP4-F4-R4-AG4</f>
        <v>56520.011611408845</v>
      </c>
      <c r="J4" s="109">
        <f>MAX(MIN(C4*0.7*Übersicht!$F$21,H4),0)</f>
        <v>1187.0557061220345</v>
      </c>
      <c r="K4" s="110">
        <f>SUM(J$3:J4)</f>
        <v>1187.0557061220345</v>
      </c>
      <c r="L4" s="110">
        <f>J4*Übersicht!$F$22</f>
        <v>356.11671183661036</v>
      </c>
      <c r="M4" s="111">
        <f>J4-L4</f>
        <v>830.93899428542409</v>
      </c>
      <c r="N4" s="110">
        <f>Übersicht!$F$20</f>
        <v>1000</v>
      </c>
      <c r="O4" s="111">
        <f t="shared" ref="O4:O43" si="6">IF(N4&gt;=M4,0,M4-N4)</f>
        <v>0</v>
      </c>
      <c r="P4" s="112">
        <f>O4*Übersicht!$F$23</f>
        <v>0</v>
      </c>
      <c r="Q4" s="111">
        <f>H4*Übersicht!B$11</f>
        <v>412.64621962873645</v>
      </c>
      <c r="R4" s="111">
        <f>Q4*(Übersicht!F$18+Übersicht!F$19)</f>
        <v>1.6505848785149457</v>
      </c>
      <c r="S4" s="111">
        <f>C4/(C$3+SUM(D$3:D3))</f>
        <v>1.0787492785551023</v>
      </c>
      <c r="T4" s="111">
        <f>AF4/S4</f>
        <v>0</v>
      </c>
      <c r="U4" s="111">
        <f>Q4-Q4/S4</f>
        <v>30.123396363034885</v>
      </c>
      <c r="V4" s="104">
        <f t="shared" ref="V4:V43" si="7">J4/C4*Q4</f>
        <v>8.6655706122034637</v>
      </c>
      <c r="W4" s="111">
        <f>U4-V4</f>
        <v>21.457825750831422</v>
      </c>
      <c r="X4" s="104">
        <f>SUM(W$3:W4)</f>
        <v>21.457825750831422</v>
      </c>
      <c r="Y4" s="111">
        <f>W4*Übersicht!$F$22</f>
        <v>6.4373477252494267</v>
      </c>
      <c r="Z4" s="111">
        <f>W4-Y4</f>
        <v>15.020478025581994</v>
      </c>
      <c r="AA4" s="111">
        <f>IF(M4&gt;=N4,0,N4-M4)</f>
        <v>169.06100571457591</v>
      </c>
      <c r="AB4" s="111">
        <f>IF(AA4&gt;=Z4,0,Z4-AA4)</f>
        <v>0</v>
      </c>
      <c r="AC4" s="112">
        <f>AB4*Übersicht!F$23</f>
        <v>0</v>
      </c>
      <c r="AD4" s="113">
        <f>VLOOKUP(B4,Übersicht!H$11:I$14,2)</f>
        <v>1</v>
      </c>
      <c r="AE4" s="114">
        <f t="shared" ref="AE4:AE43" si="8">IF(AD4=AD3,0,AD3-AD4)</f>
        <v>0</v>
      </c>
      <c r="AF4" s="110">
        <f t="shared" si="0"/>
        <v>0</v>
      </c>
      <c r="AG4" s="110">
        <f>AF4*(Übersicht!F$18+Übersicht!F$19)</f>
        <v>0</v>
      </c>
      <c r="AH4" s="110">
        <f t="shared" ref="AH4:AH11" si="9">AF4/S4</f>
        <v>0</v>
      </c>
      <c r="AI4" s="110">
        <f t="shared" ref="AI4:AI11" si="10">AF4-AF4/S4</f>
        <v>0</v>
      </c>
      <c r="AJ4" s="110">
        <f t="shared" ref="AJ4:AJ43" si="11">J4/C4*AF4</f>
        <v>0</v>
      </c>
      <c r="AK4" s="110">
        <f>SUM(W$3:W4)</f>
        <v>21.457825750831422</v>
      </c>
      <c r="AL4" s="110">
        <f t="shared" si="3"/>
        <v>0</v>
      </c>
      <c r="AM4" s="110">
        <f>SUM(AL$3:AL4)</f>
        <v>0</v>
      </c>
      <c r="AN4" s="110">
        <f>AL4*Übersicht!$F$22</f>
        <v>0</v>
      </c>
      <c r="AO4" s="110">
        <f>AL4-AN4</f>
        <v>0</v>
      </c>
      <c r="AP4" s="112">
        <f>AO4*Übersicht!F$23</f>
        <v>0</v>
      </c>
      <c r="AQ4" s="110">
        <f t="shared" si="4"/>
        <v>1208.513531872866</v>
      </c>
      <c r="AR4" s="115" t="str">
        <f>IF(B4=Übersicht!$H$11,"Beginn Ansparphase",IF(B4=Übersicht!$H$12,"1. Umschichtung",IF(B4=Übersicht!$H$13,"2. Umschichtung",IF(B4=Übersicht!$H$14,"3. Umschichtung",IF(B4=Übersicht!$B$26,"Komplettverkauf",IF(B4=Übersicht!$B$40,"Beginn Entnahmephase",""))))))</f>
        <v/>
      </c>
    </row>
    <row r="5" spans="1:44" ht="14.5" x14ac:dyDescent="0.35">
      <c r="A5" s="102">
        <v>2</v>
      </c>
      <c r="B5" s="103">
        <f t="shared" ref="B5:B31" si="12">EDATE(B4,12)</f>
        <v>45931</v>
      </c>
      <c r="C5" s="104">
        <f>FV(G4/12,12,-Übersicht!B$5,-I4)</f>
        <v>63701.129904135814</v>
      </c>
      <c r="D5" s="104">
        <f>Übersicht!$B$6</f>
        <v>2400</v>
      </c>
      <c r="E5" s="104">
        <f>C$3+SUM(D$3:D5)</f>
        <v>57200</v>
      </c>
      <c r="F5" s="105">
        <f>D5*Übersicht!F$18</f>
        <v>4.8</v>
      </c>
      <c r="G5" s="106">
        <f>VLOOKUP(B5,Übersicht!H$11:J$14,3)</f>
        <v>0.08</v>
      </c>
      <c r="H5" s="107">
        <f t="shared" ref="H5:H43" si="13">C5-C4-D4</f>
        <v>4774.6677078484499</v>
      </c>
      <c r="I5" s="108">
        <f>C5-P5-AC5-AP5-F5-R5-AG5</f>
        <v>63694.420037052674</v>
      </c>
      <c r="J5" s="109">
        <f>MAX(MIN(C5*0.7*Übersicht!$F$21,H5),0)</f>
        <v>1337.7237279868521</v>
      </c>
      <c r="K5" s="110">
        <f>SUM(J$3:J5)</f>
        <v>2524.7794341088866</v>
      </c>
      <c r="L5" s="110">
        <f>J5*Übersicht!$F$22</f>
        <v>401.3171183960556</v>
      </c>
      <c r="M5" s="111">
        <f t="shared" ref="M5:M43" si="14">J5-L5</f>
        <v>936.40660959079651</v>
      </c>
      <c r="N5" s="110">
        <f>Übersicht!$F$20</f>
        <v>1000</v>
      </c>
      <c r="O5" s="111">
        <f t="shared" si="6"/>
        <v>0</v>
      </c>
      <c r="P5" s="112">
        <f>O5*Übersicht!$F$23</f>
        <v>0</v>
      </c>
      <c r="Q5" s="111">
        <f>H5*Übersicht!B$11</f>
        <v>477.46677078484504</v>
      </c>
      <c r="R5" s="111">
        <f>Q5*(Übersicht!F$18+Übersicht!F$19)</f>
        <v>1.9098670831393803</v>
      </c>
      <c r="S5" s="111">
        <f>C5/(C$3+SUM(D$3:D4))</f>
        <v>1.1624293778126973</v>
      </c>
      <c r="T5" s="111">
        <f t="shared" ref="T5:T43" si="15">Q5/S5</f>
        <v>410.74905701650243</v>
      </c>
      <c r="U5" s="111">
        <f t="shared" ref="U5:U43" si="16">Q5-Q5/S5</f>
        <v>66.717713768342605</v>
      </c>
      <c r="V5" s="104">
        <f t="shared" si="7"/>
        <v>10.026802186481746</v>
      </c>
      <c r="W5" s="111">
        <f t="shared" ref="W5:W43" si="17">U5-V5</f>
        <v>56.69091158186086</v>
      </c>
      <c r="X5" s="104">
        <f>SUM(W$3:W5)</f>
        <v>78.148737332692278</v>
      </c>
      <c r="Y5" s="111">
        <f>W5*Übersicht!$F$22</f>
        <v>17.007273474558257</v>
      </c>
      <c r="Z5" s="111">
        <f t="shared" ref="Z5:Z43" si="18">W5-Y5</f>
        <v>39.683638107302599</v>
      </c>
      <c r="AA5" s="111">
        <f t="shared" ref="AA5:AA43" si="19">IF(M5&gt;=N5,0,N5-M5)</f>
        <v>63.593390409203494</v>
      </c>
      <c r="AB5" s="111">
        <f t="shared" ref="AB5:AB43" si="20">IF(AA5&gt;=Z5,0,Z5-AA5)</f>
        <v>0</v>
      </c>
      <c r="AC5" s="112">
        <f>AB5*Übersicht!F$23</f>
        <v>0</v>
      </c>
      <c r="AD5" s="113">
        <f>VLOOKUP(B5,Übersicht!H$11:I$14,2)</f>
        <v>1</v>
      </c>
      <c r="AE5" s="114">
        <f t="shared" si="8"/>
        <v>0</v>
      </c>
      <c r="AF5" s="110">
        <f t="shared" si="0"/>
        <v>0</v>
      </c>
      <c r="AG5" s="110">
        <f>AF5*(Übersicht!F$18+Übersicht!F$19)</f>
        <v>0</v>
      </c>
      <c r="AH5" s="110">
        <f t="shared" si="9"/>
        <v>0</v>
      </c>
      <c r="AI5" s="110">
        <f t="shared" si="10"/>
        <v>0</v>
      </c>
      <c r="AJ5" s="110">
        <f t="shared" si="11"/>
        <v>0</v>
      </c>
      <c r="AK5" s="110">
        <f>SUM(W$3:W5)</f>
        <v>78.148737332692278</v>
      </c>
      <c r="AL5" s="110">
        <f t="shared" si="3"/>
        <v>0</v>
      </c>
      <c r="AM5" s="110">
        <f>SUM(AL$3:AL5)</f>
        <v>0</v>
      </c>
      <c r="AN5" s="110">
        <f>AL5*Übersicht!$F$22</f>
        <v>0</v>
      </c>
      <c r="AO5" s="110">
        <f>AL5-AN5</f>
        <v>0</v>
      </c>
      <c r="AP5" s="112">
        <f>AO5*Übersicht!F$23</f>
        <v>0</v>
      </c>
      <c r="AQ5" s="110">
        <f t="shared" si="4"/>
        <v>2602.9281714415788</v>
      </c>
      <c r="AR5" s="115" t="str">
        <f>IF(B5=Übersicht!$H$11,"Beginn Ansparphase",IF(B5=Übersicht!$H$12,"1. Umschichtung",IF(B5=Übersicht!$H$13,"2. Umschichtung",IF(B5=Übersicht!$H$14,"3. Umschichtung",IF(B5=Übersicht!$B$26,"Komplettverkauf",IF(B5=Übersicht!$B$40,"Beginn Entnahmephase",""))))))</f>
        <v/>
      </c>
    </row>
    <row r="6" spans="1:44" ht="14.5" x14ac:dyDescent="0.35">
      <c r="A6" s="102">
        <v>3</v>
      </c>
      <c r="B6" s="103">
        <f t="shared" si="12"/>
        <v>46296</v>
      </c>
      <c r="C6" s="104">
        <f>FV(G5/12,12,-Übersicht!B$5,-I5)</f>
        <v>71471.010690743729</v>
      </c>
      <c r="D6" s="104">
        <f>Übersicht!$B$6</f>
        <v>2400</v>
      </c>
      <c r="E6" s="104">
        <f>C$3+SUM(D$3:D6)</f>
        <v>59600</v>
      </c>
      <c r="F6" s="105">
        <f>D6*Übersicht!F$18</f>
        <v>4.8</v>
      </c>
      <c r="G6" s="106">
        <f>VLOOKUP(B6,Übersicht!H$11:J$14,3)</f>
        <v>0.08</v>
      </c>
      <c r="H6" s="107">
        <f>C6-C5-D5</f>
        <v>5369.8807866079151</v>
      </c>
      <c r="I6" s="108">
        <f t="shared" si="5"/>
        <v>71431.294536555506</v>
      </c>
      <c r="J6" s="109">
        <f>MAX(MIN(C6*0.7*Übersicht!$F$21,H6),0)</f>
        <v>1500.8912245056181</v>
      </c>
      <c r="K6" s="110">
        <f>SUM(J$3:J6)</f>
        <v>4025.6706586145046</v>
      </c>
      <c r="L6" s="110">
        <f>J6*Übersicht!$F$22</f>
        <v>450.26736735168544</v>
      </c>
      <c r="M6" s="111">
        <f t="shared" si="14"/>
        <v>1050.6238571539327</v>
      </c>
      <c r="N6" s="110">
        <f>Übersicht!$F$20</f>
        <v>1000</v>
      </c>
      <c r="O6" s="111">
        <f t="shared" si="6"/>
        <v>50.623857153932704</v>
      </c>
      <c r="P6" s="112">
        <f>O6*Übersicht!$F$23</f>
        <v>14.083557060224079</v>
      </c>
      <c r="Q6" s="111">
        <f>H6*Übersicht!B$11</f>
        <v>536.98807866079153</v>
      </c>
      <c r="R6" s="111">
        <f>Q6*(Übersicht!F$18+Übersicht!F$19)</f>
        <v>2.1479523146431663</v>
      </c>
      <c r="S6" s="111">
        <f>C6/(C$3+SUM(D$3:D5))</f>
        <v>1.2494931938941212</v>
      </c>
      <c r="T6" s="111">
        <f t="shared" si="15"/>
        <v>429.76470883145481</v>
      </c>
      <c r="U6" s="111">
        <f t="shared" si="16"/>
        <v>107.22336982933672</v>
      </c>
      <c r="V6" s="104">
        <f t="shared" si="7"/>
        <v>11.276749651876621</v>
      </c>
      <c r="W6" s="111">
        <f t="shared" si="17"/>
        <v>95.94662017746009</v>
      </c>
      <c r="X6" s="104">
        <f>SUM(W$3:W6)</f>
        <v>174.09535751015238</v>
      </c>
      <c r="Y6" s="111">
        <f>W6*Übersicht!$F$22</f>
        <v>28.783986053238024</v>
      </c>
      <c r="Z6" s="111">
        <f t="shared" si="18"/>
        <v>67.162634124222066</v>
      </c>
      <c r="AA6" s="111">
        <f t="shared" si="19"/>
        <v>0</v>
      </c>
      <c r="AB6" s="111">
        <f t="shared" si="20"/>
        <v>67.162634124222066</v>
      </c>
      <c r="AC6" s="112">
        <f>AB6*Übersicht!F$23</f>
        <v>18.684644813358577</v>
      </c>
      <c r="AD6" s="113">
        <f>VLOOKUP(B6,Übersicht!H$11:I$14,2)</f>
        <v>1</v>
      </c>
      <c r="AE6" s="114">
        <f t="shared" si="8"/>
        <v>0</v>
      </c>
      <c r="AF6" s="110">
        <f t="shared" si="0"/>
        <v>0</v>
      </c>
      <c r="AG6" s="110">
        <f>AF6*(Übersicht!F$18+Übersicht!F$19)</f>
        <v>0</v>
      </c>
      <c r="AH6" s="110">
        <f t="shared" si="9"/>
        <v>0</v>
      </c>
      <c r="AI6" s="110">
        <f t="shared" si="10"/>
        <v>0</v>
      </c>
      <c r="AJ6" s="110">
        <f t="shared" si="11"/>
        <v>0</v>
      </c>
      <c r="AK6" s="110">
        <f>SUM(W$3:W6)</f>
        <v>174.09535751015238</v>
      </c>
      <c r="AL6" s="110">
        <f t="shared" si="3"/>
        <v>0</v>
      </c>
      <c r="AM6" s="110">
        <f>SUM(AL$3:AL6)</f>
        <v>0</v>
      </c>
      <c r="AN6" s="110">
        <f>AL6*Übersicht!$F$22</f>
        <v>0</v>
      </c>
      <c r="AO6" s="110">
        <f>AL6-AN6</f>
        <v>0</v>
      </c>
      <c r="AP6" s="112">
        <f>AO6*Übersicht!F$23</f>
        <v>0</v>
      </c>
      <c r="AQ6" s="110">
        <f t="shared" si="4"/>
        <v>4199.7660161246567</v>
      </c>
      <c r="AR6" s="115" t="str">
        <f>IF(B6=Übersicht!$H$11,"Beginn Ansparphase",IF(B6=Übersicht!$H$12,"1. Umschichtung",IF(B6=Übersicht!$H$13,"2. Umschichtung",IF(B6=Übersicht!$H$14,"3. Umschichtung",IF(B6=Übersicht!$B$26,"Komplettverkauf",IF(B6=Übersicht!$B$40,"Beginn Entnahmephase",""))))))</f>
        <v/>
      </c>
    </row>
    <row r="7" spans="1:44" ht="14.5" x14ac:dyDescent="0.35">
      <c r="A7" s="102">
        <v>4</v>
      </c>
      <c r="B7" s="103">
        <f t="shared" si="12"/>
        <v>46661</v>
      </c>
      <c r="C7" s="104">
        <f>FV(G6/12,12,-Übersicht!B$5,-I6)</f>
        <v>79850.041957936905</v>
      </c>
      <c r="D7" s="104">
        <f>Übersicht!$B$6</f>
        <v>2400</v>
      </c>
      <c r="E7" s="104">
        <f>C$3+SUM(D$3:D7)</f>
        <v>62000</v>
      </c>
      <c r="F7" s="105">
        <f>D7*Übersicht!F$18</f>
        <v>4.8</v>
      </c>
      <c r="G7" s="106">
        <f>VLOOKUP(B7,Übersicht!H$11:J$14,3)</f>
        <v>0.08</v>
      </c>
      <c r="H7" s="107">
        <f t="shared" si="13"/>
        <v>5979.0312671931752</v>
      </c>
      <c r="I7" s="108">
        <f t="shared" si="5"/>
        <v>79767.417367518705</v>
      </c>
      <c r="J7" s="109">
        <f>MAX(MIN(C7*0.7*Übersicht!$F$21,H7),0)</f>
        <v>1676.8508811166748</v>
      </c>
      <c r="K7" s="110">
        <f>SUM(J$3:J7)</f>
        <v>5702.5215397311795</v>
      </c>
      <c r="L7" s="110">
        <f>J7*Übersicht!$F$22</f>
        <v>503.05526433500245</v>
      </c>
      <c r="M7" s="111">
        <f t="shared" si="14"/>
        <v>1173.7956167816724</v>
      </c>
      <c r="N7" s="110">
        <f>Übersicht!$F$20</f>
        <v>1000</v>
      </c>
      <c r="O7" s="111">
        <f t="shared" si="6"/>
        <v>173.79561678167238</v>
      </c>
      <c r="P7" s="112">
        <f>O7*Übersicht!$F$23</f>
        <v>48.349940588661255</v>
      </c>
      <c r="Q7" s="111">
        <f>H7*Übersicht!B$11</f>
        <v>597.90312671931758</v>
      </c>
      <c r="R7" s="111">
        <f>Q7*(Übersicht!F$18+Übersicht!F$19)</f>
        <v>2.3916125068772702</v>
      </c>
      <c r="S7" s="111">
        <f>C7/(C$3+SUM(D$3:D6))</f>
        <v>1.3397658046633709</v>
      </c>
      <c r="T7" s="111">
        <f t="shared" si="15"/>
        <v>446.2743597710695</v>
      </c>
      <c r="U7" s="111">
        <f t="shared" si="16"/>
        <v>151.62876694824809</v>
      </c>
      <c r="V7" s="104">
        <f t="shared" si="7"/>
        <v>12.555965661105668</v>
      </c>
      <c r="W7" s="111">
        <f t="shared" si="17"/>
        <v>139.07280128714243</v>
      </c>
      <c r="X7" s="104">
        <f>SUM(W$3:W7)</f>
        <v>313.16815879729484</v>
      </c>
      <c r="Y7" s="111">
        <f>W7*Übersicht!$F$22</f>
        <v>41.721840386142723</v>
      </c>
      <c r="Z7" s="111">
        <f t="shared" si="18"/>
        <v>97.350960900999695</v>
      </c>
      <c r="AA7" s="111">
        <f t="shared" si="19"/>
        <v>0</v>
      </c>
      <c r="AB7" s="111">
        <f t="shared" si="20"/>
        <v>97.350960900999695</v>
      </c>
      <c r="AC7" s="112">
        <f>AB7*Übersicht!F$23</f>
        <v>27.083037322658114</v>
      </c>
      <c r="AD7" s="113">
        <f>VLOOKUP(B7,Übersicht!H$11:I$14,2)</f>
        <v>1</v>
      </c>
      <c r="AE7" s="114">
        <f t="shared" si="8"/>
        <v>0</v>
      </c>
      <c r="AF7" s="110">
        <f t="shared" si="0"/>
        <v>0</v>
      </c>
      <c r="AG7" s="110">
        <f>AF7*(Übersicht!F$18+Übersicht!F$19)</f>
        <v>0</v>
      </c>
      <c r="AH7" s="110">
        <f t="shared" si="9"/>
        <v>0</v>
      </c>
      <c r="AI7" s="110">
        <f t="shared" si="10"/>
        <v>0</v>
      </c>
      <c r="AJ7" s="110">
        <f t="shared" si="11"/>
        <v>0</v>
      </c>
      <c r="AK7" s="110">
        <f>SUM(W$3:W7)</f>
        <v>313.16815879729484</v>
      </c>
      <c r="AL7" s="110">
        <f t="shared" si="3"/>
        <v>0</v>
      </c>
      <c r="AM7" s="110">
        <f>SUM(AL$3:AL7)</f>
        <v>0</v>
      </c>
      <c r="AN7" s="110">
        <f>AL7*Übersicht!$F$22</f>
        <v>0</v>
      </c>
      <c r="AO7" s="110">
        <f t="shared" ref="AO7:AO43" si="21">AL7-AN7</f>
        <v>0</v>
      </c>
      <c r="AP7" s="112">
        <f>AO7*Übersicht!F$23</f>
        <v>0</v>
      </c>
      <c r="AQ7" s="110">
        <f t="shared" si="4"/>
        <v>6015.6896985284748</v>
      </c>
      <c r="AR7" s="115" t="str">
        <f>IF(B7=Übersicht!$H$11,"Beginn Ansparphase",IF(B7=Übersicht!$H$12,"1. Umschichtung",IF(B7=Übersicht!$H$13,"2. Umschichtung",IF(B7=Übersicht!$H$14,"3. Umschichtung",IF(B7=Übersicht!$B$26,"Komplettverkauf",IF(B7=Übersicht!$B$40,"Beginn Entnahmephase",""))))))</f>
        <v/>
      </c>
    </row>
    <row r="8" spans="1:44" ht="14.5" x14ac:dyDescent="0.35">
      <c r="A8" s="102">
        <v>5</v>
      </c>
      <c r="B8" s="103">
        <f t="shared" si="12"/>
        <v>47027</v>
      </c>
      <c r="C8" s="104">
        <f>FV(G7/12,12,-Übersicht!B$5,-I7)</f>
        <v>88878.058872556867</v>
      </c>
      <c r="D8" s="104">
        <f>Übersicht!$B$6</f>
        <v>2400</v>
      </c>
      <c r="E8" s="104">
        <f>C$3+SUM(D$3:D8)</f>
        <v>64400</v>
      </c>
      <c r="F8" s="105">
        <f>D8*Übersicht!F$18</f>
        <v>4.8</v>
      </c>
      <c r="G8" s="106">
        <f>VLOOKUP(B8,Übersicht!H$11:J$14,3)</f>
        <v>0.08</v>
      </c>
      <c r="H8" s="107">
        <f t="shared" si="13"/>
        <v>6628.0169146199623</v>
      </c>
      <c r="I8" s="108">
        <f t="shared" si="5"/>
        <v>88749.013927792112</v>
      </c>
      <c r="J8" s="109">
        <f>MAX(MIN(C8*0.7*Übersicht!$F$21,H8),0)</f>
        <v>1866.4392363236939</v>
      </c>
      <c r="K8" s="110">
        <f>SUM(J$3:J8)</f>
        <v>7568.9607760548733</v>
      </c>
      <c r="L8" s="110">
        <f>J8*Übersicht!$F$22</f>
        <v>559.93177089710809</v>
      </c>
      <c r="M8" s="111">
        <f t="shared" si="14"/>
        <v>1306.5074654265859</v>
      </c>
      <c r="N8" s="110">
        <f>Übersicht!$F$20</f>
        <v>1000</v>
      </c>
      <c r="O8" s="111">
        <f t="shared" si="6"/>
        <v>306.5074654265859</v>
      </c>
      <c r="P8" s="112">
        <f>O8*Übersicht!$F$23</f>
        <v>85.270376881676199</v>
      </c>
      <c r="Q8" s="111">
        <f>H8*Übersicht!B$11</f>
        <v>662.80169146199626</v>
      </c>
      <c r="R8" s="111">
        <f>Q8*(Übersicht!F$18+Übersicht!F$19)</f>
        <v>2.6512067658479852</v>
      </c>
      <c r="S8" s="111">
        <f>C8/(C$3+SUM(D$3:D7))</f>
        <v>1.433517078589627</v>
      </c>
      <c r="T8" s="111">
        <f t="shared" si="15"/>
        <v>462.36051272866388</v>
      </c>
      <c r="U8" s="111">
        <f t="shared" si="16"/>
        <v>200.44117873333238</v>
      </c>
      <c r="V8" s="104">
        <f t="shared" si="7"/>
        <v>13.91883552070192</v>
      </c>
      <c r="W8" s="111">
        <f t="shared" si="17"/>
        <v>186.52234321263046</v>
      </c>
      <c r="X8" s="104">
        <f>SUM(W$3:W8)</f>
        <v>499.6905020099253</v>
      </c>
      <c r="Y8" s="111">
        <f>W8*Übersicht!$F$22</f>
        <v>55.956702963789134</v>
      </c>
      <c r="Z8" s="111">
        <f t="shared" si="18"/>
        <v>130.56564024884133</v>
      </c>
      <c r="AA8" s="111">
        <f t="shared" si="19"/>
        <v>0</v>
      </c>
      <c r="AB8" s="111">
        <f t="shared" si="20"/>
        <v>130.56564024884133</v>
      </c>
      <c r="AC8" s="112">
        <f>AB8*Übersicht!F$23</f>
        <v>36.323361117227662</v>
      </c>
      <c r="AD8" s="113">
        <f>VLOOKUP(B8,Übersicht!H$11:I$14,2)</f>
        <v>1</v>
      </c>
      <c r="AE8" s="114">
        <f t="shared" si="8"/>
        <v>0</v>
      </c>
      <c r="AF8" s="110">
        <f t="shared" si="0"/>
        <v>0</v>
      </c>
      <c r="AG8" s="110">
        <f>AF8*(Übersicht!F$18+Übersicht!F$19)</f>
        <v>0</v>
      </c>
      <c r="AH8" s="110">
        <f t="shared" si="9"/>
        <v>0</v>
      </c>
      <c r="AI8" s="110">
        <f t="shared" si="10"/>
        <v>0</v>
      </c>
      <c r="AJ8" s="110">
        <f t="shared" si="11"/>
        <v>0</v>
      </c>
      <c r="AK8" s="110">
        <f>SUM(W$3:W8)</f>
        <v>499.6905020099253</v>
      </c>
      <c r="AL8" s="110">
        <f t="shared" si="3"/>
        <v>0</v>
      </c>
      <c r="AM8" s="110">
        <f>SUM(AL$3:AL8)</f>
        <v>0</v>
      </c>
      <c r="AN8" s="110">
        <f>AL8*Übersicht!$F$22</f>
        <v>0</v>
      </c>
      <c r="AO8" s="110">
        <f t="shared" si="21"/>
        <v>0</v>
      </c>
      <c r="AP8" s="112">
        <f>AO8*Übersicht!F$23</f>
        <v>0</v>
      </c>
      <c r="AQ8" s="110">
        <f t="shared" si="4"/>
        <v>8068.651278064799</v>
      </c>
      <c r="AR8" s="115" t="str">
        <f>IF(B8=Übersicht!$H$11,"Beginn Ansparphase",IF(B8=Übersicht!$H$12,"1. Umschichtung",IF(B8=Übersicht!$H$13,"2. Umschichtung",IF(B8=Übersicht!$H$14,"3. Umschichtung",IF(B8=Übersicht!$B$26,"Komplettverkauf",IF(B8=Übersicht!$B$40,"Beginn Entnahmephase",""))))))</f>
        <v/>
      </c>
    </row>
    <row r="9" spans="1:44" ht="14.5" x14ac:dyDescent="0.35">
      <c r="A9" s="102">
        <v>6</v>
      </c>
      <c r="B9" s="103">
        <f t="shared" si="12"/>
        <v>47392</v>
      </c>
      <c r="C9" s="104">
        <f>FV(G8/12,12,-Übersicht!B$5,-I8)</f>
        <v>98605.123517676999</v>
      </c>
      <c r="D9" s="104">
        <f>Übersicht!$B$6</f>
        <v>2400</v>
      </c>
      <c r="E9" s="104">
        <f>C$3+SUM(D$3:D9)</f>
        <v>66800</v>
      </c>
      <c r="F9" s="105">
        <f>D9*Übersicht!F$18</f>
        <v>4.8</v>
      </c>
      <c r="G9" s="106">
        <f>VLOOKUP(B9,Übersicht!H$11:J$14,3)</f>
        <v>0.08</v>
      </c>
      <c r="H9" s="107">
        <f t="shared" si="13"/>
        <v>7327.0646451201319</v>
      </c>
      <c r="I9" s="108">
        <f t="shared" si="5"/>
        <v>98425.842756094833</v>
      </c>
      <c r="J9" s="109">
        <f>MAX(MIN(C9*0.7*Übersicht!$F$21,H9),0)</f>
        <v>2070.7075938712164</v>
      </c>
      <c r="K9" s="110">
        <f>SUM(J$3:J9)</f>
        <v>9639.6683699260902</v>
      </c>
      <c r="L9" s="110">
        <f>J9*Übersicht!$F$22</f>
        <v>621.21227816136491</v>
      </c>
      <c r="M9" s="111">
        <f t="shared" si="14"/>
        <v>1449.4953157098516</v>
      </c>
      <c r="N9" s="110">
        <f>Übersicht!$F$20</f>
        <v>1000</v>
      </c>
      <c r="O9" s="111">
        <f t="shared" si="6"/>
        <v>449.49531570985164</v>
      </c>
      <c r="P9" s="112">
        <f>O9*Übersicht!$F$23</f>
        <v>125.04959683048072</v>
      </c>
      <c r="Q9" s="111">
        <f>H9*Übersicht!B$11</f>
        <v>732.70646451201321</v>
      </c>
      <c r="R9" s="111">
        <f>Q9*(Übersicht!F$18+Übersicht!F$19)</f>
        <v>2.9308258580480531</v>
      </c>
      <c r="S9" s="111">
        <f>C9/(C$3+SUM(D$3:D8))</f>
        <v>1.5311354583490218</v>
      </c>
      <c r="T9" s="111">
        <f t="shared" si="15"/>
        <v>478.53797684371375</v>
      </c>
      <c r="U9" s="111">
        <f t="shared" si="16"/>
        <v>254.16848766829946</v>
      </c>
      <c r="V9" s="104">
        <f t="shared" si="7"/>
        <v>15.386835754752273</v>
      </c>
      <c r="W9" s="111">
        <f t="shared" si="17"/>
        <v>238.78165191354719</v>
      </c>
      <c r="X9" s="104">
        <f>SUM(W$3:W9)</f>
        <v>738.47215392347243</v>
      </c>
      <c r="Y9" s="111">
        <f>W9*Übersicht!$F$22</f>
        <v>71.634495574064161</v>
      </c>
      <c r="Z9" s="111">
        <f t="shared" si="18"/>
        <v>167.14715633948305</v>
      </c>
      <c r="AA9" s="111">
        <f t="shared" si="19"/>
        <v>0</v>
      </c>
      <c r="AB9" s="111">
        <f t="shared" si="20"/>
        <v>167.14715633948305</v>
      </c>
      <c r="AC9" s="112">
        <f>AB9*Übersicht!F$23</f>
        <v>46.500338893644184</v>
      </c>
      <c r="AD9" s="113">
        <f>VLOOKUP(B9,Übersicht!H$11:I$14,2)</f>
        <v>1</v>
      </c>
      <c r="AE9" s="114">
        <f t="shared" si="8"/>
        <v>0</v>
      </c>
      <c r="AF9" s="110">
        <f t="shared" si="0"/>
        <v>0</v>
      </c>
      <c r="AG9" s="110">
        <f>AF9*(Übersicht!F$18+Übersicht!F$19)</f>
        <v>0</v>
      </c>
      <c r="AH9" s="110">
        <f t="shared" si="9"/>
        <v>0</v>
      </c>
      <c r="AI9" s="110">
        <f t="shared" si="10"/>
        <v>0</v>
      </c>
      <c r="AJ9" s="110">
        <f t="shared" si="11"/>
        <v>0</v>
      </c>
      <c r="AK9" s="110">
        <f>SUM(W$3:W9)</f>
        <v>738.47215392347243</v>
      </c>
      <c r="AL9" s="110">
        <f t="shared" si="3"/>
        <v>0</v>
      </c>
      <c r="AM9" s="110">
        <f>SUM(AL$3:AL9)</f>
        <v>0</v>
      </c>
      <c r="AN9" s="110">
        <f>AL9*Übersicht!$F$22</f>
        <v>0</v>
      </c>
      <c r="AO9" s="110">
        <f t="shared" si="21"/>
        <v>0</v>
      </c>
      <c r="AP9" s="112">
        <f>AO9*Übersicht!F$23</f>
        <v>0</v>
      </c>
      <c r="AQ9" s="110">
        <f t="shared" si="4"/>
        <v>10378.140523849563</v>
      </c>
      <c r="AR9" s="115" t="str">
        <f>IF(B9=Übersicht!$H$11,"Beginn Ansparphase",IF(B9=Übersicht!$H$12,"1. Umschichtung",IF(B9=Übersicht!$H$13,"2. Umschichtung",IF(B9=Übersicht!$H$14,"3. Umschichtung",IF(B9=Übersicht!$B$26,"Komplettverkauf",IF(B9=Übersicht!$B$40,"Beginn Entnahmephase",""))))))</f>
        <v/>
      </c>
    </row>
    <row r="10" spans="1:44" ht="14.5" x14ac:dyDescent="0.35">
      <c r="A10" s="102">
        <v>7</v>
      </c>
      <c r="B10" s="103">
        <f t="shared" si="12"/>
        <v>47757</v>
      </c>
      <c r="C10" s="104">
        <f>FV(G9/12,12,-Übersicht!B$5,-I9)</f>
        <v>109085.12436618954</v>
      </c>
      <c r="D10" s="104">
        <f>Übersicht!$B$6</f>
        <v>2400</v>
      </c>
      <c r="E10" s="104">
        <f>C$3+SUM(D$3:D10)</f>
        <v>69200</v>
      </c>
      <c r="F10" s="105">
        <f>D10*Übersicht!F$18</f>
        <v>4.8</v>
      </c>
      <c r="G10" s="106">
        <f>VLOOKUP(B10,Übersicht!H$11:J$14,3)</f>
        <v>0.08</v>
      </c>
      <c r="H10" s="107">
        <f t="shared" si="13"/>
        <v>8080.0008485125436</v>
      </c>
      <c r="I10" s="108">
        <f t="shared" si="5"/>
        <v>108851.49451904462</v>
      </c>
      <c r="J10" s="109">
        <f>MAX(MIN(C10*0.7*Übersicht!$F$21,H10),0)</f>
        <v>2290.7876116899802</v>
      </c>
      <c r="K10" s="110">
        <f>SUM(J$3:J10)</f>
        <v>11930.455981616071</v>
      </c>
      <c r="L10" s="110">
        <f>J10*Übersicht!$F$22</f>
        <v>687.23628350699403</v>
      </c>
      <c r="M10" s="111">
        <f t="shared" si="14"/>
        <v>1603.5513281829863</v>
      </c>
      <c r="N10" s="110">
        <f>Übersicht!$F$20</f>
        <v>1000</v>
      </c>
      <c r="O10" s="111">
        <f t="shared" si="6"/>
        <v>603.55132818298625</v>
      </c>
      <c r="P10" s="112">
        <f>O10*Übersicht!$F$23</f>
        <v>167.90797950050677</v>
      </c>
      <c r="Q10" s="111">
        <f>H10*Übersicht!B$11</f>
        <v>808.00008485125443</v>
      </c>
      <c r="R10" s="111">
        <f>Q10*(Übersicht!F$18+Übersicht!F$19)</f>
        <v>3.2320003394050176</v>
      </c>
      <c r="S10" s="111">
        <f>C10/(C$3+SUM(D$3:D9))</f>
        <v>1.6330108438052326</v>
      </c>
      <c r="T10" s="111">
        <f t="shared" si="15"/>
        <v>494.79162242943664</v>
      </c>
      <c r="U10" s="111">
        <f t="shared" si="16"/>
        <v>313.20846242181779</v>
      </c>
      <c r="V10" s="104">
        <f t="shared" si="7"/>
        <v>16.968001781876342</v>
      </c>
      <c r="W10" s="111">
        <f t="shared" si="17"/>
        <v>296.24046063994143</v>
      </c>
      <c r="X10" s="104">
        <f>SUM(W$3:W10)</f>
        <v>1034.7126145634138</v>
      </c>
      <c r="Y10" s="111">
        <f>W10*Übersicht!$F$22</f>
        <v>88.87213819198243</v>
      </c>
      <c r="Z10" s="111">
        <f t="shared" si="18"/>
        <v>207.368322447959</v>
      </c>
      <c r="AA10" s="111">
        <f t="shared" si="19"/>
        <v>0</v>
      </c>
      <c r="AB10" s="111">
        <f t="shared" si="20"/>
        <v>207.368322447959</v>
      </c>
      <c r="AC10" s="112">
        <f>AB10*Übersicht!F$23</f>
        <v>57.689867305022197</v>
      </c>
      <c r="AD10" s="113">
        <f>VLOOKUP(B10,Übersicht!H$11:I$14,2)</f>
        <v>1</v>
      </c>
      <c r="AE10" s="114">
        <f t="shared" si="8"/>
        <v>0</v>
      </c>
      <c r="AF10" s="110">
        <f t="shared" si="0"/>
        <v>0</v>
      </c>
      <c r="AG10" s="110">
        <f>AF10*(Übersicht!F$18+Übersicht!F$19)</f>
        <v>0</v>
      </c>
      <c r="AH10" s="110">
        <f t="shared" si="9"/>
        <v>0</v>
      </c>
      <c r="AI10" s="110">
        <f t="shared" si="10"/>
        <v>0</v>
      </c>
      <c r="AJ10" s="110">
        <f t="shared" si="11"/>
        <v>0</v>
      </c>
      <c r="AK10" s="110">
        <f>SUM(W$3:W10)</f>
        <v>1034.7126145634138</v>
      </c>
      <c r="AL10" s="110">
        <f t="shared" si="3"/>
        <v>0</v>
      </c>
      <c r="AM10" s="110">
        <f>SUM(AL$3:AL10)</f>
        <v>0</v>
      </c>
      <c r="AN10" s="110">
        <f>AL10*Übersicht!$F$22</f>
        <v>0</v>
      </c>
      <c r="AO10" s="110">
        <f t="shared" si="21"/>
        <v>0</v>
      </c>
      <c r="AP10" s="112">
        <f>AO10*Übersicht!F$23</f>
        <v>0</v>
      </c>
      <c r="AQ10" s="110">
        <f t="shared" si="4"/>
        <v>12965.168596179485</v>
      </c>
      <c r="AR10" s="115" t="str">
        <f>IF(B10=Übersicht!$H$11,"Beginn Ansparphase",IF(B10=Übersicht!$H$12,"1. Umschichtung",IF(B10=Übersicht!$H$13,"2. Umschichtung",IF(B10=Übersicht!$H$14,"3. Umschichtung",IF(B10=Übersicht!$B$26,"Komplettverkauf",IF(B10=Übersicht!$B$40,"Beginn Entnahmephase",""))))))</f>
        <v/>
      </c>
    </row>
    <row r="11" spans="1:44" ht="14.5" x14ac:dyDescent="0.35">
      <c r="A11" s="102">
        <v>8</v>
      </c>
      <c r="B11" s="103">
        <f t="shared" si="12"/>
        <v>48122</v>
      </c>
      <c r="C11" s="104">
        <f>FV(G10/12,12,-Übersicht!B$5,-I10)</f>
        <v>120376.100083611</v>
      </c>
      <c r="D11" s="104">
        <f>Übersicht!$B$6</f>
        <v>2400</v>
      </c>
      <c r="E11" s="104">
        <f>C$3+SUM(D$3:D11)</f>
        <v>71600</v>
      </c>
      <c r="F11" s="105">
        <f>D11*Übersicht!F$18</f>
        <v>4.8</v>
      </c>
      <c r="G11" s="106">
        <f>VLOOKUP(B11,Übersicht!H$11:J$14,3)</f>
        <v>0.08</v>
      </c>
      <c r="H11" s="107">
        <f t="shared" si="13"/>
        <v>8890.975717421461</v>
      </c>
      <c r="I11" s="108">
        <f t="shared" si="5"/>
        <v>120083.68771706475</v>
      </c>
      <c r="J11" s="109">
        <f>MAX(MIN(C11*0.7*Übersicht!$F$21,H11),0)</f>
        <v>2527.8981017558308</v>
      </c>
      <c r="K11" s="110">
        <f>SUM(J$3:J11)</f>
        <v>14458.354083371902</v>
      </c>
      <c r="L11" s="110">
        <f>J11*Übersicht!$F$22</f>
        <v>758.36943052674917</v>
      </c>
      <c r="M11" s="111">
        <f t="shared" si="14"/>
        <v>1769.5286712290817</v>
      </c>
      <c r="N11" s="110">
        <f>Übersicht!$F$20</f>
        <v>1000</v>
      </c>
      <c r="O11" s="111">
        <f t="shared" si="6"/>
        <v>769.52867122908174</v>
      </c>
      <c r="P11" s="112">
        <f>O11*Übersicht!$F$23</f>
        <v>214.08287633593054</v>
      </c>
      <c r="Q11" s="111">
        <f>H11*Übersicht!B$11</f>
        <v>889.0975717421461</v>
      </c>
      <c r="R11" s="111">
        <f>Q11*(Übersicht!F$18+Übersicht!F$19)</f>
        <v>3.5563902869685844</v>
      </c>
      <c r="S11" s="111">
        <f>C11/(C$3+SUM(D$3:D10))</f>
        <v>1.739539018549292</v>
      </c>
      <c r="T11" s="111">
        <f t="shared" si="15"/>
        <v>511.11102554262851</v>
      </c>
      <c r="U11" s="111">
        <f t="shared" si="16"/>
        <v>377.98654619951759</v>
      </c>
      <c r="V11" s="104">
        <f t="shared" si="7"/>
        <v>18.671049006585065</v>
      </c>
      <c r="W11" s="111">
        <f t="shared" si="17"/>
        <v>359.31549719293253</v>
      </c>
      <c r="X11" s="104">
        <f>SUM(W$3:W11)</f>
        <v>1394.0281117563463</v>
      </c>
      <c r="Y11" s="111">
        <f>W11*Übersicht!$F$22</f>
        <v>107.79464915787976</v>
      </c>
      <c r="Z11" s="111">
        <f t="shared" si="18"/>
        <v>251.52084803505278</v>
      </c>
      <c r="AA11" s="111">
        <f t="shared" si="19"/>
        <v>0</v>
      </c>
      <c r="AB11" s="111">
        <f t="shared" si="20"/>
        <v>251.52084803505278</v>
      </c>
      <c r="AC11" s="112">
        <f>AB11*Übersicht!F$23</f>
        <v>69.973099923351683</v>
      </c>
      <c r="AD11" s="113">
        <f>VLOOKUP(B11,Übersicht!H$11:I$14,2)</f>
        <v>1</v>
      </c>
      <c r="AE11" s="114">
        <f t="shared" si="8"/>
        <v>0</v>
      </c>
      <c r="AF11" s="110">
        <f t="shared" si="0"/>
        <v>0</v>
      </c>
      <c r="AG11" s="110">
        <f>AF11*(Übersicht!F$18+Übersicht!F$19)</f>
        <v>0</v>
      </c>
      <c r="AH11" s="110">
        <f t="shared" si="9"/>
        <v>0</v>
      </c>
      <c r="AI11" s="110">
        <f t="shared" si="10"/>
        <v>0</v>
      </c>
      <c r="AJ11" s="110">
        <f t="shared" si="11"/>
        <v>0</v>
      </c>
      <c r="AK11" s="110">
        <f>SUM(W$3:W11)</f>
        <v>1394.0281117563463</v>
      </c>
      <c r="AL11" s="110">
        <f t="shared" si="3"/>
        <v>0</v>
      </c>
      <c r="AM11" s="110">
        <f>SUM(AL$3:AL11)</f>
        <v>0</v>
      </c>
      <c r="AN11" s="110">
        <f>AL11*Übersicht!$F$22</f>
        <v>0</v>
      </c>
      <c r="AO11" s="110">
        <f t="shared" si="21"/>
        <v>0</v>
      </c>
      <c r="AP11" s="112">
        <f>AO11*Übersicht!F$23</f>
        <v>0</v>
      </c>
      <c r="AQ11" s="110">
        <f t="shared" si="4"/>
        <v>15852.382195128248</v>
      </c>
      <c r="AR11" s="115" t="str">
        <f>IF(B11=Übersicht!$H$11,"Beginn Ansparphase",IF(B11=Übersicht!$H$12,"1. Umschichtung",IF(B11=Übersicht!$H$13,"2. Umschichtung",IF(B11=Übersicht!$H$14,"3. Umschichtung",IF(B11=Übersicht!$B$26,"Komplettverkauf",IF(B11=Übersicht!$B$40,"Beginn Entnahmephase",""))))))</f>
        <v/>
      </c>
    </row>
    <row r="12" spans="1:44" ht="14.5" x14ac:dyDescent="0.35">
      <c r="A12" s="102">
        <v>9</v>
      </c>
      <c r="B12" s="103">
        <f t="shared" si="12"/>
        <v>48488</v>
      </c>
      <c r="C12" s="104">
        <f>FV(G11/12,12,-Übersicht!B$5,-I11)</f>
        <v>132540.55977743346</v>
      </c>
      <c r="D12" s="104">
        <f>Übersicht!$B$6</f>
        <v>2400</v>
      </c>
      <c r="E12" s="104">
        <f>C$3+SUM(D$3:D12)</f>
        <v>74000</v>
      </c>
      <c r="F12" s="105">
        <f>D12*Übersicht!F$18</f>
        <v>4.8</v>
      </c>
      <c r="G12" s="106">
        <f>VLOOKUP(B12,Übersicht!H$11:J$14,3)</f>
        <v>0.08</v>
      </c>
      <c r="H12" s="107">
        <f t="shared" si="13"/>
        <v>9764.4596938224568</v>
      </c>
      <c r="I12" s="108">
        <f t="shared" si="5"/>
        <v>132184.58717825203</v>
      </c>
      <c r="J12" s="109">
        <f>MAX(MIN(C12*0.7*Übersicht!$F$21,H12),0)</f>
        <v>2783.3517553261026</v>
      </c>
      <c r="K12" s="110">
        <f>SUM(J$3:J12)</f>
        <v>17241.705838698006</v>
      </c>
      <c r="L12" s="110">
        <f>J12*Übersicht!$F$22</f>
        <v>835.00552659783079</v>
      </c>
      <c r="M12" s="111">
        <f t="shared" si="14"/>
        <v>1948.3462287282719</v>
      </c>
      <c r="N12" s="110">
        <f>Übersicht!$F$20</f>
        <v>1000</v>
      </c>
      <c r="O12" s="111">
        <f t="shared" si="6"/>
        <v>948.34622872827185</v>
      </c>
      <c r="P12" s="112">
        <f>O12*Übersicht!$F$23</f>
        <v>263.82992083220523</v>
      </c>
      <c r="Q12" s="111">
        <f>H12*Übersicht!B$11</f>
        <v>976.44596938224572</v>
      </c>
      <c r="R12" s="111">
        <f>Q12*(Übersicht!F$18+Übersicht!F$19)</f>
        <v>3.9057838775289828</v>
      </c>
      <c r="S12" s="111">
        <f>C12/(C$3+SUM(D$3:D11))</f>
        <v>1.8511251365563333</v>
      </c>
      <c r="T12" s="111">
        <f t="shared" si="15"/>
        <v>527.48782353997854</v>
      </c>
      <c r="U12" s="111">
        <f>Q12-Q12/S12</f>
        <v>448.95814584226719</v>
      </c>
      <c r="V12" s="104">
        <f>J12/C12*Q12</f>
        <v>20.505365357027163</v>
      </c>
      <c r="W12" s="111">
        <f>U12-V12</f>
        <v>428.45278048524</v>
      </c>
      <c r="X12" s="104">
        <f>SUM(W$3:W12)</f>
        <v>1822.4808922415864</v>
      </c>
      <c r="Y12" s="111">
        <f>W12*Übersicht!$F$22</f>
        <v>128.53583414557198</v>
      </c>
      <c r="Z12" s="111">
        <f t="shared" si="18"/>
        <v>299.91694633966802</v>
      </c>
      <c r="AA12" s="111">
        <f t="shared" si="19"/>
        <v>0</v>
      </c>
      <c r="AB12" s="111">
        <f t="shared" si="20"/>
        <v>299.91694633966802</v>
      </c>
      <c r="AC12" s="112">
        <f>AB12*Übersicht!F$23</f>
        <v>83.436894471695638</v>
      </c>
      <c r="AD12" s="113">
        <f>VLOOKUP(B12,Übersicht!H$11:I$14,2)</f>
        <v>1</v>
      </c>
      <c r="AE12" s="114">
        <f t="shared" si="8"/>
        <v>0</v>
      </c>
      <c r="AF12" s="110">
        <f t="shared" si="0"/>
        <v>0</v>
      </c>
      <c r="AG12" s="110">
        <f>AF12*(Übersicht!F$18+Übersicht!F$19)</f>
        <v>0</v>
      </c>
      <c r="AH12" s="110">
        <f t="shared" ref="AH12:AH43" si="22">AF12/S12</f>
        <v>0</v>
      </c>
      <c r="AI12" s="110">
        <f t="shared" ref="AI12:AI43" si="23">AF12-AF12/S12</f>
        <v>0</v>
      </c>
      <c r="AJ12" s="110">
        <f t="shared" si="11"/>
        <v>0</v>
      </c>
      <c r="AK12" s="110">
        <f>SUM(W$3:W12)</f>
        <v>1822.4808922415864</v>
      </c>
      <c r="AL12" s="110">
        <f t="shared" si="3"/>
        <v>0</v>
      </c>
      <c r="AM12" s="110">
        <f>SUM(AL$3:AL12)</f>
        <v>0</v>
      </c>
      <c r="AN12" s="110">
        <f>AL12*Übersicht!$F$22</f>
        <v>0</v>
      </c>
      <c r="AO12" s="110">
        <f t="shared" si="21"/>
        <v>0</v>
      </c>
      <c r="AP12" s="112">
        <f>AO12*Übersicht!F$23</f>
        <v>0</v>
      </c>
      <c r="AQ12" s="110">
        <f t="shared" si="4"/>
        <v>19064.186730939593</v>
      </c>
      <c r="AR12" s="115" t="str">
        <f>IF(B12=Übersicht!$H$11,"Beginn Ansparphase",IF(B12=Übersicht!$H$12,"1. Umschichtung",IF(B12=Übersicht!$H$13,"2. Umschichtung",IF(B12=Übersicht!$H$14,"3. Umschichtung",IF(B12=Übersicht!$B$26,"Komplettverkauf",IF(B12=Übersicht!$B$40,"Beginn Entnahmephase",""))))))</f>
        <v/>
      </c>
    </row>
    <row r="13" spans="1:44" ht="14.5" x14ac:dyDescent="0.35">
      <c r="A13" s="102">
        <v>10</v>
      </c>
      <c r="B13" s="103">
        <f t="shared" si="12"/>
        <v>48853</v>
      </c>
      <c r="C13" s="104">
        <f>FV(G12/12,12,-Übersicht!B$5,-I12)</f>
        <v>145645.82792582654</v>
      </c>
      <c r="D13" s="104">
        <f>Übersicht!$B$6</f>
        <v>2400</v>
      </c>
      <c r="E13" s="104">
        <f>C$3+SUM(D$3:D13)</f>
        <v>76400</v>
      </c>
      <c r="F13" s="105">
        <f>D13*Übersicht!F$18</f>
        <v>4.8</v>
      </c>
      <c r="G13" s="106">
        <f>VLOOKUP(B13,Übersicht!H$11:J$14,3)</f>
        <v>0.08</v>
      </c>
      <c r="H13" s="107">
        <f t="shared" si="13"/>
        <v>10705.268148393079</v>
      </c>
      <c r="I13" s="108">
        <f t="shared" si="5"/>
        <v>145221.14700203569</v>
      </c>
      <c r="J13" s="109">
        <f>MAX(MIN(C13*0.7*Übersicht!$F$21,H13),0)</f>
        <v>3058.5623864423569</v>
      </c>
      <c r="K13" s="110">
        <f>SUM(J$3:J13)</f>
        <v>20300.268225140364</v>
      </c>
      <c r="L13" s="110">
        <f>J13*Übersicht!$F$22</f>
        <v>917.56871593270705</v>
      </c>
      <c r="M13" s="111">
        <f t="shared" si="14"/>
        <v>2140.9936705096497</v>
      </c>
      <c r="N13" s="110">
        <f>Übersicht!$F$20</f>
        <v>1000</v>
      </c>
      <c r="O13" s="111">
        <f t="shared" si="6"/>
        <v>1140.9936705096497</v>
      </c>
      <c r="P13" s="112">
        <f>O13*Übersicht!$F$23</f>
        <v>317.42443913578455</v>
      </c>
      <c r="Q13" s="111">
        <f>H13*Übersicht!B$11</f>
        <v>1070.5268148393079</v>
      </c>
      <c r="R13" s="111">
        <f>Q13*(Übersicht!F$18+Übersicht!F$19)</f>
        <v>4.2821072593572316</v>
      </c>
      <c r="S13" s="111">
        <f>C13/(C$3+SUM(D$3:D12))</f>
        <v>1.9681868638625208</v>
      </c>
      <c r="T13" s="111">
        <f t="shared" si="15"/>
        <v>543.91523208239687</v>
      </c>
      <c r="U13" s="111">
        <f t="shared" si="16"/>
        <v>526.61158275691105</v>
      </c>
      <c r="V13" s="104">
        <f t="shared" si="7"/>
        <v>22.481063111625463</v>
      </c>
      <c r="W13" s="111">
        <f t="shared" si="17"/>
        <v>504.13051964528557</v>
      </c>
      <c r="X13" s="104">
        <f>SUM(W$3:W13)</f>
        <v>2326.6114118868718</v>
      </c>
      <c r="Y13" s="111">
        <f>W13*Übersicht!$F$22</f>
        <v>151.23915589358566</v>
      </c>
      <c r="Z13" s="111">
        <f t="shared" si="18"/>
        <v>352.89136375169994</v>
      </c>
      <c r="AA13" s="111">
        <f t="shared" si="19"/>
        <v>0</v>
      </c>
      <c r="AB13" s="111">
        <f t="shared" si="20"/>
        <v>352.89136375169994</v>
      </c>
      <c r="AC13" s="112">
        <f>AB13*Übersicht!F$23</f>
        <v>98.174377395722928</v>
      </c>
      <c r="AD13" s="113">
        <f>VLOOKUP(B13,Übersicht!H$11:I$14,2)</f>
        <v>1</v>
      </c>
      <c r="AE13" s="114">
        <f t="shared" si="8"/>
        <v>0</v>
      </c>
      <c r="AF13" s="110">
        <f t="shared" si="0"/>
        <v>0</v>
      </c>
      <c r="AG13" s="110">
        <f>AF13*(Übersicht!F$18+Übersicht!F$19)</f>
        <v>0</v>
      </c>
      <c r="AH13" s="110">
        <f t="shared" si="22"/>
        <v>0</v>
      </c>
      <c r="AI13" s="110">
        <f t="shared" si="23"/>
        <v>0</v>
      </c>
      <c r="AJ13" s="110">
        <f t="shared" si="11"/>
        <v>0</v>
      </c>
      <c r="AK13" s="110">
        <f>SUM(W$3:W13)</f>
        <v>2326.6114118868718</v>
      </c>
      <c r="AL13" s="110">
        <f t="shared" si="3"/>
        <v>0</v>
      </c>
      <c r="AM13" s="110">
        <f>SUM(AL$3:AL13)</f>
        <v>0</v>
      </c>
      <c r="AN13" s="110">
        <f>AL13*Übersicht!$F$22</f>
        <v>0</v>
      </c>
      <c r="AO13" s="110">
        <f t="shared" si="21"/>
        <v>0</v>
      </c>
      <c r="AP13" s="112">
        <f>AO13*Übersicht!F$23</f>
        <v>0</v>
      </c>
      <c r="AQ13" s="110">
        <f t="shared" si="4"/>
        <v>22626.879637027236</v>
      </c>
      <c r="AR13" s="115" t="str">
        <f>IF(B13=Übersicht!$H$11,"Beginn Ansparphase",IF(B13=Übersicht!$H$12,"1. Umschichtung",IF(B13=Übersicht!$H$13,"2. Umschichtung",IF(B13=Übersicht!$H$14,"3. Umschichtung",IF(B13=Übersicht!$B$26,"Komplettverkauf",IF(B13=Übersicht!$B$40,"Beginn Entnahmephase",""))))))</f>
        <v/>
      </c>
    </row>
    <row r="14" spans="1:44" ht="14.5" x14ac:dyDescent="0.35">
      <c r="A14" s="102">
        <v>11</v>
      </c>
      <c r="B14" s="103">
        <f t="shared" si="12"/>
        <v>49218</v>
      </c>
      <c r="C14" s="104">
        <f>FV(G13/12,12,-Übersicht!B$5,-I13)</f>
        <v>159764.41578545087</v>
      </c>
      <c r="D14" s="104">
        <f>Übersicht!$B$6</f>
        <v>2400</v>
      </c>
      <c r="E14" s="104">
        <f>C$3+SUM(D$3:D14)</f>
        <v>78800</v>
      </c>
      <c r="F14" s="105">
        <f>D14*Übersicht!F$18</f>
        <v>4.8</v>
      </c>
      <c r="G14" s="106">
        <f>VLOOKUP(B14,Übersicht!H$11:J$14,3)</f>
        <v>0.08</v>
      </c>
      <c r="H14" s="107">
        <f t="shared" si="13"/>
        <v>11718.587859624327</v>
      </c>
      <c r="I14" s="108">
        <f t="shared" si="5"/>
        <v>159265.47986272475</v>
      </c>
      <c r="J14" s="109">
        <f>MAX(MIN(C14*0.7*Übersicht!$F$21,H14),0)</f>
        <v>3355.0527314944679</v>
      </c>
      <c r="K14" s="110">
        <f>SUM(J$3:J14)</f>
        <v>23655.320956634831</v>
      </c>
      <c r="L14" s="110">
        <f>J14*Übersicht!$F$22</f>
        <v>1006.5158194483404</v>
      </c>
      <c r="M14" s="111">
        <f t="shared" si="14"/>
        <v>2348.5369120461273</v>
      </c>
      <c r="N14" s="110">
        <f>Übersicht!$F$20</f>
        <v>1000</v>
      </c>
      <c r="O14" s="111">
        <f t="shared" si="6"/>
        <v>1348.5369120461273</v>
      </c>
      <c r="P14" s="112">
        <f>O14*Übersicht!$F$23</f>
        <v>375.16296893123263</v>
      </c>
      <c r="Q14" s="111">
        <f>H14*Übersicht!B$11</f>
        <v>1171.8587859624329</v>
      </c>
      <c r="R14" s="111">
        <f>Q14*(Übersicht!F$18+Übersicht!F$19)</f>
        <v>4.6874351438497319</v>
      </c>
      <c r="S14" s="111">
        <f>C14/(C$3+SUM(D$3:D13))</f>
        <v>2.0911572746786762</v>
      </c>
      <c r="T14" s="111">
        <f t="shared" si="15"/>
        <v>560.38768587718914</v>
      </c>
      <c r="U14" s="111">
        <f t="shared" si="16"/>
        <v>611.47110008524373</v>
      </c>
      <c r="V14" s="104">
        <f t="shared" si="7"/>
        <v>24.609034505211088</v>
      </c>
      <c r="W14" s="111">
        <f t="shared" si="17"/>
        <v>586.86206558003266</v>
      </c>
      <c r="X14" s="104">
        <f>SUM(W$3:W14)</f>
        <v>2913.4734774669046</v>
      </c>
      <c r="Y14" s="111">
        <f>W14*Übersicht!$F$22</f>
        <v>176.0586196740098</v>
      </c>
      <c r="Z14" s="111">
        <f t="shared" si="18"/>
        <v>410.80344590602283</v>
      </c>
      <c r="AA14" s="111">
        <f t="shared" si="19"/>
        <v>0</v>
      </c>
      <c r="AB14" s="111">
        <f t="shared" si="20"/>
        <v>410.80344590602283</v>
      </c>
      <c r="AC14" s="112">
        <f>AB14*Übersicht!F$23</f>
        <v>114.28551865105555</v>
      </c>
      <c r="AD14" s="113">
        <f>VLOOKUP(B14,Übersicht!H$11:I$14,2)</f>
        <v>1</v>
      </c>
      <c r="AE14" s="114">
        <f>IF(AD14=AD13,0,AD13-AD14)</f>
        <v>0</v>
      </c>
      <c r="AF14" s="110">
        <f t="shared" si="0"/>
        <v>0</v>
      </c>
      <c r="AG14" s="110">
        <f>AF14*(Übersicht!F$18+Übersicht!F$19)</f>
        <v>0</v>
      </c>
      <c r="AH14" s="110">
        <f t="shared" si="22"/>
        <v>0</v>
      </c>
      <c r="AI14" s="110">
        <f t="shared" si="23"/>
        <v>0</v>
      </c>
      <c r="AJ14" s="110">
        <f t="shared" si="11"/>
        <v>0</v>
      </c>
      <c r="AK14" s="110">
        <f>SUM(W$3:W14)</f>
        <v>2913.4734774669046</v>
      </c>
      <c r="AL14" s="110">
        <f t="shared" si="3"/>
        <v>0</v>
      </c>
      <c r="AM14" s="110">
        <f>SUM(AL$3:AL14)</f>
        <v>0</v>
      </c>
      <c r="AN14" s="110">
        <f>AL14*Übersicht!$F$22</f>
        <v>0</v>
      </c>
      <c r="AO14" s="110">
        <f t="shared" si="21"/>
        <v>0</v>
      </c>
      <c r="AP14" s="112">
        <f>AO14*Übersicht!F$23</f>
        <v>0</v>
      </c>
      <c r="AQ14" s="110">
        <f>K14+X14+AM14</f>
        <v>26568.794434101736</v>
      </c>
      <c r="AR14" s="115" t="str">
        <f>IF(B14=Übersicht!$H$11,"Beginn Ansparphase",IF(B14=Übersicht!$H$12,"1. Umschichtung",IF(B14=Übersicht!$H$13,"2. Umschichtung",IF(B14=Übersicht!$H$14,"3. Umschichtung",IF(B14=Übersicht!$B$26,"Komplettverkauf",IF(B14=Übersicht!$B$40,"Beginn Entnahmephase",""))))))</f>
        <v/>
      </c>
    </row>
    <row r="15" spans="1:44" ht="14.5" x14ac:dyDescent="0.35">
      <c r="A15" s="102">
        <v>12</v>
      </c>
      <c r="B15" s="103">
        <f t="shared" si="12"/>
        <v>49583</v>
      </c>
      <c r="C15" s="104">
        <f>FV(G14/12,12,-Übersicht!B$5,-I14)</f>
        <v>174974.4213470176</v>
      </c>
      <c r="D15" s="104">
        <f>Übersicht!$B$6</f>
        <v>2400</v>
      </c>
      <c r="E15" s="104">
        <f>C$3+SUM(D$3:D15)</f>
        <v>81200</v>
      </c>
      <c r="F15" s="105">
        <f>D15*Übersicht!F$18</f>
        <v>4.8</v>
      </c>
      <c r="G15" s="106">
        <f>VLOOKUP(B15,Übersicht!H$11:J$14,3)</f>
        <v>0.08</v>
      </c>
      <c r="H15" s="107">
        <f t="shared" si="13"/>
        <v>12810.005561566737</v>
      </c>
      <c r="I15" s="108">
        <f t="shared" si="5"/>
        <v>174395.25472188927</v>
      </c>
      <c r="J15" s="109">
        <f>MAX(MIN(C15*0.7*Übersicht!$F$21,H15),0)</f>
        <v>3674.4628482873691</v>
      </c>
      <c r="K15" s="110">
        <f>SUM(J$3:J15)</f>
        <v>27329.783804922201</v>
      </c>
      <c r="L15" s="110">
        <f>J15*Übersicht!$F$22</f>
        <v>1102.3388544862107</v>
      </c>
      <c r="M15" s="111">
        <f t="shared" si="14"/>
        <v>2572.1239938011586</v>
      </c>
      <c r="N15" s="110">
        <f>Übersicht!$F$20</f>
        <v>1000</v>
      </c>
      <c r="O15" s="111">
        <f t="shared" si="6"/>
        <v>1572.1239938011586</v>
      </c>
      <c r="P15" s="112">
        <f>O15*Übersicht!$F$23</f>
        <v>437.36489507548231</v>
      </c>
      <c r="Q15" s="111">
        <f>H15*Übersicht!B$11</f>
        <v>1281.0005561566738</v>
      </c>
      <c r="R15" s="111">
        <f>Q15*(Übersicht!F$18+Übersicht!F$19)</f>
        <v>5.1240022246266959</v>
      </c>
      <c r="S15" s="111">
        <f>C15/(C$3+SUM(D$3:D14))</f>
        <v>2.2204875805459086</v>
      </c>
      <c r="T15" s="111">
        <f t="shared" si="15"/>
        <v>576.900572369668</v>
      </c>
      <c r="U15" s="111">
        <f t="shared" si="16"/>
        <v>704.09998378700584</v>
      </c>
      <c r="V15" s="104">
        <f>J15/C15*Q15</f>
        <v>26.901011679290146</v>
      </c>
      <c r="W15" s="111">
        <f>U15-V15</f>
        <v>677.19897210771569</v>
      </c>
      <c r="X15" s="104">
        <f>SUM(W$3:W15)</f>
        <v>3590.6724495746203</v>
      </c>
      <c r="Y15" s="111">
        <f>W15*Übersicht!$F$22</f>
        <v>203.15969163231469</v>
      </c>
      <c r="Z15" s="111">
        <f t="shared" si="18"/>
        <v>474.03928047540103</v>
      </c>
      <c r="AA15" s="111">
        <f t="shared" si="19"/>
        <v>0</v>
      </c>
      <c r="AB15" s="111">
        <f t="shared" si="20"/>
        <v>474.03928047540103</v>
      </c>
      <c r="AC15" s="112">
        <f>AB15*Übersicht!F$23</f>
        <v>131.87772782825658</v>
      </c>
      <c r="AD15" s="113">
        <f>VLOOKUP(B15,Übersicht!H$11:I$14,2)</f>
        <v>1</v>
      </c>
      <c r="AE15" s="114">
        <f t="shared" si="8"/>
        <v>0</v>
      </c>
      <c r="AF15" s="110">
        <f t="shared" si="0"/>
        <v>0</v>
      </c>
      <c r="AG15" s="110">
        <f>AF15*(Übersicht!F$18+Übersicht!F$19)</f>
        <v>0</v>
      </c>
      <c r="AH15" s="110">
        <f t="shared" si="22"/>
        <v>0</v>
      </c>
      <c r="AI15" s="110">
        <f t="shared" si="23"/>
        <v>0</v>
      </c>
      <c r="AJ15" s="110">
        <f t="shared" si="11"/>
        <v>0</v>
      </c>
      <c r="AK15" s="110">
        <f>SUM(W$3:W15)</f>
        <v>3590.6724495746203</v>
      </c>
      <c r="AL15" s="110">
        <f t="shared" si="3"/>
        <v>0</v>
      </c>
      <c r="AM15" s="110">
        <f>SUM(AL$3:AL15)</f>
        <v>0</v>
      </c>
      <c r="AN15" s="110">
        <f>AL15*Übersicht!$F$22</f>
        <v>0</v>
      </c>
      <c r="AO15" s="110">
        <f t="shared" si="21"/>
        <v>0</v>
      </c>
      <c r="AP15" s="112">
        <f>AO15*Übersicht!F$23</f>
        <v>0</v>
      </c>
      <c r="AQ15" s="110">
        <f t="shared" si="4"/>
        <v>30920.456254496821</v>
      </c>
      <c r="AR15" s="115" t="str">
        <f>IF(B15=Übersicht!$H$11,"Beginn Ansparphase",IF(B15=Übersicht!$H$12,"1. Umschichtung",IF(B15=Übersicht!$H$13,"2. Umschichtung",IF(B15=Übersicht!$H$14,"3. Umschichtung",IF(B15=Übersicht!$B$26,"Komplettverkauf",IF(B15=Übersicht!$B$40,"Beginn Entnahmephase",""))))))</f>
        <v/>
      </c>
    </row>
    <row r="16" spans="1:44" ht="14.5" x14ac:dyDescent="0.35">
      <c r="A16" s="102">
        <v>13</v>
      </c>
      <c r="B16" s="103">
        <f t="shared" si="12"/>
        <v>49949</v>
      </c>
      <c r="C16" s="104">
        <f>FV(G15/12,12,-Übersicht!B$5,-I15)</f>
        <v>191359.96005760145</v>
      </c>
      <c r="D16" s="104">
        <f>Übersicht!$B$6</f>
        <v>2400</v>
      </c>
      <c r="E16" s="104">
        <f>C$3+SUM(D$3:D16)</f>
        <v>83600</v>
      </c>
      <c r="F16" s="105">
        <f>D16*Übersicht!F$18</f>
        <v>4.8</v>
      </c>
      <c r="G16" s="106">
        <f>VLOOKUP(B16,Übersicht!H$11:J$14,3)</f>
        <v>0.08</v>
      </c>
      <c r="H16" s="107">
        <f t="shared" si="13"/>
        <v>13985.538710583845</v>
      </c>
      <c r="I16" s="108">
        <f t="shared" si="5"/>
        <v>190694.12515135153</v>
      </c>
      <c r="J16" s="109">
        <f>MAX(MIN(C16*0.7*Übersicht!$F$21,H16),0)</f>
        <v>4018.55916120963</v>
      </c>
      <c r="K16" s="110">
        <f>SUM(J$3:J16)</f>
        <v>31348.34296613183</v>
      </c>
      <c r="L16" s="110">
        <f>J16*Übersicht!$F$22</f>
        <v>1205.567748362889</v>
      </c>
      <c r="M16" s="111">
        <f t="shared" si="14"/>
        <v>2812.9914128467408</v>
      </c>
      <c r="N16" s="110">
        <f>Übersicht!$F$20</f>
        <v>1000</v>
      </c>
      <c r="O16" s="111">
        <f t="shared" si="6"/>
        <v>1812.9914128467408</v>
      </c>
      <c r="P16" s="112">
        <f>O16*Übersicht!$F$23</f>
        <v>504.37421105396328</v>
      </c>
      <c r="Q16" s="111">
        <f>H16*Übersicht!B$11</f>
        <v>1398.5538710583846</v>
      </c>
      <c r="R16" s="111">
        <f>Q16*(Übersicht!F$18+Übersicht!F$19)</f>
        <v>5.5942154842335388</v>
      </c>
      <c r="S16" s="111">
        <f>C16/(C$3+SUM(D$3:D15))</f>
        <v>2.3566497544039589</v>
      </c>
      <c r="T16" s="111">
        <f t="shared" si="15"/>
        <v>593.45003153092864</v>
      </c>
      <c r="U16" s="111">
        <f t="shared" si="16"/>
        <v>805.10383952745599</v>
      </c>
      <c r="V16" s="104">
        <f t="shared" si="7"/>
        <v>29.369631292226074</v>
      </c>
      <c r="W16" s="111">
        <f t="shared" si="17"/>
        <v>775.73420823522997</v>
      </c>
      <c r="X16" s="104">
        <f>SUM(W$3:W16)</f>
        <v>4366.40665780985</v>
      </c>
      <c r="Y16" s="111">
        <f>W16*Übersicht!$F$22</f>
        <v>232.72026247056897</v>
      </c>
      <c r="Z16" s="111">
        <f t="shared" si="18"/>
        <v>543.013945764661</v>
      </c>
      <c r="AA16" s="111">
        <f t="shared" si="19"/>
        <v>0</v>
      </c>
      <c r="AB16" s="111">
        <f t="shared" si="20"/>
        <v>543.013945764661</v>
      </c>
      <c r="AC16" s="112">
        <f>AB16*Übersicht!F$23</f>
        <v>151.0664797117287</v>
      </c>
      <c r="AD16" s="113">
        <f>VLOOKUP(B16,Übersicht!H$11:I$14,2)</f>
        <v>1</v>
      </c>
      <c r="AE16" s="114">
        <f t="shared" si="8"/>
        <v>0</v>
      </c>
      <c r="AF16" s="110">
        <f t="shared" si="0"/>
        <v>0</v>
      </c>
      <c r="AG16" s="110">
        <f>AF16*(Übersicht!F$18+Übersicht!F$19)</f>
        <v>0</v>
      </c>
      <c r="AH16" s="110">
        <f t="shared" si="22"/>
        <v>0</v>
      </c>
      <c r="AI16" s="110">
        <f t="shared" si="23"/>
        <v>0</v>
      </c>
      <c r="AJ16" s="110">
        <f t="shared" si="11"/>
        <v>0</v>
      </c>
      <c r="AK16" s="110">
        <f>SUM(W$3:W16)</f>
        <v>4366.40665780985</v>
      </c>
      <c r="AL16" s="110">
        <f t="shared" si="3"/>
        <v>0</v>
      </c>
      <c r="AM16" s="110">
        <f>SUM(AL$3:AL16)</f>
        <v>0</v>
      </c>
      <c r="AN16" s="110">
        <f>AL16*Übersicht!$F$22</f>
        <v>0</v>
      </c>
      <c r="AO16" s="110">
        <f t="shared" si="21"/>
        <v>0</v>
      </c>
      <c r="AP16" s="112">
        <f>AO16*Übersicht!F$23</f>
        <v>0</v>
      </c>
      <c r="AQ16" s="110">
        <f t="shared" si="4"/>
        <v>35714.74962394168</v>
      </c>
      <c r="AR16" s="115" t="str">
        <f>IF(B16=Übersicht!$H$11,"Beginn Ansparphase",IF(B16=Übersicht!$H$12,"1. Umschichtung",IF(B16=Übersicht!$H$13,"2. Umschichtung",IF(B16=Übersicht!$H$14,"3. Umschichtung",IF(B16=Übersicht!$B$26,"Komplettverkauf",IF(B16=Übersicht!$B$40,"Beginn Entnahmephase",""))))))</f>
        <v/>
      </c>
    </row>
    <row r="17" spans="1:44" ht="14.5" x14ac:dyDescent="0.35">
      <c r="A17" s="102">
        <v>14</v>
      </c>
      <c r="B17" s="103">
        <f t="shared" si="12"/>
        <v>50314</v>
      </c>
      <c r="C17" s="104">
        <f>FV(G16/12,12,-Übersicht!B$5,-I16)</f>
        <v>209011.6286942286</v>
      </c>
      <c r="D17" s="104">
        <f>Übersicht!$B$6</f>
        <v>2400</v>
      </c>
      <c r="E17" s="104">
        <f>C$3+SUM(D$3:D17)</f>
        <v>86000</v>
      </c>
      <c r="F17" s="105">
        <f>D17*Übersicht!F$18</f>
        <v>4.8</v>
      </c>
      <c r="G17" s="106">
        <f>VLOOKUP(B17,Übersicht!H$11:J$14,3)</f>
        <v>0.08</v>
      </c>
      <c r="H17" s="107">
        <f t="shared" si="13"/>
        <v>15251.668636627146</v>
      </c>
      <c r="I17" s="108">
        <f t="shared" si="5"/>
        <v>208252.19063477003</v>
      </c>
      <c r="J17" s="109">
        <f>MAX(MIN(C17*0.7*Übersicht!$F$21,H17),0)</f>
        <v>4389.2442025788005</v>
      </c>
      <c r="K17" s="110">
        <f>SUM(J$3:J17)</f>
        <v>35737.587168710626</v>
      </c>
      <c r="L17" s="110">
        <f>J17*Übersicht!$F$22</f>
        <v>1316.77326077364</v>
      </c>
      <c r="M17" s="111">
        <f t="shared" si="14"/>
        <v>3072.4709418051607</v>
      </c>
      <c r="N17" s="110">
        <f>Übersicht!$F$20</f>
        <v>1000</v>
      </c>
      <c r="O17" s="111">
        <f t="shared" si="6"/>
        <v>2072.4709418051607</v>
      </c>
      <c r="P17" s="112">
        <f>O17*Übersicht!$F$23</f>
        <v>576.56141601019567</v>
      </c>
      <c r="Q17" s="111">
        <f>H17*Übersicht!B$11</f>
        <v>1525.1668636627146</v>
      </c>
      <c r="R17" s="111">
        <f>Q17*(Übersicht!F$18+Übersicht!F$19)</f>
        <v>6.1006674546508588</v>
      </c>
      <c r="S17" s="111">
        <f>C17/(C$3+SUM(D$3:D16))</f>
        <v>2.5001390992132606</v>
      </c>
      <c r="T17" s="111">
        <f t="shared" si="15"/>
        <v>610.0328034318776</v>
      </c>
      <c r="U17" s="111">
        <f t="shared" si="16"/>
        <v>915.13406023083701</v>
      </c>
      <c r="V17" s="104">
        <f t="shared" si="7"/>
        <v>32.028504136917007</v>
      </c>
      <c r="W17" s="111">
        <f t="shared" si="17"/>
        <v>883.10555609391997</v>
      </c>
      <c r="X17" s="104">
        <f>SUM(W$3:W17)</f>
        <v>5249.5122139037703</v>
      </c>
      <c r="Y17" s="111">
        <f>W17*Übersicht!$F$22</f>
        <v>264.93166682817599</v>
      </c>
      <c r="Z17" s="111">
        <f t="shared" si="18"/>
        <v>618.17388926574404</v>
      </c>
      <c r="AA17" s="111">
        <f t="shared" si="19"/>
        <v>0</v>
      </c>
      <c r="AB17" s="111">
        <f t="shared" si="20"/>
        <v>618.17388926574404</v>
      </c>
      <c r="AC17" s="112">
        <f>AB17*Übersicht!F$23</f>
        <v>171.97597599373</v>
      </c>
      <c r="AD17" s="113">
        <f>VLOOKUP(B17,Übersicht!H$11:I$14,2)</f>
        <v>1</v>
      </c>
      <c r="AE17" s="114">
        <f t="shared" si="8"/>
        <v>0</v>
      </c>
      <c r="AF17" s="110">
        <f t="shared" si="0"/>
        <v>0</v>
      </c>
      <c r="AG17" s="110">
        <f>AF17*(Übersicht!F$18+Übersicht!F$19)</f>
        <v>0</v>
      </c>
      <c r="AH17" s="110">
        <f t="shared" si="22"/>
        <v>0</v>
      </c>
      <c r="AI17" s="110">
        <f t="shared" si="23"/>
        <v>0</v>
      </c>
      <c r="AJ17" s="110">
        <f t="shared" si="11"/>
        <v>0</v>
      </c>
      <c r="AK17" s="110">
        <f>SUM(W$3:W17)</f>
        <v>5249.5122139037703</v>
      </c>
      <c r="AL17" s="110">
        <f t="shared" si="3"/>
        <v>0</v>
      </c>
      <c r="AM17" s="110">
        <f>SUM(AL$3:AL17)</f>
        <v>0</v>
      </c>
      <c r="AN17" s="110">
        <f>AL17*Übersicht!$F$22</f>
        <v>0</v>
      </c>
      <c r="AO17" s="110">
        <f t="shared" si="21"/>
        <v>0</v>
      </c>
      <c r="AP17" s="112">
        <f>AO17*Übersicht!F$23</f>
        <v>0</v>
      </c>
      <c r="AQ17" s="110">
        <f t="shared" si="4"/>
        <v>40987.099382614397</v>
      </c>
      <c r="AR17" s="115" t="str">
        <f>IF(B17=Übersicht!$H$11,"Beginn Ansparphase",IF(B17=Übersicht!$H$12,"1. Umschichtung",IF(B17=Übersicht!$H$13,"2. Umschichtung",IF(B17=Übersicht!$H$14,"3. Umschichtung",IF(B17=Übersicht!$B$26,"Komplettverkauf",IF(B17=Übersicht!$B$40,"Beginn Entnahmephase",""))))))</f>
        <v/>
      </c>
    </row>
    <row r="18" spans="1:44" ht="14.5" x14ac:dyDescent="0.35">
      <c r="A18" s="102">
        <v>15</v>
      </c>
      <c r="B18" s="103">
        <f t="shared" si="12"/>
        <v>50679</v>
      </c>
      <c r="C18" s="104">
        <f>FV(G17/12,12,-Übersicht!B$5,-I17)</f>
        <v>228027.00495326478</v>
      </c>
      <c r="D18" s="104">
        <f>Übersicht!$B$6</f>
        <v>2400</v>
      </c>
      <c r="E18" s="104">
        <f>C$3+SUM(D$3:D18)</f>
        <v>88400</v>
      </c>
      <c r="F18" s="105">
        <f>D18*Übersicht!F$18</f>
        <v>4.8</v>
      </c>
      <c r="G18" s="106">
        <f>VLOOKUP(B18,Übersicht!H$11:J$14,3)</f>
        <v>0.06</v>
      </c>
      <c r="H18" s="107">
        <f t="shared" si="13"/>
        <v>16615.376259036188</v>
      </c>
      <c r="I18" s="108">
        <f t="shared" si="5"/>
        <v>221474.0429018164</v>
      </c>
      <c r="J18" s="109">
        <f>MAX(MIN(C18*0.7*Übersicht!$F$21,H18),0)</f>
        <v>4788.5671040185598</v>
      </c>
      <c r="K18" s="110">
        <f>SUM(J$3:J18)</f>
        <v>40526.154272729189</v>
      </c>
      <c r="L18" s="110">
        <f>J18*Übersicht!$F$22</f>
        <v>1436.5701312055678</v>
      </c>
      <c r="M18" s="111">
        <f t="shared" si="14"/>
        <v>3351.9969728129918</v>
      </c>
      <c r="N18" s="110">
        <f>Übersicht!$F$20</f>
        <v>1000</v>
      </c>
      <c r="O18" s="111">
        <f t="shared" si="6"/>
        <v>2351.9969728129918</v>
      </c>
      <c r="P18" s="112">
        <f>O18*Übersicht!$F$23</f>
        <v>654.32555783657426</v>
      </c>
      <c r="Q18" s="111">
        <f>H18*Übersicht!B$11</f>
        <v>1661.5376259036188</v>
      </c>
      <c r="R18" s="111">
        <f>Q18*(Übersicht!F$18+Übersicht!F$19)</f>
        <v>6.6461505036144759</v>
      </c>
      <c r="S18" s="111">
        <f>C18/(C$3+SUM(D$3:D17))</f>
        <v>2.6514768017821488</v>
      </c>
      <c r="T18" s="111">
        <f t="shared" si="15"/>
        <v>626.6461108718139</v>
      </c>
      <c r="U18" s="111">
        <f t="shared" si="16"/>
        <v>1034.8915150318048</v>
      </c>
      <c r="V18" s="104">
        <f t="shared" si="7"/>
        <v>34.892290143975991</v>
      </c>
      <c r="W18" s="111">
        <f t="shared" si="17"/>
        <v>999.99922488782886</v>
      </c>
      <c r="X18" s="104">
        <f>SUM(W$3:W18)</f>
        <v>6249.5114387915992</v>
      </c>
      <c r="Y18" s="111">
        <f>W18*Übersicht!$F$22</f>
        <v>299.99976746634866</v>
      </c>
      <c r="Z18" s="111">
        <f t="shared" si="18"/>
        <v>699.9994574214802</v>
      </c>
      <c r="AA18" s="111">
        <f t="shared" si="19"/>
        <v>0</v>
      </c>
      <c r="AB18" s="111">
        <f t="shared" si="20"/>
        <v>699.9994574214802</v>
      </c>
      <c r="AC18" s="112">
        <f>AB18*Übersicht!F$23</f>
        <v>194.73984905465579</v>
      </c>
      <c r="AD18" s="113">
        <f>VLOOKUP(B18,Übersicht!H$11:I$14,2)</f>
        <v>0.75</v>
      </c>
      <c r="AE18" s="114">
        <f t="shared" si="8"/>
        <v>0.25</v>
      </c>
      <c r="AF18" s="110">
        <f t="shared" si="0"/>
        <v>57006.751238316196</v>
      </c>
      <c r="AG18" s="110">
        <f>AF18*(Übersicht!F$18+Übersicht!F$19)</f>
        <v>228.02700495326479</v>
      </c>
      <c r="AH18" s="110">
        <f t="shared" si="22"/>
        <v>21500</v>
      </c>
      <c r="AI18" s="110">
        <f t="shared" si="23"/>
        <v>35506.751238316196</v>
      </c>
      <c r="AJ18" s="110">
        <f t="shared" si="11"/>
        <v>1197.14177600464</v>
      </c>
      <c r="AK18" s="110">
        <f>SUM(W$3:W18)</f>
        <v>6249.5114387915992</v>
      </c>
      <c r="AL18" s="110">
        <f t="shared" si="3"/>
        <v>28060.098023519957</v>
      </c>
      <c r="AM18" s="110">
        <f>SUM(AL$3:AL18)</f>
        <v>28060.098023519957</v>
      </c>
      <c r="AN18" s="110">
        <f>AL18*Übersicht!$F$22</f>
        <v>8418.0294070559867</v>
      </c>
      <c r="AO18" s="110">
        <f t="shared" si="21"/>
        <v>19642.06861646397</v>
      </c>
      <c r="AP18" s="112">
        <f>AO18*Übersicht!F$23</f>
        <v>5464.4234891002761</v>
      </c>
      <c r="AQ18" s="110">
        <f t="shared" si="4"/>
        <v>74835.763735040746</v>
      </c>
      <c r="AR18" s="115" t="str">
        <f>IF(B18=Übersicht!$H$11,"Beginn Ansparphase",IF(B18=Übersicht!$H$12,"1. Umschichtung",IF(B18=Übersicht!$H$13,"2. Umschichtung",IF(B18=Übersicht!$H$14,"3. Umschichtung",IF(B18=Übersicht!$B$26,"Komplettverkauf",IF(B18=Übersicht!$B$40,"Beginn Entnahmephase",""))))))</f>
        <v>1. Umschichtung</v>
      </c>
    </row>
    <row r="19" spans="1:44" ht="14.5" x14ac:dyDescent="0.35">
      <c r="A19" s="102">
        <v>16</v>
      </c>
      <c r="B19" s="103">
        <f t="shared" si="12"/>
        <v>51044</v>
      </c>
      <c r="C19" s="104">
        <f>FV(G18/12,12,-Übersicht!B$5,-I18)</f>
        <v>237601.18972736422</v>
      </c>
      <c r="D19" s="104">
        <f>Übersicht!$B$6</f>
        <v>2400</v>
      </c>
      <c r="E19" s="104">
        <f>C$3+SUM(D$3:D19)</f>
        <v>90800</v>
      </c>
      <c r="F19" s="105">
        <f>D19*Übersicht!F$18</f>
        <v>4.8</v>
      </c>
      <c r="G19" s="106">
        <f>VLOOKUP(B19,Übersicht!H$11:J$14,3)</f>
        <v>0.06</v>
      </c>
      <c r="H19" s="107">
        <f t="shared" si="13"/>
        <v>7174.1847740994417</v>
      </c>
      <c r="I19" s="108">
        <f t="shared" si="5"/>
        <v>236815.24373511609</v>
      </c>
      <c r="J19" s="109">
        <f>MAX(MIN(C19*0.7*Übersicht!$F$21,H19),0)</f>
        <v>4989.6249842746474</v>
      </c>
      <c r="K19" s="110">
        <f>SUM(J$3:J19)</f>
        <v>45515.779257003836</v>
      </c>
      <c r="L19" s="110">
        <f>J19*Übersicht!$F$22</f>
        <v>1496.8874952823942</v>
      </c>
      <c r="M19" s="111">
        <f t="shared" si="14"/>
        <v>3492.737488992253</v>
      </c>
      <c r="N19" s="110">
        <f>Übersicht!$F$20</f>
        <v>1000</v>
      </c>
      <c r="O19" s="111">
        <f t="shared" si="6"/>
        <v>2492.737488992253</v>
      </c>
      <c r="P19" s="112">
        <f>O19*Übersicht!$F$23</f>
        <v>693.47956943764484</v>
      </c>
      <c r="Q19" s="111">
        <f>H19*Übersicht!B$11</f>
        <v>717.41847740994422</v>
      </c>
      <c r="R19" s="111">
        <f>Q19*(Übersicht!F$18+Übersicht!F$19)</f>
        <v>2.869673909639777</v>
      </c>
      <c r="S19" s="111">
        <f>C19/(C$3+SUM(D$3:D18))</f>
        <v>2.6877962638842106</v>
      </c>
      <c r="T19" s="111">
        <f t="shared" si="15"/>
        <v>266.91698587793348</v>
      </c>
      <c r="U19" s="111">
        <f t="shared" si="16"/>
        <v>450.50149153201073</v>
      </c>
      <c r="V19" s="104">
        <f t="shared" si="7"/>
        <v>15.065788025608825</v>
      </c>
      <c r="W19" s="111">
        <f t="shared" si="17"/>
        <v>435.43570350640192</v>
      </c>
      <c r="X19" s="104">
        <f>SUM(W$3:W19)</f>
        <v>6684.9471422980014</v>
      </c>
      <c r="Y19" s="111">
        <f>W19*Übersicht!$F$22</f>
        <v>130.63071105192057</v>
      </c>
      <c r="Z19" s="111">
        <f t="shared" si="18"/>
        <v>304.80499245448135</v>
      </c>
      <c r="AA19" s="111">
        <f t="shared" si="19"/>
        <v>0</v>
      </c>
      <c r="AB19" s="111">
        <f t="shared" si="20"/>
        <v>304.80499245448135</v>
      </c>
      <c r="AC19" s="112">
        <f>AB19*Übersicht!F$23</f>
        <v>84.796748900836718</v>
      </c>
      <c r="AD19" s="113">
        <f>VLOOKUP(B19,Übersicht!H$11:I$14,2)</f>
        <v>0.75</v>
      </c>
      <c r="AE19" s="114">
        <f t="shared" si="8"/>
        <v>0</v>
      </c>
      <c r="AF19" s="110">
        <f t="shared" si="0"/>
        <v>0</v>
      </c>
      <c r="AG19" s="110">
        <f>AF19*(Übersicht!F$18+Übersicht!F$19)</f>
        <v>0</v>
      </c>
      <c r="AH19" s="110">
        <f t="shared" si="22"/>
        <v>0</v>
      </c>
      <c r="AI19" s="110">
        <f t="shared" si="23"/>
        <v>0</v>
      </c>
      <c r="AJ19" s="110">
        <f t="shared" si="11"/>
        <v>0</v>
      </c>
      <c r="AK19" s="110">
        <f>SUM(W$3:W19)</f>
        <v>6684.9471422980014</v>
      </c>
      <c r="AL19" s="110">
        <f t="shared" si="3"/>
        <v>0</v>
      </c>
      <c r="AM19" s="110">
        <f>SUM(AL$3:AL19)</f>
        <v>28060.098023519957</v>
      </c>
      <c r="AN19" s="110">
        <f>AL19*Übersicht!$F$22</f>
        <v>0</v>
      </c>
      <c r="AO19" s="110">
        <f t="shared" si="21"/>
        <v>0</v>
      </c>
      <c r="AP19" s="112">
        <f>AO19*Übersicht!F$23</f>
        <v>0</v>
      </c>
      <c r="AQ19" s="110">
        <f t="shared" si="4"/>
        <v>80260.824422821795</v>
      </c>
      <c r="AR19" s="115" t="str">
        <f>IF(B19=Übersicht!$H$11,"Beginn Ansparphase",IF(B19=Übersicht!$H$12,"1. Umschichtung",IF(B19=Übersicht!$H$13,"2. Umschichtung",IF(B19=Übersicht!$H$14,"3. Umschichtung",IF(B19=Übersicht!$B$26,"Komplettverkauf",IF(B19=Übersicht!$B$40,"Beginn Entnahmephase",""))))))</f>
        <v/>
      </c>
    </row>
    <row r="20" spans="1:44" ht="14.5" x14ac:dyDescent="0.35">
      <c r="A20" s="102">
        <v>17</v>
      </c>
      <c r="B20" s="103">
        <f t="shared" si="12"/>
        <v>51410</v>
      </c>
      <c r="C20" s="104">
        <f>FV(G19/12,12,-Übersicht!B$5,-I19)</f>
        <v>253888.60225943563</v>
      </c>
      <c r="D20" s="104">
        <f>Übersicht!$B$6</f>
        <v>2400</v>
      </c>
      <c r="E20" s="104">
        <f>C$3+SUM(D$3:D20)</f>
        <v>93200</v>
      </c>
      <c r="F20" s="105">
        <f>D20*Übersicht!F$18</f>
        <v>4.8</v>
      </c>
      <c r="G20" s="106">
        <f>VLOOKUP(B20,Übersicht!H$11:J$14,3)</f>
        <v>0.06</v>
      </c>
      <c r="H20" s="107">
        <f t="shared" si="13"/>
        <v>13887.412532071408</v>
      </c>
      <c r="I20" s="108">
        <f t="shared" si="5"/>
        <v>252950.11617775352</v>
      </c>
      <c r="J20" s="109">
        <f>MAX(MIN(C20*0.7*Übersicht!$F$21,H20),0)</f>
        <v>5331.6606474481478</v>
      </c>
      <c r="K20" s="110">
        <f>SUM(J$3:J20)</f>
        <v>50847.439904451981</v>
      </c>
      <c r="L20" s="110">
        <f>J20*Übersicht!$F$22</f>
        <v>1599.4981942344443</v>
      </c>
      <c r="M20" s="111">
        <f t="shared" si="14"/>
        <v>3732.1624532137034</v>
      </c>
      <c r="N20" s="110">
        <f>Übersicht!$F$20</f>
        <v>1000</v>
      </c>
      <c r="O20" s="111">
        <f t="shared" si="6"/>
        <v>2732.1624532137034</v>
      </c>
      <c r="P20" s="112">
        <f>O20*Übersicht!$F$23</f>
        <v>760.08759448405226</v>
      </c>
      <c r="Q20" s="111">
        <f>H20*Übersicht!B$11</f>
        <v>1388.741253207141</v>
      </c>
      <c r="R20" s="111">
        <f>Q20*(Übersicht!F$18+Übersicht!F$19)</f>
        <v>5.5549650128285641</v>
      </c>
      <c r="S20" s="111">
        <f>C20/(C$3+SUM(D$3:D19))</f>
        <v>2.7961299808307891</v>
      </c>
      <c r="T20" s="111">
        <f t="shared" si="15"/>
        <v>496.66548505535377</v>
      </c>
      <c r="U20" s="111">
        <f t="shared" si="16"/>
        <v>892.0757681517872</v>
      </c>
      <c r="V20" s="104">
        <f t="shared" si="7"/>
        <v>29.163566317349957</v>
      </c>
      <c r="W20" s="111">
        <f t="shared" si="17"/>
        <v>862.91220183443727</v>
      </c>
      <c r="X20" s="104">
        <f>SUM(W$3:W20)</f>
        <v>7547.8593441324383</v>
      </c>
      <c r="Y20" s="111">
        <f>W20*Übersicht!$F$22</f>
        <v>258.87366055033118</v>
      </c>
      <c r="Z20" s="111">
        <f t="shared" si="18"/>
        <v>604.03854128410603</v>
      </c>
      <c r="AA20" s="111">
        <f t="shared" si="19"/>
        <v>0</v>
      </c>
      <c r="AB20" s="111">
        <f t="shared" si="20"/>
        <v>604.03854128410603</v>
      </c>
      <c r="AC20" s="112">
        <f>AB20*Übersicht!F$23</f>
        <v>168.04352218523829</v>
      </c>
      <c r="AD20" s="113">
        <f>VLOOKUP(B20,Übersicht!H$11:I$14,2)</f>
        <v>0.75</v>
      </c>
      <c r="AE20" s="114">
        <f t="shared" si="8"/>
        <v>0</v>
      </c>
      <c r="AF20" s="110">
        <f t="shared" si="0"/>
        <v>0</v>
      </c>
      <c r="AG20" s="110">
        <f>AF20*(Übersicht!F$18+Übersicht!F$19)</f>
        <v>0</v>
      </c>
      <c r="AH20" s="110">
        <f t="shared" si="22"/>
        <v>0</v>
      </c>
      <c r="AI20" s="110">
        <f t="shared" si="23"/>
        <v>0</v>
      </c>
      <c r="AJ20" s="110">
        <f t="shared" si="11"/>
        <v>0</v>
      </c>
      <c r="AK20" s="110">
        <f>SUM(W$3:W20)</f>
        <v>7547.8593441324383</v>
      </c>
      <c r="AL20" s="110">
        <f t="shared" si="3"/>
        <v>0</v>
      </c>
      <c r="AM20" s="110">
        <f>SUM(AL$3:AL20)</f>
        <v>28060.098023519957</v>
      </c>
      <c r="AN20" s="110">
        <f>AL20*Übersicht!$F$22</f>
        <v>0</v>
      </c>
      <c r="AO20" s="110">
        <f t="shared" si="21"/>
        <v>0</v>
      </c>
      <c r="AP20" s="112">
        <f>AO20*Übersicht!F$23</f>
        <v>0</v>
      </c>
      <c r="AQ20" s="110">
        <f t="shared" si="4"/>
        <v>86455.397272104383</v>
      </c>
      <c r="AR20" s="115" t="str">
        <f>IF(B20=Übersicht!$H$11,"Beginn Ansparphase",IF(B20=Übersicht!$H$12,"1. Umschichtung",IF(B20=Übersicht!$H$13,"2. Umschichtung",IF(B20=Übersicht!$H$14,"3. Umschichtung",IF(B20=Übersicht!$B$26,"Komplettverkauf",IF(B20=Übersicht!$B$40,"Beginn Entnahmephase",""))))))</f>
        <v/>
      </c>
    </row>
    <row r="21" spans="1:44" ht="14.5" x14ac:dyDescent="0.35">
      <c r="A21" s="102">
        <v>18</v>
      </c>
      <c r="B21" s="103">
        <f t="shared" si="12"/>
        <v>51775</v>
      </c>
      <c r="C21" s="104">
        <f>FV(G20/12,12,-Übersicht!B$5,-I20)</f>
        <v>271018.63832904771</v>
      </c>
      <c r="D21" s="104">
        <f>Übersicht!$B$6</f>
        <v>2400</v>
      </c>
      <c r="E21" s="104">
        <f>C$3+SUM(D$3:D21)</f>
        <v>95600</v>
      </c>
      <c r="F21" s="105">
        <f>D21*Übersicht!F$18</f>
        <v>4.8</v>
      </c>
      <c r="G21" s="106">
        <f>VLOOKUP(B21,Übersicht!H$11:J$14,3)</f>
        <v>0.06</v>
      </c>
      <c r="H21" s="107">
        <f t="shared" si="13"/>
        <v>14730.036069612077</v>
      </c>
      <c r="I21" s="108">
        <f t="shared" si="5"/>
        <v>269995.62108532933</v>
      </c>
      <c r="J21" s="109">
        <f>MAX(MIN(C21*0.7*Übersicht!$F$21,H21),0)</f>
        <v>5691.3914049100013</v>
      </c>
      <c r="K21" s="110">
        <f>SUM(J$3:J21)</f>
        <v>56538.83130936198</v>
      </c>
      <c r="L21" s="110">
        <f>J21*Übersicht!$F$22</f>
        <v>1707.4174214730003</v>
      </c>
      <c r="M21" s="111">
        <f t="shared" si="14"/>
        <v>3983.9739834370012</v>
      </c>
      <c r="N21" s="110">
        <f>Übersicht!$F$20</f>
        <v>1000</v>
      </c>
      <c r="O21" s="111">
        <f t="shared" si="6"/>
        <v>2983.9739834370012</v>
      </c>
      <c r="P21" s="112">
        <f>O21*Übersicht!$F$23</f>
        <v>830.14156219217375</v>
      </c>
      <c r="Q21" s="111">
        <f>H21*Übersicht!B$11</f>
        <v>1473.0036069612079</v>
      </c>
      <c r="R21" s="111">
        <f>Q21*(Übersicht!F$18+Übersicht!F$19)</f>
        <v>5.8920144278448312</v>
      </c>
      <c r="S21" s="111">
        <f>C21/(C$3+SUM(D$3:D20))</f>
        <v>2.9079253039597392</v>
      </c>
      <c r="T21" s="111">
        <f t="shared" si="15"/>
        <v>506.54795188700689</v>
      </c>
      <c r="U21" s="111">
        <f t="shared" si="16"/>
        <v>966.45565507420099</v>
      </c>
      <c r="V21" s="104">
        <f t="shared" si="7"/>
        <v>30.933075746185363</v>
      </c>
      <c r="W21" s="111">
        <f t="shared" si="17"/>
        <v>935.52257932801558</v>
      </c>
      <c r="X21" s="104">
        <f>SUM(W$3:W21)</f>
        <v>8483.3819234604543</v>
      </c>
      <c r="Y21" s="111">
        <f>W21*Übersicht!$F$22</f>
        <v>280.65677379840469</v>
      </c>
      <c r="Z21" s="111">
        <f t="shared" si="18"/>
        <v>654.86580552961095</v>
      </c>
      <c r="AA21" s="111">
        <f t="shared" si="19"/>
        <v>0</v>
      </c>
      <c r="AB21" s="111">
        <f t="shared" si="20"/>
        <v>654.86580552961095</v>
      </c>
      <c r="AC21" s="112">
        <f>AB21*Übersicht!F$23</f>
        <v>182.18366709833776</v>
      </c>
      <c r="AD21" s="113">
        <f>VLOOKUP(B21,Übersicht!H$11:I$14,2)</f>
        <v>0.75</v>
      </c>
      <c r="AE21" s="114">
        <f t="shared" si="8"/>
        <v>0</v>
      </c>
      <c r="AF21" s="110">
        <f t="shared" si="0"/>
        <v>0</v>
      </c>
      <c r="AG21" s="110">
        <f>AF21*(Übersicht!F$18+Übersicht!F$19)</f>
        <v>0</v>
      </c>
      <c r="AH21" s="110">
        <f t="shared" si="22"/>
        <v>0</v>
      </c>
      <c r="AI21" s="110">
        <f t="shared" si="23"/>
        <v>0</v>
      </c>
      <c r="AJ21" s="110">
        <f t="shared" si="11"/>
        <v>0</v>
      </c>
      <c r="AK21" s="110">
        <f>SUM(W$3:W21)</f>
        <v>8483.3819234604543</v>
      </c>
      <c r="AL21" s="110">
        <f t="shared" si="3"/>
        <v>0</v>
      </c>
      <c r="AM21" s="110">
        <f>SUM(AL$3:AL21)</f>
        <v>28060.098023519957</v>
      </c>
      <c r="AN21" s="110">
        <f>AL21*Übersicht!$F$22</f>
        <v>0</v>
      </c>
      <c r="AO21" s="110">
        <f t="shared" si="21"/>
        <v>0</v>
      </c>
      <c r="AP21" s="112">
        <f>AO21*Übersicht!F$23</f>
        <v>0</v>
      </c>
      <c r="AQ21" s="110">
        <f t="shared" si="4"/>
        <v>93082.311256342393</v>
      </c>
      <c r="AR21" s="115" t="str">
        <f>IF(B21=Übersicht!$H$11,"Beginn Ansparphase",IF(B21=Übersicht!$H$12,"1. Umschichtung",IF(B21=Übersicht!$H$13,"2. Umschichtung",IF(B21=Übersicht!$H$14,"3. Umschichtung",IF(B21=Übersicht!$B$26,"Komplettverkauf",IF(B21=Übersicht!$B$40,"Beginn Entnahmephase",""))))))</f>
        <v/>
      </c>
    </row>
    <row r="22" spans="1:44" ht="14.5" x14ac:dyDescent="0.35">
      <c r="A22" s="102">
        <v>19</v>
      </c>
      <c r="B22" s="103">
        <f t="shared" si="12"/>
        <v>52140</v>
      </c>
      <c r="C22" s="104">
        <f>FV(G21/12,12,-Übersicht!B$5,-I21)</f>
        <v>289115.47268144833</v>
      </c>
      <c r="D22" s="104">
        <f>Übersicht!$B$6</f>
        <v>2400</v>
      </c>
      <c r="E22" s="104">
        <f>C$3+SUM(D$3:D22)</f>
        <v>98000</v>
      </c>
      <c r="F22" s="105">
        <f>D22*Übersicht!F$18</f>
        <v>4.8</v>
      </c>
      <c r="G22" s="106">
        <f>VLOOKUP(B22,Übersicht!H$11:J$14,3)</f>
        <v>0.06</v>
      </c>
      <c r="H22" s="107">
        <f t="shared" si="13"/>
        <v>15696.83435240062</v>
      </c>
      <c r="I22" s="108">
        <f t="shared" si="5"/>
        <v>288002.06112724933</v>
      </c>
      <c r="J22" s="109">
        <f>MAX(MIN(C22*0.7*Übersicht!$F$21,H22),0)</f>
        <v>6071.4249263104148</v>
      </c>
      <c r="K22" s="110">
        <f>SUM(J$3:J22)</f>
        <v>62610.256235672394</v>
      </c>
      <c r="L22" s="110">
        <f>J22*Übersicht!$F$22</f>
        <v>1821.4274778931244</v>
      </c>
      <c r="M22" s="111">
        <f t="shared" si="14"/>
        <v>4249.9974484172908</v>
      </c>
      <c r="N22" s="110">
        <f>Übersicht!$F$20</f>
        <v>1000</v>
      </c>
      <c r="O22" s="111">
        <f t="shared" si="6"/>
        <v>3249.9974484172908</v>
      </c>
      <c r="P22" s="112">
        <f>O22*Übersicht!$F$23</f>
        <v>904.14929014969027</v>
      </c>
      <c r="Q22" s="111">
        <f>H22*Übersicht!B$11</f>
        <v>1569.683435240062</v>
      </c>
      <c r="R22" s="111">
        <f>Q22*(Übersicht!F$18+Übersicht!F$19)</f>
        <v>6.2787337409602477</v>
      </c>
      <c r="S22" s="111">
        <f>C22/(C$3+SUM(D$3:D21))</f>
        <v>3.0242204255381626</v>
      </c>
      <c r="T22" s="111">
        <f t="shared" si="15"/>
        <v>519.03737637137851</v>
      </c>
      <c r="U22" s="111">
        <f t="shared" si="16"/>
        <v>1050.6460588686834</v>
      </c>
      <c r="V22" s="104">
        <f t="shared" si="7"/>
        <v>32.963352140041295</v>
      </c>
      <c r="W22" s="111">
        <f t="shared" si="17"/>
        <v>1017.6827067286422</v>
      </c>
      <c r="X22" s="104">
        <f>SUM(W$3:W22)</f>
        <v>9501.0646301890956</v>
      </c>
      <c r="Y22" s="111">
        <f>W22*Übersicht!$F$22</f>
        <v>305.30481201859266</v>
      </c>
      <c r="Z22" s="111">
        <f t="shared" si="18"/>
        <v>712.37789471004953</v>
      </c>
      <c r="AA22" s="111">
        <f t="shared" si="19"/>
        <v>0</v>
      </c>
      <c r="AB22" s="111">
        <f t="shared" si="20"/>
        <v>712.37789471004953</v>
      </c>
      <c r="AC22" s="112">
        <f>AB22*Übersicht!F$23</f>
        <v>198.18353030833578</v>
      </c>
      <c r="AD22" s="113">
        <f>VLOOKUP(B22,Übersicht!H$11:I$14,2)</f>
        <v>0.75</v>
      </c>
      <c r="AE22" s="114">
        <f t="shared" si="8"/>
        <v>0</v>
      </c>
      <c r="AF22" s="110">
        <f t="shared" si="0"/>
        <v>0</v>
      </c>
      <c r="AG22" s="110">
        <f>AF22*(Übersicht!F$18+Übersicht!F$19)</f>
        <v>0</v>
      </c>
      <c r="AH22" s="110">
        <f t="shared" si="22"/>
        <v>0</v>
      </c>
      <c r="AI22" s="110">
        <f t="shared" si="23"/>
        <v>0</v>
      </c>
      <c r="AJ22" s="110">
        <f t="shared" si="11"/>
        <v>0</v>
      </c>
      <c r="AK22" s="110">
        <f>SUM(W$3:W22)</f>
        <v>9501.0646301890956</v>
      </c>
      <c r="AL22" s="110">
        <f t="shared" si="3"/>
        <v>0</v>
      </c>
      <c r="AM22" s="110">
        <f>SUM(AL$3:AL22)</f>
        <v>28060.098023519957</v>
      </c>
      <c r="AN22" s="110">
        <f>AL22*Übersicht!$F$22</f>
        <v>0</v>
      </c>
      <c r="AO22" s="110">
        <f t="shared" si="21"/>
        <v>0</v>
      </c>
      <c r="AP22" s="112">
        <f>AO22*Übersicht!F$23</f>
        <v>0</v>
      </c>
      <c r="AQ22" s="110">
        <f t="shared" si="4"/>
        <v>100171.41888938144</v>
      </c>
      <c r="AR22" s="115" t="str">
        <f>IF(B22=Übersicht!$H$11,"Beginn Ansparphase",IF(B22=Übersicht!$H$12,"1. Umschichtung",IF(B22=Übersicht!$H$13,"2. Umschichtung",IF(B22=Übersicht!$H$14,"3. Umschichtung",IF(B22=Übersicht!$B$26,"Komplettverkauf",IF(B22=Übersicht!$B$40,"Beginn Entnahmephase",""))))))</f>
        <v/>
      </c>
    </row>
    <row r="23" spans="1:44" ht="14.5" x14ac:dyDescent="0.35">
      <c r="A23" s="102">
        <v>20</v>
      </c>
      <c r="B23" s="103">
        <f t="shared" si="12"/>
        <v>52505</v>
      </c>
      <c r="C23" s="104">
        <f>FV(G22/12,12,-Übersicht!B$5,-I22)</f>
        <v>308232.51054462325</v>
      </c>
      <c r="D23" s="104">
        <f>Übersicht!$B$6</f>
        <v>2400</v>
      </c>
      <c r="E23" s="104">
        <f>C$3+SUM(D$3:D23)</f>
        <v>100400</v>
      </c>
      <c r="F23" s="105">
        <f>D23*Übersicht!F$18</f>
        <v>4.8</v>
      </c>
      <c r="G23" s="106">
        <f>VLOOKUP(B23,Übersicht!H$11:J$14,3)</f>
        <v>0.06</v>
      </c>
      <c r="H23" s="107">
        <f t="shared" si="13"/>
        <v>16717.037863174919</v>
      </c>
      <c r="I23" s="108">
        <f>C23-P23-AC23-AP23-F23-R23-AG23</f>
        <v>307023.4886417333</v>
      </c>
      <c r="J23" s="109">
        <f>MAX(MIN(C23*0.7*Übersicht!$F$21,H23),0)</f>
        <v>6472.8827214370876</v>
      </c>
      <c r="K23" s="110">
        <f>SUM(J$3:J23)</f>
        <v>69083.138957109477</v>
      </c>
      <c r="L23" s="110">
        <f>J23*Übersicht!$F$22</f>
        <v>1941.8648164311262</v>
      </c>
      <c r="M23" s="111">
        <f t="shared" si="14"/>
        <v>4531.0179050059614</v>
      </c>
      <c r="N23" s="110">
        <f>Übersicht!$F$20</f>
        <v>1000</v>
      </c>
      <c r="O23" s="111">
        <f t="shared" si="6"/>
        <v>3531.0179050059614</v>
      </c>
      <c r="P23" s="112">
        <f>O23*Übersicht!$F$23</f>
        <v>982.32918117265854</v>
      </c>
      <c r="Q23" s="111">
        <f>H23*Übersicht!B$11</f>
        <v>1671.7037863174919</v>
      </c>
      <c r="R23" s="111">
        <f>Q23*(Übersicht!F$18+Übersicht!F$19)</f>
        <v>6.6868151452699678</v>
      </c>
      <c r="S23" s="111">
        <f>C23/(C$3+SUM(D$3:D22))</f>
        <v>3.1452296994349309</v>
      </c>
      <c r="T23" s="111">
        <f t="shared" si="15"/>
        <v>531.50451511310246</v>
      </c>
      <c r="U23" s="111">
        <f t="shared" si="16"/>
        <v>1140.1992712043893</v>
      </c>
      <c r="V23" s="104">
        <f t="shared" si="7"/>
        <v>35.105779512667326</v>
      </c>
      <c r="W23" s="111">
        <f t="shared" si="17"/>
        <v>1105.093491691722</v>
      </c>
      <c r="X23" s="104">
        <f>SUM(W$3:W23)</f>
        <v>10606.158121880817</v>
      </c>
      <c r="Y23" s="111">
        <f>W23*Übersicht!$F$22</f>
        <v>331.52804750751659</v>
      </c>
      <c r="Z23" s="111">
        <f t="shared" si="18"/>
        <v>773.56544418420538</v>
      </c>
      <c r="AA23" s="111">
        <f t="shared" si="19"/>
        <v>0</v>
      </c>
      <c r="AB23" s="111">
        <f t="shared" si="20"/>
        <v>773.56544418420538</v>
      </c>
      <c r="AC23" s="112">
        <f>AB23*Übersicht!F$23</f>
        <v>215.20590657204593</v>
      </c>
      <c r="AD23" s="113">
        <f>VLOOKUP(B23,Übersicht!H$11:I$14,2)</f>
        <v>0.75</v>
      </c>
      <c r="AE23" s="114">
        <f t="shared" si="8"/>
        <v>0</v>
      </c>
      <c r="AF23" s="110">
        <f t="shared" si="0"/>
        <v>0</v>
      </c>
      <c r="AG23" s="110">
        <f>AF23*(Übersicht!F$18+Übersicht!F$19)</f>
        <v>0</v>
      </c>
      <c r="AH23" s="110">
        <f t="shared" si="22"/>
        <v>0</v>
      </c>
      <c r="AI23" s="110">
        <f>AF23-AF23/S23</f>
        <v>0</v>
      </c>
      <c r="AJ23" s="110">
        <f t="shared" si="11"/>
        <v>0</v>
      </c>
      <c r="AK23" s="110">
        <f>SUM(W$3:W23)</f>
        <v>10606.158121880817</v>
      </c>
      <c r="AL23" s="110">
        <f t="shared" si="3"/>
        <v>0</v>
      </c>
      <c r="AM23" s="110">
        <f>SUM(AL$3:AL23)</f>
        <v>28060.098023519957</v>
      </c>
      <c r="AN23" s="110">
        <f>AL23*Übersicht!$F$22</f>
        <v>0</v>
      </c>
      <c r="AO23" s="110">
        <f t="shared" si="21"/>
        <v>0</v>
      </c>
      <c r="AP23" s="112">
        <f>AO23*Übersicht!F$23</f>
        <v>0</v>
      </c>
      <c r="AQ23" s="110">
        <f t="shared" si="4"/>
        <v>107749.39510251024</v>
      </c>
      <c r="AR23" s="115" t="str">
        <f>IF(B23=Übersicht!$H$11,"Beginn Ansparphase",IF(B23=Übersicht!$H$12,"1. Umschichtung",IF(B23=Übersicht!$H$13,"2. Umschichtung",IF(B23=Übersicht!$H$14,"3. Umschichtung",IF(B23=Übersicht!$B$26,"Komplettverkauf",IF(B23=Übersicht!$B$40,"Beginn Entnahmephase",""))))))</f>
        <v/>
      </c>
    </row>
    <row r="24" spans="1:44" ht="14.5" x14ac:dyDescent="0.35">
      <c r="A24" s="102">
        <v>21</v>
      </c>
      <c r="B24" s="103">
        <f t="shared" si="12"/>
        <v>52871</v>
      </c>
      <c r="C24" s="104">
        <f>FV(G23/12,12,-Übersicht!B$5,-I23)</f>
        <v>328427.13808673975</v>
      </c>
      <c r="D24" s="104">
        <f>Übersicht!$B$6</f>
        <v>2400</v>
      </c>
      <c r="E24" s="104">
        <f>C$3+SUM(D$3:D24)</f>
        <v>102800</v>
      </c>
      <c r="F24" s="105">
        <f>D24*Übersicht!F$18</f>
        <v>4.8</v>
      </c>
      <c r="G24" s="106">
        <f>VLOOKUP(B24,Übersicht!H$11:J$14,3)</f>
        <v>0.06</v>
      </c>
      <c r="H24" s="107">
        <f t="shared" si="13"/>
        <v>17794.627542116505</v>
      </c>
      <c r="I24" s="108">
        <f t="shared" si="5"/>
        <v>327116.98374768056</v>
      </c>
      <c r="J24" s="109">
        <f>MAX(MIN(C24*0.7*Übersicht!$F$21,H24),0)</f>
        <v>6896.9698998215345</v>
      </c>
      <c r="K24" s="110">
        <f>SUM(J$3:J24)</f>
        <v>75980.108856931009</v>
      </c>
      <c r="L24" s="110">
        <f>J24*Übersicht!$F$22</f>
        <v>2069.0909699464601</v>
      </c>
      <c r="M24" s="111">
        <f t="shared" si="14"/>
        <v>4827.8789298750744</v>
      </c>
      <c r="N24" s="110">
        <f>Übersicht!$F$20</f>
        <v>1000</v>
      </c>
      <c r="O24" s="111">
        <f t="shared" si="6"/>
        <v>3827.8789298750744</v>
      </c>
      <c r="P24" s="112">
        <f>O24*Übersicht!$F$23</f>
        <v>1064.9159182912458</v>
      </c>
      <c r="Q24" s="111">
        <f>H24*Übersicht!B$11</f>
        <v>1779.4627542116505</v>
      </c>
      <c r="R24" s="111">
        <f>Q24*(Übersicht!F$18+Übersicht!F$19)</f>
        <v>7.1178510168466023</v>
      </c>
      <c r="S24" s="111">
        <f>C24/(C$3+SUM(D$3:D23))</f>
        <v>3.2711866343300771</v>
      </c>
      <c r="T24" s="111">
        <f t="shared" si="15"/>
        <v>543.98080975776418</v>
      </c>
      <c r="U24" s="111">
        <f t="shared" si="16"/>
        <v>1235.4819444538862</v>
      </c>
      <c r="V24" s="104">
        <f t="shared" si="7"/>
        <v>37.368717838444653</v>
      </c>
      <c r="W24" s="111">
        <f t="shared" si="17"/>
        <v>1198.1132266154416</v>
      </c>
      <c r="X24" s="104">
        <f>SUM(W$3:W24)</f>
        <v>11804.271348496259</v>
      </c>
      <c r="Y24" s="111">
        <f>W24*Übersicht!$F$22</f>
        <v>359.43396798463249</v>
      </c>
      <c r="Z24" s="111">
        <f t="shared" si="18"/>
        <v>838.67925863080904</v>
      </c>
      <c r="AA24" s="111">
        <f t="shared" si="19"/>
        <v>0</v>
      </c>
      <c r="AB24" s="111">
        <f t="shared" si="20"/>
        <v>838.67925863080904</v>
      </c>
      <c r="AC24" s="112">
        <f>AB24*Übersicht!F$23</f>
        <v>233.32056975109109</v>
      </c>
      <c r="AD24" s="113">
        <f>VLOOKUP(B24,Übersicht!H$11:I$14,2)</f>
        <v>0.75</v>
      </c>
      <c r="AE24" s="114">
        <f t="shared" si="8"/>
        <v>0</v>
      </c>
      <c r="AF24" s="110">
        <f t="shared" si="0"/>
        <v>0</v>
      </c>
      <c r="AG24" s="110">
        <f>AF24*(Übersicht!F$18+Übersicht!F$19)</f>
        <v>0</v>
      </c>
      <c r="AH24" s="110">
        <f t="shared" si="22"/>
        <v>0</v>
      </c>
      <c r="AI24" s="110">
        <f t="shared" si="23"/>
        <v>0</v>
      </c>
      <c r="AJ24" s="110">
        <f t="shared" si="11"/>
        <v>0</v>
      </c>
      <c r="AK24" s="110">
        <f>SUM(W$3:W24)</f>
        <v>11804.271348496259</v>
      </c>
      <c r="AL24" s="110">
        <f t="shared" si="3"/>
        <v>0</v>
      </c>
      <c r="AM24" s="110">
        <f>SUM(AL$3:AL24)</f>
        <v>28060.098023519957</v>
      </c>
      <c r="AN24" s="110">
        <f>AL24*Übersicht!$F$22</f>
        <v>0</v>
      </c>
      <c r="AO24" s="110">
        <f t="shared" si="21"/>
        <v>0</v>
      </c>
      <c r="AP24" s="112">
        <f>AO24*Übersicht!F$23</f>
        <v>0</v>
      </c>
      <c r="AQ24" s="110">
        <f t="shared" si="4"/>
        <v>115844.47822894722</v>
      </c>
      <c r="AR24" s="115" t="str">
        <f>IF(B24=Übersicht!$H$11,"Beginn Ansparphase",IF(B24=Übersicht!$H$12,"1. Umschichtung",IF(B24=Übersicht!$H$13,"2. Umschichtung",IF(B24=Übersicht!$H$14,"3. Umschichtung",IF(B24=Übersicht!$B$26,"Komplettverkauf",IF(B24=Übersicht!$B$40,"Beginn Entnahmephase",""))))))</f>
        <v/>
      </c>
    </row>
    <row r="25" spans="1:44" ht="14.5" x14ac:dyDescent="0.35">
      <c r="A25" s="102">
        <v>22</v>
      </c>
      <c r="B25" s="103">
        <f t="shared" si="12"/>
        <v>53236</v>
      </c>
      <c r="C25" s="104">
        <f>FV(G24/12,12,-Übersicht!B$5,-I24)</f>
        <v>349759.95600353181</v>
      </c>
      <c r="D25" s="104">
        <f>Übersicht!$B$6</f>
        <v>2400</v>
      </c>
      <c r="E25" s="104">
        <f>C$3+SUM(D$3:D25)</f>
        <v>105200</v>
      </c>
      <c r="F25" s="105">
        <f>D25*Übersicht!F$18</f>
        <v>4.8</v>
      </c>
      <c r="G25" s="106">
        <f>VLOOKUP(B25,Übersicht!H$11:J$14,3)</f>
        <v>0.06</v>
      </c>
      <c r="H25" s="107">
        <f t="shared" si="13"/>
        <v>18932.817916792061</v>
      </c>
      <c r="I25" s="108">
        <f t="shared" si="5"/>
        <v>348342.83660366153</v>
      </c>
      <c r="J25" s="109">
        <f>MAX(MIN(C25*0.7*Übersicht!$F$21,H25),0)</f>
        <v>7344.9590760741676</v>
      </c>
      <c r="K25" s="110">
        <f>SUM(J$3:J25)</f>
        <v>83325.067933005179</v>
      </c>
      <c r="L25" s="110">
        <f>J25*Übersicht!$F$22</f>
        <v>2203.4877228222504</v>
      </c>
      <c r="M25" s="111">
        <f t="shared" si="14"/>
        <v>5141.4713532519172</v>
      </c>
      <c r="N25" s="110">
        <f>Übersicht!$F$20</f>
        <v>1000</v>
      </c>
      <c r="O25" s="111">
        <f t="shared" si="6"/>
        <v>4141.4713532519172</v>
      </c>
      <c r="P25" s="112">
        <f>O25*Übersicht!$F$23</f>
        <v>1152.1573304746835</v>
      </c>
      <c r="Q25" s="111">
        <f>H25*Übersicht!B$11</f>
        <v>1893.2817916792062</v>
      </c>
      <c r="R25" s="111">
        <f>Q25*(Übersicht!F$18+Übersicht!F$19)</f>
        <v>7.5731271667168247</v>
      </c>
      <c r="S25" s="111">
        <f>C25/(C$3+SUM(D$3:D24))</f>
        <v>3.4023342023689866</v>
      </c>
      <c r="T25" s="111">
        <f t="shared" si="15"/>
        <v>556.46555542984186</v>
      </c>
      <c r="U25" s="111">
        <f t="shared" si="16"/>
        <v>1336.8162362493645</v>
      </c>
      <c r="V25" s="104">
        <f t="shared" si="7"/>
        <v>39.758917625263329</v>
      </c>
      <c r="W25" s="111">
        <f t="shared" si="17"/>
        <v>1297.0573186241011</v>
      </c>
      <c r="X25" s="104">
        <f>SUM(W$3:W25)</f>
        <v>13101.32866712036</v>
      </c>
      <c r="Y25" s="111">
        <f>W25*Übersicht!$F$22</f>
        <v>389.1171955872303</v>
      </c>
      <c r="Z25" s="111">
        <f t="shared" si="18"/>
        <v>907.94012303687077</v>
      </c>
      <c r="AA25" s="111">
        <f t="shared" si="19"/>
        <v>0</v>
      </c>
      <c r="AB25" s="111">
        <f t="shared" si="20"/>
        <v>907.94012303687077</v>
      </c>
      <c r="AC25" s="112">
        <f>AB25*Übersicht!F$23</f>
        <v>252.58894222885746</v>
      </c>
      <c r="AD25" s="113">
        <f>VLOOKUP(B25,Übersicht!H$11:I$14,2)</f>
        <v>0.75</v>
      </c>
      <c r="AE25" s="114">
        <f t="shared" si="8"/>
        <v>0</v>
      </c>
      <c r="AF25" s="110">
        <f t="shared" si="0"/>
        <v>0</v>
      </c>
      <c r="AG25" s="110">
        <f>AF25*(Übersicht!F$18+Übersicht!F$19)</f>
        <v>0</v>
      </c>
      <c r="AH25" s="110">
        <f t="shared" si="22"/>
        <v>0</v>
      </c>
      <c r="AI25" s="110">
        <f t="shared" si="23"/>
        <v>0</v>
      </c>
      <c r="AJ25" s="110">
        <f t="shared" si="11"/>
        <v>0</v>
      </c>
      <c r="AK25" s="110">
        <f>SUM(W$3:W25)</f>
        <v>13101.32866712036</v>
      </c>
      <c r="AL25" s="110">
        <f t="shared" si="3"/>
        <v>0</v>
      </c>
      <c r="AM25" s="110">
        <f>SUM(AL$3:AL25)</f>
        <v>28060.098023519957</v>
      </c>
      <c r="AN25" s="110">
        <f>AL25*Übersicht!$F$22</f>
        <v>0</v>
      </c>
      <c r="AO25" s="110">
        <f t="shared" si="21"/>
        <v>0</v>
      </c>
      <c r="AP25" s="112">
        <f>AO25*Übersicht!F$23</f>
        <v>0</v>
      </c>
      <c r="AQ25" s="110">
        <f t="shared" si="4"/>
        <v>124486.49462364549</v>
      </c>
      <c r="AR25" s="115" t="str">
        <f>IF(B25=Übersicht!$H$11,"Beginn Ansparphase",IF(B25=Übersicht!$H$12,"1. Umschichtung",IF(B25=Übersicht!$H$13,"2. Umschichtung",IF(B25=Übersicht!$H$14,"3. Umschichtung",IF(B25=Übersicht!$B$26,"Komplettverkauf",IF(B25=Übersicht!$B$40,"Beginn Entnahmephase",""))))))</f>
        <v/>
      </c>
    </row>
    <row r="26" spans="1:44" ht="14.5" x14ac:dyDescent="0.35">
      <c r="A26" s="102">
        <v>23</v>
      </c>
      <c r="B26" s="103">
        <f t="shared" si="12"/>
        <v>53601</v>
      </c>
      <c r="C26" s="104">
        <f>FV(G25/12,12,-Übersicht!B$5,-I25)</f>
        <v>372294.9730186275</v>
      </c>
      <c r="D26" s="104">
        <f>Übersicht!$B$6</f>
        <v>2400</v>
      </c>
      <c r="E26" s="104">
        <f>C$3+SUM(D$3:D26)</f>
        <v>107600</v>
      </c>
      <c r="F26" s="105">
        <f>D26*Übersicht!F$18</f>
        <v>4.8</v>
      </c>
      <c r="G26" s="106">
        <f>VLOOKUP(B26,Übersicht!H$11:J$14,3)</f>
        <v>0.06</v>
      </c>
      <c r="H26" s="107">
        <f t="shared" si="13"/>
        <v>20135.017015095684</v>
      </c>
      <c r="I26" s="108">
        <f t="shared" si="5"/>
        <v>370764.72777510533</v>
      </c>
      <c r="J26" s="109">
        <f>MAX(MIN(C26*0.7*Übersicht!$F$21,H26),0)</f>
        <v>7818.1944333911761</v>
      </c>
      <c r="K26" s="110">
        <f>SUM(J$3:J26)</f>
        <v>91143.26236639636</v>
      </c>
      <c r="L26" s="110">
        <f>J26*Übersicht!$F$22</f>
        <v>2345.4583300173526</v>
      </c>
      <c r="M26" s="111">
        <f t="shared" si="14"/>
        <v>5472.7361033738234</v>
      </c>
      <c r="N26" s="110">
        <f>Übersicht!$F$20</f>
        <v>1000</v>
      </c>
      <c r="O26" s="111">
        <f t="shared" si="6"/>
        <v>4472.7361033738234</v>
      </c>
      <c r="P26" s="112">
        <f>O26*Übersicht!$F$23</f>
        <v>1244.3151839585978</v>
      </c>
      <c r="Q26" s="111">
        <f>H26*Übersicht!B$11</f>
        <v>2013.5017015095684</v>
      </c>
      <c r="R26" s="111">
        <f>Q26*(Übersicht!F$18+Übersicht!F$19)</f>
        <v>8.0540068060382737</v>
      </c>
      <c r="S26" s="111">
        <f>C26/(C$3+SUM(D$3:D25))</f>
        <v>3.538925599036383</v>
      </c>
      <c r="T26" s="111">
        <f t="shared" si="15"/>
        <v>568.95847204525194</v>
      </c>
      <c r="U26" s="111">
        <f t="shared" si="16"/>
        <v>1444.5432294643165</v>
      </c>
      <c r="V26" s="104">
        <f t="shared" si="7"/>
        <v>42.28353573170093</v>
      </c>
      <c r="W26" s="111">
        <f t="shared" si="17"/>
        <v>1402.2596937326155</v>
      </c>
      <c r="X26" s="104">
        <f>SUM(W$3:W26)</f>
        <v>14503.588360852977</v>
      </c>
      <c r="Y26" s="111">
        <f>W26*Übersicht!$F$22</f>
        <v>420.6779081197846</v>
      </c>
      <c r="Z26" s="111">
        <f t="shared" si="18"/>
        <v>981.5817856128308</v>
      </c>
      <c r="AA26" s="111">
        <f t="shared" si="19"/>
        <v>0</v>
      </c>
      <c r="AB26" s="111">
        <f t="shared" si="20"/>
        <v>981.5817856128308</v>
      </c>
      <c r="AC26" s="112">
        <f>AB26*Übersicht!F$23</f>
        <v>273.07605275748955</v>
      </c>
      <c r="AD26" s="113">
        <f>VLOOKUP(B26,Übersicht!H$11:I$14,2)</f>
        <v>0.75</v>
      </c>
      <c r="AE26" s="114">
        <f t="shared" si="8"/>
        <v>0</v>
      </c>
      <c r="AF26" s="110">
        <f t="shared" si="0"/>
        <v>0</v>
      </c>
      <c r="AG26" s="110">
        <f>AF26*(Übersicht!F$18+Übersicht!F$19)</f>
        <v>0</v>
      </c>
      <c r="AH26" s="110">
        <f t="shared" si="22"/>
        <v>0</v>
      </c>
      <c r="AI26" s="110">
        <f t="shared" si="23"/>
        <v>0</v>
      </c>
      <c r="AJ26" s="110">
        <f t="shared" si="11"/>
        <v>0</v>
      </c>
      <c r="AK26" s="110">
        <f>SUM(W$3:W26)</f>
        <v>14503.588360852977</v>
      </c>
      <c r="AL26" s="110">
        <f t="shared" si="3"/>
        <v>0</v>
      </c>
      <c r="AM26" s="110">
        <f>SUM(AL$3:AL26)</f>
        <v>28060.098023519957</v>
      </c>
      <c r="AN26" s="110">
        <f>AL26*Übersicht!$F$22</f>
        <v>0</v>
      </c>
      <c r="AO26" s="110">
        <f t="shared" si="21"/>
        <v>0</v>
      </c>
      <c r="AP26" s="112">
        <f>AO26*Übersicht!F$23</f>
        <v>0</v>
      </c>
      <c r="AQ26" s="110">
        <f t="shared" si="4"/>
        <v>133706.94875076931</v>
      </c>
      <c r="AR26" s="115" t="str">
        <f>IF(B26=Übersicht!$H$11,"Beginn Ansparphase",IF(B26=Übersicht!$H$12,"1. Umschichtung",IF(B26=Übersicht!$H$13,"2. Umschichtung",IF(B26=Übersicht!$H$14,"3. Umschichtung",IF(B26=Übersicht!$B$26,"Komplettverkauf",IF(B26=Übersicht!$B$40,"Beginn Entnahmephase",""))))))</f>
        <v/>
      </c>
    </row>
    <row r="27" spans="1:44" ht="14.5" x14ac:dyDescent="0.35">
      <c r="A27" s="102">
        <v>24</v>
      </c>
      <c r="B27" s="103">
        <f t="shared" si="12"/>
        <v>53966</v>
      </c>
      <c r="C27" s="104">
        <f>FV(G26/12,12,-Übersicht!B$5,-I26)</f>
        <v>396099.79737538984</v>
      </c>
      <c r="D27" s="104">
        <f>Übersicht!$B$6</f>
        <v>2400</v>
      </c>
      <c r="E27" s="104">
        <f>C$3+SUM(D$3:D27)</f>
        <v>110000</v>
      </c>
      <c r="F27" s="105">
        <f>D27*Übersicht!F$18</f>
        <v>4.8</v>
      </c>
      <c r="G27" s="106">
        <f>VLOOKUP(B27,Übersicht!H$11:J$14,3)</f>
        <v>0.06</v>
      </c>
      <c r="H27" s="107">
        <f t="shared" si="13"/>
        <v>21404.824356762343</v>
      </c>
      <c r="I27" s="108">
        <f t="shared" si="5"/>
        <v>394449.91890297737</v>
      </c>
      <c r="J27" s="109">
        <f>MAX(MIN(C27*0.7*Übersicht!$F$21,H27),0)</f>
        <v>8318.095744883185</v>
      </c>
      <c r="K27" s="110">
        <f>SUM(J$3:J27)</f>
        <v>99461.358111279551</v>
      </c>
      <c r="L27" s="110">
        <f>J27*Übersicht!$F$22</f>
        <v>2495.4287234649555</v>
      </c>
      <c r="M27" s="111">
        <f t="shared" si="14"/>
        <v>5822.6670214182295</v>
      </c>
      <c r="N27" s="110">
        <f>Übersicht!$F$20</f>
        <v>1000</v>
      </c>
      <c r="O27" s="111">
        <f t="shared" si="6"/>
        <v>4822.6670214182295</v>
      </c>
      <c r="P27" s="112">
        <f>O27*Übersicht!$F$23</f>
        <v>1341.6659653585514</v>
      </c>
      <c r="Q27" s="111">
        <f>H27*Übersicht!B$11</f>
        <v>2140.4824356762342</v>
      </c>
      <c r="R27" s="111">
        <f>Q27*(Übersicht!F$18+Übersicht!F$19)</f>
        <v>8.5619297427049368</v>
      </c>
      <c r="S27" s="111">
        <f>C27/(C$3+SUM(D$3:D26))</f>
        <v>3.6812248826709091</v>
      </c>
      <c r="T27" s="111">
        <f t="shared" si="15"/>
        <v>581.45929789630486</v>
      </c>
      <c r="U27" s="111">
        <f t="shared" si="16"/>
        <v>1559.0231377799294</v>
      </c>
      <c r="V27" s="104">
        <f t="shared" si="7"/>
        <v>44.950131149200907</v>
      </c>
      <c r="W27" s="111">
        <f t="shared" si="17"/>
        <v>1514.0730066307285</v>
      </c>
      <c r="X27" s="104">
        <f>SUM(W$3:W27)</f>
        <v>16017.661367483704</v>
      </c>
      <c r="Y27" s="111">
        <f>W27*Übersicht!$F$22</f>
        <v>454.22190198921857</v>
      </c>
      <c r="Z27" s="111">
        <f t="shared" si="18"/>
        <v>1059.8511046415099</v>
      </c>
      <c r="AA27" s="111">
        <f t="shared" si="19"/>
        <v>0</v>
      </c>
      <c r="AB27" s="111">
        <f t="shared" si="20"/>
        <v>1059.8511046415099</v>
      </c>
      <c r="AC27" s="112">
        <f>AB27*Übersicht!F$23</f>
        <v>294.85057731126807</v>
      </c>
      <c r="AD27" s="113">
        <f>VLOOKUP(B27,Übersicht!H$11:I$14,2)</f>
        <v>0.75</v>
      </c>
      <c r="AE27" s="114">
        <f t="shared" si="8"/>
        <v>0</v>
      </c>
      <c r="AF27" s="110">
        <f t="shared" si="0"/>
        <v>0</v>
      </c>
      <c r="AG27" s="110">
        <f>AF27*(Übersicht!F$18+Übersicht!F$19)</f>
        <v>0</v>
      </c>
      <c r="AH27" s="110">
        <f t="shared" si="22"/>
        <v>0</v>
      </c>
      <c r="AI27" s="110">
        <f t="shared" si="23"/>
        <v>0</v>
      </c>
      <c r="AJ27" s="110">
        <f t="shared" si="11"/>
        <v>0</v>
      </c>
      <c r="AK27" s="110">
        <f>SUM(W$3:W27)</f>
        <v>16017.661367483704</v>
      </c>
      <c r="AL27" s="110">
        <f t="shared" si="3"/>
        <v>0</v>
      </c>
      <c r="AM27" s="110">
        <f>SUM(AL$3:AL27)</f>
        <v>28060.098023519957</v>
      </c>
      <c r="AN27" s="110">
        <f>AL27*Übersicht!$F$22</f>
        <v>0</v>
      </c>
      <c r="AO27" s="110">
        <f t="shared" si="21"/>
        <v>0</v>
      </c>
      <c r="AP27" s="112">
        <f>AO27*Übersicht!F$23</f>
        <v>0</v>
      </c>
      <c r="AQ27" s="110">
        <f t="shared" si="4"/>
        <v>143539.11750228322</v>
      </c>
      <c r="AR27" s="115" t="str">
        <f>IF(B27=Übersicht!$H$11,"Beginn Ansparphase",IF(B27=Übersicht!$H$12,"1. Umschichtung",IF(B27=Übersicht!$H$13,"2. Umschichtung",IF(B27=Übersicht!$H$14,"3. Umschichtung",IF(B27=Übersicht!$B$26,"Komplettverkauf",IF(B27=Übersicht!$B$40,"Beginn Entnahmephase",""))))))</f>
        <v/>
      </c>
    </row>
    <row r="28" spans="1:44" ht="14.5" x14ac:dyDescent="0.35">
      <c r="A28" s="102">
        <v>25</v>
      </c>
      <c r="B28" s="103">
        <f t="shared" si="12"/>
        <v>54332</v>
      </c>
      <c r="C28" s="104">
        <f>FV(G27/12,12,-Übersicht!B$5,-I27)</f>
        <v>421245.83926562144</v>
      </c>
      <c r="D28" s="104">
        <f>Übersicht!$B$6</f>
        <v>2400</v>
      </c>
      <c r="E28" s="104">
        <f>C$3+SUM(D$3:D28)</f>
        <v>112400</v>
      </c>
      <c r="F28" s="105">
        <f>D28*Übersicht!F$18</f>
        <v>4.8</v>
      </c>
      <c r="G28" s="106">
        <f>VLOOKUP(B28,Übersicht!H$11:J$14,3)</f>
        <v>0.04</v>
      </c>
      <c r="H28" s="107">
        <f t="shared" si="13"/>
        <v>22746.041890231601</v>
      </c>
      <c r="I28" s="108">
        <f t="shared" si="5"/>
        <v>407763.14441752399</v>
      </c>
      <c r="J28" s="109">
        <f>MAX(MIN(C28*0.7*Übersicht!$F$21,H28),0)</f>
        <v>8846.1626245780499</v>
      </c>
      <c r="K28" s="110">
        <f>SUM(J$3:J28)</f>
        <v>108307.5207358576</v>
      </c>
      <c r="L28" s="110">
        <f>J28*Übersicht!$F$22</f>
        <v>2653.8487873734148</v>
      </c>
      <c r="M28" s="111">
        <f t="shared" si="14"/>
        <v>6192.3138372046351</v>
      </c>
      <c r="N28" s="110">
        <f>Übersicht!$F$20</f>
        <v>1000</v>
      </c>
      <c r="O28" s="111">
        <f t="shared" si="6"/>
        <v>5192.3138372046351</v>
      </c>
      <c r="P28" s="112">
        <f>O28*Übersicht!$F$23</f>
        <v>1444.5017095103294</v>
      </c>
      <c r="Q28" s="111">
        <f>H28*Übersicht!B$11</f>
        <v>2274.6041890231604</v>
      </c>
      <c r="R28" s="111">
        <f>Q28*(Übersicht!F$18+Übersicht!F$19)</f>
        <v>9.0984167560926412</v>
      </c>
      <c r="S28" s="111">
        <f>C28/(C$3+SUM(D$3:D27))</f>
        <v>3.8295076296874675</v>
      </c>
      <c r="T28" s="111">
        <f t="shared" si="15"/>
        <v>593.96779141782122</v>
      </c>
      <c r="U28" s="111">
        <f t="shared" si="16"/>
        <v>1680.6363976053392</v>
      </c>
      <c r="V28" s="104">
        <f t="shared" si="7"/>
        <v>47.766687969486362</v>
      </c>
      <c r="W28" s="111">
        <f t="shared" si="17"/>
        <v>1632.8697096358528</v>
      </c>
      <c r="X28" s="104">
        <f>SUM(W$3:W28)</f>
        <v>17650.531077119558</v>
      </c>
      <c r="Y28" s="111">
        <f>W28*Übersicht!$F$22</f>
        <v>489.8609128907558</v>
      </c>
      <c r="Z28" s="111">
        <f t="shared" si="18"/>
        <v>1143.008796745097</v>
      </c>
      <c r="AA28" s="111">
        <f t="shared" si="19"/>
        <v>0</v>
      </c>
      <c r="AB28" s="111">
        <f t="shared" si="20"/>
        <v>1143.008796745097</v>
      </c>
      <c r="AC28" s="112">
        <f>AB28*Übersicht!F$23</f>
        <v>317.98504725448601</v>
      </c>
      <c r="AD28" s="113">
        <f>VLOOKUP(B28,Übersicht!H$11:I$14,2)</f>
        <v>0.5</v>
      </c>
      <c r="AE28" s="114">
        <f t="shared" si="8"/>
        <v>0.25</v>
      </c>
      <c r="AF28" s="110">
        <f t="shared" si="0"/>
        <v>105311.45981640536</v>
      </c>
      <c r="AG28" s="110">
        <f>AF28*(Übersicht!F$18+Übersicht!F$19)</f>
        <v>421.24583926562144</v>
      </c>
      <c r="AH28" s="110">
        <f t="shared" si="22"/>
        <v>27500</v>
      </c>
      <c r="AI28" s="110">
        <f t="shared" si="23"/>
        <v>77811.45981640536</v>
      </c>
      <c r="AJ28" s="110">
        <f t="shared" si="11"/>
        <v>2211.5406561445125</v>
      </c>
      <c r="AK28" s="110">
        <f>SUM(W$3:W28)</f>
        <v>17650.531077119558</v>
      </c>
      <c r="AL28" s="110">
        <f t="shared" si="3"/>
        <v>57949.38808314129</v>
      </c>
      <c r="AM28" s="110">
        <f>SUM(AL$3:AL28)</f>
        <v>86009.48610666125</v>
      </c>
      <c r="AN28" s="110">
        <f>AL28*Übersicht!$F$22</f>
        <v>17384.816424942386</v>
      </c>
      <c r="AO28" s="110">
        <f t="shared" si="21"/>
        <v>40564.571658198904</v>
      </c>
      <c r="AP28" s="112">
        <f>AO28*Übersicht!F$23</f>
        <v>11285.063835310935</v>
      </c>
      <c r="AQ28" s="110">
        <f t="shared" si="4"/>
        <v>211967.53791963839</v>
      </c>
      <c r="AR28" s="115" t="str">
        <f>IF(B28=Übersicht!$H$11,"Beginn Ansparphase",IF(B28=Übersicht!$H$12,"1. Umschichtung",IF(B28=Übersicht!$H$13,"2. Umschichtung",IF(B28=Übersicht!$H$14,"3. Umschichtung",IF(B28=Übersicht!$B$26,"Komplettverkauf",IF(B28=Übersicht!$B$40,"Beginn Entnahmephase",""))))))</f>
        <v>2. Umschichtung</v>
      </c>
    </row>
    <row r="29" spans="1:44" ht="14.5" x14ac:dyDescent="0.35">
      <c r="A29" s="102">
        <v>26</v>
      </c>
      <c r="B29" s="103">
        <f t="shared" si="12"/>
        <v>54697</v>
      </c>
      <c r="C29" s="104">
        <f>FV(G28/12,12,-Übersicht!B$5,-I28)</f>
        <v>426820.53664210689</v>
      </c>
      <c r="D29" s="104">
        <f>Übersicht!$B$6</f>
        <v>2400</v>
      </c>
      <c r="E29" s="104">
        <f>C$3+SUM(D$3:D29)</f>
        <v>114800</v>
      </c>
      <c r="F29" s="105">
        <f>D29*Übersicht!F$18</f>
        <v>4.8</v>
      </c>
      <c r="G29" s="106">
        <f>VLOOKUP(B29,Übersicht!H$11:J$14,3)</f>
        <v>0.04</v>
      </c>
      <c r="H29" s="107">
        <f t="shared" si="13"/>
        <v>3174.6973764854483</v>
      </c>
      <c r="I29" s="108">
        <f t="shared" si="5"/>
        <v>426429.34289109765</v>
      </c>
      <c r="J29" s="109">
        <f>MAX(MIN(C29*0.7*Übersicht!$F$21,H29),0)</f>
        <v>3174.6973764854483</v>
      </c>
      <c r="K29" s="110">
        <f>SUM(J$3:J29)</f>
        <v>111482.21811234305</v>
      </c>
      <c r="L29" s="110">
        <f>J29*Übersicht!$F$22</f>
        <v>952.40921294563441</v>
      </c>
      <c r="M29" s="111">
        <f t="shared" si="14"/>
        <v>2222.2881635398139</v>
      </c>
      <c r="N29" s="110">
        <f>Übersicht!$F$20</f>
        <v>1000</v>
      </c>
      <c r="O29" s="111">
        <f t="shared" si="6"/>
        <v>1222.2881635398139</v>
      </c>
      <c r="P29" s="112">
        <f>O29*Übersicht!$F$23</f>
        <v>340.04056709677621</v>
      </c>
      <c r="Q29" s="111">
        <f>H29*Übersicht!B$11</f>
        <v>317.46973764854488</v>
      </c>
      <c r="R29" s="111">
        <f>Q29*(Übersicht!F$18+Übersicht!F$19)</f>
        <v>1.2698789505941794</v>
      </c>
      <c r="S29" s="111">
        <f>C29/(C$3+SUM(D$3:D28))</f>
        <v>3.7973357352500612</v>
      </c>
      <c r="T29" s="111">
        <f t="shared" si="15"/>
        <v>83.603283929183291</v>
      </c>
      <c r="U29" s="111">
        <f t="shared" si="16"/>
        <v>233.86645371936157</v>
      </c>
      <c r="V29" s="104">
        <f t="shared" si="7"/>
        <v>2.3613445387504117</v>
      </c>
      <c r="W29" s="111">
        <f t="shared" si="17"/>
        <v>231.50510918061116</v>
      </c>
      <c r="X29" s="104">
        <f>SUM(W$3:W29)</f>
        <v>17882.036186300171</v>
      </c>
      <c r="Y29" s="111">
        <f>W29*Übersicht!$F$22</f>
        <v>69.451532754183347</v>
      </c>
      <c r="Z29" s="111">
        <f t="shared" si="18"/>
        <v>162.05357642642781</v>
      </c>
      <c r="AA29" s="111">
        <f t="shared" si="19"/>
        <v>0</v>
      </c>
      <c r="AB29" s="111">
        <f t="shared" si="20"/>
        <v>162.05357642642781</v>
      </c>
      <c r="AC29" s="112">
        <f>AB29*Übersicht!F$23</f>
        <v>45.083304961832219</v>
      </c>
      <c r="AD29" s="113">
        <f>VLOOKUP(B29,Übersicht!H$11:I$14,2)</f>
        <v>0.5</v>
      </c>
      <c r="AE29" s="114">
        <f t="shared" si="8"/>
        <v>0</v>
      </c>
      <c r="AF29" s="110">
        <f t="shared" si="0"/>
        <v>0</v>
      </c>
      <c r="AG29" s="110">
        <f>AF29*(Übersicht!F$18+Übersicht!F$19)</f>
        <v>0</v>
      </c>
      <c r="AH29" s="110">
        <f t="shared" si="22"/>
        <v>0</v>
      </c>
      <c r="AI29" s="110">
        <f t="shared" si="23"/>
        <v>0</v>
      </c>
      <c r="AJ29" s="110">
        <f t="shared" si="11"/>
        <v>0</v>
      </c>
      <c r="AK29" s="110">
        <f>SUM(W$3:W29)</f>
        <v>17882.036186300171</v>
      </c>
      <c r="AL29" s="110">
        <f t="shared" si="3"/>
        <v>0</v>
      </c>
      <c r="AM29" s="110">
        <f>SUM(AL$3:AL29)</f>
        <v>86009.48610666125</v>
      </c>
      <c r="AN29" s="110">
        <f>AL29*Übersicht!$F$22</f>
        <v>0</v>
      </c>
      <c r="AO29" s="110">
        <f t="shared" si="21"/>
        <v>0</v>
      </c>
      <c r="AP29" s="112">
        <f>AO29*Übersicht!F$23</f>
        <v>0</v>
      </c>
      <c r="AQ29" s="110">
        <f t="shared" si="4"/>
        <v>215373.74040530447</v>
      </c>
      <c r="AR29" s="115" t="str">
        <f>IF(B29=Übersicht!$H$11,"Beginn Ansparphase",IF(B29=Übersicht!$H$12,"1. Umschichtung",IF(B29=Übersicht!$H$13,"2. Umschichtung",IF(B29=Übersicht!$H$14,"3. Umschichtung",IF(B29=Übersicht!$B$26,"Komplettverkauf",IF(B29=Übersicht!$B$40,"Beginn Entnahmephase",""))))))</f>
        <v/>
      </c>
    </row>
    <row r="30" spans="1:44" ht="14.5" x14ac:dyDescent="0.35">
      <c r="A30" s="102">
        <v>27</v>
      </c>
      <c r="B30" s="103">
        <f t="shared" si="12"/>
        <v>55062</v>
      </c>
      <c r="C30" s="104">
        <f>FV(G29/12,12,-Übersicht!B$5,-I29)</f>
        <v>446247.22484194097</v>
      </c>
      <c r="D30" s="104">
        <f>Übersicht!$B$6</f>
        <v>2400</v>
      </c>
      <c r="E30" s="104">
        <f>C$3+SUM(D$3:D30)</f>
        <v>117200</v>
      </c>
      <c r="F30" s="105">
        <f>D30*Übersicht!F$18</f>
        <v>4.8</v>
      </c>
      <c r="G30" s="106">
        <f>VLOOKUP(B30,Übersicht!H$11:J$14,3)</f>
        <v>0.04</v>
      </c>
      <c r="H30" s="107">
        <f t="shared" si="13"/>
        <v>17026.688199834083</v>
      </c>
      <c r="I30" s="108">
        <f t="shared" si="5"/>
        <v>444449.5542228893</v>
      </c>
      <c r="J30" s="109">
        <f>MAX(MIN(C30*0.7*Übersicht!$F$21,H30),0)</f>
        <v>9371.1917216807597</v>
      </c>
      <c r="K30" s="110">
        <f>SUM(J$3:J30)</f>
        <v>120853.40983402381</v>
      </c>
      <c r="L30" s="110">
        <f>J30*Übersicht!$F$22</f>
        <v>2811.357516504228</v>
      </c>
      <c r="M30" s="111">
        <f t="shared" si="14"/>
        <v>6559.8342051765321</v>
      </c>
      <c r="N30" s="110">
        <f>Übersicht!$F$20</f>
        <v>1000</v>
      </c>
      <c r="O30" s="111">
        <f t="shared" si="6"/>
        <v>5559.8342051765321</v>
      </c>
      <c r="P30" s="112">
        <f>O30*Übersicht!$F$23</f>
        <v>1546.7458758801113</v>
      </c>
      <c r="Q30" s="111">
        <f>H30*Übersicht!B$11</f>
        <v>1702.6688199834084</v>
      </c>
      <c r="R30" s="111">
        <f>Q30*(Übersicht!F$18+Übersicht!F$19)</f>
        <v>6.8106752799336334</v>
      </c>
      <c r="S30" s="111">
        <f>C30/(C$3+SUM(D$3:D29))</f>
        <v>3.8871709481005312</v>
      </c>
      <c r="T30" s="111">
        <f t="shared" si="15"/>
        <v>438.02262434982919</v>
      </c>
      <c r="U30" s="111">
        <f t="shared" si="16"/>
        <v>1264.6461956335793</v>
      </c>
      <c r="V30" s="104">
        <f t="shared" si="7"/>
        <v>35.756045219651575</v>
      </c>
      <c r="W30" s="111">
        <f t="shared" si="17"/>
        <v>1228.8901504139278</v>
      </c>
      <c r="X30" s="104">
        <f>SUM(W$3:W30)</f>
        <v>19110.926336714099</v>
      </c>
      <c r="Y30" s="111">
        <f>W30*Übersicht!$F$22</f>
        <v>368.66704512417834</v>
      </c>
      <c r="Z30" s="111">
        <f t="shared" si="18"/>
        <v>860.22310528974947</v>
      </c>
      <c r="AA30" s="111">
        <f t="shared" si="19"/>
        <v>0</v>
      </c>
      <c r="AB30" s="111">
        <f t="shared" si="20"/>
        <v>860.22310528974947</v>
      </c>
      <c r="AC30" s="112">
        <f>AB30*Übersicht!F$23</f>
        <v>239.31406789160832</v>
      </c>
      <c r="AD30" s="113">
        <f>VLOOKUP(B30,Übersicht!H$11:I$14,2)</f>
        <v>0.5</v>
      </c>
      <c r="AE30" s="114">
        <f t="shared" si="8"/>
        <v>0</v>
      </c>
      <c r="AF30" s="110">
        <f t="shared" si="0"/>
        <v>0</v>
      </c>
      <c r="AG30" s="110">
        <f>AF30*(Übersicht!F$18+Übersicht!F$19)</f>
        <v>0</v>
      </c>
      <c r="AH30" s="110">
        <f t="shared" si="22"/>
        <v>0</v>
      </c>
      <c r="AI30" s="110">
        <f t="shared" si="23"/>
        <v>0</v>
      </c>
      <c r="AJ30" s="110">
        <f t="shared" si="11"/>
        <v>0</v>
      </c>
      <c r="AK30" s="110">
        <f>SUM(W$3:W30)</f>
        <v>19110.926336714099</v>
      </c>
      <c r="AL30" s="110">
        <f t="shared" si="3"/>
        <v>0</v>
      </c>
      <c r="AM30" s="110">
        <f>SUM(AL$3:AL30)</f>
        <v>86009.48610666125</v>
      </c>
      <c r="AN30" s="110">
        <f>AL30*Übersicht!$F$22</f>
        <v>0</v>
      </c>
      <c r="AO30" s="110">
        <f t="shared" si="21"/>
        <v>0</v>
      </c>
      <c r="AP30" s="112">
        <f>AO30*Übersicht!F$23</f>
        <v>0</v>
      </c>
      <c r="AQ30" s="110">
        <f t="shared" si="4"/>
        <v>225973.82227739919</v>
      </c>
      <c r="AR30" s="115" t="str">
        <f>IF(B30=Übersicht!$H$11,"Beginn Ansparphase",IF(B30=Übersicht!$H$12,"1. Umschichtung",IF(B30=Übersicht!$H$13,"2. Umschichtung",IF(B30=Übersicht!$H$14,"3. Umschichtung",IF(B30=Übersicht!$B$26,"Komplettverkauf",IF(B30=Übersicht!$B$40,"Beginn Entnahmephase",""))))))</f>
        <v/>
      </c>
    </row>
    <row r="31" spans="1:44" ht="14.5" x14ac:dyDescent="0.35">
      <c r="A31" s="102">
        <v>28</v>
      </c>
      <c r="B31" s="103">
        <f t="shared" si="12"/>
        <v>55427</v>
      </c>
      <c r="C31" s="104">
        <f>FV(G30/12,12,-Übersicht!B$5,-I30)</f>
        <v>465001.6073871305</v>
      </c>
      <c r="D31" s="104">
        <f>Übersicht!$B$6</f>
        <v>2400</v>
      </c>
      <c r="E31" s="104">
        <f>C$3+SUM(D$3:D31)</f>
        <v>119600</v>
      </c>
      <c r="F31" s="105">
        <f>D31*Übersicht!F$18</f>
        <v>4.8</v>
      </c>
      <c r="G31" s="106">
        <f>VLOOKUP(B31,Übersicht!H$11:J$14,3)</f>
        <v>0.04</v>
      </c>
      <c r="H31" s="107">
        <f t="shared" si="13"/>
        <v>16354.382545189525</v>
      </c>
      <c r="I31" s="108">
        <f t="shared" si="5"/>
        <v>463135.29760783666</v>
      </c>
      <c r="J31" s="109">
        <f>MAX(MIN(C31*0.7*Übersicht!$F$21,H31),0)</f>
        <v>9765.0337551297398</v>
      </c>
      <c r="K31" s="110">
        <f>SUM(J$3:J31)</f>
        <v>130618.44358915355</v>
      </c>
      <c r="L31" s="110">
        <f>J31*Übersicht!$F$22</f>
        <v>2929.5101265389217</v>
      </c>
      <c r="M31" s="111">
        <f t="shared" si="14"/>
        <v>6835.5236285908177</v>
      </c>
      <c r="N31" s="110">
        <f>Übersicht!$F$20</f>
        <v>1000</v>
      </c>
      <c r="O31" s="111">
        <f t="shared" si="6"/>
        <v>5835.5236285908177</v>
      </c>
      <c r="P31" s="112">
        <f>O31*Übersicht!$F$23</f>
        <v>1623.4426734739654</v>
      </c>
      <c r="Q31" s="111">
        <f>H31*Übersicht!B$11</f>
        <v>1635.4382545189526</v>
      </c>
      <c r="R31" s="111">
        <f>Q31*(Übersicht!F$18+Übersicht!F$19)</f>
        <v>6.5417530180758101</v>
      </c>
      <c r="S31" s="111">
        <f>C31/(C$3+SUM(D$3:D30))</f>
        <v>3.9675905067161303</v>
      </c>
      <c r="T31" s="111">
        <f t="shared" si="15"/>
        <v>412.19935670038728</v>
      </c>
      <c r="U31" s="111">
        <f t="shared" si="16"/>
        <v>1223.2388978185654</v>
      </c>
      <c r="V31" s="104">
        <f t="shared" si="7"/>
        <v>34.344203344897998</v>
      </c>
      <c r="W31" s="111">
        <f t="shared" si="17"/>
        <v>1188.8946944736674</v>
      </c>
      <c r="X31" s="104">
        <f>SUM(W$3:W31)</f>
        <v>20299.821031187766</v>
      </c>
      <c r="Y31" s="111">
        <f>W31*Übersicht!$F$22</f>
        <v>356.66840834210024</v>
      </c>
      <c r="Z31" s="111">
        <f t="shared" si="18"/>
        <v>832.22628613156712</v>
      </c>
      <c r="AA31" s="111">
        <f t="shared" si="19"/>
        <v>0</v>
      </c>
      <c r="AB31" s="111">
        <f t="shared" si="20"/>
        <v>832.22628613156712</v>
      </c>
      <c r="AC31" s="112">
        <f>AB31*Übersicht!F$23</f>
        <v>231.52535280180197</v>
      </c>
      <c r="AD31" s="113">
        <f>VLOOKUP(B31,Übersicht!H$11:I$14,2)</f>
        <v>0.5</v>
      </c>
      <c r="AE31" s="114">
        <f t="shared" si="8"/>
        <v>0</v>
      </c>
      <c r="AF31" s="110">
        <f t="shared" si="0"/>
        <v>0</v>
      </c>
      <c r="AG31" s="110">
        <f>AF31*(Übersicht!F$18+Übersicht!F$19)</f>
        <v>0</v>
      </c>
      <c r="AH31" s="110">
        <f t="shared" si="22"/>
        <v>0</v>
      </c>
      <c r="AI31" s="110">
        <f t="shared" si="23"/>
        <v>0</v>
      </c>
      <c r="AJ31" s="110">
        <f t="shared" si="11"/>
        <v>0</v>
      </c>
      <c r="AK31" s="110">
        <f>SUM(W$3:W31)</f>
        <v>20299.821031187766</v>
      </c>
      <c r="AL31" s="110">
        <f t="shared" si="3"/>
        <v>0</v>
      </c>
      <c r="AM31" s="110">
        <f>SUM(AL$3:AL31)</f>
        <v>86009.48610666125</v>
      </c>
      <c r="AN31" s="110">
        <f>AL31*Übersicht!$F$22</f>
        <v>0</v>
      </c>
      <c r="AO31" s="110">
        <f t="shared" si="21"/>
        <v>0</v>
      </c>
      <c r="AP31" s="112">
        <f>AO31*Übersicht!F$23</f>
        <v>0</v>
      </c>
      <c r="AQ31" s="110">
        <f t="shared" si="4"/>
        <v>236927.75072700257</v>
      </c>
      <c r="AR31" s="115" t="str">
        <f>IF(B31=Übersicht!$H$11,"Beginn Ansparphase",IF(B31=Übersicht!$H$12,"1. Umschichtung",IF(B31=Übersicht!$H$13,"2. Umschichtung",IF(B31=Übersicht!$H$14,"3. Umschichtung",IF(B31=Übersicht!$B$26,"Komplettverkauf",IF(B31=Übersicht!$B$40,"Beginn Entnahmephase",""))))))</f>
        <v/>
      </c>
    </row>
    <row r="32" spans="1:44" ht="14.5" x14ac:dyDescent="0.35">
      <c r="A32" s="102">
        <v>29</v>
      </c>
      <c r="B32" s="103">
        <f t="shared" ref="B32:B43" si="24">EDATE(B31,12)</f>
        <v>55793</v>
      </c>
      <c r="C32" s="104">
        <f>FV(G31/12,12,-Übersicht!B$5,-I31)</f>
        <v>484448.63678818388</v>
      </c>
      <c r="D32" s="104">
        <f>Übersicht!$B$6</f>
        <v>2400</v>
      </c>
      <c r="E32" s="104">
        <f>C$3+SUM(D$3:D32)</f>
        <v>122000</v>
      </c>
      <c r="F32" s="105">
        <f>D32*Übersicht!F$18</f>
        <v>4.8</v>
      </c>
      <c r="G32" s="106">
        <f>VLOOKUP(B32,Übersicht!H$11:J$14,3)</f>
        <v>0.04</v>
      </c>
      <c r="H32" s="107">
        <f t="shared" si="13"/>
        <v>17047.029401053383</v>
      </c>
      <c r="I32" s="108">
        <f t="shared" si="5"/>
        <v>482491.00073726266</v>
      </c>
      <c r="J32" s="109">
        <f>MAX(MIN(C32*0.7*Übersicht!$F$21,H32),0)</f>
        <v>10173.42137255186</v>
      </c>
      <c r="K32" s="110">
        <f>SUM(J$3:J32)</f>
        <v>140791.8649617054</v>
      </c>
      <c r="L32" s="110">
        <f>J32*Übersicht!$F$22</f>
        <v>3052.0264117655579</v>
      </c>
      <c r="M32" s="111">
        <f t="shared" si="14"/>
        <v>7121.3949607863024</v>
      </c>
      <c r="N32" s="110">
        <f>Übersicht!$F$20</f>
        <v>1000</v>
      </c>
      <c r="O32" s="111">
        <f t="shared" si="6"/>
        <v>6121.3949607863024</v>
      </c>
      <c r="P32" s="112">
        <f>O32*Übersicht!$F$23</f>
        <v>1702.9720780907494</v>
      </c>
      <c r="Q32" s="111">
        <f>H32*Übersicht!B$11</f>
        <v>1704.7029401053385</v>
      </c>
      <c r="R32" s="111">
        <f>Q32*(Übersicht!F$18+Übersicht!F$19)</f>
        <v>6.8188117604213545</v>
      </c>
      <c r="S32" s="111">
        <f>C32/(C$3+SUM(D$3:D31))</f>
        <v>4.0505738861888281</v>
      </c>
      <c r="T32" s="111">
        <f t="shared" si="15"/>
        <v>420.85467096843604</v>
      </c>
      <c r="U32" s="111">
        <f t="shared" si="16"/>
        <v>1283.8482691369024</v>
      </c>
      <c r="V32" s="104">
        <f t="shared" si="7"/>
        <v>35.798761742212108</v>
      </c>
      <c r="W32" s="111">
        <f t="shared" si="17"/>
        <v>1248.0495073946904</v>
      </c>
      <c r="X32" s="104">
        <f>SUM(W$3:W32)</f>
        <v>21547.870538582458</v>
      </c>
      <c r="Y32" s="111">
        <f>W32*Übersicht!$F$22</f>
        <v>374.41485221840713</v>
      </c>
      <c r="Z32" s="111">
        <f t="shared" si="18"/>
        <v>873.63465517628333</v>
      </c>
      <c r="AA32" s="111">
        <f t="shared" si="19"/>
        <v>0</v>
      </c>
      <c r="AB32" s="111">
        <f t="shared" si="20"/>
        <v>873.63465517628333</v>
      </c>
      <c r="AC32" s="112">
        <f>AB32*Übersicht!F$23</f>
        <v>243.04516107004201</v>
      </c>
      <c r="AD32" s="113">
        <f>VLOOKUP(B32,Übersicht!H$11:I$14,2)</f>
        <v>0.5</v>
      </c>
      <c r="AE32" s="114">
        <f t="shared" si="8"/>
        <v>0</v>
      </c>
      <c r="AF32" s="110">
        <f t="shared" si="0"/>
        <v>0</v>
      </c>
      <c r="AG32" s="110">
        <f>AF32*(Übersicht!F$18+Übersicht!F$19)</f>
        <v>0</v>
      </c>
      <c r="AH32" s="110">
        <f t="shared" si="22"/>
        <v>0</v>
      </c>
      <c r="AI32" s="110">
        <f t="shared" si="23"/>
        <v>0</v>
      </c>
      <c r="AJ32" s="110">
        <f t="shared" si="11"/>
        <v>0</v>
      </c>
      <c r="AK32" s="110">
        <f>SUM(W$3:W32)</f>
        <v>21547.870538582458</v>
      </c>
      <c r="AL32" s="110">
        <f t="shared" si="3"/>
        <v>0</v>
      </c>
      <c r="AM32" s="110">
        <f>SUM(AL$3:AL32)</f>
        <v>86009.48610666125</v>
      </c>
      <c r="AN32" s="110">
        <f>AL32*Übersicht!$F$22</f>
        <v>0</v>
      </c>
      <c r="AO32" s="110">
        <f t="shared" si="21"/>
        <v>0</v>
      </c>
      <c r="AP32" s="112">
        <f>AO32*Übersicht!F$23</f>
        <v>0</v>
      </c>
      <c r="AQ32" s="110">
        <f t="shared" si="4"/>
        <v>248349.22160694911</v>
      </c>
      <c r="AR32" s="115" t="str">
        <f>IF(B32=Übersicht!$H$11,"Beginn Ansparphase",IF(B32=Übersicht!$H$12,"1. Umschichtung",IF(B32=Übersicht!$H$13,"2. Umschichtung",IF(B32=Übersicht!$H$14,"3. Umschichtung",IF(B32=Übersicht!$B$26,"Komplettverkauf",IF(B32=Übersicht!$B$40,"Beginn Entnahmephase",""))))))</f>
        <v/>
      </c>
    </row>
    <row r="33" spans="1:44" ht="14.5" x14ac:dyDescent="0.35">
      <c r="A33" s="102">
        <v>30</v>
      </c>
      <c r="B33" s="103">
        <f t="shared" si="24"/>
        <v>56158</v>
      </c>
      <c r="C33" s="104">
        <f>FV(G32/12,12,-Übersicht!B$5,-I32)</f>
        <v>504592.92112740013</v>
      </c>
      <c r="D33" s="104">
        <f>Übersicht!$B$6</f>
        <v>2400</v>
      </c>
      <c r="E33" s="104">
        <f>C$3+SUM(D$3:D33)</f>
        <v>124400</v>
      </c>
      <c r="F33" s="105">
        <f>D33*Übersicht!F$18</f>
        <v>4.8</v>
      </c>
      <c r="G33" s="106">
        <f>VLOOKUP(B33,Übersicht!H$11:J$14,3)</f>
        <v>0.02</v>
      </c>
      <c r="H33" s="107">
        <f t="shared" si="13"/>
        <v>17744.284339216247</v>
      </c>
      <c r="I33" s="108">
        <f>C33-P33-AC33-AP33-F33-R33-AG33</f>
        <v>488376.66173513257</v>
      </c>
      <c r="J33" s="109">
        <f>MAX(MIN(C33*0.7*Übersicht!$F$21,H33),0)</f>
        <v>10596.4513436754</v>
      </c>
      <c r="K33" s="110">
        <f>SUM(J$3:J33)</f>
        <v>151388.31630538081</v>
      </c>
      <c r="L33" s="110">
        <f>J33*Übersicht!$F$22</f>
        <v>3178.9354031026201</v>
      </c>
      <c r="M33" s="111">
        <f>J33-L33</f>
        <v>7417.5159405727809</v>
      </c>
      <c r="N33" s="110">
        <f>Übersicht!$F$20</f>
        <v>1000</v>
      </c>
      <c r="O33" s="111">
        <f t="shared" si="6"/>
        <v>6417.5159405727809</v>
      </c>
      <c r="P33" s="112">
        <f>O33*Übersicht!$F$23</f>
        <v>1785.3529346673477</v>
      </c>
      <c r="Q33" s="111">
        <f>H33*Übersicht!B$11</f>
        <v>1774.4284339216247</v>
      </c>
      <c r="R33" s="111">
        <f>Q33*(Übersicht!F$18+Übersicht!F$19)</f>
        <v>7.097713735686499</v>
      </c>
      <c r="S33" s="111">
        <f>C33/(C$3+SUM(D$3:D32))</f>
        <v>4.1360075502245914</v>
      </c>
      <c r="T33" s="111">
        <f t="shared" si="15"/>
        <v>429.01963122027439</v>
      </c>
      <c r="U33" s="111">
        <f>Q33-Q33/S33</f>
        <v>1345.4088027013504</v>
      </c>
      <c r="V33" s="104">
        <f t="shared" si="7"/>
        <v>37.262997112354107</v>
      </c>
      <c r="W33" s="111">
        <f t="shared" si="17"/>
        <v>1308.1458055889964</v>
      </c>
      <c r="X33" s="104">
        <f>SUM(W$3:W33)</f>
        <v>22856.016344171454</v>
      </c>
      <c r="Y33" s="111">
        <f>W33*Übersicht!$F$22</f>
        <v>392.44374167669889</v>
      </c>
      <c r="Z33" s="111">
        <f>W33-Y33</f>
        <v>915.70206391229749</v>
      </c>
      <c r="AA33" s="111">
        <f t="shared" si="19"/>
        <v>0</v>
      </c>
      <c r="AB33" s="111">
        <f t="shared" si="20"/>
        <v>915.70206391229749</v>
      </c>
      <c r="AC33" s="112">
        <f>AB33*Übersicht!F$23</f>
        <v>254.74831418040117</v>
      </c>
      <c r="AD33" s="113">
        <f>VLOOKUP(B33,Übersicht!H$11:I$14,2)</f>
        <v>0.25</v>
      </c>
      <c r="AE33" s="114">
        <f>IF(AD33=AD32,0,AD32-AD33)</f>
        <v>0.25</v>
      </c>
      <c r="AF33" s="110">
        <f t="shared" si="0"/>
        <v>126148.23028185003</v>
      </c>
      <c r="AG33" s="110">
        <f>AF33*(Übersicht!F$18+Übersicht!F$19)</f>
        <v>504.59292112740013</v>
      </c>
      <c r="AH33" s="110">
        <f t="shared" si="22"/>
        <v>30500</v>
      </c>
      <c r="AI33" s="110">
        <f t="shared" si="23"/>
        <v>95648.230281850032</v>
      </c>
      <c r="AJ33" s="110">
        <f t="shared" si="11"/>
        <v>2649.1128359188501</v>
      </c>
      <c r="AK33" s="110">
        <f>SUM(W$3:W33)</f>
        <v>22856.016344171454</v>
      </c>
      <c r="AL33" s="110">
        <f t="shared" si="3"/>
        <v>70143.101101759734</v>
      </c>
      <c r="AM33" s="110">
        <f>SUM(AL$3:AL33)</f>
        <v>156152.58720842097</v>
      </c>
      <c r="AN33" s="110">
        <f>AL33*Übersicht!$F$22</f>
        <v>21042.930330527921</v>
      </c>
      <c r="AO33" s="110">
        <f t="shared" si="21"/>
        <v>49100.170771231817</v>
      </c>
      <c r="AP33" s="112">
        <f>AO33*Übersicht!F$23</f>
        <v>13659.667508556691</v>
      </c>
      <c r="AQ33" s="110">
        <f>K33+X33+AM33</f>
        <v>330396.91985797323</v>
      </c>
      <c r="AR33" s="115" t="str">
        <f>IF(B33=Übersicht!$H$11,"Beginn Ansparphase",IF(B33=Übersicht!$H$12,"1. Umschichtung",IF(B33=Übersicht!$H$13,"2. Umschichtung",IF(B33=Übersicht!$H$14,"3. Umschichtung",IF(B33=Übersicht!$B$26,"Komplettverkauf",IF(B33=Übersicht!$B$40,"Beginn Entnahmephase",""))))))</f>
        <v>3. Umschichtung</v>
      </c>
    </row>
    <row r="34" spans="1:44" ht="14.5" x14ac:dyDescent="0.35">
      <c r="A34" s="102">
        <v>31</v>
      </c>
      <c r="B34" s="103">
        <f t="shared" si="24"/>
        <v>56523</v>
      </c>
      <c r="C34" s="104">
        <f>FV(G33/12,12,-Übersicht!B$5,-I33)</f>
        <v>500656.35266391933</v>
      </c>
      <c r="D34" s="104">
        <f>Übersicht!$B$6</f>
        <v>2400</v>
      </c>
      <c r="E34" s="104">
        <f>C$3+SUM(D$3:D34)</f>
        <v>126800</v>
      </c>
      <c r="F34" s="105">
        <f>D34*Übersicht!F$18</f>
        <v>4.8</v>
      </c>
      <c r="G34" s="106">
        <f>VLOOKUP(B34,Übersicht!H$11:J$14,3)</f>
        <v>0.02</v>
      </c>
      <c r="H34" s="107">
        <f t="shared" si="13"/>
        <v>-6336.5684634807985</v>
      </c>
      <c r="I34" s="108">
        <f t="shared" si="5"/>
        <v>500654.08729130472</v>
      </c>
      <c r="J34" s="109">
        <f>MAX(MIN(C34*0.7*Übersicht!$F$21,H34),0)</f>
        <v>0</v>
      </c>
      <c r="K34" s="110">
        <f>SUM(J$3:J34)</f>
        <v>151388.31630538081</v>
      </c>
      <c r="L34" s="110">
        <f>J34*Übersicht!$F$22</f>
        <v>0</v>
      </c>
      <c r="M34" s="111">
        <f t="shared" si="14"/>
        <v>0</v>
      </c>
      <c r="N34" s="110">
        <f>Übersicht!$F$20</f>
        <v>1000</v>
      </c>
      <c r="O34" s="111">
        <f t="shared" si="6"/>
        <v>0</v>
      </c>
      <c r="P34" s="112">
        <f>O34*Übersicht!$F$23</f>
        <v>0</v>
      </c>
      <c r="Q34" s="111">
        <f>H34*Übersicht!B$11</f>
        <v>-633.65684634807985</v>
      </c>
      <c r="R34" s="111">
        <f>Q34*(Übersicht!F$18+Übersicht!F$19)</f>
        <v>-2.5346273853923194</v>
      </c>
      <c r="S34" s="111">
        <f>C34/(C$3+SUM(D$3:D33))</f>
        <v>4.0245687513176795</v>
      </c>
      <c r="T34" s="111">
        <f t="shared" si="15"/>
        <v>-157.4471416696795</v>
      </c>
      <c r="U34" s="111">
        <f t="shared" si="16"/>
        <v>-476.20970467840039</v>
      </c>
      <c r="V34" s="104">
        <f t="shared" si="7"/>
        <v>0</v>
      </c>
      <c r="W34" s="111">
        <f t="shared" si="17"/>
        <v>-476.20970467840039</v>
      </c>
      <c r="X34" s="104">
        <f>SUM(W$3:W34)</f>
        <v>22379.806639493054</v>
      </c>
      <c r="Y34" s="111">
        <f>W34*Übersicht!$F$22</f>
        <v>-142.86291140352012</v>
      </c>
      <c r="Z34" s="111">
        <f t="shared" si="18"/>
        <v>-333.34679327488027</v>
      </c>
      <c r="AA34" s="111">
        <f t="shared" si="19"/>
        <v>1000</v>
      </c>
      <c r="AB34" s="111">
        <f t="shared" si="20"/>
        <v>0</v>
      </c>
      <c r="AC34" s="112">
        <f>AB34*Übersicht!F$23</f>
        <v>0</v>
      </c>
      <c r="AD34" s="113">
        <f>VLOOKUP(B34,Übersicht!H$11:I$14,2)</f>
        <v>0.25</v>
      </c>
      <c r="AE34" s="114">
        <f t="shared" si="8"/>
        <v>0</v>
      </c>
      <c r="AF34" s="110">
        <f t="shared" si="0"/>
        <v>0</v>
      </c>
      <c r="AG34" s="110">
        <f>AF34*(Übersicht!F$18+Übersicht!F$19)</f>
        <v>0</v>
      </c>
      <c r="AH34" s="110">
        <f t="shared" si="22"/>
        <v>0</v>
      </c>
      <c r="AI34" s="110">
        <f t="shared" si="23"/>
        <v>0</v>
      </c>
      <c r="AJ34" s="110">
        <f t="shared" si="11"/>
        <v>0</v>
      </c>
      <c r="AK34" s="110">
        <f>SUM(W$3:W34)</f>
        <v>22379.806639493054</v>
      </c>
      <c r="AL34" s="110">
        <f t="shared" si="3"/>
        <v>0</v>
      </c>
      <c r="AM34" s="110">
        <f>SUM(AL$3:AL34)</f>
        <v>156152.58720842097</v>
      </c>
      <c r="AN34" s="110">
        <f>AL34*Übersicht!$F$22</f>
        <v>0</v>
      </c>
      <c r="AO34" s="110">
        <f t="shared" si="21"/>
        <v>0</v>
      </c>
      <c r="AP34" s="112">
        <f>AO34*Übersicht!F$23</f>
        <v>0</v>
      </c>
      <c r="AQ34" s="110">
        <f t="shared" si="4"/>
        <v>329920.71015329484</v>
      </c>
      <c r="AR34" s="115" t="str">
        <f>IF(B34=Übersicht!$H$11,"Beginn Ansparphase",IF(B34=Übersicht!$H$12,"1. Umschichtung",IF(B34=Übersicht!$H$13,"2. Umschichtung",IF(B34=Übersicht!$H$14,"3. Umschichtung",IF(B34=Übersicht!$B$26,"Komplettverkauf",IF(B34=Übersicht!$B$40,"Beginn Entnahmephase",""))))))</f>
        <v/>
      </c>
    </row>
    <row r="35" spans="1:44" ht="14.5" x14ac:dyDescent="0.35">
      <c r="A35" s="102">
        <v>32</v>
      </c>
      <c r="B35" s="103">
        <f t="shared" si="24"/>
        <v>56888</v>
      </c>
      <c r="C35" s="104">
        <f>FV(G34/12,12,-Übersicht!B$5,-I34)</f>
        <v>513181.59014437045</v>
      </c>
      <c r="D35" s="104">
        <f>Übersicht!$B$6</f>
        <v>2400</v>
      </c>
      <c r="E35" s="104">
        <f>C$3+SUM(D$3:D35)</f>
        <v>129200</v>
      </c>
      <c r="F35" s="105">
        <f>D35*Übersicht!F$18</f>
        <v>4.8</v>
      </c>
      <c r="G35" s="106">
        <f>VLOOKUP(B35,Übersicht!H$11:J$14,3)</f>
        <v>0.02</v>
      </c>
      <c r="H35" s="107">
        <f t="shared" si="13"/>
        <v>10125.23748045112</v>
      </c>
      <c r="I35" s="108">
        <f t="shared" si="5"/>
        <v>511334.58297488868</v>
      </c>
      <c r="J35" s="109">
        <f>MAX(MIN(C35*0.7*Übersicht!$F$21,H35),0)</f>
        <v>10125.23748045112</v>
      </c>
      <c r="K35" s="110">
        <f>SUM(J$3:J35)</f>
        <v>161513.55378583193</v>
      </c>
      <c r="L35" s="110">
        <f>J35*Übersicht!$F$22</f>
        <v>3037.5712441353357</v>
      </c>
      <c r="M35" s="111">
        <f t="shared" si="14"/>
        <v>7087.6662363157848</v>
      </c>
      <c r="N35" s="110">
        <f>Übersicht!$F$20</f>
        <v>1000</v>
      </c>
      <c r="O35" s="111">
        <f t="shared" si="6"/>
        <v>6087.6662363157848</v>
      </c>
      <c r="P35" s="112">
        <f>O35*Übersicht!$F$23</f>
        <v>1693.5887469430513</v>
      </c>
      <c r="Q35" s="111">
        <f>H35*Übersicht!B$11</f>
        <v>1012.523748045112</v>
      </c>
      <c r="R35" s="111">
        <f>Q35*(Übersicht!F$18+Übersicht!F$19)</f>
        <v>4.0500949921804485</v>
      </c>
      <c r="S35" s="111">
        <f>C35/(C$3+SUM(D$3:D34))</f>
        <v>4.0471734238515022</v>
      </c>
      <c r="T35" s="111">
        <f t="shared" si="15"/>
        <v>250.18046967741287</v>
      </c>
      <c r="U35" s="111">
        <f t="shared" si="16"/>
        <v>762.34327836769921</v>
      </c>
      <c r="V35" s="104">
        <f t="shared" si="7"/>
        <v>19.977418520935377</v>
      </c>
      <c r="W35" s="111">
        <f t="shared" si="17"/>
        <v>742.36585984676378</v>
      </c>
      <c r="X35" s="104">
        <f>SUM(W$3:W35)</f>
        <v>23122.172499339817</v>
      </c>
      <c r="Y35" s="111">
        <f>W35*Übersicht!$F$22</f>
        <v>222.70975795402913</v>
      </c>
      <c r="Z35" s="111">
        <f t="shared" si="18"/>
        <v>519.65610189273468</v>
      </c>
      <c r="AA35" s="111">
        <f t="shared" si="19"/>
        <v>0</v>
      </c>
      <c r="AB35" s="111">
        <f t="shared" si="20"/>
        <v>519.65610189273468</v>
      </c>
      <c r="AC35" s="112">
        <f>AB35*Übersicht!F$23</f>
        <v>144.56832754655878</v>
      </c>
      <c r="AD35" s="113">
        <f>VLOOKUP(B35,Übersicht!H$11:I$14,2)</f>
        <v>0.25</v>
      </c>
      <c r="AE35" s="114">
        <f t="shared" si="8"/>
        <v>0</v>
      </c>
      <c r="AF35" s="110">
        <f t="shared" si="0"/>
        <v>0</v>
      </c>
      <c r="AG35" s="110">
        <f>AF35*(Übersicht!F$18+Übersicht!F$19)</f>
        <v>0</v>
      </c>
      <c r="AH35" s="110">
        <f t="shared" si="22"/>
        <v>0</v>
      </c>
      <c r="AI35" s="110">
        <f t="shared" si="23"/>
        <v>0</v>
      </c>
      <c r="AJ35" s="110">
        <f t="shared" si="11"/>
        <v>0</v>
      </c>
      <c r="AK35" s="110">
        <f>SUM(W$3:W35)</f>
        <v>23122.172499339817</v>
      </c>
      <c r="AL35" s="110">
        <f t="shared" si="3"/>
        <v>0</v>
      </c>
      <c r="AM35" s="110">
        <f>SUM(AL$3:AL35)</f>
        <v>156152.58720842097</v>
      </c>
      <c r="AN35" s="110">
        <f>AL35*Übersicht!$F$22</f>
        <v>0</v>
      </c>
      <c r="AO35" s="110">
        <f t="shared" si="21"/>
        <v>0</v>
      </c>
      <c r="AP35" s="112">
        <f>AO35*Übersicht!F$23</f>
        <v>0</v>
      </c>
      <c r="AQ35" s="110">
        <f t="shared" si="4"/>
        <v>340788.31349359272</v>
      </c>
      <c r="AR35" s="115" t="str">
        <f>IF(B35=Übersicht!$H$11,"Beginn Ansparphase",IF(B35=Übersicht!$H$12,"1. Umschichtung",IF(B35=Übersicht!$H$13,"2. Umschichtung",IF(B35=Übersicht!$H$14,"3. Umschichtung",IF(B35=Übersicht!$B$26,"Komplettverkauf",IF(B35=Übersicht!$B$40,"Beginn Entnahmephase",""))))))</f>
        <v>Komplettverkauf</v>
      </c>
    </row>
    <row r="36" spans="1:44" ht="14.5" x14ac:dyDescent="0.35">
      <c r="A36" s="102">
        <v>33</v>
      </c>
      <c r="B36" s="103">
        <f t="shared" si="24"/>
        <v>57254</v>
      </c>
      <c r="C36" s="104">
        <f>FV(G35/12,12,-Übersicht!B$5,-I35)</f>
        <v>524077.66475168656</v>
      </c>
      <c r="D36" s="104">
        <f>Übersicht!$B$6</f>
        <v>2400</v>
      </c>
      <c r="E36" s="104">
        <f>C$3+SUM(D$3:D36)</f>
        <v>131600</v>
      </c>
      <c r="F36" s="105">
        <f>D36*Übersicht!F$18</f>
        <v>4.8</v>
      </c>
      <c r="G36" s="106">
        <f>VLOOKUP(B36,Übersicht!H$11:J$14,3)</f>
        <v>0.02</v>
      </c>
      <c r="H36" s="107">
        <f t="shared" si="13"/>
        <v>8496.0746073161135</v>
      </c>
      <c r="I36" s="108">
        <f t="shared" si="5"/>
        <v>522571.15917197446</v>
      </c>
      <c r="J36" s="109">
        <f>MAX(MIN(C36*0.7*Übersicht!$F$21,H36),0)</f>
        <v>8496.0746073161135</v>
      </c>
      <c r="K36" s="110">
        <f>SUM(J$3:J36)</f>
        <v>170009.62839314804</v>
      </c>
      <c r="L36" s="110">
        <f>J36*Übersicht!$F$22</f>
        <v>2548.8223821948341</v>
      </c>
      <c r="M36" s="111">
        <f t="shared" si="14"/>
        <v>5947.2522251212795</v>
      </c>
      <c r="N36" s="110">
        <f>Übersicht!$F$20</f>
        <v>1000</v>
      </c>
      <c r="O36" s="111">
        <f t="shared" si="6"/>
        <v>4947.2522251212795</v>
      </c>
      <c r="P36" s="112">
        <f>O36*Übersicht!$F$23</f>
        <v>1376.3255690287399</v>
      </c>
      <c r="Q36" s="111">
        <f>H36*Übersicht!B$11</f>
        <v>849.60746073161135</v>
      </c>
      <c r="R36" s="111">
        <f>Q36*(Übersicht!F$18+Übersicht!F$19)</f>
        <v>3.3984298429264457</v>
      </c>
      <c r="S36" s="111">
        <f>C36/(C$3+SUM(D$3:D35))</f>
        <v>4.0563286745486575</v>
      </c>
      <c r="T36" s="111">
        <f t="shared" si="15"/>
        <v>209.45232225940026</v>
      </c>
      <c r="U36" s="111">
        <f t="shared" si="16"/>
        <v>640.15513847221109</v>
      </c>
      <c r="V36" s="104">
        <f t="shared" si="7"/>
        <v>13.773394400862864</v>
      </c>
      <c r="W36" s="111">
        <f t="shared" si="17"/>
        <v>626.38174407134818</v>
      </c>
      <c r="X36" s="104">
        <f>SUM(W$3:W36)</f>
        <v>23748.554243411163</v>
      </c>
      <c r="Y36" s="111">
        <f>W36*Übersicht!$F$22</f>
        <v>187.91452322140444</v>
      </c>
      <c r="Z36" s="111">
        <f t="shared" si="18"/>
        <v>438.46722084994371</v>
      </c>
      <c r="AA36" s="111">
        <f t="shared" si="19"/>
        <v>0</v>
      </c>
      <c r="AB36" s="111">
        <f t="shared" si="20"/>
        <v>438.46722084994371</v>
      </c>
      <c r="AC36" s="112">
        <f>AB36*Übersicht!F$23</f>
        <v>121.98158084045434</v>
      </c>
      <c r="AD36" s="113">
        <f>VLOOKUP(B36,Übersicht!H$11:I$14,2)</f>
        <v>0.25</v>
      </c>
      <c r="AE36" s="114">
        <f t="shared" si="8"/>
        <v>0</v>
      </c>
      <c r="AF36" s="110">
        <f t="shared" si="0"/>
        <v>0</v>
      </c>
      <c r="AG36" s="110">
        <f>AF36*(Übersicht!F$18+Übersicht!F$19)</f>
        <v>0</v>
      </c>
      <c r="AH36" s="110">
        <f t="shared" si="22"/>
        <v>0</v>
      </c>
      <c r="AI36" s="110">
        <f t="shared" si="23"/>
        <v>0</v>
      </c>
      <c r="AJ36" s="110">
        <f t="shared" si="11"/>
        <v>0</v>
      </c>
      <c r="AK36" s="110">
        <f>SUM(W$3:W36)</f>
        <v>23748.554243411163</v>
      </c>
      <c r="AL36" s="110">
        <f t="shared" si="3"/>
        <v>0</v>
      </c>
      <c r="AM36" s="110">
        <f>SUM(AL$3:AL36)</f>
        <v>156152.58720842097</v>
      </c>
      <c r="AN36" s="110">
        <f>AL36*Übersicht!$F$22</f>
        <v>0</v>
      </c>
      <c r="AO36" s="110">
        <f t="shared" si="21"/>
        <v>0</v>
      </c>
      <c r="AP36" s="112">
        <f>AO36*Übersicht!F$23</f>
        <v>0</v>
      </c>
      <c r="AQ36" s="110">
        <f t="shared" si="4"/>
        <v>349910.76984498021</v>
      </c>
      <c r="AR36" s="115" t="str">
        <f>IF(B36=Übersicht!$H$11,"Beginn Ansparphase",IF(B36=Übersicht!$H$12,"1. Umschichtung",IF(B36=Übersicht!$H$13,"2. Umschichtung",IF(B36=Übersicht!$H$14,"3. Umschichtung",IF(B36=Übersicht!$B$26,"Komplettverkauf",IF(B36=Übersicht!$B$40,"Beginn Entnahmephase",""))))))</f>
        <v/>
      </c>
    </row>
    <row r="37" spans="1:44" ht="14.5" x14ac:dyDescent="0.35">
      <c r="A37" s="102">
        <v>34</v>
      </c>
      <c r="B37" s="103">
        <f t="shared" si="24"/>
        <v>57619</v>
      </c>
      <c r="C37" s="104">
        <f>FV(G36/12,12,-Übersicht!B$5,-I36)</f>
        <v>535541.04399937659</v>
      </c>
      <c r="D37" s="104">
        <f>Übersicht!$B$6</f>
        <v>2400</v>
      </c>
      <c r="E37" s="104">
        <f>C$3+SUM(D$3:D37)</f>
        <v>134000</v>
      </c>
      <c r="F37" s="105">
        <f>D37*Übersicht!F$18</f>
        <v>4.8</v>
      </c>
      <c r="G37" s="106">
        <f>VLOOKUP(B37,Übersicht!H$11:J$14,3)</f>
        <v>0.02</v>
      </c>
      <c r="H37" s="107">
        <f t="shared" si="13"/>
        <v>9063.3792476900271</v>
      </c>
      <c r="I37" s="108">
        <f t="shared" si="5"/>
        <v>533915.67487694207</v>
      </c>
      <c r="J37" s="109">
        <f>MAX(MIN(C37*0.7*Übersicht!$F$21,H37),0)</f>
        <v>9063.3792476900271</v>
      </c>
      <c r="K37" s="110">
        <f>SUM(J$3:J37)</f>
        <v>179073.00764083807</v>
      </c>
      <c r="L37" s="110">
        <f>J37*Übersicht!$F$22</f>
        <v>2719.0137743070081</v>
      </c>
      <c r="M37" s="111">
        <f t="shared" si="14"/>
        <v>6344.365473383019</v>
      </c>
      <c r="N37" s="110">
        <f>Übersicht!$F$20</f>
        <v>1000</v>
      </c>
      <c r="O37" s="111">
        <f t="shared" si="6"/>
        <v>5344.365473383019</v>
      </c>
      <c r="P37" s="112">
        <f>O37*Übersicht!$F$23</f>
        <v>1486.802474695156</v>
      </c>
      <c r="Q37" s="111">
        <f>H37*Übersicht!B$11</f>
        <v>906.33792476900271</v>
      </c>
      <c r="R37" s="111">
        <f>Q37*(Übersicht!F$18+Übersicht!F$19)</f>
        <v>3.6253516990760111</v>
      </c>
      <c r="S37" s="111">
        <f>C37/(C$3+SUM(D$3:D36))</f>
        <v>4.0694608206639558</v>
      </c>
      <c r="T37" s="111">
        <f t="shared" si="15"/>
        <v>222.71695556492136</v>
      </c>
      <c r="U37" s="111">
        <f t="shared" si="16"/>
        <v>683.62096920408135</v>
      </c>
      <c r="V37" s="104">
        <f t="shared" si="7"/>
        <v>15.338664385834424</v>
      </c>
      <c r="W37" s="111">
        <f t="shared" si="17"/>
        <v>668.28230481824687</v>
      </c>
      <c r="X37" s="104">
        <f>SUM(W$3:W37)</f>
        <v>24416.83654822941</v>
      </c>
      <c r="Y37" s="111">
        <f>W37*Übersicht!$F$22</f>
        <v>200.48469144547406</v>
      </c>
      <c r="Z37" s="111">
        <f t="shared" si="18"/>
        <v>467.79761337277284</v>
      </c>
      <c r="AA37" s="111">
        <f t="shared" si="19"/>
        <v>0</v>
      </c>
      <c r="AB37" s="111">
        <f t="shared" si="20"/>
        <v>467.79761337277284</v>
      </c>
      <c r="AC37" s="112">
        <f>AB37*Übersicht!F$23</f>
        <v>130.14129604030541</v>
      </c>
      <c r="AD37" s="113">
        <f>VLOOKUP(B37,Übersicht!H$11:I$14,2)</f>
        <v>0.25</v>
      </c>
      <c r="AE37" s="114">
        <f t="shared" si="8"/>
        <v>0</v>
      </c>
      <c r="AF37" s="110">
        <f t="shared" si="0"/>
        <v>0</v>
      </c>
      <c r="AG37" s="110">
        <f>AF37*(Übersicht!F$18+Übersicht!F$19)</f>
        <v>0</v>
      </c>
      <c r="AH37" s="110">
        <f t="shared" si="22"/>
        <v>0</v>
      </c>
      <c r="AI37" s="110">
        <f t="shared" si="23"/>
        <v>0</v>
      </c>
      <c r="AJ37" s="110">
        <f t="shared" si="11"/>
        <v>0</v>
      </c>
      <c r="AK37" s="110">
        <f>SUM(W$3:W37)</f>
        <v>24416.83654822941</v>
      </c>
      <c r="AL37" s="110">
        <f t="shared" si="3"/>
        <v>0</v>
      </c>
      <c r="AM37" s="110">
        <f>SUM(AL$3:AL37)</f>
        <v>156152.58720842097</v>
      </c>
      <c r="AN37" s="110">
        <f>AL37*Übersicht!$F$22</f>
        <v>0</v>
      </c>
      <c r="AO37" s="110">
        <f t="shared" si="21"/>
        <v>0</v>
      </c>
      <c r="AP37" s="112">
        <f>AO37*Übersicht!F$23</f>
        <v>0</v>
      </c>
      <c r="AQ37" s="110">
        <f t="shared" si="4"/>
        <v>359642.43139748846</v>
      </c>
      <c r="AR37" s="115" t="str">
        <f>IF(B37=Übersicht!$H$11,"Beginn Ansparphase",IF(B37=Übersicht!$H$12,"1. Umschichtung",IF(B37=Übersicht!$H$13,"2. Umschichtung",IF(B37=Übersicht!$H$14,"3. Umschichtung",IF(B37=Übersicht!$B$26,"Komplettverkauf",IF(B37=Übersicht!$B$40,"Beginn Entnahmephase",""))))))</f>
        <v/>
      </c>
    </row>
    <row r="38" spans="1:44" ht="14.5" x14ac:dyDescent="0.35">
      <c r="A38" s="102">
        <v>35</v>
      </c>
      <c r="B38" s="103">
        <f t="shared" si="24"/>
        <v>57984</v>
      </c>
      <c r="C38" s="104">
        <f>FV(G37/12,12,-Übersicht!B$5,-I37)</f>
        <v>547114.54144436773</v>
      </c>
      <c r="D38" s="104">
        <f>Übersicht!$B$6</f>
        <v>2400</v>
      </c>
      <c r="E38" s="104">
        <f>C$3+SUM(D$3:D38)</f>
        <v>136400</v>
      </c>
      <c r="F38" s="105">
        <f>D38*Übersicht!F$18</f>
        <v>4.8</v>
      </c>
      <c r="G38" s="106">
        <f>VLOOKUP(B38,Übersicht!H$11:J$14,3)</f>
        <v>0.02</v>
      </c>
      <c r="H38" s="107">
        <f t="shared" si="13"/>
        <v>9173.4974449911388</v>
      </c>
      <c r="I38" s="108">
        <f t="shared" si="5"/>
        <v>545465.92969631229</v>
      </c>
      <c r="J38" s="109">
        <f>MAX(MIN(C38*0.7*Übersicht!$F$21,H38),0)</f>
        <v>9173.4974449911388</v>
      </c>
      <c r="K38" s="110">
        <f>SUM(J$3:J38)</f>
        <v>188246.50508582921</v>
      </c>
      <c r="L38" s="110">
        <f>J38*Übersicht!$F$22</f>
        <v>2752.0492334973414</v>
      </c>
      <c r="M38" s="111">
        <f t="shared" si="14"/>
        <v>6421.4482114937973</v>
      </c>
      <c r="N38" s="110">
        <f>Übersicht!$F$20</f>
        <v>1000</v>
      </c>
      <c r="O38" s="111">
        <f t="shared" si="6"/>
        <v>5421.4482114937973</v>
      </c>
      <c r="P38" s="112">
        <f>O38*Übersicht!$F$23</f>
        <v>1508.2468924375744</v>
      </c>
      <c r="Q38" s="111">
        <f>H38*Übersicht!B$11</f>
        <v>917.34974449911397</v>
      </c>
      <c r="R38" s="111">
        <f>Q38*(Übersicht!F$18+Übersicht!F$19)</f>
        <v>3.669398977996456</v>
      </c>
      <c r="S38" s="111">
        <f>C38/(C$3+SUM(D$3:D37))</f>
        <v>4.0829443391370726</v>
      </c>
      <c r="T38" s="111">
        <f t="shared" si="15"/>
        <v>224.6784840307167</v>
      </c>
      <c r="U38" s="111">
        <f t="shared" si="16"/>
        <v>692.67126046839724</v>
      </c>
      <c r="V38" s="104">
        <f t="shared" si="7"/>
        <v>15.381249994031807</v>
      </c>
      <c r="W38" s="111">
        <f t="shared" si="17"/>
        <v>677.29001047436543</v>
      </c>
      <c r="X38" s="104">
        <f>SUM(W$3:W38)</f>
        <v>25094.126558703774</v>
      </c>
      <c r="Y38" s="111">
        <f>W38*Übersicht!$F$22</f>
        <v>203.18700314230963</v>
      </c>
      <c r="Z38" s="111">
        <f t="shared" si="18"/>
        <v>474.10300733205577</v>
      </c>
      <c r="AA38" s="111">
        <f t="shared" si="19"/>
        <v>0</v>
      </c>
      <c r="AB38" s="111">
        <f t="shared" si="20"/>
        <v>474.10300733205577</v>
      </c>
      <c r="AC38" s="112">
        <f>AB38*Übersicht!F$23</f>
        <v>131.8954566397779</v>
      </c>
      <c r="AD38" s="113">
        <f>VLOOKUP(B38,Übersicht!H$11:I$14,2)</f>
        <v>0.25</v>
      </c>
      <c r="AE38" s="114">
        <f t="shared" si="8"/>
        <v>0</v>
      </c>
      <c r="AF38" s="110">
        <f t="shared" si="0"/>
        <v>0</v>
      </c>
      <c r="AG38" s="110">
        <f>AF38*(Übersicht!F$18+Übersicht!F$19)</f>
        <v>0</v>
      </c>
      <c r="AH38" s="110">
        <f t="shared" si="22"/>
        <v>0</v>
      </c>
      <c r="AI38" s="110">
        <f t="shared" si="23"/>
        <v>0</v>
      </c>
      <c r="AJ38" s="110">
        <f t="shared" si="11"/>
        <v>0</v>
      </c>
      <c r="AK38" s="110">
        <f>SUM(W$3:W38)</f>
        <v>25094.126558703774</v>
      </c>
      <c r="AL38" s="110">
        <f t="shared" si="3"/>
        <v>0</v>
      </c>
      <c r="AM38" s="110">
        <f>SUM(AL$3:AL38)</f>
        <v>156152.58720842097</v>
      </c>
      <c r="AN38" s="110">
        <f>AL38*Übersicht!$F$22</f>
        <v>0</v>
      </c>
      <c r="AO38" s="110">
        <f t="shared" si="21"/>
        <v>0</v>
      </c>
      <c r="AP38" s="112">
        <f>AO38*Übersicht!F$23</f>
        <v>0</v>
      </c>
      <c r="AQ38" s="110">
        <f t="shared" si="4"/>
        <v>369493.21885295399</v>
      </c>
      <c r="AR38" s="115" t="str">
        <f>IF(B38=Übersicht!$H$11,"Beginn Ansparphase",IF(B38=Übersicht!$H$12,"1. Umschichtung",IF(B38=Übersicht!$H$13,"2. Umschichtung",IF(B38=Übersicht!$H$14,"3. Umschichtung",IF(B38=Übersicht!$B$26,"Komplettverkauf",IF(B38=Übersicht!$B$40,"Beginn Entnahmephase",""))))))</f>
        <v/>
      </c>
    </row>
    <row r="39" spans="1:44" ht="14.5" x14ac:dyDescent="0.35">
      <c r="A39" s="102">
        <v>36</v>
      </c>
      <c r="B39" s="103">
        <f t="shared" si="24"/>
        <v>58349</v>
      </c>
      <c r="C39" s="104">
        <f>FV(G38/12,12,-Übersicht!B$5,-I38)</f>
        <v>558897.93071522412</v>
      </c>
      <c r="D39" s="104">
        <f>Übersicht!$B$6</f>
        <v>2400</v>
      </c>
      <c r="E39" s="104">
        <f>C$3+SUM(D$3:D39)</f>
        <v>138800</v>
      </c>
      <c r="F39" s="105">
        <f>D39*Übersicht!F$18</f>
        <v>4.8</v>
      </c>
      <c r="G39" s="106">
        <f>VLOOKUP(B39,Übersicht!H$11:J$14,3)</f>
        <v>0.02</v>
      </c>
      <c r="H39" s="107">
        <f t="shared" si="13"/>
        <v>9383.3892708563944</v>
      </c>
      <c r="I39" s="108">
        <f t="shared" si="5"/>
        <v>557205.18800523959</v>
      </c>
      <c r="J39" s="109">
        <f>MAX(MIN(C39*0.7*Übersicht!$F$21,H39),0)</f>
        <v>9383.3892708563944</v>
      </c>
      <c r="K39" s="110">
        <f>SUM(J$3:J39)</f>
        <v>197629.8943566856</v>
      </c>
      <c r="L39" s="110">
        <f>J39*Übersicht!$F$22</f>
        <v>2815.0167812569184</v>
      </c>
      <c r="M39" s="111">
        <f t="shared" si="14"/>
        <v>6568.3724895994765</v>
      </c>
      <c r="N39" s="110">
        <f>Übersicht!$F$20</f>
        <v>1000</v>
      </c>
      <c r="O39" s="111">
        <f t="shared" si="6"/>
        <v>5568.3724895994765</v>
      </c>
      <c r="P39" s="112">
        <f>O39*Übersicht!$F$23</f>
        <v>1549.1212266065743</v>
      </c>
      <c r="Q39" s="111">
        <f>H39*Übersicht!B$11</f>
        <v>938.33892708563951</v>
      </c>
      <c r="R39" s="111">
        <f>Q39*(Übersicht!F$18+Übersicht!F$19)</f>
        <v>3.7533557083425579</v>
      </c>
      <c r="S39" s="111">
        <f>C39/(C$3+SUM(D$3:D38))</f>
        <v>4.0974921606687982</v>
      </c>
      <c r="T39" s="111">
        <f t="shared" si="15"/>
        <v>229.00322692319259</v>
      </c>
      <c r="U39" s="111">
        <f t="shared" si="16"/>
        <v>709.33570016244698</v>
      </c>
      <c r="V39" s="104">
        <f t="shared" si="7"/>
        <v>15.753859402511562</v>
      </c>
      <c r="W39" s="111">
        <f t="shared" si="17"/>
        <v>693.5818407599354</v>
      </c>
      <c r="X39" s="104">
        <f>SUM(W$3:W39)</f>
        <v>25787.708399463711</v>
      </c>
      <c r="Y39" s="111">
        <f>W39*Übersicht!$F$22</f>
        <v>208.0745522279806</v>
      </c>
      <c r="Z39" s="111">
        <f t="shared" si="18"/>
        <v>485.50728853195483</v>
      </c>
      <c r="AA39" s="111">
        <f t="shared" si="19"/>
        <v>0</v>
      </c>
      <c r="AB39" s="111">
        <f t="shared" si="20"/>
        <v>485.50728853195483</v>
      </c>
      <c r="AC39" s="112">
        <f>AB39*Übersicht!F$23</f>
        <v>135.06812766958984</v>
      </c>
      <c r="AD39" s="113">
        <f>VLOOKUP(B39,Übersicht!H$11:I$14,2)</f>
        <v>0.25</v>
      </c>
      <c r="AE39" s="114">
        <f t="shared" si="8"/>
        <v>0</v>
      </c>
      <c r="AF39" s="110">
        <f t="shared" si="0"/>
        <v>0</v>
      </c>
      <c r="AG39" s="110">
        <f>AF39*(Übersicht!F$18+Übersicht!F$19)</f>
        <v>0</v>
      </c>
      <c r="AH39" s="110">
        <f t="shared" si="22"/>
        <v>0</v>
      </c>
      <c r="AI39" s="110">
        <f t="shared" si="23"/>
        <v>0</v>
      </c>
      <c r="AJ39" s="110">
        <f t="shared" si="11"/>
        <v>0</v>
      </c>
      <c r="AK39" s="110">
        <f>SUM(W$3:W39)</f>
        <v>25787.708399463711</v>
      </c>
      <c r="AL39" s="110">
        <f t="shared" si="3"/>
        <v>0</v>
      </c>
      <c r="AM39" s="110">
        <f>SUM(AL$3:AL39)</f>
        <v>156152.58720842097</v>
      </c>
      <c r="AN39" s="110">
        <f>AL39*Übersicht!$F$22</f>
        <v>0</v>
      </c>
      <c r="AO39" s="110">
        <f t="shared" si="21"/>
        <v>0</v>
      </c>
      <c r="AP39" s="112">
        <f>AO39*Übersicht!F$23</f>
        <v>0</v>
      </c>
      <c r="AQ39" s="110">
        <f t="shared" si="4"/>
        <v>379570.18996457028</v>
      </c>
      <c r="AR39" s="115" t="str">
        <f>IF(B39=Übersicht!$H$11,"Beginn Ansparphase",IF(B39=Übersicht!$H$12,"1. Umschichtung",IF(B39=Übersicht!$H$13,"2. Umschichtung",IF(B39=Übersicht!$H$14,"3. Umschichtung",IF(B39=Übersicht!$B$26,"Komplettverkauf",IF(B39=Übersicht!$B$40,"Beginn Entnahmephase",""))))))</f>
        <v/>
      </c>
    </row>
    <row r="40" spans="1:44" ht="14.5" x14ac:dyDescent="0.35">
      <c r="A40" s="102">
        <v>37</v>
      </c>
      <c r="B40" s="103">
        <f t="shared" si="24"/>
        <v>58715</v>
      </c>
      <c r="C40" s="104">
        <f>FV(G39/12,12,-Übersicht!B$5,-I39)</f>
        <v>570874.13838929578</v>
      </c>
      <c r="D40" s="104">
        <f>Übersicht!$B$6</f>
        <v>2400</v>
      </c>
      <c r="E40" s="104">
        <f>C$3+SUM(D$3:D40)</f>
        <v>141200</v>
      </c>
      <c r="F40" s="105">
        <f>D40*Übersicht!F$18</f>
        <v>4.8</v>
      </c>
      <c r="G40" s="106">
        <f>VLOOKUP(B40,Übersicht!H$11:J$14,3)</f>
        <v>0.02</v>
      </c>
      <c r="H40" s="107">
        <f t="shared" si="13"/>
        <v>9576.2076740716584</v>
      </c>
      <c r="I40" s="108">
        <f t="shared" si="5"/>
        <v>569140.82011082687</v>
      </c>
      <c r="J40" s="109">
        <f>MAX(MIN(C40*0.7*Übersicht!$F$21,H40),0)</f>
        <v>9576.2076740716584</v>
      </c>
      <c r="K40" s="110">
        <f>SUM(J$3:J40)</f>
        <v>207206.10203075726</v>
      </c>
      <c r="L40" s="110">
        <f>J40*Übersicht!$F$22</f>
        <v>2872.8623022214974</v>
      </c>
      <c r="M40" s="111">
        <f t="shared" si="14"/>
        <v>6703.3453718501605</v>
      </c>
      <c r="N40" s="110">
        <f>Übersicht!$F$20</f>
        <v>1000</v>
      </c>
      <c r="O40" s="111">
        <f t="shared" si="6"/>
        <v>5703.3453718501605</v>
      </c>
      <c r="P40" s="112">
        <f>O40*Übersicht!$F$23</f>
        <v>1586.6706824487146</v>
      </c>
      <c r="Q40" s="111">
        <f>H40*Übersicht!B$11</f>
        <v>957.62076740716589</v>
      </c>
      <c r="R40" s="111">
        <f>Q40*(Übersicht!F$18+Übersicht!F$19)</f>
        <v>3.8304830696286638</v>
      </c>
      <c r="S40" s="111">
        <f>C40/(C$3+SUM(D$3:D39))</f>
        <v>4.1129260690871456</v>
      </c>
      <c r="T40" s="111">
        <f t="shared" si="15"/>
        <v>232.83199146336895</v>
      </c>
      <c r="U40" s="111">
        <f t="shared" si="16"/>
        <v>724.78877594379696</v>
      </c>
      <c r="V40" s="104">
        <f t="shared" si="7"/>
        <v>16.063742820035309</v>
      </c>
      <c r="W40" s="111">
        <f t="shared" si="17"/>
        <v>708.7250331237617</v>
      </c>
      <c r="X40" s="104">
        <f>SUM(W$3:W40)</f>
        <v>26496.433432587473</v>
      </c>
      <c r="Y40" s="111">
        <f>W40*Übersicht!$F$22</f>
        <v>212.61750993712852</v>
      </c>
      <c r="Z40" s="111">
        <f t="shared" si="18"/>
        <v>496.10752318663322</v>
      </c>
      <c r="AA40" s="111">
        <f t="shared" si="19"/>
        <v>0</v>
      </c>
      <c r="AB40" s="111">
        <f t="shared" si="20"/>
        <v>496.10752318663322</v>
      </c>
      <c r="AC40" s="112">
        <f>AB40*Übersicht!F$23</f>
        <v>138.01711295052135</v>
      </c>
      <c r="AD40" s="113">
        <f>VLOOKUP(B40,Übersicht!H$11:I$14,2)</f>
        <v>0.25</v>
      </c>
      <c r="AE40" s="114">
        <f t="shared" si="8"/>
        <v>0</v>
      </c>
      <c r="AF40" s="110">
        <f t="shared" si="0"/>
        <v>0</v>
      </c>
      <c r="AG40" s="110">
        <f>AF40*(Übersicht!F$18+Übersicht!F$19)</f>
        <v>0</v>
      </c>
      <c r="AH40" s="110">
        <f t="shared" si="22"/>
        <v>0</v>
      </c>
      <c r="AI40" s="110">
        <f t="shared" si="23"/>
        <v>0</v>
      </c>
      <c r="AJ40" s="110">
        <f t="shared" si="11"/>
        <v>0</v>
      </c>
      <c r="AK40" s="110">
        <f>SUM(W$3:W40)</f>
        <v>26496.433432587473</v>
      </c>
      <c r="AL40" s="110">
        <f t="shared" si="3"/>
        <v>0</v>
      </c>
      <c r="AM40" s="110">
        <f>SUM(AL$3:AL40)</f>
        <v>156152.58720842097</v>
      </c>
      <c r="AN40" s="110">
        <f>AL40*Übersicht!$F$22</f>
        <v>0</v>
      </c>
      <c r="AO40" s="110">
        <f t="shared" si="21"/>
        <v>0</v>
      </c>
      <c r="AP40" s="112">
        <f>AO40*Übersicht!F$23</f>
        <v>0</v>
      </c>
      <c r="AQ40" s="110">
        <f t="shared" si="4"/>
        <v>389855.12267176574</v>
      </c>
      <c r="AR40" s="115" t="str">
        <f>IF(B40=Übersicht!$H$11,"Beginn Ansparphase",IF(B40=Übersicht!$H$12,"1. Umschichtung",IF(B40=Übersicht!$H$13,"2. Umschichtung",IF(B40=Übersicht!$H$14,"3. Umschichtung",IF(B40=Übersicht!$B$26,"Komplettverkauf",IF(B40=Übersicht!$B$40,"Beginn Entnahmephase",""))))))</f>
        <v/>
      </c>
    </row>
    <row r="41" spans="1:44" ht="14.5" x14ac:dyDescent="0.35">
      <c r="A41" s="102">
        <v>38</v>
      </c>
      <c r="B41" s="103">
        <f t="shared" si="24"/>
        <v>59080</v>
      </c>
      <c r="C41" s="104">
        <f>FV(G40/12,12,-Übersicht!B$5,-I40)</f>
        <v>583050.68353858578</v>
      </c>
      <c r="D41" s="104">
        <f>Übersicht!$B$6</f>
        <v>2400</v>
      </c>
      <c r="E41" s="104">
        <f>C$3+SUM(D$3:D41)</f>
        <v>143600</v>
      </c>
      <c r="F41" s="105">
        <f>D41*Übersicht!F$18</f>
        <v>4.8</v>
      </c>
      <c r="G41" s="106">
        <f>VLOOKUP(B41,Übersicht!H$11:J$14,3)</f>
        <v>0.02</v>
      </c>
      <c r="H41" s="107">
        <f t="shared" si="13"/>
        <v>9776.5451492900029</v>
      </c>
      <c r="I41" s="108">
        <f t="shared" si="5"/>
        <v>581275.1997181616</v>
      </c>
      <c r="J41" s="109">
        <f>MAX(MIN(C41*0.7*Übersicht!$F$21,H41),0)</f>
        <v>9776.5451492900029</v>
      </c>
      <c r="K41" s="110">
        <f>SUM(J$3:J41)</f>
        <v>216982.64718004726</v>
      </c>
      <c r="L41" s="110">
        <f>J41*Übersicht!$F$22</f>
        <v>2932.963544787001</v>
      </c>
      <c r="M41" s="111">
        <f t="shared" si="14"/>
        <v>6843.5816045030024</v>
      </c>
      <c r="N41" s="110">
        <f>Übersicht!$F$20</f>
        <v>1000</v>
      </c>
      <c r="O41" s="111">
        <f t="shared" si="6"/>
        <v>5843.5816045030024</v>
      </c>
      <c r="P41" s="112">
        <f>O41*Übersicht!$F$23</f>
        <v>1625.6844023727353</v>
      </c>
      <c r="Q41" s="111">
        <f>H41*Übersicht!B$11</f>
        <v>977.65451492900036</v>
      </c>
      <c r="R41" s="111">
        <f>Q41*(Übersicht!F$18+Übersicht!F$19)</f>
        <v>3.9106180597160014</v>
      </c>
      <c r="S41" s="111">
        <f>C41/(C$3+SUM(D$3:D40))</f>
        <v>4.1292541327095309</v>
      </c>
      <c r="T41" s="111">
        <f t="shared" si="15"/>
        <v>236.76298031273839</v>
      </c>
      <c r="U41" s="111">
        <f t="shared" si="16"/>
        <v>740.89153461626199</v>
      </c>
      <c r="V41" s="104">
        <f t="shared" si="7"/>
        <v>16.39322922597696</v>
      </c>
      <c r="W41" s="111">
        <f t="shared" si="17"/>
        <v>724.49830539028505</v>
      </c>
      <c r="X41" s="104">
        <f>SUM(W$3:W41)</f>
        <v>27220.931737977757</v>
      </c>
      <c r="Y41" s="111">
        <f>W41*Übersicht!$F$22</f>
        <v>217.3494916170855</v>
      </c>
      <c r="Z41" s="111">
        <f t="shared" si="18"/>
        <v>507.14881377319955</v>
      </c>
      <c r="AA41" s="111">
        <f t="shared" si="19"/>
        <v>0</v>
      </c>
      <c r="AB41" s="111">
        <f t="shared" si="20"/>
        <v>507.14881377319955</v>
      </c>
      <c r="AC41" s="112">
        <f>AB41*Übersicht!F$23</f>
        <v>141.08879999170412</v>
      </c>
      <c r="AD41" s="113">
        <f>VLOOKUP(B41,Übersicht!H$11:I$14,2)</f>
        <v>0.25</v>
      </c>
      <c r="AE41" s="114">
        <f t="shared" si="8"/>
        <v>0</v>
      </c>
      <c r="AF41" s="110">
        <f t="shared" si="0"/>
        <v>0</v>
      </c>
      <c r="AG41" s="110">
        <f>AF41*(Übersicht!F$18+Übersicht!F$19)</f>
        <v>0</v>
      </c>
      <c r="AH41" s="110">
        <f t="shared" si="22"/>
        <v>0</v>
      </c>
      <c r="AI41" s="110">
        <f t="shared" si="23"/>
        <v>0</v>
      </c>
      <c r="AJ41" s="110">
        <f t="shared" si="11"/>
        <v>0</v>
      </c>
      <c r="AK41" s="110">
        <f>SUM(W$3:W41)</f>
        <v>27220.931737977757</v>
      </c>
      <c r="AL41" s="110">
        <f t="shared" si="3"/>
        <v>0</v>
      </c>
      <c r="AM41" s="110">
        <f>SUM(AL$3:AL41)</f>
        <v>156152.58720842097</v>
      </c>
      <c r="AN41" s="110">
        <f>AL41*Übersicht!$F$22</f>
        <v>0</v>
      </c>
      <c r="AO41" s="110">
        <f t="shared" si="21"/>
        <v>0</v>
      </c>
      <c r="AP41" s="112">
        <f>AO41*Übersicht!F$23</f>
        <v>0</v>
      </c>
      <c r="AQ41" s="110">
        <f t="shared" si="4"/>
        <v>400356.16612644598</v>
      </c>
      <c r="AR41" s="115" t="str">
        <f>IF(B41=Übersicht!$H$11,"Beginn Ansparphase",IF(B41=Übersicht!$H$12,"1. Umschichtung",IF(B41=Übersicht!$H$13,"2. Umschichtung",IF(B41=Übersicht!$H$14,"3. Umschichtung",IF(B41=Übersicht!$B$26,"Komplettverkauf",IF(B41=Übersicht!$B$40,"Beginn Entnahmephase",""))))))</f>
        <v/>
      </c>
    </row>
    <row r="42" spans="1:44" ht="14.5" x14ac:dyDescent="0.35">
      <c r="A42" s="102">
        <v>39</v>
      </c>
      <c r="B42" s="103">
        <f t="shared" si="24"/>
        <v>59445</v>
      </c>
      <c r="C42" s="104">
        <f>FV(G41/12,12,-Übersicht!B$5,-I41)</f>
        <v>595429.98777988937</v>
      </c>
      <c r="D42" s="104">
        <f>Übersicht!$B$6</f>
        <v>2400</v>
      </c>
      <c r="E42" s="104">
        <f>C$3+SUM(D$3:D42)</f>
        <v>146000</v>
      </c>
      <c r="F42" s="105">
        <f>D42*Übersicht!F$18</f>
        <v>4.8</v>
      </c>
      <c r="G42" s="106">
        <f>VLOOKUP(B42,Übersicht!H$11:J$14,3)</f>
        <v>0.02</v>
      </c>
      <c r="H42" s="107">
        <f t="shared" si="13"/>
        <v>9979.3042413035873</v>
      </c>
      <c r="I42" s="108">
        <f t="shared" si="5"/>
        <v>593611.8147298242</v>
      </c>
      <c r="J42" s="109">
        <f>MAX(MIN(C42*0.7*Übersicht!$F$21,H42),0)</f>
        <v>9979.3042413035873</v>
      </c>
      <c r="K42" s="110">
        <f>SUM(J$3:J42)</f>
        <v>226961.95142135085</v>
      </c>
      <c r="L42" s="110">
        <f>J42*Übersicht!$F$22</f>
        <v>2993.7912723910763</v>
      </c>
      <c r="M42" s="111">
        <f t="shared" si="14"/>
        <v>6985.5129689125115</v>
      </c>
      <c r="N42" s="110">
        <f>Übersicht!$F$20</f>
        <v>1000</v>
      </c>
      <c r="O42" s="111">
        <f t="shared" si="6"/>
        <v>5985.5129689125115</v>
      </c>
      <c r="P42" s="112">
        <f>O42*Übersicht!$F$23</f>
        <v>1665.1697079514606</v>
      </c>
      <c r="Q42" s="111">
        <f>H42*Übersicht!B$11</f>
        <v>997.9304241303588</v>
      </c>
      <c r="R42" s="111">
        <f>Q42*(Übersicht!F$18+Übersicht!F$19)</f>
        <v>3.9917216965214353</v>
      </c>
      <c r="S42" s="111">
        <f>C42/(C$3+SUM(D$3:D41))</f>
        <v>4.1464483828683107</v>
      </c>
      <c r="T42" s="111">
        <f t="shared" si="15"/>
        <v>240.67113152872273</v>
      </c>
      <c r="U42" s="111">
        <f t="shared" si="16"/>
        <v>757.25929260163605</v>
      </c>
      <c r="V42" s="104">
        <f t="shared" si="7"/>
        <v>16.725142365069058</v>
      </c>
      <c r="W42" s="111">
        <f t="shared" si="17"/>
        <v>740.53415023656703</v>
      </c>
      <c r="X42" s="104">
        <f>SUM(W$3:W42)</f>
        <v>27961.465888214323</v>
      </c>
      <c r="Y42" s="111">
        <f>W42*Übersicht!$F$22</f>
        <v>222.16024507097009</v>
      </c>
      <c r="Z42" s="111">
        <f t="shared" si="18"/>
        <v>518.37390516559697</v>
      </c>
      <c r="AA42" s="111">
        <f t="shared" si="19"/>
        <v>0</v>
      </c>
      <c r="AB42" s="111">
        <f t="shared" si="20"/>
        <v>518.37390516559697</v>
      </c>
      <c r="AC42" s="112">
        <f>AB42*Übersicht!F$23</f>
        <v>144.21162041706907</v>
      </c>
      <c r="AD42" s="113">
        <f>VLOOKUP(B42,Übersicht!H$11:I$14,2)</f>
        <v>0.25</v>
      </c>
      <c r="AE42" s="114">
        <f t="shared" si="8"/>
        <v>0</v>
      </c>
      <c r="AF42" s="110">
        <f t="shared" si="0"/>
        <v>0</v>
      </c>
      <c r="AG42" s="110">
        <f>AF42*(Übersicht!F$18+Übersicht!F$19)</f>
        <v>0</v>
      </c>
      <c r="AH42" s="110">
        <f t="shared" si="22"/>
        <v>0</v>
      </c>
      <c r="AI42" s="110">
        <f t="shared" si="23"/>
        <v>0</v>
      </c>
      <c r="AJ42" s="110">
        <f t="shared" si="11"/>
        <v>0</v>
      </c>
      <c r="AK42" s="110">
        <f>SUM(W$3:W42)</f>
        <v>27961.465888214323</v>
      </c>
      <c r="AL42" s="110">
        <f t="shared" si="3"/>
        <v>0</v>
      </c>
      <c r="AM42" s="110">
        <f>SUM(AL$3:AL42)</f>
        <v>156152.58720842097</v>
      </c>
      <c r="AN42" s="110">
        <f>AL42*Übersicht!$F$22</f>
        <v>0</v>
      </c>
      <c r="AO42" s="110">
        <f t="shared" si="21"/>
        <v>0</v>
      </c>
      <c r="AP42" s="112">
        <f>AO42*Übersicht!F$23</f>
        <v>0</v>
      </c>
      <c r="AQ42" s="110">
        <f t="shared" si="4"/>
        <v>411076.00451798615</v>
      </c>
      <c r="AR42" s="115" t="str">
        <f>IF(B42=Übersicht!$H$11,"Beginn Ansparphase",IF(B42=Übersicht!$H$12,"1. Umschichtung",IF(B42=Übersicht!$H$13,"2. Umschichtung",IF(B42=Übersicht!$H$14,"3. Umschichtung",IF(B42=Übersicht!$B$26,"Komplettverkauf",IF(B42=Übersicht!$B$40,"Beginn Entnahmephase",""))))))</f>
        <v/>
      </c>
    </row>
    <row r="43" spans="1:44" ht="14.5" x14ac:dyDescent="0.35">
      <c r="A43" s="102">
        <v>40</v>
      </c>
      <c r="B43" s="103">
        <f t="shared" si="24"/>
        <v>59810</v>
      </c>
      <c r="C43" s="104">
        <f>FV(G42/12,12,-Übersicht!B$5,-I42)</f>
        <v>608015.60941685305</v>
      </c>
      <c r="D43" s="104">
        <f>Übersicht!$B$6</f>
        <v>2400</v>
      </c>
      <c r="E43" s="104">
        <f>C$3+SUM(D$3:D43)</f>
        <v>148400</v>
      </c>
      <c r="F43" s="105">
        <f>D43*Übersicht!F$18</f>
        <v>4.8</v>
      </c>
      <c r="G43" s="106">
        <f>VLOOKUP(B43,Übersicht!H$11:J$14,3)</f>
        <v>0.02</v>
      </c>
      <c r="H43" s="107">
        <f t="shared" si="13"/>
        <v>10185.621636963682</v>
      </c>
      <c r="I43" s="108">
        <f t="shared" si="5"/>
        <v>606153.98532889539</v>
      </c>
      <c r="J43" s="109">
        <f>MAX(MIN(C43*0.7*Übersicht!$F$21,H43),0)</f>
        <v>10185.621636963682</v>
      </c>
      <c r="K43" s="110">
        <f>SUM(J$3:J43)</f>
        <v>237147.57305831453</v>
      </c>
      <c r="L43" s="110">
        <f>J43*Übersicht!$F$22</f>
        <v>3055.6864910891045</v>
      </c>
      <c r="M43" s="111">
        <f t="shared" si="14"/>
        <v>7129.9351458745778</v>
      </c>
      <c r="N43" s="110">
        <f>Übersicht!$F$20</f>
        <v>1000</v>
      </c>
      <c r="O43" s="111">
        <f t="shared" si="6"/>
        <v>6129.9351458745778</v>
      </c>
      <c r="P43" s="112">
        <f>O43*Übersicht!$F$23</f>
        <v>1705.3479575823076</v>
      </c>
      <c r="Q43" s="111">
        <f>H43*Übersicht!B$11</f>
        <v>1018.5621636963683</v>
      </c>
      <c r="R43" s="111">
        <f>Q43*(Übersicht!F$18+Übersicht!F$19)</f>
        <v>4.0742486547854737</v>
      </c>
      <c r="S43" s="111">
        <f>C43/(C$3+SUM(D$3:D42))</f>
        <v>4.1644904754578977</v>
      </c>
      <c r="T43" s="111">
        <f t="shared" si="15"/>
        <v>244.58266136012099</v>
      </c>
      <c r="U43" s="111">
        <f t="shared" si="16"/>
        <v>773.97950233624738</v>
      </c>
      <c r="V43" s="104">
        <f t="shared" si="7"/>
        <v>17.063194846409655</v>
      </c>
      <c r="W43" s="111">
        <f t="shared" si="17"/>
        <v>756.91630748983778</v>
      </c>
      <c r="X43" s="104">
        <f>SUM(W$3:W43)</f>
        <v>28718.382195704162</v>
      </c>
      <c r="Y43" s="111">
        <f>W43*Übersicht!$F$22</f>
        <v>227.07489224695132</v>
      </c>
      <c r="Z43" s="111">
        <f t="shared" si="18"/>
        <v>529.84141524288646</v>
      </c>
      <c r="AA43" s="111">
        <f t="shared" si="19"/>
        <v>0</v>
      </c>
      <c r="AB43" s="111">
        <f t="shared" si="20"/>
        <v>529.84141524288646</v>
      </c>
      <c r="AC43" s="112">
        <f>AB43*Übersicht!F$23</f>
        <v>147.40188172057103</v>
      </c>
      <c r="AD43" s="113">
        <f>VLOOKUP(B43,Übersicht!H$11:I$14,2)</f>
        <v>0.25</v>
      </c>
      <c r="AE43" s="114">
        <f t="shared" si="8"/>
        <v>0</v>
      </c>
      <c r="AF43" s="110">
        <f t="shared" si="0"/>
        <v>0</v>
      </c>
      <c r="AG43" s="110">
        <f>AF43*(Übersicht!F$18+Übersicht!F$19)</f>
        <v>0</v>
      </c>
      <c r="AH43" s="110">
        <f t="shared" si="22"/>
        <v>0</v>
      </c>
      <c r="AI43" s="110">
        <f t="shared" si="23"/>
        <v>0</v>
      </c>
      <c r="AJ43" s="110">
        <f t="shared" si="11"/>
        <v>0</v>
      </c>
      <c r="AK43" s="110">
        <f>SUM(W$3:W43)</f>
        <v>28718.382195704162</v>
      </c>
      <c r="AL43" s="110">
        <f t="shared" si="3"/>
        <v>0</v>
      </c>
      <c r="AM43" s="110">
        <f>SUM(AL$3:AL43)</f>
        <v>156152.58720842097</v>
      </c>
      <c r="AN43" s="110">
        <f>AL43*Übersicht!$F$22</f>
        <v>0</v>
      </c>
      <c r="AO43" s="110">
        <f t="shared" si="21"/>
        <v>0</v>
      </c>
      <c r="AP43" s="112">
        <f>AO43*Übersicht!F$23</f>
        <v>0</v>
      </c>
      <c r="AQ43" s="110">
        <f t="shared" si="4"/>
        <v>422018.54246243968</v>
      </c>
      <c r="AR43" s="115" t="str">
        <f>IF(B43=Übersicht!$H$11,"Beginn Ansparphase",IF(B43=Übersicht!$H$12,"1. Umschichtung",IF(B43=Übersicht!$H$13,"2. Umschichtung",IF(B43=Übersicht!$H$14,"3. Umschichtung",IF(B43=Übersicht!$B$26,"Komplettverkauf",IF(B43=Übersicht!$B$40,"Beginn Entnahmephase",""))))))</f>
        <v/>
      </c>
    </row>
    <row r="44" spans="1:44" x14ac:dyDescent="0.25">
      <c r="A44" s="19"/>
      <c r="B44" s="19"/>
    </row>
    <row r="45" spans="1:44" x14ac:dyDescent="0.25">
      <c r="A45" s="19"/>
      <c r="B45" s="19"/>
    </row>
    <row r="46" spans="1:44" x14ac:dyDescent="0.25">
      <c r="A46" s="19"/>
      <c r="B46" s="19"/>
    </row>
    <row r="47" spans="1:44" x14ac:dyDescent="0.25">
      <c r="A47" s="19"/>
      <c r="B47" s="19"/>
      <c r="C47" s="21"/>
      <c r="D47" s="21"/>
      <c r="E47" s="21"/>
      <c r="F47" s="21"/>
      <c r="G47" s="21"/>
      <c r="H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</row>
    <row r="48" spans="1:44" x14ac:dyDescent="0.25">
      <c r="A48" s="19"/>
      <c r="B48" s="19"/>
      <c r="C48" s="21"/>
      <c r="D48" s="21"/>
      <c r="E48" s="21"/>
      <c r="F48" s="21"/>
      <c r="G48" s="21"/>
      <c r="H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</row>
    <row r="49" spans="1:43" x14ac:dyDescent="0.25">
      <c r="A49" s="19"/>
      <c r="B49" s="19"/>
      <c r="C49" s="21"/>
      <c r="D49" s="21"/>
      <c r="E49" s="21"/>
      <c r="F49" s="21"/>
      <c r="G49" s="21"/>
      <c r="H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</row>
    <row r="50" spans="1:43" x14ac:dyDescent="0.25">
      <c r="A50" s="19"/>
      <c r="B50" s="19"/>
      <c r="C50" s="21"/>
      <c r="D50" s="21"/>
      <c r="E50" s="21"/>
      <c r="F50" s="21"/>
      <c r="G50" s="21"/>
      <c r="H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</row>
    <row r="51" spans="1:43" x14ac:dyDescent="0.25">
      <c r="A51" s="83"/>
      <c r="B51" s="83"/>
      <c r="C51" s="21"/>
      <c r="D51" s="21"/>
      <c r="E51" s="21"/>
      <c r="F51" s="21"/>
      <c r="G51" s="21"/>
      <c r="H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</row>
    <row r="52" spans="1:43" x14ac:dyDescent="0.25">
      <c r="A52" s="83"/>
      <c r="B52" s="83"/>
      <c r="C52" s="21"/>
      <c r="D52" s="21"/>
      <c r="E52" s="21"/>
      <c r="F52" s="21"/>
      <c r="G52" s="21"/>
      <c r="H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</row>
    <row r="53" spans="1:43" x14ac:dyDescent="0.25">
      <c r="A53" s="83"/>
      <c r="B53" s="83"/>
      <c r="C53" s="21"/>
      <c r="D53" s="21"/>
      <c r="E53" s="21"/>
      <c r="F53" s="21"/>
      <c r="G53" s="21"/>
      <c r="H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</row>
    <row r="54" spans="1:43" x14ac:dyDescent="0.25">
      <c r="A54" s="83"/>
      <c r="B54" s="83"/>
      <c r="C54" s="21"/>
      <c r="D54" s="21"/>
      <c r="E54" s="21"/>
      <c r="F54" s="21"/>
      <c r="G54" s="21"/>
      <c r="H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</row>
    <row r="55" spans="1:43" x14ac:dyDescent="0.25">
      <c r="A55" s="83"/>
      <c r="B55" s="83"/>
      <c r="C55" s="21"/>
      <c r="D55" s="21"/>
      <c r="E55" s="21"/>
      <c r="F55" s="21"/>
      <c r="G55" s="21"/>
      <c r="H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</row>
    <row r="56" spans="1:43" x14ac:dyDescent="0.25">
      <c r="A56" s="83"/>
      <c r="B56" s="83"/>
      <c r="C56" s="21"/>
      <c r="D56" s="21"/>
      <c r="E56" s="21"/>
      <c r="F56" s="21"/>
      <c r="G56" s="21"/>
      <c r="H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</row>
    <row r="57" spans="1:43" x14ac:dyDescent="0.25">
      <c r="A57" s="83"/>
      <c r="B57" s="83"/>
      <c r="C57" s="21"/>
      <c r="D57" s="21"/>
      <c r="E57" s="21"/>
      <c r="F57" s="21"/>
      <c r="G57" s="21"/>
      <c r="H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</row>
    <row r="58" spans="1:43" x14ac:dyDescent="0.25">
      <c r="A58" s="83"/>
      <c r="B58" s="83"/>
      <c r="C58" s="21"/>
      <c r="D58" s="21"/>
      <c r="E58" s="21"/>
      <c r="F58" s="21"/>
      <c r="G58" s="21"/>
      <c r="H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</row>
    <row r="59" spans="1:43" x14ac:dyDescent="0.25">
      <c r="A59" s="83"/>
      <c r="B59" s="83"/>
      <c r="C59" s="21"/>
      <c r="D59" s="21"/>
      <c r="E59" s="21"/>
      <c r="F59" s="21"/>
      <c r="G59" s="21"/>
      <c r="H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</row>
    <row r="60" spans="1:43" x14ac:dyDescent="0.25">
      <c r="A60" s="83"/>
      <c r="B60" s="83"/>
      <c r="C60" s="21"/>
      <c r="D60" s="21"/>
      <c r="E60" s="21"/>
      <c r="F60" s="21"/>
      <c r="G60" s="21"/>
      <c r="H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</row>
    <row r="61" spans="1:43" x14ac:dyDescent="0.25">
      <c r="A61" s="83"/>
      <c r="B61" s="83"/>
      <c r="C61" s="21"/>
      <c r="D61" s="21"/>
      <c r="E61" s="21"/>
      <c r="F61" s="21"/>
      <c r="G61" s="21"/>
      <c r="H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</row>
    <row r="62" spans="1:43" x14ac:dyDescent="0.25">
      <c r="A62" s="83"/>
      <c r="B62" s="83"/>
      <c r="C62" s="21"/>
      <c r="D62" s="21"/>
      <c r="E62" s="21"/>
      <c r="F62" s="21"/>
      <c r="G62" s="21"/>
      <c r="H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</row>
    <row r="63" spans="1:43" x14ac:dyDescent="0.25">
      <c r="A63" s="83"/>
      <c r="B63" s="83"/>
      <c r="C63" s="21"/>
      <c r="D63" s="21"/>
      <c r="E63" s="21"/>
      <c r="F63" s="21"/>
      <c r="G63" s="21"/>
      <c r="H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</row>
    <row r="64" spans="1:43" x14ac:dyDescent="0.25">
      <c r="A64" s="83"/>
      <c r="B64" s="83"/>
      <c r="C64" s="21"/>
      <c r="D64" s="21"/>
      <c r="E64" s="21"/>
      <c r="F64" s="21"/>
      <c r="G64" s="21"/>
      <c r="H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</row>
    <row r="65" spans="1:43" x14ac:dyDescent="0.25">
      <c r="A65" s="83"/>
      <c r="B65" s="83"/>
      <c r="C65" s="21"/>
      <c r="D65" s="21"/>
      <c r="E65" s="21"/>
      <c r="F65" s="21"/>
      <c r="G65" s="21"/>
      <c r="H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</row>
    <row r="66" spans="1:43" x14ac:dyDescent="0.25">
      <c r="A66" s="83"/>
      <c r="B66" s="83"/>
      <c r="C66" s="21"/>
      <c r="D66" s="21"/>
      <c r="E66" s="21"/>
      <c r="F66" s="21"/>
      <c r="G66" s="21"/>
      <c r="H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</row>
    <row r="67" spans="1:43" x14ac:dyDescent="0.25">
      <c r="A67" s="83"/>
      <c r="B67" s="83"/>
      <c r="C67" s="21"/>
      <c r="D67" s="21"/>
      <c r="E67" s="21"/>
      <c r="F67" s="21"/>
      <c r="G67" s="21"/>
      <c r="H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</row>
    <row r="68" spans="1:43" x14ac:dyDescent="0.25">
      <c r="A68" s="83"/>
      <c r="B68" s="83"/>
      <c r="C68" s="21"/>
      <c r="D68" s="21"/>
      <c r="E68" s="21"/>
      <c r="F68" s="21"/>
      <c r="G68" s="21"/>
      <c r="H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</row>
    <row r="69" spans="1:43" x14ac:dyDescent="0.25">
      <c r="A69" s="83"/>
      <c r="B69" s="83"/>
      <c r="C69" s="21"/>
      <c r="D69" s="21"/>
      <c r="E69" s="21"/>
      <c r="F69" s="21"/>
      <c r="G69" s="21"/>
      <c r="H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</row>
    <row r="70" spans="1:43" x14ac:dyDescent="0.25">
      <c r="A70" s="83"/>
      <c r="B70" s="83"/>
      <c r="C70" s="21"/>
      <c r="D70" s="21"/>
      <c r="E70" s="21"/>
      <c r="F70" s="21"/>
      <c r="G70" s="21"/>
      <c r="H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</row>
    <row r="71" spans="1:43" x14ac:dyDescent="0.25">
      <c r="A71" s="83"/>
      <c r="B71" s="83"/>
      <c r="C71" s="21"/>
      <c r="D71" s="21"/>
      <c r="E71" s="21"/>
      <c r="F71" s="21"/>
      <c r="G71" s="21"/>
      <c r="H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</row>
    <row r="72" spans="1:43" x14ac:dyDescent="0.25">
      <c r="A72" s="83"/>
      <c r="B72" s="83"/>
      <c r="C72" s="21"/>
      <c r="D72" s="21"/>
      <c r="E72" s="21"/>
      <c r="F72" s="21"/>
      <c r="G72" s="21"/>
      <c r="H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</row>
    <row r="73" spans="1:43" x14ac:dyDescent="0.25">
      <c r="A73" s="83"/>
      <c r="B73" s="83"/>
      <c r="C73" s="21"/>
      <c r="D73" s="21"/>
      <c r="E73" s="21"/>
      <c r="F73" s="21"/>
      <c r="G73" s="21"/>
      <c r="H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</row>
    <row r="74" spans="1:43" x14ac:dyDescent="0.25">
      <c r="A74" s="83"/>
      <c r="B74" s="83"/>
      <c r="C74" s="21"/>
      <c r="D74" s="21"/>
      <c r="E74" s="21"/>
      <c r="F74" s="21"/>
      <c r="G74" s="21"/>
      <c r="H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</row>
    <row r="75" spans="1:43" x14ac:dyDescent="0.25">
      <c r="A75" s="83"/>
      <c r="B75" s="83"/>
      <c r="C75" s="21"/>
      <c r="D75" s="21"/>
      <c r="E75" s="21"/>
      <c r="F75" s="21"/>
      <c r="G75" s="21"/>
      <c r="H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</row>
    <row r="76" spans="1:43" x14ac:dyDescent="0.25">
      <c r="A76" s="83"/>
      <c r="B76" s="83"/>
      <c r="C76" s="21"/>
      <c r="D76" s="21"/>
      <c r="E76" s="21"/>
      <c r="F76" s="21"/>
      <c r="G76" s="21"/>
      <c r="H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</row>
    <row r="77" spans="1:43" x14ac:dyDescent="0.25">
      <c r="A77" s="83"/>
      <c r="B77" s="83"/>
      <c r="C77" s="21"/>
      <c r="D77" s="21"/>
      <c r="E77" s="21"/>
      <c r="F77" s="21"/>
      <c r="G77" s="21"/>
      <c r="H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</row>
    <row r="78" spans="1:43" x14ac:dyDescent="0.25">
      <c r="A78" s="83"/>
      <c r="B78" s="83"/>
      <c r="C78" s="21"/>
      <c r="D78" s="21"/>
      <c r="E78" s="21"/>
      <c r="F78" s="21"/>
      <c r="G78" s="21"/>
      <c r="H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</row>
    <row r="79" spans="1:43" x14ac:dyDescent="0.25">
      <c r="A79" s="83"/>
      <c r="B79" s="83"/>
      <c r="C79" s="21"/>
      <c r="D79" s="21"/>
      <c r="E79" s="21"/>
      <c r="F79" s="21"/>
      <c r="G79" s="21"/>
      <c r="H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</row>
    <row r="80" spans="1:43" x14ac:dyDescent="0.25">
      <c r="A80" s="83"/>
      <c r="B80" s="83"/>
      <c r="C80" s="21"/>
      <c r="D80" s="21"/>
      <c r="E80" s="21"/>
      <c r="F80" s="21"/>
      <c r="G80" s="21"/>
      <c r="H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</row>
    <row r="81" spans="1:43" x14ac:dyDescent="0.25">
      <c r="A81" s="83"/>
      <c r="B81" s="83"/>
      <c r="C81" s="21"/>
      <c r="D81" s="21"/>
      <c r="E81" s="21"/>
      <c r="F81" s="21"/>
      <c r="G81" s="21"/>
      <c r="H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</row>
    <row r="82" spans="1:43" x14ac:dyDescent="0.25">
      <c r="A82" s="83"/>
      <c r="B82" s="83"/>
      <c r="C82" s="21"/>
      <c r="D82" s="21"/>
      <c r="E82" s="21"/>
      <c r="F82" s="21"/>
      <c r="G82" s="21"/>
      <c r="H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</row>
    <row r="83" spans="1:43" x14ac:dyDescent="0.25">
      <c r="A83" s="83"/>
      <c r="B83" s="83"/>
      <c r="C83" s="21"/>
      <c r="D83" s="21"/>
      <c r="E83" s="21"/>
      <c r="F83" s="21"/>
      <c r="G83" s="21"/>
      <c r="H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</row>
    <row r="84" spans="1:43" x14ac:dyDescent="0.25">
      <c r="A84" s="83"/>
      <c r="B84" s="83"/>
      <c r="C84" s="21"/>
      <c r="D84" s="21"/>
      <c r="E84" s="21"/>
      <c r="F84" s="21"/>
      <c r="G84" s="21"/>
      <c r="H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</row>
    <row r="85" spans="1:43" x14ac:dyDescent="0.25">
      <c r="A85" s="83"/>
      <c r="B85" s="83"/>
      <c r="C85" s="21"/>
      <c r="D85" s="21"/>
      <c r="E85" s="21"/>
      <c r="F85" s="21"/>
      <c r="G85" s="21"/>
      <c r="H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</row>
    <row r="86" spans="1:43" x14ac:dyDescent="0.25">
      <c r="A86" s="83"/>
      <c r="B86" s="83"/>
      <c r="C86" s="21"/>
      <c r="D86" s="21"/>
      <c r="E86" s="21"/>
      <c r="F86" s="21"/>
      <c r="G86" s="21"/>
      <c r="H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</row>
    <row r="87" spans="1:43" x14ac:dyDescent="0.25">
      <c r="A87" s="83"/>
      <c r="B87" s="83"/>
      <c r="C87" s="21"/>
      <c r="D87" s="21"/>
      <c r="E87" s="21"/>
      <c r="F87" s="21"/>
      <c r="G87" s="21"/>
      <c r="H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</row>
    <row r="88" spans="1:43" x14ac:dyDescent="0.25">
      <c r="A88" s="83"/>
      <c r="B88" s="83"/>
      <c r="C88" s="21"/>
      <c r="D88" s="21"/>
      <c r="E88" s="21"/>
      <c r="F88" s="21"/>
      <c r="G88" s="21"/>
      <c r="H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</row>
    <row r="89" spans="1:43" x14ac:dyDescent="0.25">
      <c r="A89" s="83"/>
      <c r="B89" s="83"/>
      <c r="C89" s="21"/>
      <c r="D89" s="21"/>
      <c r="E89" s="21"/>
      <c r="F89" s="21"/>
      <c r="G89" s="21"/>
      <c r="H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</row>
    <row r="90" spans="1:43" x14ac:dyDescent="0.25">
      <c r="A90" s="83"/>
      <c r="B90" s="83"/>
      <c r="C90" s="21"/>
      <c r="D90" s="21"/>
      <c r="E90" s="21"/>
      <c r="F90" s="21"/>
      <c r="G90" s="21"/>
      <c r="H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</row>
    <row r="91" spans="1:43" x14ac:dyDescent="0.25">
      <c r="A91" s="83"/>
      <c r="B91" s="83"/>
      <c r="C91" s="21"/>
      <c r="D91" s="21"/>
      <c r="E91" s="21"/>
      <c r="F91" s="21"/>
      <c r="G91" s="21"/>
      <c r="H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</row>
    <row r="92" spans="1:43" x14ac:dyDescent="0.25">
      <c r="A92" s="83"/>
      <c r="B92" s="83"/>
      <c r="C92" s="21"/>
      <c r="D92" s="21"/>
      <c r="E92" s="21"/>
      <c r="F92" s="21"/>
      <c r="G92" s="21"/>
      <c r="H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</row>
    <row r="93" spans="1:43" x14ac:dyDescent="0.25">
      <c r="A93" s="83"/>
      <c r="B93" s="83"/>
      <c r="C93" s="21"/>
      <c r="D93" s="21"/>
      <c r="E93" s="21"/>
      <c r="F93" s="21"/>
      <c r="G93" s="21"/>
      <c r="H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</row>
    <row r="94" spans="1:43" x14ac:dyDescent="0.25">
      <c r="A94" s="83"/>
      <c r="B94" s="83"/>
      <c r="C94" s="21"/>
      <c r="D94" s="21"/>
      <c r="E94" s="21"/>
      <c r="F94" s="21"/>
      <c r="G94" s="21"/>
      <c r="H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</row>
    <row r="95" spans="1:43" x14ac:dyDescent="0.25">
      <c r="A95" s="83"/>
      <c r="B95" s="83"/>
      <c r="C95" s="21"/>
      <c r="D95" s="21"/>
      <c r="E95" s="21"/>
      <c r="F95" s="21"/>
      <c r="G95" s="21"/>
      <c r="H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</row>
    <row r="96" spans="1:43" x14ac:dyDescent="0.25">
      <c r="A96" s="83"/>
      <c r="B96" s="83"/>
      <c r="C96" s="21"/>
      <c r="D96" s="21"/>
      <c r="E96" s="21"/>
      <c r="F96" s="21"/>
      <c r="G96" s="21"/>
      <c r="H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</row>
    <row r="97" spans="1:43" x14ac:dyDescent="0.25">
      <c r="A97" s="83"/>
      <c r="B97" s="83"/>
      <c r="C97" s="21"/>
      <c r="D97" s="21"/>
      <c r="E97" s="21"/>
      <c r="F97" s="21"/>
      <c r="G97" s="21"/>
      <c r="H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</row>
    <row r="98" spans="1:43" x14ac:dyDescent="0.25">
      <c r="A98" s="83"/>
      <c r="B98" s="83"/>
      <c r="C98" s="21"/>
      <c r="D98" s="21"/>
      <c r="E98" s="21"/>
      <c r="F98" s="21"/>
      <c r="G98" s="21"/>
      <c r="H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</row>
    <row r="99" spans="1:43" x14ac:dyDescent="0.25">
      <c r="A99" s="83"/>
      <c r="B99" s="83"/>
      <c r="C99" s="21"/>
      <c r="D99" s="21"/>
      <c r="E99" s="21"/>
      <c r="F99" s="21"/>
      <c r="G99" s="21"/>
      <c r="H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</row>
    <row r="100" spans="1:43" x14ac:dyDescent="0.25">
      <c r="A100" s="83"/>
      <c r="B100" s="83"/>
      <c r="C100" s="21"/>
      <c r="D100" s="21"/>
      <c r="E100" s="21"/>
      <c r="F100" s="21"/>
      <c r="G100" s="21"/>
      <c r="H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</row>
    <row r="101" spans="1:43" x14ac:dyDescent="0.25">
      <c r="A101" s="83"/>
      <c r="B101" s="83"/>
      <c r="C101" s="21"/>
      <c r="D101" s="21"/>
      <c r="E101" s="21"/>
      <c r="F101" s="21"/>
      <c r="G101" s="21"/>
      <c r="H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</row>
    <row r="102" spans="1:43" x14ac:dyDescent="0.25">
      <c r="A102" s="83"/>
      <c r="B102" s="83"/>
      <c r="C102" s="21"/>
      <c r="D102" s="21"/>
      <c r="E102" s="21"/>
      <c r="F102" s="21"/>
      <c r="G102" s="21"/>
      <c r="H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</row>
    <row r="103" spans="1:43" x14ac:dyDescent="0.25">
      <c r="A103" s="83"/>
      <c r="B103" s="83"/>
      <c r="C103" s="21"/>
      <c r="D103" s="21"/>
      <c r="E103" s="21"/>
      <c r="F103" s="21"/>
      <c r="G103" s="21"/>
      <c r="H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</row>
    <row r="104" spans="1:43" x14ac:dyDescent="0.25">
      <c r="A104" s="83"/>
      <c r="B104" s="83"/>
      <c r="C104" s="21"/>
      <c r="D104" s="21"/>
      <c r="E104" s="21"/>
      <c r="F104" s="21"/>
      <c r="G104" s="21"/>
      <c r="H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</row>
    <row r="105" spans="1:43" x14ac:dyDescent="0.25">
      <c r="A105" s="83"/>
      <c r="B105" s="83"/>
      <c r="C105" s="21"/>
      <c r="D105" s="21"/>
      <c r="E105" s="21"/>
      <c r="F105" s="21"/>
      <c r="G105" s="21"/>
      <c r="H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</row>
    <row r="106" spans="1:43" x14ac:dyDescent="0.25">
      <c r="A106" s="83"/>
      <c r="B106" s="83"/>
      <c r="C106" s="21"/>
      <c r="D106" s="21"/>
      <c r="E106" s="21"/>
      <c r="F106" s="21"/>
      <c r="G106" s="21"/>
      <c r="H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</row>
    <row r="107" spans="1:43" x14ac:dyDescent="0.25">
      <c r="A107" s="83"/>
      <c r="B107" s="83"/>
      <c r="C107" s="21"/>
      <c r="D107" s="21"/>
      <c r="E107" s="21"/>
      <c r="F107" s="21"/>
      <c r="G107" s="21"/>
      <c r="H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</row>
    <row r="108" spans="1:43" x14ac:dyDescent="0.25">
      <c r="A108" s="83"/>
      <c r="B108" s="83"/>
      <c r="C108" s="21"/>
      <c r="D108" s="21"/>
      <c r="E108" s="21"/>
      <c r="F108" s="21"/>
      <c r="G108" s="21"/>
      <c r="H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</row>
    <row r="109" spans="1:43" x14ac:dyDescent="0.25">
      <c r="A109" s="83"/>
      <c r="B109" s="83"/>
      <c r="C109" s="21"/>
      <c r="D109" s="21"/>
      <c r="E109" s="21"/>
      <c r="F109" s="21"/>
      <c r="G109" s="21"/>
      <c r="H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</row>
    <row r="110" spans="1:43" x14ac:dyDescent="0.25">
      <c r="A110" s="83"/>
      <c r="B110" s="83"/>
      <c r="C110" s="21"/>
      <c r="D110" s="21"/>
      <c r="E110" s="21"/>
      <c r="F110" s="21"/>
      <c r="G110" s="21"/>
      <c r="H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</row>
    <row r="111" spans="1:43" x14ac:dyDescent="0.25">
      <c r="A111" s="83"/>
      <c r="B111" s="83"/>
      <c r="C111" s="21"/>
      <c r="D111" s="21"/>
      <c r="E111" s="21"/>
      <c r="F111" s="21"/>
      <c r="G111" s="21"/>
      <c r="H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</row>
    <row r="112" spans="1:43" x14ac:dyDescent="0.25">
      <c r="A112" s="83"/>
      <c r="B112" s="83"/>
      <c r="C112" s="21"/>
      <c r="D112" s="21"/>
      <c r="E112" s="21"/>
      <c r="F112" s="21"/>
      <c r="G112" s="21"/>
      <c r="H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</row>
    <row r="113" spans="1:43" x14ac:dyDescent="0.25">
      <c r="A113" s="83"/>
      <c r="B113" s="83"/>
      <c r="C113" s="21"/>
      <c r="D113" s="21"/>
      <c r="E113" s="21"/>
      <c r="F113" s="21"/>
      <c r="G113" s="21"/>
      <c r="H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</row>
    <row r="114" spans="1:43" x14ac:dyDescent="0.25">
      <c r="A114" s="83"/>
      <c r="B114" s="83"/>
      <c r="C114" s="21"/>
      <c r="D114" s="21"/>
      <c r="E114" s="21"/>
      <c r="F114" s="21"/>
      <c r="G114" s="21"/>
      <c r="H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</row>
    <row r="115" spans="1:43" x14ac:dyDescent="0.25">
      <c r="A115" s="83"/>
      <c r="B115" s="83"/>
      <c r="C115" s="21"/>
      <c r="D115" s="21"/>
      <c r="E115" s="21"/>
      <c r="F115" s="21"/>
      <c r="G115" s="21"/>
      <c r="H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</row>
    <row r="116" spans="1:43" x14ac:dyDescent="0.25">
      <c r="A116" s="83"/>
      <c r="B116" s="83"/>
      <c r="C116" s="21"/>
      <c r="D116" s="21"/>
      <c r="E116" s="21"/>
      <c r="F116" s="21"/>
      <c r="G116" s="21"/>
      <c r="H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</row>
    <row r="117" spans="1:43" x14ac:dyDescent="0.25">
      <c r="A117" s="83"/>
      <c r="B117" s="83"/>
      <c r="C117" s="21"/>
      <c r="D117" s="21"/>
      <c r="E117" s="21"/>
      <c r="F117" s="21"/>
      <c r="G117" s="21"/>
      <c r="H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</row>
    <row r="118" spans="1:43" x14ac:dyDescent="0.25">
      <c r="A118" s="83"/>
      <c r="B118" s="83"/>
      <c r="C118" s="21"/>
      <c r="D118" s="21"/>
      <c r="E118" s="21"/>
      <c r="F118" s="21"/>
      <c r="G118" s="21"/>
      <c r="H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</row>
    <row r="119" spans="1:43" x14ac:dyDescent="0.25">
      <c r="A119" s="83"/>
      <c r="B119" s="83"/>
      <c r="C119" s="21"/>
      <c r="D119" s="21"/>
      <c r="E119" s="21"/>
      <c r="F119" s="21"/>
      <c r="G119" s="21"/>
      <c r="H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</row>
    <row r="120" spans="1:43" x14ac:dyDescent="0.25">
      <c r="A120" s="83"/>
      <c r="B120" s="83"/>
      <c r="C120" s="21"/>
      <c r="D120" s="21"/>
      <c r="E120" s="21"/>
      <c r="F120" s="21"/>
      <c r="G120" s="21"/>
      <c r="H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</row>
    <row r="121" spans="1:43" x14ac:dyDescent="0.25">
      <c r="A121" s="83"/>
      <c r="B121" s="83"/>
      <c r="C121" s="21"/>
      <c r="D121" s="21"/>
      <c r="E121" s="21"/>
      <c r="F121" s="21"/>
      <c r="G121" s="21"/>
      <c r="H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</row>
    <row r="122" spans="1:43" x14ac:dyDescent="0.25">
      <c r="A122" s="83"/>
      <c r="B122" s="83"/>
      <c r="C122" s="21"/>
      <c r="D122" s="21"/>
      <c r="E122" s="21"/>
      <c r="F122" s="21"/>
      <c r="G122" s="21"/>
      <c r="H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</row>
    <row r="123" spans="1:43" x14ac:dyDescent="0.25">
      <c r="A123" s="83"/>
      <c r="B123" s="83"/>
      <c r="C123" s="21"/>
      <c r="D123" s="21"/>
      <c r="E123" s="21"/>
      <c r="F123" s="21"/>
      <c r="G123" s="21"/>
      <c r="H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</row>
    <row r="124" spans="1:43" x14ac:dyDescent="0.25">
      <c r="A124" s="83"/>
      <c r="B124" s="83"/>
      <c r="C124" s="21"/>
      <c r="D124" s="21"/>
      <c r="E124" s="21"/>
      <c r="F124" s="21"/>
      <c r="G124" s="21"/>
      <c r="H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</row>
    <row r="125" spans="1:43" x14ac:dyDescent="0.25">
      <c r="A125" s="83"/>
      <c r="B125" s="83"/>
      <c r="C125" s="21"/>
      <c r="D125" s="21"/>
      <c r="E125" s="21"/>
      <c r="F125" s="21"/>
      <c r="G125" s="21"/>
      <c r="H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</row>
    <row r="126" spans="1:43" x14ac:dyDescent="0.25">
      <c r="A126" s="83"/>
      <c r="B126" s="83"/>
      <c r="C126" s="21"/>
      <c r="D126" s="21"/>
      <c r="E126" s="21"/>
      <c r="F126" s="21"/>
      <c r="G126" s="21"/>
      <c r="H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</row>
    <row r="127" spans="1:43" x14ac:dyDescent="0.25">
      <c r="A127" s="83"/>
      <c r="B127" s="83"/>
      <c r="C127" s="21"/>
      <c r="D127" s="21"/>
      <c r="E127" s="21"/>
      <c r="F127" s="21"/>
      <c r="G127" s="21"/>
      <c r="H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</row>
    <row r="128" spans="1:43" x14ac:dyDescent="0.25">
      <c r="A128" s="83"/>
      <c r="B128" s="83"/>
      <c r="C128" s="21"/>
      <c r="D128" s="21"/>
      <c r="E128" s="21"/>
      <c r="F128" s="21"/>
      <c r="G128" s="21"/>
      <c r="H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</row>
    <row r="129" spans="1:43" x14ac:dyDescent="0.25">
      <c r="A129" s="83"/>
      <c r="B129" s="83"/>
      <c r="C129" s="21"/>
      <c r="D129" s="21"/>
      <c r="E129" s="21"/>
      <c r="F129" s="21"/>
      <c r="G129" s="21"/>
      <c r="H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</row>
    <row r="130" spans="1:43" x14ac:dyDescent="0.25">
      <c r="A130" s="83"/>
      <c r="B130" s="83"/>
      <c r="C130" s="21"/>
      <c r="D130" s="21"/>
      <c r="E130" s="21"/>
      <c r="F130" s="21"/>
      <c r="G130" s="21"/>
      <c r="H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</row>
    <row r="131" spans="1:43" x14ac:dyDescent="0.25">
      <c r="A131" s="83"/>
      <c r="B131" s="83"/>
      <c r="C131" s="21"/>
      <c r="D131" s="21"/>
      <c r="E131" s="21"/>
      <c r="F131" s="21"/>
      <c r="G131" s="21"/>
      <c r="H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</row>
    <row r="132" spans="1:43" x14ac:dyDescent="0.25">
      <c r="A132" s="83"/>
      <c r="B132" s="83"/>
      <c r="C132" s="21"/>
      <c r="D132" s="21"/>
      <c r="E132" s="21"/>
      <c r="F132" s="21"/>
      <c r="G132" s="21"/>
      <c r="H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</row>
    <row r="133" spans="1:43" x14ac:dyDescent="0.25">
      <c r="A133" s="83"/>
      <c r="B133" s="83"/>
      <c r="C133" s="21"/>
      <c r="D133" s="21"/>
      <c r="E133" s="21"/>
      <c r="F133" s="21"/>
      <c r="G133" s="21"/>
      <c r="H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</row>
    <row r="134" spans="1:43" x14ac:dyDescent="0.25">
      <c r="A134" s="83"/>
      <c r="B134" s="83"/>
      <c r="C134" s="21"/>
      <c r="D134" s="21"/>
      <c r="E134" s="21"/>
      <c r="F134" s="21"/>
      <c r="G134" s="21"/>
      <c r="H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</row>
    <row r="135" spans="1:43" x14ac:dyDescent="0.25">
      <c r="A135" s="83"/>
      <c r="B135" s="83"/>
      <c r="C135" s="21"/>
      <c r="D135" s="21"/>
      <c r="E135" s="21"/>
      <c r="F135" s="21"/>
      <c r="G135" s="21"/>
      <c r="H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</row>
    <row r="136" spans="1:43" x14ac:dyDescent="0.25">
      <c r="A136" s="83"/>
      <c r="B136" s="83"/>
      <c r="C136" s="21"/>
      <c r="D136" s="21"/>
      <c r="E136" s="21"/>
      <c r="F136" s="21"/>
      <c r="G136" s="21"/>
      <c r="H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</row>
    <row r="137" spans="1:43" x14ac:dyDescent="0.25">
      <c r="A137" s="83"/>
      <c r="B137" s="83"/>
      <c r="C137" s="21"/>
      <c r="D137" s="21"/>
      <c r="E137" s="21"/>
      <c r="F137" s="21"/>
      <c r="G137" s="21"/>
      <c r="H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</row>
    <row r="138" spans="1:43" x14ac:dyDescent="0.25">
      <c r="A138" s="83"/>
      <c r="B138" s="83"/>
      <c r="C138" s="21"/>
      <c r="D138" s="21"/>
      <c r="E138" s="21"/>
      <c r="F138" s="21"/>
      <c r="G138" s="21"/>
      <c r="H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</row>
    <row r="139" spans="1:43" x14ac:dyDescent="0.25">
      <c r="A139" s="83"/>
      <c r="B139" s="83"/>
      <c r="C139" s="21"/>
      <c r="D139" s="21"/>
      <c r="E139" s="21"/>
      <c r="F139" s="21"/>
      <c r="G139" s="21"/>
      <c r="H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</row>
    <row r="140" spans="1:43" x14ac:dyDescent="0.25">
      <c r="A140" s="83"/>
      <c r="B140" s="83"/>
      <c r="C140" s="21"/>
      <c r="D140" s="21"/>
      <c r="E140" s="21"/>
      <c r="F140" s="21"/>
      <c r="G140" s="21"/>
      <c r="H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</row>
    <row r="141" spans="1:43" x14ac:dyDescent="0.25">
      <c r="A141" s="83"/>
      <c r="B141" s="83"/>
      <c r="C141" s="21"/>
      <c r="D141" s="21"/>
      <c r="E141" s="21"/>
      <c r="F141" s="21"/>
      <c r="G141" s="21"/>
      <c r="H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</row>
    <row r="142" spans="1:43" x14ac:dyDescent="0.25">
      <c r="A142" s="83"/>
      <c r="B142" s="83"/>
      <c r="C142" s="21"/>
      <c r="D142" s="21"/>
      <c r="E142" s="21"/>
      <c r="F142" s="21"/>
      <c r="G142" s="21"/>
      <c r="H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</row>
    <row r="143" spans="1:43" x14ac:dyDescent="0.25">
      <c r="A143" s="83"/>
      <c r="B143" s="83"/>
      <c r="C143" s="21"/>
      <c r="D143" s="21"/>
      <c r="E143" s="21"/>
      <c r="F143" s="21"/>
      <c r="G143" s="21"/>
      <c r="H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</row>
    <row r="144" spans="1:43" x14ac:dyDescent="0.25">
      <c r="A144" s="83"/>
      <c r="B144" s="83"/>
      <c r="C144" s="21"/>
      <c r="D144" s="21"/>
      <c r="E144" s="21"/>
      <c r="F144" s="21"/>
      <c r="G144" s="21"/>
      <c r="H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</row>
    <row r="145" spans="1:43" x14ac:dyDescent="0.25">
      <c r="A145" s="83"/>
      <c r="B145" s="83"/>
      <c r="C145" s="21"/>
      <c r="D145" s="21"/>
      <c r="E145" s="21"/>
      <c r="F145" s="21"/>
      <c r="G145" s="21"/>
      <c r="H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</row>
    <row r="146" spans="1:43" x14ac:dyDescent="0.25">
      <c r="A146" s="83"/>
      <c r="B146" s="83"/>
      <c r="C146" s="21"/>
      <c r="D146" s="21"/>
      <c r="E146" s="21"/>
      <c r="F146" s="21"/>
      <c r="G146" s="21"/>
      <c r="H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</row>
    <row r="147" spans="1:43" x14ac:dyDescent="0.25">
      <c r="A147" s="83"/>
      <c r="B147" s="83"/>
      <c r="C147" s="21"/>
      <c r="D147" s="21"/>
      <c r="E147" s="21"/>
      <c r="F147" s="21"/>
      <c r="G147" s="21"/>
      <c r="H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</row>
    <row r="148" spans="1:43" x14ac:dyDescent="0.25">
      <c r="A148" s="83"/>
      <c r="B148" s="83"/>
      <c r="C148" s="21"/>
      <c r="D148" s="21"/>
      <c r="E148" s="21"/>
      <c r="F148" s="21"/>
      <c r="G148" s="21"/>
      <c r="H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</row>
    <row r="149" spans="1:43" x14ac:dyDescent="0.25">
      <c r="A149" s="83"/>
      <c r="B149" s="83"/>
      <c r="C149" s="21"/>
      <c r="D149" s="21"/>
      <c r="E149" s="21"/>
      <c r="F149" s="21"/>
      <c r="G149" s="21"/>
      <c r="H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</row>
    <row r="150" spans="1:43" x14ac:dyDescent="0.25">
      <c r="A150" s="83"/>
      <c r="B150" s="83"/>
      <c r="C150" s="21"/>
      <c r="D150" s="21"/>
      <c r="E150" s="21"/>
      <c r="F150" s="21"/>
      <c r="G150" s="21"/>
      <c r="H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</row>
    <row r="151" spans="1:43" x14ac:dyDescent="0.25">
      <c r="A151" s="83"/>
      <c r="B151" s="83"/>
      <c r="C151" s="21"/>
      <c r="D151" s="21"/>
      <c r="E151" s="21"/>
      <c r="F151" s="21"/>
      <c r="G151" s="21"/>
      <c r="H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</row>
    <row r="152" spans="1:43" x14ac:dyDescent="0.25">
      <c r="A152" s="83"/>
      <c r="B152" s="83"/>
      <c r="C152" s="21"/>
      <c r="D152" s="21"/>
      <c r="E152" s="21"/>
      <c r="F152" s="21"/>
      <c r="G152" s="21"/>
      <c r="H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</row>
    <row r="153" spans="1:43" x14ac:dyDescent="0.25">
      <c r="A153" s="83"/>
      <c r="B153" s="83"/>
      <c r="C153" s="21"/>
      <c r="D153" s="21"/>
      <c r="E153" s="21"/>
      <c r="F153" s="21"/>
      <c r="G153" s="21"/>
      <c r="H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</row>
    <row r="154" spans="1:43" x14ac:dyDescent="0.25">
      <c r="A154" s="83"/>
      <c r="B154" s="83"/>
      <c r="C154" s="21"/>
      <c r="D154" s="21"/>
      <c r="E154" s="21"/>
      <c r="F154" s="21"/>
      <c r="G154" s="21"/>
      <c r="H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</row>
    <row r="155" spans="1:43" x14ac:dyDescent="0.25">
      <c r="A155" s="83"/>
      <c r="B155" s="83"/>
      <c r="C155" s="21"/>
      <c r="D155" s="21"/>
      <c r="E155" s="21"/>
      <c r="F155" s="21"/>
      <c r="G155" s="21"/>
      <c r="H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</row>
    <row r="156" spans="1:43" x14ac:dyDescent="0.25">
      <c r="A156" s="83"/>
      <c r="B156" s="83"/>
      <c r="C156" s="21"/>
      <c r="D156" s="21"/>
      <c r="E156" s="21"/>
      <c r="F156" s="21"/>
      <c r="G156" s="21"/>
      <c r="H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</row>
    <row r="157" spans="1:43" x14ac:dyDescent="0.25">
      <c r="A157" s="83"/>
      <c r="B157" s="83"/>
      <c r="C157" s="21"/>
      <c r="D157" s="21"/>
      <c r="E157" s="21"/>
      <c r="F157" s="21"/>
      <c r="G157" s="21"/>
      <c r="H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</row>
    <row r="158" spans="1:43" x14ac:dyDescent="0.25">
      <c r="A158" s="83"/>
      <c r="B158" s="83"/>
      <c r="C158" s="21"/>
      <c r="D158" s="21"/>
      <c r="E158" s="21"/>
      <c r="F158" s="21"/>
      <c r="G158" s="21"/>
      <c r="H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</row>
    <row r="159" spans="1:43" x14ac:dyDescent="0.25">
      <c r="A159" s="83"/>
      <c r="B159" s="83"/>
      <c r="C159" s="21"/>
      <c r="D159" s="21"/>
      <c r="E159" s="21"/>
      <c r="F159" s="21"/>
      <c r="G159" s="21"/>
      <c r="H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</row>
    <row r="160" spans="1:43" x14ac:dyDescent="0.25">
      <c r="A160" s="83"/>
      <c r="B160" s="83"/>
      <c r="C160" s="21"/>
      <c r="D160" s="21"/>
      <c r="E160" s="21"/>
      <c r="F160" s="21"/>
      <c r="G160" s="21"/>
      <c r="H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</row>
    <row r="161" spans="1:43" x14ac:dyDescent="0.25">
      <c r="A161" s="83"/>
      <c r="B161" s="83"/>
      <c r="C161" s="21"/>
      <c r="D161" s="21"/>
      <c r="E161" s="21"/>
      <c r="F161" s="21"/>
      <c r="G161" s="21"/>
      <c r="H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</row>
    <row r="162" spans="1:43" x14ac:dyDescent="0.25">
      <c r="A162" s="83"/>
      <c r="B162" s="83"/>
      <c r="C162" s="21"/>
      <c r="D162" s="21"/>
      <c r="E162" s="21"/>
      <c r="F162" s="21"/>
      <c r="G162" s="21"/>
      <c r="H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</row>
    <row r="163" spans="1:43" x14ac:dyDescent="0.25">
      <c r="A163" s="83"/>
      <c r="B163" s="83"/>
      <c r="C163" s="21"/>
      <c r="D163" s="21"/>
      <c r="E163" s="21"/>
      <c r="F163" s="21"/>
      <c r="G163" s="21"/>
      <c r="H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</row>
    <row r="164" spans="1:43" x14ac:dyDescent="0.25">
      <c r="A164" s="83"/>
      <c r="B164" s="83"/>
      <c r="C164" s="21"/>
      <c r="D164" s="21"/>
      <c r="E164" s="21"/>
      <c r="F164" s="21"/>
      <c r="G164" s="21"/>
      <c r="H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</row>
    <row r="165" spans="1:43" x14ac:dyDescent="0.25">
      <c r="A165" s="83"/>
      <c r="B165" s="83"/>
      <c r="C165" s="21"/>
      <c r="D165" s="21"/>
      <c r="E165" s="21"/>
      <c r="F165" s="21"/>
      <c r="G165" s="21"/>
      <c r="H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</row>
    <row r="166" spans="1:43" x14ac:dyDescent="0.25">
      <c r="A166" s="83"/>
      <c r="B166" s="83"/>
      <c r="C166" s="21"/>
      <c r="D166" s="21"/>
      <c r="E166" s="21"/>
      <c r="F166" s="21"/>
      <c r="G166" s="21"/>
      <c r="H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</row>
    <row r="167" spans="1:43" x14ac:dyDescent="0.25">
      <c r="A167" s="83"/>
      <c r="B167" s="83"/>
      <c r="C167" s="21"/>
      <c r="D167" s="21"/>
      <c r="E167" s="21"/>
      <c r="F167" s="21"/>
      <c r="G167" s="21"/>
      <c r="H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</row>
    <row r="168" spans="1:43" x14ac:dyDescent="0.25">
      <c r="A168" s="83"/>
      <c r="B168" s="83"/>
      <c r="C168" s="21"/>
      <c r="D168" s="21"/>
      <c r="E168" s="21"/>
      <c r="F168" s="21"/>
      <c r="G168" s="21"/>
      <c r="H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</row>
    <row r="169" spans="1:43" x14ac:dyDescent="0.25">
      <c r="A169" s="83"/>
      <c r="B169" s="83"/>
      <c r="C169" s="21"/>
      <c r="D169" s="21"/>
      <c r="E169" s="21"/>
      <c r="F169" s="21"/>
      <c r="G169" s="21"/>
      <c r="H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</row>
    <row r="170" spans="1:43" x14ac:dyDescent="0.25">
      <c r="A170" s="83"/>
      <c r="B170" s="83"/>
      <c r="C170" s="21"/>
      <c r="D170" s="21"/>
      <c r="E170" s="21"/>
      <c r="F170" s="21"/>
      <c r="G170" s="21"/>
      <c r="H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</row>
    <row r="171" spans="1:43" x14ac:dyDescent="0.25">
      <c r="A171" s="83"/>
      <c r="B171" s="83"/>
      <c r="C171" s="21"/>
      <c r="D171" s="21"/>
      <c r="E171" s="21"/>
      <c r="F171" s="21"/>
      <c r="G171" s="21"/>
      <c r="H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</row>
    <row r="172" spans="1:43" x14ac:dyDescent="0.25">
      <c r="A172" s="83"/>
      <c r="B172" s="83"/>
      <c r="C172" s="21"/>
      <c r="D172" s="21"/>
      <c r="E172" s="21"/>
      <c r="F172" s="21"/>
      <c r="G172" s="21"/>
      <c r="H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</row>
    <row r="173" spans="1:43" x14ac:dyDescent="0.25">
      <c r="A173" s="83"/>
      <c r="B173" s="83"/>
      <c r="C173" s="21"/>
      <c r="D173" s="21"/>
      <c r="E173" s="21"/>
      <c r="F173" s="21"/>
      <c r="G173" s="21"/>
      <c r="H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</row>
    <row r="174" spans="1:43" x14ac:dyDescent="0.25">
      <c r="A174" s="83"/>
      <c r="B174" s="83"/>
      <c r="C174" s="21"/>
      <c r="D174" s="21"/>
      <c r="E174" s="21"/>
      <c r="F174" s="21"/>
      <c r="G174" s="21"/>
      <c r="H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</row>
    <row r="175" spans="1:43" x14ac:dyDescent="0.25">
      <c r="A175" s="83"/>
      <c r="B175" s="83"/>
      <c r="C175" s="21"/>
      <c r="D175" s="21"/>
      <c r="E175" s="21"/>
      <c r="F175" s="21"/>
      <c r="G175" s="21"/>
      <c r="H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</row>
    <row r="176" spans="1:43" x14ac:dyDescent="0.25">
      <c r="A176" s="83"/>
      <c r="B176" s="83"/>
      <c r="C176" s="21"/>
      <c r="D176" s="21"/>
      <c r="E176" s="21"/>
      <c r="F176" s="21"/>
      <c r="G176" s="21"/>
      <c r="H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</row>
    <row r="177" spans="1:43" x14ac:dyDescent="0.25">
      <c r="A177" s="83"/>
      <c r="B177" s="83"/>
      <c r="C177" s="21"/>
      <c r="D177" s="21"/>
      <c r="E177" s="21"/>
      <c r="F177" s="21"/>
      <c r="G177" s="21"/>
      <c r="H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</row>
    <row r="178" spans="1:43" x14ac:dyDescent="0.25">
      <c r="A178" s="83"/>
      <c r="B178" s="83"/>
      <c r="C178" s="21"/>
      <c r="D178" s="21"/>
      <c r="E178" s="21"/>
      <c r="F178" s="21"/>
      <c r="G178" s="21"/>
      <c r="H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</row>
    <row r="179" spans="1:43" x14ac:dyDescent="0.25">
      <c r="A179" s="83"/>
      <c r="B179" s="83"/>
      <c r="C179" s="21"/>
      <c r="D179" s="21"/>
      <c r="E179" s="21"/>
      <c r="F179" s="21"/>
      <c r="G179" s="21"/>
      <c r="H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</row>
    <row r="180" spans="1:43" x14ac:dyDescent="0.25">
      <c r="A180" s="83"/>
      <c r="B180" s="83"/>
      <c r="C180" s="21"/>
      <c r="D180" s="21"/>
      <c r="E180" s="21"/>
      <c r="F180" s="21"/>
      <c r="G180" s="21"/>
      <c r="H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</row>
    <row r="181" spans="1:43" x14ac:dyDescent="0.25">
      <c r="A181" s="83"/>
      <c r="B181" s="83"/>
      <c r="C181" s="21"/>
      <c r="D181" s="21"/>
      <c r="E181" s="21"/>
      <c r="F181" s="21"/>
      <c r="G181" s="21"/>
      <c r="H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</row>
    <row r="182" spans="1:43" x14ac:dyDescent="0.25">
      <c r="A182" s="83"/>
      <c r="B182" s="83"/>
      <c r="C182" s="21"/>
      <c r="D182" s="21"/>
      <c r="E182" s="21"/>
      <c r="F182" s="21"/>
      <c r="G182" s="21"/>
      <c r="H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</row>
    <row r="183" spans="1:43" x14ac:dyDescent="0.25">
      <c r="A183" s="83"/>
      <c r="B183" s="83"/>
      <c r="C183" s="21"/>
      <c r="D183" s="21"/>
      <c r="E183" s="21"/>
      <c r="F183" s="21"/>
      <c r="G183" s="21"/>
      <c r="H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</row>
    <row r="184" spans="1:43" x14ac:dyDescent="0.25">
      <c r="A184" s="83"/>
      <c r="B184" s="83"/>
      <c r="C184" s="21"/>
      <c r="D184" s="21"/>
      <c r="E184" s="21"/>
      <c r="F184" s="21"/>
      <c r="G184" s="21"/>
      <c r="H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</row>
    <row r="185" spans="1:43" x14ac:dyDescent="0.25">
      <c r="A185" s="83"/>
      <c r="B185" s="83"/>
      <c r="C185" s="21"/>
      <c r="D185" s="21"/>
      <c r="E185" s="21"/>
      <c r="F185" s="21"/>
      <c r="G185" s="21"/>
      <c r="H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</row>
    <row r="186" spans="1:43" x14ac:dyDescent="0.25">
      <c r="A186" s="83"/>
      <c r="B186" s="83"/>
      <c r="C186" s="21"/>
      <c r="D186" s="21"/>
      <c r="E186" s="21"/>
      <c r="F186" s="21"/>
      <c r="G186" s="21"/>
      <c r="H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</row>
    <row r="187" spans="1:43" x14ac:dyDescent="0.25">
      <c r="A187" s="83"/>
      <c r="B187" s="83"/>
      <c r="C187" s="21"/>
      <c r="D187" s="21"/>
      <c r="E187" s="21"/>
      <c r="F187" s="21"/>
      <c r="G187" s="21"/>
      <c r="H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</row>
    <row r="188" spans="1:43" x14ac:dyDescent="0.25">
      <c r="A188" s="83"/>
      <c r="B188" s="83"/>
      <c r="C188" s="21"/>
      <c r="D188" s="21"/>
      <c r="E188" s="21"/>
      <c r="F188" s="21"/>
      <c r="G188" s="21"/>
      <c r="H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</row>
    <row r="189" spans="1:43" x14ac:dyDescent="0.25">
      <c r="A189" s="83"/>
      <c r="B189" s="83"/>
      <c r="C189" s="21"/>
      <c r="D189" s="21"/>
      <c r="E189" s="21"/>
      <c r="F189" s="21"/>
      <c r="G189" s="21"/>
      <c r="H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</row>
    <row r="190" spans="1:43" x14ac:dyDescent="0.25">
      <c r="A190" s="83"/>
      <c r="B190" s="83"/>
      <c r="C190" s="21"/>
      <c r="D190" s="21"/>
      <c r="E190" s="21"/>
      <c r="F190" s="21"/>
      <c r="G190" s="21"/>
      <c r="H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</row>
    <row r="191" spans="1:43" x14ac:dyDescent="0.25">
      <c r="A191" s="83"/>
      <c r="B191" s="83"/>
      <c r="C191" s="21"/>
      <c r="D191" s="21"/>
      <c r="E191" s="21"/>
      <c r="F191" s="21"/>
      <c r="G191" s="21"/>
      <c r="H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</row>
    <row r="192" spans="1:43" x14ac:dyDescent="0.25">
      <c r="A192" s="83"/>
      <c r="B192" s="83"/>
      <c r="C192" s="21"/>
      <c r="D192" s="21"/>
      <c r="E192" s="21"/>
      <c r="F192" s="21"/>
      <c r="G192" s="21"/>
      <c r="H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</row>
    <row r="193" spans="1:43" x14ac:dyDescent="0.25">
      <c r="A193" s="83"/>
      <c r="B193" s="83"/>
      <c r="C193" s="21"/>
      <c r="D193" s="21"/>
      <c r="E193" s="21"/>
      <c r="F193" s="21"/>
      <c r="G193" s="21"/>
      <c r="H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</row>
    <row r="194" spans="1:43" x14ac:dyDescent="0.25">
      <c r="A194" s="83"/>
      <c r="B194" s="83"/>
      <c r="C194" s="21"/>
      <c r="D194" s="21"/>
      <c r="E194" s="21"/>
      <c r="F194" s="21"/>
      <c r="G194" s="21"/>
      <c r="H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</row>
    <row r="195" spans="1:43" x14ac:dyDescent="0.25">
      <c r="A195" s="83"/>
      <c r="B195" s="83"/>
      <c r="C195" s="21"/>
      <c r="D195" s="21"/>
      <c r="E195" s="21"/>
      <c r="F195" s="21"/>
      <c r="G195" s="21"/>
      <c r="H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</row>
    <row r="196" spans="1:43" x14ac:dyDescent="0.25">
      <c r="A196" s="83"/>
      <c r="B196" s="83"/>
      <c r="C196" s="21"/>
      <c r="D196" s="21"/>
      <c r="E196" s="21"/>
      <c r="F196" s="21"/>
      <c r="G196" s="21"/>
      <c r="H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</row>
    <row r="197" spans="1:43" x14ac:dyDescent="0.25">
      <c r="A197" s="83"/>
      <c r="B197" s="83"/>
      <c r="C197" s="21"/>
      <c r="D197" s="21"/>
      <c r="E197" s="21"/>
      <c r="F197" s="21"/>
      <c r="G197" s="21"/>
      <c r="H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</row>
    <row r="198" spans="1:43" x14ac:dyDescent="0.25">
      <c r="A198" s="83"/>
      <c r="B198" s="83"/>
      <c r="C198" s="21"/>
      <c r="D198" s="21"/>
      <c r="E198" s="21"/>
      <c r="F198" s="21"/>
      <c r="G198" s="21"/>
      <c r="H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</row>
    <row r="199" spans="1:43" x14ac:dyDescent="0.25">
      <c r="A199" s="83"/>
      <c r="B199" s="83"/>
      <c r="C199" s="21"/>
      <c r="D199" s="21"/>
      <c r="E199" s="21"/>
      <c r="F199" s="21"/>
      <c r="G199" s="21"/>
      <c r="H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</row>
    <row r="200" spans="1:43" x14ac:dyDescent="0.25">
      <c r="A200" s="83"/>
      <c r="B200" s="83"/>
      <c r="C200" s="21"/>
      <c r="D200" s="21"/>
      <c r="E200" s="21"/>
      <c r="F200" s="21"/>
      <c r="G200" s="21"/>
      <c r="H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</row>
    <row r="201" spans="1:43" x14ac:dyDescent="0.25">
      <c r="A201" s="83"/>
      <c r="B201" s="83"/>
      <c r="C201" s="21"/>
      <c r="D201" s="21"/>
      <c r="E201" s="21"/>
      <c r="F201" s="21"/>
      <c r="G201" s="21"/>
      <c r="H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</row>
    <row r="202" spans="1:43" x14ac:dyDescent="0.25">
      <c r="A202" s="83"/>
      <c r="B202" s="83"/>
      <c r="C202" s="21"/>
      <c r="D202" s="21"/>
      <c r="E202" s="21"/>
      <c r="F202" s="21"/>
      <c r="G202" s="21"/>
      <c r="H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</row>
    <row r="203" spans="1:43" x14ac:dyDescent="0.25">
      <c r="A203" s="83"/>
      <c r="B203" s="83"/>
      <c r="C203" s="21"/>
      <c r="D203" s="21"/>
      <c r="E203" s="21"/>
      <c r="F203" s="21"/>
      <c r="G203" s="21"/>
      <c r="H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</row>
    <row r="204" spans="1:43" x14ac:dyDescent="0.25">
      <c r="A204" s="83"/>
      <c r="B204" s="83"/>
      <c r="C204" s="21"/>
      <c r="D204" s="21"/>
      <c r="E204" s="21"/>
      <c r="F204" s="21"/>
      <c r="G204" s="21"/>
      <c r="H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</row>
    <row r="205" spans="1:43" x14ac:dyDescent="0.25">
      <c r="A205" s="83"/>
      <c r="B205" s="83"/>
      <c r="C205" s="21"/>
      <c r="D205" s="21"/>
      <c r="E205" s="21"/>
      <c r="F205" s="21"/>
      <c r="G205" s="21"/>
      <c r="H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</row>
    <row r="206" spans="1:43" x14ac:dyDescent="0.25">
      <c r="A206" s="83"/>
      <c r="B206" s="83"/>
      <c r="C206" s="21"/>
      <c r="D206" s="21"/>
      <c r="E206" s="21"/>
      <c r="F206" s="21"/>
      <c r="G206" s="21"/>
      <c r="H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</row>
    <row r="207" spans="1:43" x14ac:dyDescent="0.25">
      <c r="A207" s="83"/>
      <c r="B207" s="83"/>
      <c r="C207" s="21"/>
      <c r="D207" s="21"/>
      <c r="E207" s="21"/>
      <c r="F207" s="21"/>
      <c r="G207" s="21"/>
      <c r="H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</row>
    <row r="208" spans="1:43" x14ac:dyDescent="0.25">
      <c r="A208" s="83"/>
      <c r="B208" s="83"/>
      <c r="C208" s="21"/>
      <c r="D208" s="21"/>
      <c r="E208" s="21"/>
      <c r="F208" s="21"/>
      <c r="G208" s="21"/>
      <c r="H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</row>
    <row r="209" spans="1:43" x14ac:dyDescent="0.25">
      <c r="A209" s="83"/>
      <c r="B209" s="83"/>
      <c r="C209" s="21"/>
      <c r="D209" s="21"/>
      <c r="E209" s="21"/>
      <c r="F209" s="21"/>
      <c r="G209" s="21"/>
      <c r="H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</row>
    <row r="210" spans="1:43" x14ac:dyDescent="0.25">
      <c r="A210" s="83"/>
      <c r="B210" s="83"/>
      <c r="C210" s="21"/>
      <c r="D210" s="21"/>
      <c r="E210" s="21"/>
      <c r="F210" s="21"/>
      <c r="G210" s="21"/>
      <c r="H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</row>
    <row r="211" spans="1:43" x14ac:dyDescent="0.25">
      <c r="A211" s="83"/>
      <c r="B211" s="83"/>
      <c r="C211" s="21"/>
      <c r="D211" s="21"/>
      <c r="E211" s="21"/>
      <c r="F211" s="21"/>
      <c r="G211" s="21"/>
      <c r="H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</row>
    <row r="212" spans="1:43" x14ac:dyDescent="0.25">
      <c r="A212" s="83"/>
      <c r="B212" s="83"/>
      <c r="C212" s="21"/>
      <c r="D212" s="21"/>
      <c r="E212" s="21"/>
      <c r="F212" s="21"/>
      <c r="G212" s="21"/>
      <c r="H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</row>
    <row r="213" spans="1:43" x14ac:dyDescent="0.25">
      <c r="A213" s="83"/>
      <c r="B213" s="83"/>
      <c r="C213" s="21"/>
      <c r="D213" s="21"/>
      <c r="E213" s="21"/>
      <c r="F213" s="21"/>
      <c r="G213" s="21"/>
      <c r="H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</row>
    <row r="214" spans="1:43" x14ac:dyDescent="0.25">
      <c r="A214" s="83"/>
      <c r="B214" s="83"/>
      <c r="C214" s="21"/>
      <c r="D214" s="21"/>
      <c r="E214" s="21"/>
      <c r="F214" s="21"/>
      <c r="G214" s="21"/>
      <c r="H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</row>
    <row r="215" spans="1:43" x14ac:dyDescent="0.25">
      <c r="A215" s="83"/>
      <c r="B215" s="83"/>
      <c r="C215" s="21"/>
      <c r="D215" s="21"/>
      <c r="E215" s="21"/>
      <c r="F215" s="21"/>
      <c r="G215" s="21"/>
      <c r="H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</row>
    <row r="216" spans="1:43" x14ac:dyDescent="0.25">
      <c r="A216" s="83"/>
      <c r="B216" s="83"/>
      <c r="C216" s="21"/>
      <c r="D216" s="21"/>
      <c r="E216" s="21"/>
      <c r="F216" s="21"/>
      <c r="G216" s="21"/>
      <c r="H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</row>
    <row r="217" spans="1:43" x14ac:dyDescent="0.25">
      <c r="A217" s="83"/>
      <c r="B217" s="83"/>
      <c r="C217" s="21"/>
      <c r="D217" s="21"/>
      <c r="E217" s="21"/>
      <c r="F217" s="21"/>
      <c r="G217" s="21"/>
      <c r="H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</row>
    <row r="218" spans="1:43" x14ac:dyDescent="0.25">
      <c r="A218" s="83"/>
      <c r="B218" s="83"/>
      <c r="C218" s="21"/>
      <c r="D218" s="21"/>
      <c r="E218" s="21"/>
      <c r="F218" s="21"/>
      <c r="G218" s="21"/>
      <c r="H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</row>
    <row r="219" spans="1:43" x14ac:dyDescent="0.25">
      <c r="A219" s="83"/>
      <c r="B219" s="83"/>
      <c r="C219" s="21"/>
      <c r="D219" s="21"/>
      <c r="E219" s="21"/>
      <c r="F219" s="21"/>
      <c r="G219" s="21"/>
      <c r="H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</row>
    <row r="220" spans="1:43" x14ac:dyDescent="0.25">
      <c r="A220" s="83"/>
      <c r="B220" s="83"/>
      <c r="C220" s="21"/>
      <c r="D220" s="21"/>
      <c r="E220" s="21"/>
      <c r="F220" s="21"/>
      <c r="G220" s="21"/>
      <c r="H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</row>
    <row r="221" spans="1:43" x14ac:dyDescent="0.25">
      <c r="A221" s="83"/>
      <c r="B221" s="83"/>
      <c r="C221" s="21"/>
      <c r="D221" s="21"/>
      <c r="E221" s="21"/>
      <c r="F221" s="21"/>
      <c r="G221" s="21"/>
      <c r="H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</row>
    <row r="222" spans="1:43" x14ac:dyDescent="0.25">
      <c r="A222" s="83"/>
      <c r="B222" s="83"/>
      <c r="C222" s="21"/>
      <c r="D222" s="21"/>
      <c r="E222" s="21"/>
      <c r="F222" s="21"/>
      <c r="G222" s="21"/>
      <c r="H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</row>
    <row r="223" spans="1:43" x14ac:dyDescent="0.25">
      <c r="A223" s="83"/>
      <c r="B223" s="83"/>
      <c r="C223" s="21"/>
      <c r="D223" s="21"/>
      <c r="E223" s="21"/>
      <c r="F223" s="21"/>
      <c r="G223" s="21"/>
      <c r="H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</row>
    <row r="224" spans="1:43" x14ac:dyDescent="0.25">
      <c r="A224" s="83"/>
      <c r="B224" s="83"/>
      <c r="C224" s="21"/>
      <c r="D224" s="21"/>
      <c r="E224" s="21"/>
      <c r="F224" s="21"/>
      <c r="G224" s="21"/>
      <c r="H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</row>
    <row r="225" spans="1:43" x14ac:dyDescent="0.25">
      <c r="A225" s="83"/>
      <c r="B225" s="83"/>
      <c r="C225" s="21"/>
      <c r="D225" s="21"/>
      <c r="E225" s="21"/>
      <c r="F225" s="21"/>
      <c r="G225" s="21"/>
      <c r="H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</row>
    <row r="226" spans="1:43" x14ac:dyDescent="0.25">
      <c r="A226" s="83"/>
      <c r="B226" s="83"/>
      <c r="C226" s="21"/>
      <c r="D226" s="21"/>
      <c r="E226" s="21"/>
      <c r="F226" s="21"/>
      <c r="G226" s="21"/>
      <c r="H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</row>
    <row r="227" spans="1:43" x14ac:dyDescent="0.25">
      <c r="A227" s="83"/>
      <c r="B227" s="83"/>
      <c r="C227" s="21"/>
      <c r="D227" s="21"/>
      <c r="E227" s="21"/>
      <c r="F227" s="21"/>
      <c r="G227" s="21"/>
      <c r="H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</row>
    <row r="228" spans="1:43" x14ac:dyDescent="0.25">
      <c r="A228" s="83"/>
      <c r="B228" s="83"/>
      <c r="C228" s="21"/>
      <c r="D228" s="21"/>
      <c r="E228" s="21"/>
      <c r="F228" s="21"/>
      <c r="G228" s="21"/>
      <c r="H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</row>
    <row r="229" spans="1:43" x14ac:dyDescent="0.25">
      <c r="A229" s="83"/>
      <c r="B229" s="83"/>
      <c r="C229" s="21"/>
      <c r="D229" s="21"/>
      <c r="E229" s="21"/>
      <c r="F229" s="21"/>
      <c r="G229" s="21"/>
      <c r="H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</row>
    <row r="230" spans="1:43" x14ac:dyDescent="0.25">
      <c r="A230" s="83"/>
      <c r="B230" s="83"/>
      <c r="C230" s="21"/>
      <c r="D230" s="21"/>
      <c r="E230" s="21"/>
      <c r="F230" s="21"/>
      <c r="G230" s="21"/>
      <c r="H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</row>
    <row r="231" spans="1:43" x14ac:dyDescent="0.25">
      <c r="A231" s="83"/>
      <c r="B231" s="83"/>
      <c r="C231" s="21"/>
      <c r="D231" s="21"/>
      <c r="E231" s="21"/>
      <c r="F231" s="21"/>
      <c r="G231" s="21"/>
      <c r="H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</row>
    <row r="232" spans="1:43" x14ac:dyDescent="0.25">
      <c r="A232" s="83"/>
      <c r="B232" s="83"/>
      <c r="C232" s="21"/>
      <c r="D232" s="21"/>
      <c r="E232" s="21"/>
      <c r="F232" s="21"/>
      <c r="G232" s="21"/>
      <c r="H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</row>
    <row r="233" spans="1:43" x14ac:dyDescent="0.25">
      <c r="A233" s="83"/>
      <c r="B233" s="83"/>
      <c r="C233" s="21"/>
      <c r="D233" s="21"/>
      <c r="E233" s="21"/>
      <c r="F233" s="21"/>
      <c r="G233" s="21"/>
      <c r="H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</row>
    <row r="234" spans="1:43" x14ac:dyDescent="0.25">
      <c r="A234" s="83"/>
      <c r="B234" s="83"/>
      <c r="C234" s="21"/>
      <c r="D234" s="21"/>
      <c r="E234" s="21"/>
      <c r="F234" s="21"/>
      <c r="G234" s="21"/>
      <c r="H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</row>
    <row r="235" spans="1:43" x14ac:dyDescent="0.25">
      <c r="A235" s="83"/>
      <c r="B235" s="83"/>
      <c r="C235" s="21"/>
      <c r="D235" s="21"/>
      <c r="E235" s="21"/>
      <c r="F235" s="21"/>
      <c r="G235" s="21"/>
      <c r="H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</row>
    <row r="236" spans="1:43" x14ac:dyDescent="0.25">
      <c r="A236" s="83"/>
      <c r="B236" s="83"/>
      <c r="C236" s="21"/>
      <c r="D236" s="21"/>
      <c r="E236" s="21"/>
      <c r="F236" s="21"/>
      <c r="G236" s="21"/>
      <c r="H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</row>
    <row r="237" spans="1:43" x14ac:dyDescent="0.25">
      <c r="A237" s="83"/>
      <c r="B237" s="83"/>
      <c r="C237" s="21"/>
      <c r="D237" s="21"/>
      <c r="E237" s="21"/>
      <c r="F237" s="21"/>
      <c r="G237" s="21"/>
      <c r="H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</row>
    <row r="238" spans="1:43" x14ac:dyDescent="0.25">
      <c r="A238" s="83"/>
      <c r="B238" s="83"/>
      <c r="C238" s="21"/>
      <c r="D238" s="21"/>
      <c r="E238" s="21"/>
      <c r="F238" s="21"/>
      <c r="G238" s="21"/>
      <c r="H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</row>
    <row r="239" spans="1:43" x14ac:dyDescent="0.25">
      <c r="A239" s="83"/>
      <c r="B239" s="83"/>
      <c r="C239" s="21"/>
      <c r="D239" s="21"/>
      <c r="E239" s="21"/>
      <c r="F239" s="21"/>
      <c r="G239" s="21"/>
      <c r="H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</row>
    <row r="240" spans="1:43" x14ac:dyDescent="0.25">
      <c r="A240" s="83"/>
      <c r="B240" s="83"/>
      <c r="C240" s="21"/>
      <c r="D240" s="21"/>
      <c r="E240" s="21"/>
      <c r="F240" s="21"/>
      <c r="G240" s="21"/>
      <c r="H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</row>
    <row r="241" spans="1:43" x14ac:dyDescent="0.25">
      <c r="A241" s="83"/>
      <c r="B241" s="83"/>
      <c r="C241" s="21"/>
      <c r="D241" s="21"/>
      <c r="E241" s="21"/>
      <c r="F241" s="21"/>
      <c r="G241" s="21"/>
      <c r="H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</row>
    <row r="242" spans="1:43" x14ac:dyDescent="0.25">
      <c r="A242" s="83"/>
      <c r="B242" s="83"/>
      <c r="C242" s="21"/>
      <c r="D242" s="21"/>
      <c r="E242" s="21"/>
      <c r="F242" s="21"/>
      <c r="G242" s="21"/>
      <c r="H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</row>
    <row r="243" spans="1:43" x14ac:dyDescent="0.25">
      <c r="A243" s="83"/>
      <c r="B243" s="83"/>
      <c r="C243" s="21"/>
      <c r="D243" s="21"/>
      <c r="E243" s="21"/>
      <c r="F243" s="21"/>
      <c r="G243" s="21"/>
      <c r="H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</row>
    <row r="244" spans="1:43" x14ac:dyDescent="0.25">
      <c r="A244" s="83"/>
      <c r="B244" s="83"/>
      <c r="C244" s="21"/>
      <c r="D244" s="21"/>
      <c r="E244" s="21"/>
      <c r="F244" s="21"/>
      <c r="G244" s="21"/>
      <c r="H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</row>
    <row r="245" spans="1:43" x14ac:dyDescent="0.25">
      <c r="A245" s="83"/>
      <c r="B245" s="83"/>
      <c r="C245" s="21"/>
      <c r="D245" s="21"/>
      <c r="E245" s="21"/>
      <c r="F245" s="21"/>
      <c r="G245" s="21"/>
      <c r="H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</row>
    <row r="246" spans="1:43" x14ac:dyDescent="0.25">
      <c r="A246" s="83"/>
      <c r="B246" s="83"/>
      <c r="C246" s="21"/>
      <c r="D246" s="21"/>
      <c r="E246" s="21"/>
      <c r="F246" s="21"/>
      <c r="G246" s="21"/>
      <c r="H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</row>
    <row r="247" spans="1:43" x14ac:dyDescent="0.25">
      <c r="A247" s="83"/>
      <c r="B247" s="83"/>
      <c r="C247" s="21"/>
      <c r="D247" s="21"/>
      <c r="E247" s="21"/>
      <c r="F247" s="21"/>
      <c r="G247" s="21"/>
      <c r="H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</row>
    <row r="248" spans="1:43" x14ac:dyDescent="0.25">
      <c r="A248" s="83"/>
      <c r="B248" s="83"/>
      <c r="C248" s="21"/>
      <c r="D248" s="21"/>
      <c r="E248" s="21"/>
      <c r="F248" s="21"/>
      <c r="G248" s="21"/>
      <c r="H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</row>
    <row r="249" spans="1:43" x14ac:dyDescent="0.25">
      <c r="A249" s="83"/>
      <c r="B249" s="83"/>
      <c r="C249" s="21"/>
      <c r="D249" s="21"/>
      <c r="E249" s="21"/>
      <c r="F249" s="21"/>
      <c r="G249" s="21"/>
      <c r="H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</row>
    <row r="250" spans="1:43" x14ac:dyDescent="0.25">
      <c r="A250" s="83"/>
      <c r="B250" s="83"/>
      <c r="C250" s="21"/>
      <c r="D250" s="21"/>
      <c r="E250" s="21"/>
      <c r="F250" s="21"/>
      <c r="G250" s="21"/>
      <c r="H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</row>
    <row r="251" spans="1:43" x14ac:dyDescent="0.25">
      <c r="A251" s="83"/>
      <c r="B251" s="83"/>
      <c r="C251" s="21"/>
      <c r="D251" s="21"/>
      <c r="E251" s="21"/>
      <c r="F251" s="21"/>
      <c r="G251" s="21"/>
      <c r="H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</row>
    <row r="252" spans="1:43" x14ac:dyDescent="0.25">
      <c r="A252" s="83"/>
      <c r="B252" s="83"/>
      <c r="C252" s="21"/>
      <c r="D252" s="21"/>
      <c r="E252" s="21"/>
      <c r="F252" s="21"/>
      <c r="G252" s="21"/>
      <c r="H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</row>
    <row r="253" spans="1:43" x14ac:dyDescent="0.25">
      <c r="A253" s="83"/>
      <c r="B253" s="83"/>
      <c r="C253" s="21"/>
      <c r="D253" s="21"/>
      <c r="E253" s="21"/>
      <c r="F253" s="21"/>
      <c r="G253" s="21"/>
      <c r="H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</row>
    <row r="254" spans="1:43" x14ac:dyDescent="0.25">
      <c r="A254" s="83"/>
      <c r="B254" s="83"/>
      <c r="C254" s="21"/>
      <c r="D254" s="21"/>
      <c r="E254" s="21"/>
      <c r="F254" s="21"/>
      <c r="G254" s="21"/>
      <c r="H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</row>
    <row r="255" spans="1:43" x14ac:dyDescent="0.25">
      <c r="A255" s="83"/>
      <c r="B255" s="83"/>
      <c r="C255" s="21"/>
      <c r="D255" s="21"/>
      <c r="E255" s="21"/>
      <c r="F255" s="21"/>
      <c r="G255" s="21"/>
      <c r="H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</row>
    <row r="256" spans="1:43" x14ac:dyDescent="0.25">
      <c r="A256" s="83"/>
      <c r="B256" s="83"/>
      <c r="C256" s="21"/>
      <c r="D256" s="21"/>
      <c r="E256" s="21"/>
      <c r="F256" s="21"/>
      <c r="G256" s="21"/>
      <c r="H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</row>
    <row r="257" spans="1:43" x14ac:dyDescent="0.25">
      <c r="A257" s="83"/>
      <c r="B257" s="83"/>
      <c r="C257" s="21"/>
      <c r="D257" s="21"/>
      <c r="E257" s="21"/>
      <c r="F257" s="21"/>
      <c r="G257" s="21"/>
      <c r="H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</row>
    <row r="258" spans="1:43" x14ac:dyDescent="0.25">
      <c r="A258" s="83"/>
      <c r="B258" s="83"/>
      <c r="C258" s="21"/>
      <c r="D258" s="21"/>
      <c r="E258" s="21"/>
      <c r="F258" s="21"/>
      <c r="G258" s="21"/>
      <c r="H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</row>
    <row r="259" spans="1:43" x14ac:dyDescent="0.25">
      <c r="A259" s="83"/>
      <c r="B259" s="83"/>
      <c r="C259" s="21"/>
      <c r="D259" s="21"/>
      <c r="E259" s="21"/>
      <c r="F259" s="21"/>
      <c r="G259" s="21"/>
      <c r="H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</row>
    <row r="260" spans="1:43" x14ac:dyDescent="0.25">
      <c r="A260" s="83"/>
      <c r="B260" s="83"/>
      <c r="C260" s="21"/>
      <c r="D260" s="21"/>
      <c r="E260" s="21"/>
      <c r="F260" s="21"/>
      <c r="G260" s="21"/>
      <c r="H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</row>
    <row r="261" spans="1:43" x14ac:dyDescent="0.25">
      <c r="A261" s="83"/>
      <c r="B261" s="83"/>
      <c r="C261" s="21"/>
      <c r="D261" s="21"/>
      <c r="E261" s="21"/>
      <c r="F261" s="21"/>
      <c r="G261" s="21"/>
      <c r="H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</row>
    <row r="262" spans="1:43" x14ac:dyDescent="0.25">
      <c r="A262" s="83"/>
      <c r="B262" s="83"/>
      <c r="C262" s="21"/>
      <c r="D262" s="21"/>
      <c r="E262" s="21"/>
      <c r="F262" s="21"/>
      <c r="G262" s="21"/>
      <c r="H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</row>
    <row r="263" spans="1:43" x14ac:dyDescent="0.25">
      <c r="A263" s="83"/>
      <c r="B263" s="83"/>
      <c r="C263" s="21"/>
      <c r="D263" s="21"/>
      <c r="E263" s="21"/>
      <c r="F263" s="21"/>
      <c r="G263" s="21"/>
      <c r="H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</row>
    <row r="264" spans="1:43" x14ac:dyDescent="0.25">
      <c r="A264" s="83"/>
      <c r="B264" s="83"/>
      <c r="C264" s="21"/>
      <c r="D264" s="21"/>
      <c r="E264" s="21"/>
      <c r="F264" s="21"/>
      <c r="G264" s="21"/>
      <c r="H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</row>
    <row r="265" spans="1:43" x14ac:dyDescent="0.25">
      <c r="A265" s="83"/>
      <c r="B265" s="83"/>
      <c r="C265" s="21"/>
      <c r="D265" s="21"/>
      <c r="E265" s="21"/>
      <c r="F265" s="21"/>
      <c r="G265" s="21"/>
      <c r="H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</row>
    <row r="266" spans="1:43" x14ac:dyDescent="0.25">
      <c r="A266" s="83"/>
      <c r="B266" s="83"/>
      <c r="C266" s="21"/>
      <c r="D266" s="21"/>
      <c r="E266" s="21"/>
      <c r="F266" s="21"/>
      <c r="G266" s="21"/>
      <c r="H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</row>
    <row r="267" spans="1:43" x14ac:dyDescent="0.25">
      <c r="A267" s="83"/>
      <c r="B267" s="83"/>
      <c r="C267" s="21"/>
      <c r="D267" s="21"/>
      <c r="E267" s="21"/>
      <c r="F267" s="21"/>
      <c r="G267" s="21"/>
      <c r="H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</row>
    <row r="268" spans="1:43" x14ac:dyDescent="0.25">
      <c r="A268" s="83"/>
      <c r="B268" s="83"/>
      <c r="C268" s="21"/>
      <c r="D268" s="21"/>
      <c r="E268" s="21"/>
      <c r="F268" s="21"/>
      <c r="G268" s="21"/>
      <c r="H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</row>
    <row r="269" spans="1:43" x14ac:dyDescent="0.25">
      <c r="A269" s="83"/>
      <c r="B269" s="83"/>
      <c r="C269" s="21"/>
      <c r="D269" s="21"/>
      <c r="E269" s="21"/>
      <c r="F269" s="21"/>
      <c r="G269" s="21"/>
      <c r="H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</row>
    <row r="270" spans="1:43" x14ac:dyDescent="0.25">
      <c r="A270" s="83"/>
      <c r="B270" s="83"/>
      <c r="C270" s="21"/>
      <c r="D270" s="21"/>
      <c r="E270" s="21"/>
      <c r="F270" s="21"/>
      <c r="G270" s="21"/>
      <c r="H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</row>
    <row r="271" spans="1:43" x14ac:dyDescent="0.25">
      <c r="A271" s="83"/>
      <c r="B271" s="83"/>
      <c r="C271" s="21"/>
      <c r="D271" s="21"/>
      <c r="E271" s="21"/>
      <c r="F271" s="21"/>
      <c r="G271" s="21"/>
      <c r="H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</row>
    <row r="272" spans="1:43" x14ac:dyDescent="0.25">
      <c r="A272" s="83"/>
      <c r="B272" s="83"/>
      <c r="C272" s="21"/>
      <c r="D272" s="21"/>
      <c r="E272" s="21"/>
      <c r="F272" s="21"/>
      <c r="G272" s="21"/>
      <c r="H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</row>
    <row r="273" spans="1:43" x14ac:dyDescent="0.25">
      <c r="A273" s="83"/>
      <c r="B273" s="83"/>
      <c r="C273" s="21"/>
      <c r="D273" s="21"/>
      <c r="E273" s="21"/>
      <c r="F273" s="21"/>
      <c r="G273" s="21"/>
      <c r="H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</row>
    <row r="274" spans="1:43" x14ac:dyDescent="0.25">
      <c r="A274" s="83"/>
      <c r="B274" s="83"/>
      <c r="C274" s="21"/>
      <c r="D274" s="21"/>
      <c r="E274" s="21"/>
      <c r="F274" s="21"/>
      <c r="G274" s="21"/>
      <c r="H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</row>
    <row r="275" spans="1:43" x14ac:dyDescent="0.25">
      <c r="A275" s="83"/>
      <c r="B275" s="83"/>
      <c r="C275" s="21"/>
      <c r="D275" s="21"/>
      <c r="E275" s="21"/>
      <c r="F275" s="21"/>
      <c r="G275" s="21"/>
      <c r="H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</row>
    <row r="276" spans="1:43" x14ac:dyDescent="0.25">
      <c r="A276" s="83"/>
      <c r="B276" s="83"/>
      <c r="C276" s="21"/>
      <c r="D276" s="21"/>
      <c r="E276" s="21"/>
      <c r="F276" s="21"/>
      <c r="G276" s="21"/>
      <c r="H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</row>
    <row r="277" spans="1:43" x14ac:dyDescent="0.25">
      <c r="A277" s="83"/>
      <c r="B277" s="83"/>
      <c r="C277" s="21"/>
      <c r="D277" s="21"/>
      <c r="E277" s="21"/>
      <c r="F277" s="21"/>
      <c r="G277" s="21"/>
      <c r="H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</row>
    <row r="278" spans="1:43" x14ac:dyDescent="0.25">
      <c r="A278" s="83"/>
      <c r="B278" s="83"/>
      <c r="C278" s="21"/>
      <c r="D278" s="21"/>
      <c r="E278" s="21"/>
      <c r="F278" s="21"/>
      <c r="G278" s="21"/>
      <c r="H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</row>
    <row r="279" spans="1:43" x14ac:dyDescent="0.25">
      <c r="A279" s="83"/>
      <c r="B279" s="83"/>
      <c r="C279" s="21"/>
      <c r="D279" s="21"/>
      <c r="E279" s="21"/>
      <c r="F279" s="21"/>
      <c r="G279" s="21"/>
      <c r="H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</row>
    <row r="280" spans="1:43" x14ac:dyDescent="0.25">
      <c r="A280" s="83"/>
      <c r="B280" s="83"/>
      <c r="C280" s="21"/>
      <c r="D280" s="21"/>
      <c r="E280" s="21"/>
      <c r="F280" s="21"/>
      <c r="G280" s="21"/>
      <c r="H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</row>
    <row r="281" spans="1:43" x14ac:dyDescent="0.25">
      <c r="A281" s="83"/>
      <c r="B281" s="83"/>
      <c r="C281" s="21"/>
      <c r="D281" s="21"/>
      <c r="E281" s="21"/>
      <c r="F281" s="21"/>
      <c r="G281" s="21"/>
      <c r="H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</row>
    <row r="282" spans="1:43" x14ac:dyDescent="0.25">
      <c r="A282" s="83"/>
      <c r="B282" s="83"/>
      <c r="C282" s="21"/>
      <c r="D282" s="21"/>
      <c r="E282" s="21"/>
      <c r="F282" s="21"/>
      <c r="G282" s="21"/>
      <c r="H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</row>
    <row r="283" spans="1:43" x14ac:dyDescent="0.25">
      <c r="A283" s="83"/>
      <c r="B283" s="83"/>
      <c r="C283" s="21"/>
      <c r="D283" s="21"/>
      <c r="E283" s="21"/>
      <c r="F283" s="21"/>
      <c r="G283" s="21"/>
      <c r="H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</row>
    <row r="284" spans="1:43" x14ac:dyDescent="0.25">
      <c r="A284" s="83"/>
      <c r="B284" s="83"/>
      <c r="C284" s="21"/>
      <c r="D284" s="21"/>
      <c r="E284" s="21"/>
      <c r="F284" s="21"/>
      <c r="G284" s="21"/>
      <c r="H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</row>
    <row r="285" spans="1:43" x14ac:dyDescent="0.25">
      <c r="A285" s="83"/>
      <c r="B285" s="83"/>
      <c r="C285" s="21"/>
      <c r="D285" s="21"/>
      <c r="E285" s="21"/>
      <c r="F285" s="21"/>
      <c r="G285" s="21"/>
      <c r="H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</row>
    <row r="286" spans="1:43" x14ac:dyDescent="0.25">
      <c r="A286" s="83"/>
      <c r="B286" s="83"/>
      <c r="C286" s="21"/>
      <c r="D286" s="21"/>
      <c r="E286" s="21"/>
      <c r="F286" s="21"/>
      <c r="G286" s="21"/>
      <c r="H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</row>
    <row r="287" spans="1:43" x14ac:dyDescent="0.25">
      <c r="A287" s="83"/>
      <c r="B287" s="83"/>
      <c r="C287" s="21"/>
      <c r="D287" s="21"/>
      <c r="E287" s="21"/>
      <c r="F287" s="21"/>
      <c r="G287" s="21"/>
      <c r="H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</row>
    <row r="288" spans="1:43" x14ac:dyDescent="0.25">
      <c r="A288" s="83"/>
      <c r="B288" s="83"/>
      <c r="C288" s="21"/>
      <c r="D288" s="21"/>
      <c r="E288" s="21"/>
      <c r="F288" s="21"/>
      <c r="G288" s="21"/>
      <c r="H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</row>
    <row r="289" spans="1:43" x14ac:dyDescent="0.25">
      <c r="A289" s="83"/>
      <c r="B289" s="83"/>
      <c r="C289" s="21"/>
      <c r="D289" s="21"/>
      <c r="E289" s="21"/>
      <c r="F289" s="21"/>
      <c r="G289" s="21"/>
      <c r="H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</row>
    <row r="290" spans="1:43" x14ac:dyDescent="0.25">
      <c r="A290" s="83"/>
      <c r="B290" s="83"/>
      <c r="C290" s="21"/>
      <c r="D290" s="21"/>
      <c r="E290" s="21"/>
      <c r="F290" s="21"/>
      <c r="G290" s="21"/>
      <c r="H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</row>
    <row r="291" spans="1:43" x14ac:dyDescent="0.25">
      <c r="A291" s="83"/>
      <c r="B291" s="83"/>
      <c r="C291" s="21"/>
      <c r="D291" s="21"/>
      <c r="E291" s="21"/>
      <c r="F291" s="21"/>
      <c r="G291" s="21"/>
      <c r="H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</row>
    <row r="292" spans="1:43" x14ac:dyDescent="0.25">
      <c r="A292" s="83"/>
      <c r="B292" s="83"/>
      <c r="C292" s="21"/>
      <c r="D292" s="21"/>
      <c r="E292" s="21"/>
      <c r="F292" s="21"/>
      <c r="G292" s="21"/>
      <c r="H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</row>
    <row r="293" spans="1:43" x14ac:dyDescent="0.25">
      <c r="A293" s="83"/>
      <c r="B293" s="83"/>
      <c r="C293" s="21"/>
      <c r="D293" s="21"/>
      <c r="E293" s="21"/>
      <c r="F293" s="21"/>
      <c r="G293" s="21"/>
      <c r="H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</row>
    <row r="294" spans="1:43" x14ac:dyDescent="0.25">
      <c r="A294" s="83"/>
      <c r="B294" s="83"/>
      <c r="C294" s="21"/>
      <c r="D294" s="21"/>
      <c r="E294" s="21"/>
      <c r="F294" s="21"/>
      <c r="G294" s="21"/>
      <c r="H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</row>
    <row r="295" spans="1:43" x14ac:dyDescent="0.25">
      <c r="A295" s="83"/>
      <c r="B295" s="83"/>
      <c r="C295" s="21"/>
      <c r="D295" s="21"/>
      <c r="E295" s="21"/>
      <c r="F295" s="21"/>
      <c r="G295" s="21"/>
      <c r="H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</row>
    <row r="296" spans="1:43" x14ac:dyDescent="0.25">
      <c r="A296" s="83"/>
      <c r="B296" s="83"/>
      <c r="C296" s="21"/>
      <c r="D296" s="21"/>
      <c r="E296" s="21"/>
      <c r="F296" s="21"/>
      <c r="G296" s="21"/>
      <c r="H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</row>
    <row r="297" spans="1:43" x14ac:dyDescent="0.25">
      <c r="A297" s="83"/>
      <c r="B297" s="83"/>
      <c r="C297" s="21"/>
      <c r="D297" s="21"/>
      <c r="E297" s="21"/>
      <c r="F297" s="21"/>
      <c r="G297" s="21"/>
      <c r="H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</row>
    <row r="298" spans="1:43" x14ac:dyDescent="0.25">
      <c r="A298" s="83"/>
      <c r="B298" s="83"/>
      <c r="C298" s="21"/>
      <c r="D298" s="21"/>
      <c r="E298" s="21"/>
      <c r="F298" s="21"/>
      <c r="G298" s="21"/>
      <c r="H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</row>
    <row r="299" spans="1:43" x14ac:dyDescent="0.25">
      <c r="A299" s="83"/>
      <c r="B299" s="83"/>
      <c r="C299" s="21"/>
      <c r="D299" s="21"/>
      <c r="E299" s="21"/>
      <c r="F299" s="21"/>
      <c r="G299" s="21"/>
      <c r="H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</row>
    <row r="300" spans="1:43" x14ac:dyDescent="0.25">
      <c r="A300" s="83"/>
      <c r="B300" s="83"/>
      <c r="C300" s="21"/>
      <c r="D300" s="21"/>
      <c r="E300" s="21"/>
      <c r="F300" s="21"/>
      <c r="G300" s="21"/>
      <c r="H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</row>
    <row r="301" spans="1:43" x14ac:dyDescent="0.25">
      <c r="A301" s="83"/>
      <c r="B301" s="83"/>
      <c r="C301" s="21"/>
      <c r="D301" s="21"/>
      <c r="E301" s="21"/>
      <c r="F301" s="21"/>
      <c r="G301" s="21"/>
      <c r="H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</row>
    <row r="302" spans="1:43" x14ac:dyDescent="0.25">
      <c r="A302" s="83"/>
      <c r="B302" s="83"/>
      <c r="C302" s="21"/>
      <c r="D302" s="21"/>
      <c r="E302" s="21"/>
      <c r="F302" s="21"/>
      <c r="G302" s="21"/>
      <c r="H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</row>
    <row r="303" spans="1:43" x14ac:dyDescent="0.25">
      <c r="A303" s="83"/>
      <c r="B303" s="83"/>
      <c r="C303" s="21"/>
      <c r="D303" s="21"/>
      <c r="E303" s="21"/>
      <c r="F303" s="21"/>
      <c r="G303" s="21"/>
      <c r="H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</row>
    <row r="304" spans="1:43" x14ac:dyDescent="0.25">
      <c r="A304" s="83"/>
      <c r="B304" s="83"/>
      <c r="C304" s="21"/>
      <c r="D304" s="21"/>
      <c r="E304" s="21"/>
      <c r="F304" s="21"/>
      <c r="G304" s="21"/>
      <c r="H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</row>
    <row r="305" spans="1:43" x14ac:dyDescent="0.25">
      <c r="A305" s="83"/>
      <c r="B305" s="83"/>
      <c r="C305" s="21"/>
      <c r="D305" s="21"/>
      <c r="E305" s="21"/>
      <c r="F305" s="21"/>
      <c r="G305" s="21"/>
      <c r="H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</row>
    <row r="306" spans="1:43" x14ac:dyDescent="0.25">
      <c r="A306" s="83"/>
      <c r="B306" s="83"/>
      <c r="C306" s="21"/>
      <c r="D306" s="21"/>
      <c r="E306" s="21"/>
      <c r="F306" s="21"/>
      <c r="G306" s="21"/>
      <c r="H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</row>
    <row r="307" spans="1:43" x14ac:dyDescent="0.25">
      <c r="A307" s="83"/>
      <c r="B307" s="83"/>
      <c r="C307" s="21"/>
      <c r="D307" s="21"/>
      <c r="E307" s="21"/>
      <c r="F307" s="21"/>
      <c r="G307" s="21"/>
      <c r="H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</row>
    <row r="308" spans="1:43" x14ac:dyDescent="0.25">
      <c r="A308" s="83"/>
      <c r="B308" s="83"/>
      <c r="C308" s="21"/>
      <c r="D308" s="21"/>
      <c r="E308" s="21"/>
      <c r="F308" s="21"/>
      <c r="G308" s="21"/>
      <c r="H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</row>
    <row r="309" spans="1:43" x14ac:dyDescent="0.25">
      <c r="A309" s="83"/>
      <c r="B309" s="83"/>
      <c r="C309" s="21"/>
      <c r="D309" s="21"/>
      <c r="E309" s="21"/>
      <c r="F309" s="21"/>
      <c r="G309" s="21"/>
      <c r="H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</row>
    <row r="310" spans="1:43" x14ac:dyDescent="0.25">
      <c r="A310" s="83"/>
      <c r="B310" s="83"/>
      <c r="C310" s="21"/>
      <c r="D310" s="21"/>
      <c r="E310" s="21"/>
      <c r="F310" s="21"/>
      <c r="G310" s="21"/>
      <c r="H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</row>
    <row r="311" spans="1:43" x14ac:dyDescent="0.25">
      <c r="A311" s="83"/>
      <c r="B311" s="83"/>
      <c r="C311" s="21"/>
      <c r="D311" s="21"/>
      <c r="E311" s="21"/>
      <c r="F311" s="21"/>
      <c r="G311" s="21"/>
      <c r="H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</row>
    <row r="312" spans="1:43" x14ac:dyDescent="0.25">
      <c r="A312" s="83"/>
      <c r="B312" s="83"/>
      <c r="C312" s="21"/>
      <c r="D312" s="21"/>
      <c r="E312" s="21"/>
      <c r="F312" s="21"/>
      <c r="G312" s="21"/>
      <c r="H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</row>
    <row r="313" spans="1:43" x14ac:dyDescent="0.25">
      <c r="A313" s="83"/>
      <c r="B313" s="83"/>
      <c r="C313" s="21"/>
      <c r="D313" s="21"/>
      <c r="E313" s="21"/>
      <c r="F313" s="21"/>
      <c r="G313" s="21"/>
      <c r="H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</row>
    <row r="314" spans="1:43" x14ac:dyDescent="0.25">
      <c r="A314" s="83"/>
      <c r="B314" s="83"/>
      <c r="C314" s="21"/>
      <c r="D314" s="21"/>
      <c r="E314" s="21"/>
      <c r="F314" s="21"/>
      <c r="G314" s="21"/>
      <c r="H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</row>
    <row r="315" spans="1:43" x14ac:dyDescent="0.25">
      <c r="A315" s="83"/>
      <c r="B315" s="83"/>
      <c r="C315" s="21"/>
      <c r="D315" s="21"/>
      <c r="E315" s="21"/>
      <c r="F315" s="21"/>
      <c r="G315" s="21"/>
      <c r="H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</row>
    <row r="316" spans="1:43" x14ac:dyDescent="0.25">
      <c r="A316" s="83"/>
      <c r="B316" s="83"/>
      <c r="C316" s="21"/>
      <c r="D316" s="21"/>
      <c r="E316" s="21"/>
      <c r="F316" s="21"/>
      <c r="G316" s="21"/>
      <c r="H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</row>
    <row r="317" spans="1:43" x14ac:dyDescent="0.25">
      <c r="A317" s="83"/>
      <c r="B317" s="83"/>
      <c r="C317" s="21"/>
      <c r="D317" s="21"/>
      <c r="E317" s="21"/>
      <c r="F317" s="21"/>
      <c r="G317" s="21"/>
      <c r="H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</row>
    <row r="318" spans="1:43" x14ac:dyDescent="0.25">
      <c r="A318" s="83"/>
      <c r="B318" s="83"/>
      <c r="C318" s="21"/>
      <c r="D318" s="21"/>
      <c r="E318" s="21"/>
      <c r="F318" s="21"/>
      <c r="G318" s="21"/>
      <c r="H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</row>
    <row r="319" spans="1:43" x14ac:dyDescent="0.25">
      <c r="A319" s="83"/>
      <c r="B319" s="83"/>
      <c r="C319" s="21"/>
      <c r="D319" s="21"/>
      <c r="E319" s="21"/>
      <c r="F319" s="21"/>
      <c r="G319" s="21"/>
      <c r="H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</row>
    <row r="320" spans="1:43" x14ac:dyDescent="0.25">
      <c r="A320" s="83"/>
      <c r="B320" s="83"/>
      <c r="C320" s="21"/>
      <c r="D320" s="21"/>
      <c r="E320" s="21"/>
      <c r="F320" s="21"/>
      <c r="G320" s="21"/>
      <c r="H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</row>
    <row r="321" spans="1:43" x14ac:dyDescent="0.25">
      <c r="A321" s="83"/>
      <c r="B321" s="83"/>
      <c r="C321" s="21"/>
      <c r="D321" s="21"/>
      <c r="E321" s="21"/>
      <c r="F321" s="21"/>
      <c r="G321" s="21"/>
      <c r="H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</row>
    <row r="322" spans="1:43" x14ac:dyDescent="0.25">
      <c r="A322" s="83"/>
      <c r="B322" s="83"/>
      <c r="C322" s="21"/>
      <c r="D322" s="21"/>
      <c r="E322" s="21"/>
      <c r="F322" s="21"/>
      <c r="G322" s="21"/>
      <c r="H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</row>
    <row r="323" spans="1:43" x14ac:dyDescent="0.25">
      <c r="A323" s="83"/>
      <c r="B323" s="83"/>
      <c r="C323" s="21"/>
      <c r="D323" s="21"/>
      <c r="E323" s="21"/>
      <c r="F323" s="21"/>
      <c r="G323" s="21"/>
      <c r="H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</row>
    <row r="324" spans="1:43" x14ac:dyDescent="0.25">
      <c r="A324" s="83"/>
      <c r="B324" s="83"/>
      <c r="C324" s="21"/>
      <c r="D324" s="21"/>
      <c r="E324" s="21"/>
      <c r="F324" s="21"/>
      <c r="G324" s="21"/>
      <c r="H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</row>
    <row r="325" spans="1:43" x14ac:dyDescent="0.25">
      <c r="A325" s="83"/>
      <c r="B325" s="83"/>
      <c r="C325" s="21"/>
      <c r="D325" s="21"/>
      <c r="E325" s="21"/>
      <c r="F325" s="21"/>
      <c r="G325" s="21"/>
      <c r="H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</row>
    <row r="326" spans="1:43" x14ac:dyDescent="0.25">
      <c r="A326" s="83"/>
      <c r="B326" s="83"/>
      <c r="C326" s="21"/>
      <c r="D326" s="21"/>
      <c r="E326" s="21"/>
      <c r="F326" s="21"/>
      <c r="G326" s="21"/>
      <c r="H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</row>
    <row r="327" spans="1:43" x14ac:dyDescent="0.25">
      <c r="A327" s="83"/>
      <c r="B327" s="83"/>
      <c r="C327" s="21"/>
      <c r="D327" s="21"/>
      <c r="E327" s="21"/>
      <c r="F327" s="21"/>
      <c r="G327" s="21"/>
      <c r="H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</row>
    <row r="328" spans="1:43" x14ac:dyDescent="0.25">
      <c r="A328" s="83"/>
      <c r="B328" s="83"/>
      <c r="C328" s="21"/>
      <c r="D328" s="21"/>
      <c r="E328" s="21"/>
      <c r="F328" s="21"/>
      <c r="G328" s="21"/>
      <c r="H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</row>
    <row r="329" spans="1:43" x14ac:dyDescent="0.25">
      <c r="A329" s="83"/>
      <c r="B329" s="83"/>
      <c r="C329" s="21"/>
      <c r="D329" s="21"/>
      <c r="E329" s="21"/>
      <c r="F329" s="21"/>
      <c r="G329" s="21"/>
      <c r="H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</row>
    <row r="330" spans="1:43" x14ac:dyDescent="0.25">
      <c r="A330" s="83"/>
      <c r="B330" s="83"/>
      <c r="C330" s="21"/>
      <c r="D330" s="21"/>
      <c r="E330" s="21"/>
      <c r="F330" s="21"/>
      <c r="G330" s="21"/>
      <c r="H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</row>
    <row r="331" spans="1:43" x14ac:dyDescent="0.25">
      <c r="A331" s="83"/>
      <c r="B331" s="83"/>
      <c r="C331" s="21"/>
      <c r="D331" s="21"/>
      <c r="E331" s="21"/>
      <c r="F331" s="21"/>
      <c r="G331" s="21"/>
      <c r="H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</row>
    <row r="332" spans="1:43" x14ac:dyDescent="0.25">
      <c r="A332" s="83"/>
      <c r="B332" s="83"/>
      <c r="C332" s="21"/>
      <c r="D332" s="21"/>
      <c r="E332" s="21"/>
      <c r="F332" s="21"/>
      <c r="G332" s="21"/>
      <c r="H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</row>
    <row r="333" spans="1:43" x14ac:dyDescent="0.25">
      <c r="A333" s="83"/>
      <c r="B333" s="83"/>
      <c r="C333" s="21"/>
      <c r="D333" s="21"/>
      <c r="E333" s="21"/>
      <c r="F333" s="21"/>
      <c r="G333" s="21"/>
      <c r="H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</row>
    <row r="334" spans="1:43" x14ac:dyDescent="0.25">
      <c r="A334" s="83"/>
      <c r="B334" s="83"/>
      <c r="C334" s="21"/>
      <c r="D334" s="21"/>
      <c r="E334" s="21"/>
      <c r="F334" s="21"/>
      <c r="G334" s="21"/>
      <c r="H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</row>
    <row r="335" spans="1:43" x14ac:dyDescent="0.25">
      <c r="A335" s="83"/>
      <c r="B335" s="83"/>
      <c r="C335" s="21"/>
      <c r="D335" s="21"/>
      <c r="E335" s="21"/>
      <c r="F335" s="21"/>
      <c r="G335" s="21"/>
      <c r="H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</row>
    <row r="336" spans="1:43" x14ac:dyDescent="0.25">
      <c r="A336" s="83"/>
      <c r="B336" s="83"/>
      <c r="C336" s="21"/>
      <c r="D336" s="21"/>
      <c r="E336" s="21"/>
      <c r="F336" s="21"/>
      <c r="G336" s="21"/>
      <c r="H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</row>
    <row r="337" spans="1:43" x14ac:dyDescent="0.25">
      <c r="A337" s="83"/>
      <c r="B337" s="83"/>
      <c r="C337" s="21"/>
      <c r="D337" s="21"/>
      <c r="E337" s="21"/>
      <c r="F337" s="21"/>
      <c r="G337" s="21"/>
      <c r="H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</row>
    <row r="338" spans="1:43" x14ac:dyDescent="0.25">
      <c r="A338" s="83"/>
      <c r="B338" s="83"/>
      <c r="C338" s="21"/>
      <c r="D338" s="21"/>
      <c r="E338" s="21"/>
      <c r="F338" s="21"/>
      <c r="G338" s="21"/>
      <c r="H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</row>
    <row r="339" spans="1:43" x14ac:dyDescent="0.25">
      <c r="A339" s="83"/>
      <c r="B339" s="83"/>
      <c r="C339" s="21"/>
      <c r="D339" s="21"/>
      <c r="E339" s="21"/>
      <c r="F339" s="21"/>
      <c r="G339" s="21"/>
      <c r="H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</row>
    <row r="340" spans="1:43" x14ac:dyDescent="0.25">
      <c r="A340" s="83"/>
      <c r="B340" s="83"/>
      <c r="C340" s="21"/>
      <c r="D340" s="21"/>
      <c r="E340" s="21"/>
      <c r="F340" s="21"/>
      <c r="G340" s="21"/>
      <c r="H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</row>
    <row r="341" spans="1:43" x14ac:dyDescent="0.25">
      <c r="A341" s="83"/>
      <c r="B341" s="83"/>
      <c r="C341" s="21"/>
      <c r="D341" s="21"/>
      <c r="E341" s="21"/>
      <c r="F341" s="21"/>
      <c r="G341" s="21"/>
      <c r="H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</row>
    <row r="342" spans="1:43" x14ac:dyDescent="0.25">
      <c r="A342" s="83"/>
      <c r="B342" s="83"/>
      <c r="C342" s="21"/>
      <c r="D342" s="21"/>
      <c r="E342" s="21"/>
      <c r="F342" s="21"/>
      <c r="G342" s="21"/>
      <c r="H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</row>
    <row r="343" spans="1:43" x14ac:dyDescent="0.25">
      <c r="A343" s="83"/>
      <c r="B343" s="83"/>
      <c r="C343" s="21"/>
      <c r="D343" s="21"/>
      <c r="E343" s="21"/>
      <c r="F343" s="21"/>
      <c r="G343" s="21"/>
      <c r="H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</row>
    <row r="344" spans="1:43" x14ac:dyDescent="0.25">
      <c r="A344" s="83"/>
      <c r="B344" s="83"/>
      <c r="C344" s="21"/>
      <c r="D344" s="21"/>
      <c r="E344" s="21"/>
      <c r="F344" s="21"/>
      <c r="G344" s="21"/>
      <c r="H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</row>
    <row r="345" spans="1:43" x14ac:dyDescent="0.25">
      <c r="A345" s="83"/>
      <c r="B345" s="83"/>
      <c r="C345" s="21"/>
      <c r="D345" s="21"/>
      <c r="E345" s="21"/>
      <c r="F345" s="21"/>
      <c r="G345" s="21"/>
      <c r="H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</row>
    <row r="346" spans="1:43" x14ac:dyDescent="0.25">
      <c r="A346" s="83"/>
      <c r="B346" s="83"/>
      <c r="C346" s="21"/>
      <c r="D346" s="21"/>
      <c r="E346" s="21"/>
      <c r="F346" s="21"/>
      <c r="G346" s="21"/>
      <c r="H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</row>
    <row r="347" spans="1:43" x14ac:dyDescent="0.25">
      <c r="A347" s="83"/>
      <c r="B347" s="83"/>
      <c r="C347" s="21"/>
      <c r="D347" s="21"/>
      <c r="E347" s="21"/>
      <c r="F347" s="21"/>
      <c r="G347" s="21"/>
      <c r="H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</row>
    <row r="348" spans="1:43" x14ac:dyDescent="0.25">
      <c r="A348" s="83"/>
      <c r="B348" s="83"/>
      <c r="C348" s="21"/>
      <c r="D348" s="21"/>
      <c r="E348" s="21"/>
      <c r="F348" s="21"/>
      <c r="G348" s="21"/>
      <c r="H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</row>
    <row r="349" spans="1:43" x14ac:dyDescent="0.25">
      <c r="A349" s="83"/>
      <c r="B349" s="83"/>
      <c r="C349" s="21"/>
      <c r="D349" s="21"/>
      <c r="E349" s="21"/>
      <c r="F349" s="21"/>
      <c r="G349" s="21"/>
      <c r="H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</row>
    <row r="350" spans="1:43" x14ac:dyDescent="0.25">
      <c r="A350" s="83"/>
      <c r="B350" s="83"/>
      <c r="C350" s="21"/>
      <c r="D350" s="21"/>
      <c r="E350" s="21"/>
      <c r="F350" s="21"/>
      <c r="G350" s="21"/>
      <c r="H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</row>
    <row r="351" spans="1:43" x14ac:dyDescent="0.25">
      <c r="A351" s="83"/>
      <c r="B351" s="83"/>
      <c r="C351" s="21"/>
      <c r="D351" s="21"/>
      <c r="E351" s="21"/>
      <c r="F351" s="21"/>
      <c r="G351" s="21"/>
      <c r="H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</row>
    <row r="352" spans="1:43" x14ac:dyDescent="0.25">
      <c r="A352" s="83"/>
      <c r="B352" s="83"/>
      <c r="C352" s="21"/>
      <c r="D352" s="21"/>
      <c r="E352" s="21"/>
      <c r="F352" s="21"/>
      <c r="G352" s="21"/>
      <c r="H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</row>
    <row r="353" spans="1:43" x14ac:dyDescent="0.25">
      <c r="A353" s="83"/>
      <c r="B353" s="83"/>
      <c r="C353" s="21"/>
      <c r="D353" s="21"/>
      <c r="E353" s="21"/>
      <c r="F353" s="21"/>
      <c r="G353" s="21"/>
      <c r="H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</row>
    <row r="354" spans="1:43" x14ac:dyDescent="0.25">
      <c r="A354" s="83"/>
      <c r="B354" s="83"/>
      <c r="C354" s="21"/>
      <c r="D354" s="21"/>
      <c r="E354" s="21"/>
      <c r="F354" s="21"/>
      <c r="G354" s="21"/>
      <c r="H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</row>
    <row r="355" spans="1:43" x14ac:dyDescent="0.25">
      <c r="A355" s="83"/>
      <c r="B355" s="83"/>
      <c r="C355" s="21"/>
      <c r="D355" s="21"/>
      <c r="E355" s="21"/>
      <c r="F355" s="21"/>
      <c r="G355" s="21"/>
      <c r="H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</row>
    <row r="356" spans="1:43" x14ac:dyDescent="0.25">
      <c r="A356" s="83"/>
      <c r="B356" s="83"/>
      <c r="C356" s="21"/>
      <c r="D356" s="21"/>
      <c r="E356" s="21"/>
      <c r="F356" s="21"/>
      <c r="G356" s="21"/>
      <c r="H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</row>
    <row r="357" spans="1:43" x14ac:dyDescent="0.25">
      <c r="A357" s="83"/>
      <c r="B357" s="83"/>
      <c r="C357" s="21"/>
      <c r="D357" s="21"/>
      <c r="E357" s="21"/>
      <c r="F357" s="21"/>
      <c r="G357" s="21"/>
      <c r="H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</row>
    <row r="358" spans="1:43" x14ac:dyDescent="0.25">
      <c r="A358" s="83"/>
      <c r="B358" s="83"/>
      <c r="C358" s="21"/>
      <c r="D358" s="21"/>
      <c r="E358" s="21"/>
      <c r="F358" s="21"/>
      <c r="G358" s="21"/>
      <c r="H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</row>
  </sheetData>
  <mergeCells count="3">
    <mergeCell ref="J1:P1"/>
    <mergeCell ref="Q1:AC1"/>
    <mergeCell ref="AD1:AP1"/>
  </mergeCells>
  <conditionalFormatting sqref="A3:AR3">
    <cfRule type="expression" dxfId="1" priority="2">
      <formula>LEN($AR3)&gt;0</formula>
    </cfRule>
  </conditionalFormatting>
  <conditionalFormatting sqref="A4:AR43">
    <cfRule type="expression" dxfId="0" priority="1">
      <formula>LEN($AR4)&gt;0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Übersicht</vt:lpstr>
      <vt:lpstr>Fondspolice</vt:lpstr>
      <vt:lpstr>Depot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2023-08-02T14:29:19Z</cp:lastPrinted>
  <dcterms:created xsi:type="dcterms:W3CDTF">2023-07-11T10:50:59Z</dcterms:created>
  <dcterms:modified xsi:type="dcterms:W3CDTF">2023-08-03T11:20:56Z</dcterms:modified>
</cp:coreProperties>
</file>