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Übersicht" sheetId="1" state="visible" r:id="rId2"/>
    <sheet name="Ausschütter" sheetId="2" state="visible" r:id="rId3"/>
    <sheet name="Thesaurierer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<sst xmlns="http://schemas.openxmlformats.org/spreadsheetml/2006/main" count="74" uniqueCount="40">
  <si>
    <t xml:space="preserve">Grundeinstellungen</t>
  </si>
  <si>
    <t xml:space="preserve">Ergebnis</t>
  </si>
  <si>
    <t xml:space="preserve">Startwert Depot [€]</t>
  </si>
  <si>
    <t xml:space="preserve">Ausschütter</t>
  </si>
  <si>
    <t xml:space="preserve">Thesaurierer</t>
  </si>
  <si>
    <t xml:space="preserve">Absolute Differenz</t>
  </si>
  <si>
    <t xml:space="preserve">Prozentual</t>
  </si>
  <si>
    <t xml:space="preserve">Sparrate p.a. [€]</t>
  </si>
  <si>
    <t xml:space="preserve">Depotwert [€]</t>
  </si>
  <si>
    <t xml:space="preserve">Rendite p.a. [%]</t>
  </si>
  <si>
    <t xml:space="preserve">zu vst. Gewinn [€]</t>
  </si>
  <si>
    <t xml:space="preserve">Ausschüttungsrendite p.a. [%]</t>
  </si>
  <si>
    <t xml:space="preserve">Steuer [€]</t>
  </si>
  <si>
    <t xml:space="preserve">Steuer [%]</t>
  </si>
  <si>
    <t xml:space="preserve">Verrechnungskonto [€]</t>
  </si>
  <si>
    <t xml:space="preserve">Basiszins [%]</t>
  </si>
  <si>
    <t xml:space="preserve">Rendite p.a. [%] nach Steuern</t>
  </si>
  <si>
    <t xml:space="preserve">Teilfreistellung [%]</t>
  </si>
  <si>
    <t xml:space="preserve">Freibetrag [€]</t>
  </si>
  <si>
    <t xml:space="preserve">Anlagehorizont [Jahre]</t>
  </si>
  <si>
    <t xml:space="preserve">Für einzelne Jahre kann eine abweichende Rendite angegeben werden als in den Grundeinstellungen!</t>
  </si>
  <si>
    <t xml:space="preserve">Jahr</t>
  </si>
  <si>
    <t xml:space="preserve">Rendite [%]</t>
  </si>
  <si>
    <t xml:space="preserve">Investiert
inkl. Ausschüttungen</t>
  </si>
  <si>
    <t xml:space="preserve">Depotwert</t>
  </si>
  <si>
    <t xml:space="preserve">Einlage</t>
  </si>
  <si>
    <t xml:space="preserve">Depot inkl. Rendite</t>
  </si>
  <si>
    <t xml:space="preserve">Wertentwicklung</t>
  </si>
  <si>
    <t xml:space="preserve">Obergrenze
Vorabpauschale</t>
  </si>
  <si>
    <t xml:space="preserve">Ausschüttung</t>
  </si>
  <si>
    <t xml:space="preserve">Vorabpauschale</t>
  </si>
  <si>
    <t xml:space="preserve">Zu verrechnende Vorabpauschale</t>
  </si>
  <si>
    <t xml:space="preserve">Steuern
Vorabpauschale</t>
  </si>
  <si>
    <t xml:space="preserve">Steuern
Ausschüttungen</t>
  </si>
  <si>
    <t xml:space="preserve">Wiederanlegbar</t>
  </si>
  <si>
    <t xml:space="preserve">Investiert</t>
  </si>
  <si>
    <t xml:space="preserve">Depot inkl. Steigerung</t>
  </si>
  <si>
    <t xml:space="preserve">Basisertrag</t>
  </si>
  <si>
    <t xml:space="preserve">Steuer</t>
  </si>
  <si>
    <t xml:space="preserve">Zu verrechnende
Vorabpauschale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</si>
</sst>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General"/>
    <numFmt numFmtId="166" formatCode="#,##0"/>
    <numFmt numFmtId="167" formatCode="0.00\ %"/>
    <numFmt numFmtId="168" formatCode="0.0%"/>
    <numFmt numFmtId="169" formatCode="0.000%"/>
    <numFmt numFmtId="170" formatCode="0\ %"/>
    <numFmt numFmtId="171" formatCode="0"/>
    <numFmt numFmtId="172" formatCode="#,##0.00"/>
    <numFmt numFmtId="173" formatCode="#,##0.0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FFFF"/>
      <name val="Verdana"/>
      <family val="2"/>
      <charset val="1"/>
    </font>
    <font>
      <sz val="11"/>
      <color rgb="FFFFFFFF"/>
      <name val="Calibri"/>
      <family val="2"/>
      <charset val="1"/>
    </font>
    <font>
      <b val="true"/>
      <sz val="14"/>
      <color rgb="FF00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0070C0"/>
        <bgColor rgb="FF008080"/>
      </patternFill>
    </fill>
    <fill>
      <patternFill patternType="solid">
        <fgColor rgb="FFFFC000"/>
        <bgColor rgb="FFFF9900"/>
      </patternFill>
    </fill>
    <fill>
      <patternFill patternType="solid">
        <fgColor rgb="FFF2F2F2"/>
        <bgColor rgb="FFFFFFFF"/>
      </patternFill>
    </fill>
    <fill>
      <patternFill patternType="solid">
        <fgColor rgb="FFD9D9D9"/>
        <bgColor rgb="FFD0CECE"/>
      </patternFill>
    </fill>
    <fill>
      <patternFill patternType="solid">
        <fgColor rgb="FFBFBFBF"/>
        <bgColor rgb="FFD0CECE"/>
      </patternFill>
    </fill>
    <fill>
      <patternFill patternType="solid">
        <fgColor rgb="FFA6A6A6"/>
        <bgColor rgb="FFBFBFBF"/>
      </patternFill>
    </fill>
    <fill>
      <patternFill patternType="solid">
        <fgColor rgb="FF808080"/>
        <bgColor rgb="FF666699"/>
      </patternFill>
    </fill>
    <fill>
      <patternFill patternType="solid">
        <fgColor rgb="FFD0CECE"/>
        <bgColor rgb="FFD9D9D9"/>
      </patternFill>
    </fill>
  </fills>
  <borders count="4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thin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0" fillId="0" borderId="3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8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0" fillId="0" borderId="16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0" fillId="0" borderId="9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0" fillId="0" borderId="17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0" fillId="0" borderId="18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9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9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0" fillId="0" borderId="20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0" fillId="0" borderId="21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0" fillId="0" borderId="22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0" fillId="0" borderId="24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0" fillId="0" borderId="25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2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5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6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7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8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2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4" borderId="30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5" borderId="3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5" borderId="30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6" borderId="2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6" borderId="30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7" borderId="2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7" borderId="30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8" borderId="3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8" borderId="3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4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4" borderId="3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5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5" borderId="3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6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6" borderId="3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7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7" borderId="3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8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8" borderId="3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4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4" borderId="3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5" borderId="3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5" borderId="3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6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6" borderId="3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7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7" borderId="3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8" borderId="3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8" borderId="3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2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3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3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3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3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3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3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3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4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4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4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4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2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4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4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2"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ont>
        <color rgb="FF000000"/>
      </font>
      <fill>
        <patternFill>
          <bgColor rgb="FFFF0000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color rgb="FFFFFFFF"/>
      </font>
      <fill>
        <patternFill>
          <bgColor rgb="FFFF0000"/>
        </patternFill>
      </fill>
      <border diagonalUp="false" diagonalDown="false">
        <left style="thin"/>
        <right style="thin"/>
        <top style="thin"/>
        <bottom style="thin"/>
        <diagonal/>
      </border>
    </dxf>
    <dxf>
      <font>
        <strike val="0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color rgb="FF000000"/>
      </font>
      <fill>
        <patternFill>
          <bgColor rgb="FFFF0000"/>
        </patternFill>
      </fill>
    </dxf>
    <dxf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70C0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K37"/>
  <sheetViews>
    <sheetView showFormulas="false" showGridLines="fals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C6" activeCellId="0" sqref="C6"/>
    </sheetView>
  </sheetViews>
  <sheetFormatPr defaultColWidth="10.54296875" defaultRowHeight="15" zeroHeight="false" outlineLevelRow="0" outlineLevelCol="0"/>
  <cols>
    <col collapsed="false" customWidth="true" hidden="false" outlineLevel="0" max="2" min="2" style="0" width="28.86"/>
    <col collapsed="false" customWidth="true" hidden="false" outlineLevel="0" max="3" min="3" style="0" width="17"/>
    <col collapsed="false" customWidth="true" hidden="false" outlineLevel="0" max="4" min="4" style="0" width="9"/>
    <col collapsed="false" customWidth="true" hidden="false" outlineLevel="0" max="5" min="5" style="0" width="28.57"/>
    <col collapsed="false" customWidth="true" hidden="false" outlineLevel="0" max="6" min="6" style="0" width="11.85"/>
    <col collapsed="false" customWidth="true" hidden="false" outlineLevel="0" max="7" min="7" style="0" width="12.85"/>
    <col collapsed="false" customWidth="true" hidden="false" outlineLevel="0" max="8" min="8" style="0" width="19.71"/>
    <col collapsed="false" customWidth="true" hidden="false" outlineLevel="0" max="9" min="9" style="0" width="11.71"/>
    <col collapsed="false" customWidth="true" hidden="false" outlineLevel="0" max="10" min="10" style="0" width="18.43"/>
    <col collapsed="false" customWidth="true" hidden="false" outlineLevel="0" max="11" min="11" style="0" width="17.71"/>
  </cols>
  <sheetData>
    <row r="1" customFormat="false" ht="15" hidden="false" customHeight="false" outlineLevel="0" collapsed="false">
      <c r="B1" s="1"/>
      <c r="C1" s="2"/>
    </row>
    <row r="2" customFormat="false" ht="78.75" hidden="false" customHeight="true" outlineLevel="0" collapsed="false">
      <c r="B2" s="3" t="str">
        <f aca="false">"ACHTUNG THESAURIERER! EINLAGEN REICHEN NICHT AUS UM STEUERN ZU DECKEN!"&amp;CHAR(10)&amp;"NEGATIVE EINLAGEN AB JAHR "&amp;IFERROR(MATCH(1,INDEX((Thesaurierer!$E$3:$E$102&lt;0)*1,0),0),0)&amp;"!"&amp;CHAR(10)&amp;"ERGEBNISSE SIND SOMIT NICHT VERGLEICHBAR!"</f>
        <v>ACHTUNG THESAURIERER! EINLAGEN REICHEN NICHT AUS UM STEUERN ZU DECKEN!
NEGATIVE EINLAGEN AB JAHR 38!
ERGEBNISSE SIND SOMIT NICHT VERGLEICHBAR!</v>
      </c>
      <c r="C2" s="3"/>
      <c r="D2" s="4"/>
      <c r="E2" s="5" t="str">
        <f aca="false">"ACHTUNG AUSSCHÜTTER! EINLAGEN REICHEN NICHT AUS UM STEUERN ZU DECKEN!"&amp;CHAR(10)&amp;"NEGATIVE EINLAGEN AB JAHR "&amp;IFERROR(MATCH(1,INDEX((Ausschütter!$E$3:$E$102&lt;0)*1,0),0),0)&amp;"!"&amp;CHAR(10)&amp;"ERGEBNISSE SIND SOMIT NICHT VERGLEICHBAR!"</f>
        <v>ACHTUNG AUSSCHÜTTER! EINLAGEN REICHEN NICHT AUS UM STEUERN ZU DECKEN!
NEGATIVE EINLAGEN AB JAHR 0!
ERGEBNISSE SIND SOMIT NICHT VERGLEICHBAR!</v>
      </c>
      <c r="F2" s="5"/>
    </row>
    <row r="3" customFormat="false" ht="15.75" hidden="false" customHeight="false" outlineLevel="0" collapsed="false"/>
    <row r="4" customFormat="false" ht="19.5" hidden="false" customHeight="false" outlineLevel="0" collapsed="false">
      <c r="B4" s="6" t="s">
        <v>0</v>
      </c>
      <c r="C4" s="6"/>
      <c r="E4" s="7" t="s">
        <v>1</v>
      </c>
      <c r="F4" s="7"/>
      <c r="G4" s="7"/>
      <c r="H4" s="7"/>
      <c r="I4" s="7"/>
    </row>
    <row r="5" customFormat="false" ht="15.75" hidden="false" customHeight="false" outlineLevel="0" collapsed="false">
      <c r="B5" s="8" t="s">
        <v>2</v>
      </c>
      <c r="C5" s="9" t="n">
        <v>100000</v>
      </c>
      <c r="E5" s="10"/>
      <c r="F5" s="11" t="s">
        <v>3</v>
      </c>
      <c r="G5" s="12" t="s">
        <v>4</v>
      </c>
      <c r="H5" s="13" t="s">
        <v>5</v>
      </c>
      <c r="I5" s="14" t="s">
        <v>6</v>
      </c>
    </row>
    <row r="6" customFormat="false" ht="14.9" hidden="false" customHeight="false" outlineLevel="0" collapsed="false">
      <c r="B6" s="15" t="s">
        <v>7</v>
      </c>
      <c r="C6" s="16" t="n">
        <v>12000</v>
      </c>
      <c r="E6" s="17" t="s">
        <v>8</v>
      </c>
      <c r="F6" s="18" t="n">
        <f aca="true">OFFSET(Ausschütter!F2,C13,0)-OFFSET(Ausschütter!I2,C13,0)</f>
        <v>1686947.19674965</v>
      </c>
      <c r="G6" s="19" t="n">
        <f aca="true">OFFSET(Thesaurierer!F2,C13,0)</f>
        <v>2331155.64154099</v>
      </c>
      <c r="H6" s="20" t="n">
        <f aca="false">ABS(F6-G6)</f>
        <v>644208.444791343</v>
      </c>
      <c r="I6" s="21" t="n">
        <f aca="false">IF(F6&gt;G6,(H6/G6),(H6/F6))</f>
        <v>0.38187825086202</v>
      </c>
    </row>
    <row r="7" customFormat="false" ht="14.9" hidden="false" customHeight="false" outlineLevel="0" collapsed="false">
      <c r="B7" s="15" t="s">
        <v>9</v>
      </c>
      <c r="C7" s="22" t="n">
        <v>0.08</v>
      </c>
      <c r="E7" s="23" t="s">
        <v>10</v>
      </c>
      <c r="F7" s="24" t="n">
        <f aca="true">F6-OFFSET(Ausschütter!C2,C13,0)-OFFSET(Ausschütter!K2,C13,0)</f>
        <v>0</v>
      </c>
      <c r="G7" s="25" t="n">
        <f aca="true">G6-OFFSET(Thesaurierer!C2,C13,0)-OFFSET(Thesaurierer!K2,C13,0)</f>
        <v>1504148.27177192</v>
      </c>
      <c r="H7" s="25" t="n">
        <f aca="false">ABS(F7-G7)</f>
        <v>1504148.27177192</v>
      </c>
      <c r="I7" s="26" t="e">
        <f aca="false">IF(F7&gt;G7,(H7/G7),(H7/F7))</f>
        <v>#DIV/0!</v>
      </c>
    </row>
    <row r="8" customFormat="false" ht="14.9" hidden="false" customHeight="false" outlineLevel="0" collapsed="false">
      <c r="B8" s="15" t="s">
        <v>11</v>
      </c>
      <c r="C8" s="22" t="n">
        <v>0.08</v>
      </c>
      <c r="E8" s="23" t="s">
        <v>12</v>
      </c>
      <c r="F8" s="24" t="n">
        <f aca="false">F7*$C$11*$C$9</f>
        <v>0</v>
      </c>
      <c r="G8" s="24" t="n">
        <f aca="false">G7*$C$11*$C$9</f>
        <v>277703.374675891</v>
      </c>
      <c r="H8" s="27" t="n">
        <f aca="false">ABS(F8-G8)</f>
        <v>277703.374675891</v>
      </c>
      <c r="I8" s="28" t="e">
        <f aca="false">IF(F8&gt;G8,(H8/G8),(H8/F8))</f>
        <v>#DIV/0!</v>
      </c>
    </row>
    <row r="9" customFormat="false" ht="15.75" hidden="false" customHeight="false" outlineLevel="0" collapsed="false">
      <c r="B9" s="15" t="s">
        <v>13</v>
      </c>
      <c r="C9" s="29" t="n">
        <v>0.26375</v>
      </c>
      <c r="E9" s="30" t="s">
        <v>14</v>
      </c>
      <c r="F9" s="31" t="n">
        <f aca="true">F6-F8+OFFSET(Ausschütter!N2,C13,0)</f>
        <v>1797250.51239363</v>
      </c>
      <c r="G9" s="31" t="n">
        <f aca="true">G6-G8-OFFSET(Thesaurierer!J2,C13,0)</f>
        <v>2046602.63302787</v>
      </c>
      <c r="H9" s="32" t="n">
        <f aca="false">ABS(F9-G9)</f>
        <v>249352.120634247</v>
      </c>
      <c r="I9" s="33" t="n">
        <f aca="false">IF(F9&gt;G9,(H9/G9),(H9/F9))</f>
        <v>0.138740881649355</v>
      </c>
    </row>
    <row r="10" customFormat="false" ht="15.75" hidden="false" customHeight="false" outlineLevel="0" collapsed="false">
      <c r="B10" s="15" t="s">
        <v>15</v>
      </c>
      <c r="C10" s="29" t="n">
        <v>0.0255</v>
      </c>
      <c r="E10" s="34" t="s">
        <v>16</v>
      </c>
      <c r="F10" s="35" t="n">
        <f aca="false">Ausschütter!Q12</f>
        <v>0.0658046377551028</v>
      </c>
      <c r="G10" s="36" t="n">
        <f aca="false">Thesaurierer!P12</f>
        <v>0.071605502924159</v>
      </c>
      <c r="H10" s="37"/>
      <c r="I10" s="37"/>
    </row>
    <row r="11" customFormat="false" ht="15" hidden="false" customHeight="false" outlineLevel="0" collapsed="false">
      <c r="B11" s="38" t="s">
        <v>17</v>
      </c>
      <c r="C11" s="39" t="n">
        <v>0.7</v>
      </c>
    </row>
    <row r="12" customFormat="false" ht="15" hidden="false" customHeight="false" outlineLevel="0" collapsed="false">
      <c r="B12" s="15" t="s">
        <v>18</v>
      </c>
      <c r="C12" s="16" t="n">
        <v>1000</v>
      </c>
    </row>
    <row r="13" customFormat="false" ht="15.75" hidden="false" customHeight="false" outlineLevel="0" collapsed="false">
      <c r="B13" s="40" t="s">
        <v>19</v>
      </c>
      <c r="C13" s="41" t="n">
        <v>30</v>
      </c>
    </row>
    <row r="15" customFormat="false" ht="15.75" hidden="false" customHeight="false" outlineLevel="0" collapsed="false">
      <c r="B15" s="42"/>
    </row>
    <row r="16" customFormat="false" ht="15.75" hidden="false" customHeight="false" outlineLevel="0" collapsed="false">
      <c r="B16" s="43" t="s">
        <v>20</v>
      </c>
      <c r="C16" s="43"/>
      <c r="D16" s="43"/>
      <c r="E16" s="43"/>
      <c r="F16" s="43"/>
      <c r="G16" s="43"/>
      <c r="H16" s="43"/>
      <c r="I16" s="43"/>
      <c r="J16" s="43"/>
      <c r="K16" s="43"/>
    </row>
    <row r="17" customFormat="false" ht="15.75" hidden="false" customHeight="false" outlineLevel="0" collapsed="false">
      <c r="B17" s="44" t="s">
        <v>21</v>
      </c>
      <c r="C17" s="45" t="s">
        <v>22</v>
      </c>
      <c r="D17" s="46" t="s">
        <v>21</v>
      </c>
      <c r="E17" s="47" t="s">
        <v>22</v>
      </c>
      <c r="F17" s="48" t="s">
        <v>21</v>
      </c>
      <c r="G17" s="49" t="s">
        <v>22</v>
      </c>
      <c r="H17" s="50" t="s">
        <v>21</v>
      </c>
      <c r="I17" s="51" t="s">
        <v>22</v>
      </c>
      <c r="J17" s="52" t="s">
        <v>21</v>
      </c>
      <c r="K17" s="53" t="s">
        <v>22</v>
      </c>
    </row>
    <row r="18" customFormat="false" ht="15" hidden="false" customHeight="false" outlineLevel="0" collapsed="false">
      <c r="B18" s="54" t="n">
        <v>1</v>
      </c>
      <c r="C18" s="55"/>
      <c r="D18" s="56" t="n">
        <v>21</v>
      </c>
      <c r="E18" s="57"/>
      <c r="F18" s="58" t="n">
        <v>41</v>
      </c>
      <c r="G18" s="59"/>
      <c r="H18" s="60" t="n">
        <v>61</v>
      </c>
      <c r="I18" s="61"/>
      <c r="J18" s="62" t="n">
        <v>81</v>
      </c>
      <c r="K18" s="63"/>
    </row>
    <row r="19" customFormat="false" ht="15" hidden="false" customHeight="false" outlineLevel="0" collapsed="false">
      <c r="B19" s="64" t="n">
        <v>2</v>
      </c>
      <c r="C19" s="65"/>
      <c r="D19" s="66" t="n">
        <v>22</v>
      </c>
      <c r="E19" s="67"/>
      <c r="F19" s="68" t="n">
        <v>42</v>
      </c>
      <c r="G19" s="69"/>
      <c r="H19" s="70" t="n">
        <v>62</v>
      </c>
      <c r="I19" s="71"/>
      <c r="J19" s="72" t="n">
        <v>82</v>
      </c>
      <c r="K19" s="73"/>
    </row>
    <row r="20" customFormat="false" ht="15" hidden="false" customHeight="false" outlineLevel="0" collapsed="false">
      <c r="B20" s="64" t="n">
        <v>3</v>
      </c>
      <c r="C20" s="65"/>
      <c r="D20" s="66" t="n">
        <v>23</v>
      </c>
      <c r="E20" s="67"/>
      <c r="F20" s="68" t="n">
        <v>43</v>
      </c>
      <c r="G20" s="69"/>
      <c r="H20" s="70" t="n">
        <v>63</v>
      </c>
      <c r="I20" s="71"/>
      <c r="J20" s="72" t="n">
        <v>83</v>
      </c>
      <c r="K20" s="73"/>
    </row>
    <row r="21" customFormat="false" ht="15" hidden="false" customHeight="false" outlineLevel="0" collapsed="false">
      <c r="B21" s="64" t="n">
        <v>4</v>
      </c>
      <c r="C21" s="65"/>
      <c r="D21" s="66" t="n">
        <v>24</v>
      </c>
      <c r="E21" s="67"/>
      <c r="F21" s="68" t="n">
        <v>44</v>
      </c>
      <c r="G21" s="69"/>
      <c r="H21" s="70" t="n">
        <v>64</v>
      </c>
      <c r="I21" s="71"/>
      <c r="J21" s="72" t="n">
        <v>84</v>
      </c>
      <c r="K21" s="73"/>
    </row>
    <row r="22" customFormat="false" ht="15" hidden="false" customHeight="false" outlineLevel="0" collapsed="false">
      <c r="B22" s="64" t="n">
        <v>5</v>
      </c>
      <c r="C22" s="65"/>
      <c r="D22" s="66" t="n">
        <v>25</v>
      </c>
      <c r="E22" s="67"/>
      <c r="F22" s="68" t="n">
        <v>45</v>
      </c>
      <c r="G22" s="69"/>
      <c r="H22" s="70" t="n">
        <v>65</v>
      </c>
      <c r="I22" s="71"/>
      <c r="J22" s="72" t="n">
        <v>85</v>
      </c>
      <c r="K22" s="73"/>
    </row>
    <row r="23" customFormat="false" ht="15" hidden="false" customHeight="false" outlineLevel="0" collapsed="false">
      <c r="B23" s="64" t="n">
        <v>6</v>
      </c>
      <c r="C23" s="65"/>
      <c r="D23" s="66" t="n">
        <v>26</v>
      </c>
      <c r="E23" s="67"/>
      <c r="F23" s="68" t="n">
        <v>46</v>
      </c>
      <c r="G23" s="69"/>
      <c r="H23" s="70" t="n">
        <v>66</v>
      </c>
      <c r="I23" s="71"/>
      <c r="J23" s="72" t="n">
        <v>86</v>
      </c>
      <c r="K23" s="73"/>
    </row>
    <row r="24" customFormat="false" ht="15" hidden="false" customHeight="false" outlineLevel="0" collapsed="false">
      <c r="B24" s="64" t="n">
        <v>7</v>
      </c>
      <c r="C24" s="65"/>
      <c r="D24" s="66" t="n">
        <v>27</v>
      </c>
      <c r="E24" s="67"/>
      <c r="F24" s="68" t="n">
        <v>47</v>
      </c>
      <c r="G24" s="69"/>
      <c r="H24" s="70" t="n">
        <v>67</v>
      </c>
      <c r="I24" s="71"/>
      <c r="J24" s="72" t="n">
        <v>87</v>
      </c>
      <c r="K24" s="73"/>
    </row>
    <row r="25" customFormat="false" ht="15" hidden="false" customHeight="false" outlineLevel="0" collapsed="false">
      <c r="B25" s="64" t="n">
        <v>8</v>
      </c>
      <c r="C25" s="65"/>
      <c r="D25" s="66" t="n">
        <v>28</v>
      </c>
      <c r="E25" s="67"/>
      <c r="F25" s="68" t="n">
        <v>48</v>
      </c>
      <c r="G25" s="69"/>
      <c r="H25" s="70" t="n">
        <v>68</v>
      </c>
      <c r="I25" s="71"/>
      <c r="J25" s="72" t="n">
        <v>88</v>
      </c>
      <c r="K25" s="73"/>
    </row>
    <row r="26" customFormat="false" ht="15" hidden="false" customHeight="false" outlineLevel="0" collapsed="false">
      <c r="B26" s="64" t="n">
        <v>9</v>
      </c>
      <c r="C26" s="65"/>
      <c r="D26" s="66" t="n">
        <v>29</v>
      </c>
      <c r="E26" s="67"/>
      <c r="F26" s="68" t="n">
        <v>49</v>
      </c>
      <c r="G26" s="69"/>
      <c r="H26" s="70" t="n">
        <v>69</v>
      </c>
      <c r="I26" s="71"/>
      <c r="J26" s="72" t="n">
        <v>89</v>
      </c>
      <c r="K26" s="73"/>
    </row>
    <row r="27" customFormat="false" ht="15" hidden="false" customHeight="false" outlineLevel="0" collapsed="false">
      <c r="B27" s="64" t="n">
        <v>10</v>
      </c>
      <c r="C27" s="65"/>
      <c r="D27" s="66" t="n">
        <v>30</v>
      </c>
      <c r="E27" s="67"/>
      <c r="F27" s="68" t="n">
        <v>50</v>
      </c>
      <c r="G27" s="69"/>
      <c r="H27" s="70" t="n">
        <v>70</v>
      </c>
      <c r="I27" s="71"/>
      <c r="J27" s="72" t="n">
        <v>90</v>
      </c>
      <c r="K27" s="73"/>
    </row>
    <row r="28" customFormat="false" ht="15" hidden="false" customHeight="false" outlineLevel="0" collapsed="false">
      <c r="B28" s="64" t="n">
        <v>11</v>
      </c>
      <c r="C28" s="65"/>
      <c r="D28" s="66" t="n">
        <v>31</v>
      </c>
      <c r="E28" s="67"/>
      <c r="F28" s="68" t="n">
        <v>51</v>
      </c>
      <c r="G28" s="69"/>
      <c r="H28" s="70" t="n">
        <v>71</v>
      </c>
      <c r="I28" s="71"/>
      <c r="J28" s="72" t="n">
        <v>91</v>
      </c>
      <c r="K28" s="73"/>
    </row>
    <row r="29" customFormat="false" ht="15" hidden="false" customHeight="false" outlineLevel="0" collapsed="false">
      <c r="B29" s="64" t="n">
        <v>12</v>
      </c>
      <c r="C29" s="65"/>
      <c r="D29" s="66" t="n">
        <v>32</v>
      </c>
      <c r="E29" s="67"/>
      <c r="F29" s="68" t="n">
        <v>52</v>
      </c>
      <c r="G29" s="69"/>
      <c r="H29" s="70" t="n">
        <v>72</v>
      </c>
      <c r="I29" s="71"/>
      <c r="J29" s="72" t="n">
        <v>92</v>
      </c>
      <c r="K29" s="73"/>
    </row>
    <row r="30" customFormat="false" ht="15" hidden="false" customHeight="false" outlineLevel="0" collapsed="false">
      <c r="B30" s="64" t="n">
        <v>13</v>
      </c>
      <c r="C30" s="65"/>
      <c r="D30" s="66" t="n">
        <v>33</v>
      </c>
      <c r="E30" s="67"/>
      <c r="F30" s="68" t="n">
        <v>53</v>
      </c>
      <c r="G30" s="69"/>
      <c r="H30" s="70" t="n">
        <v>73</v>
      </c>
      <c r="I30" s="71"/>
      <c r="J30" s="72" t="n">
        <v>93</v>
      </c>
      <c r="K30" s="73"/>
    </row>
    <row r="31" customFormat="false" ht="15" hidden="false" customHeight="false" outlineLevel="0" collapsed="false">
      <c r="B31" s="64" t="n">
        <v>14</v>
      </c>
      <c r="C31" s="65"/>
      <c r="D31" s="66" t="n">
        <v>34</v>
      </c>
      <c r="E31" s="67"/>
      <c r="F31" s="68" t="n">
        <v>54</v>
      </c>
      <c r="G31" s="69"/>
      <c r="H31" s="70" t="n">
        <v>74</v>
      </c>
      <c r="I31" s="71"/>
      <c r="J31" s="72" t="n">
        <v>94</v>
      </c>
      <c r="K31" s="73"/>
    </row>
    <row r="32" customFormat="false" ht="15" hidden="false" customHeight="false" outlineLevel="0" collapsed="false">
      <c r="B32" s="64" t="n">
        <v>15</v>
      </c>
      <c r="C32" s="65"/>
      <c r="D32" s="66" t="n">
        <v>35</v>
      </c>
      <c r="E32" s="67"/>
      <c r="F32" s="68" t="n">
        <v>55</v>
      </c>
      <c r="G32" s="69"/>
      <c r="H32" s="70" t="n">
        <v>75</v>
      </c>
      <c r="I32" s="71"/>
      <c r="J32" s="72" t="n">
        <v>95</v>
      </c>
      <c r="K32" s="73"/>
    </row>
    <row r="33" customFormat="false" ht="15" hidden="false" customHeight="false" outlineLevel="0" collapsed="false">
      <c r="B33" s="64" t="n">
        <v>16</v>
      </c>
      <c r="C33" s="65"/>
      <c r="D33" s="66" t="n">
        <v>36</v>
      </c>
      <c r="E33" s="67"/>
      <c r="F33" s="68" t="n">
        <v>56</v>
      </c>
      <c r="G33" s="69"/>
      <c r="H33" s="70" t="n">
        <v>76</v>
      </c>
      <c r="I33" s="71"/>
      <c r="J33" s="72" t="n">
        <v>96</v>
      </c>
      <c r="K33" s="73"/>
    </row>
    <row r="34" customFormat="false" ht="15" hidden="false" customHeight="false" outlineLevel="0" collapsed="false">
      <c r="B34" s="64" t="n">
        <v>17</v>
      </c>
      <c r="C34" s="65"/>
      <c r="D34" s="66" t="n">
        <v>37</v>
      </c>
      <c r="E34" s="67"/>
      <c r="F34" s="68" t="n">
        <v>57</v>
      </c>
      <c r="G34" s="69"/>
      <c r="H34" s="70" t="n">
        <v>77</v>
      </c>
      <c r="I34" s="71"/>
      <c r="J34" s="72" t="n">
        <v>97</v>
      </c>
      <c r="K34" s="73"/>
    </row>
    <row r="35" customFormat="false" ht="15" hidden="false" customHeight="false" outlineLevel="0" collapsed="false">
      <c r="B35" s="64" t="n">
        <v>18</v>
      </c>
      <c r="C35" s="65"/>
      <c r="D35" s="66" t="n">
        <v>38</v>
      </c>
      <c r="E35" s="67"/>
      <c r="F35" s="68" t="n">
        <v>58</v>
      </c>
      <c r="G35" s="69"/>
      <c r="H35" s="70" t="n">
        <v>78</v>
      </c>
      <c r="I35" s="71"/>
      <c r="J35" s="72" t="n">
        <v>98</v>
      </c>
      <c r="K35" s="73"/>
    </row>
    <row r="36" customFormat="false" ht="15" hidden="false" customHeight="false" outlineLevel="0" collapsed="false">
      <c r="B36" s="64" t="n">
        <v>19</v>
      </c>
      <c r="C36" s="65"/>
      <c r="D36" s="66" t="n">
        <v>39</v>
      </c>
      <c r="E36" s="67"/>
      <c r="F36" s="68" t="n">
        <v>59</v>
      </c>
      <c r="G36" s="69"/>
      <c r="H36" s="70" t="n">
        <v>79</v>
      </c>
      <c r="I36" s="71"/>
      <c r="J36" s="72" t="n">
        <v>99</v>
      </c>
      <c r="K36" s="73"/>
    </row>
    <row r="37" customFormat="false" ht="15.75" hidden="false" customHeight="false" outlineLevel="0" collapsed="false">
      <c r="B37" s="74" t="n">
        <v>20</v>
      </c>
      <c r="C37" s="75"/>
      <c r="D37" s="76" t="n">
        <v>40</v>
      </c>
      <c r="E37" s="77"/>
      <c r="F37" s="78" t="n">
        <v>60</v>
      </c>
      <c r="G37" s="79"/>
      <c r="H37" s="80" t="n">
        <v>80</v>
      </c>
      <c r="I37" s="81"/>
      <c r="J37" s="82" t="n">
        <v>100</v>
      </c>
      <c r="K37" s="83"/>
    </row>
  </sheetData>
  <sheetProtection sheet="true" objects="true" scenarios="true"/>
  <mergeCells count="5">
    <mergeCell ref="B2:C2"/>
    <mergeCell ref="E2:F2"/>
    <mergeCell ref="B4:C4"/>
    <mergeCell ref="E4:I4"/>
    <mergeCell ref="B16:K16"/>
  </mergeCells>
  <conditionalFormatting sqref="H9">
    <cfRule type="expression" priority="2" aboveAverage="0" equalAverage="0" bottom="0" percent="0" rank="0" text="" dxfId="0">
      <formula>$G$9&gt;$F$9</formula>
    </cfRule>
    <cfRule type="expression" priority="3" aboveAverage="0" equalAverage="0" bottom="0" percent="0" rank="0" text="" dxfId="1">
      <formula>$F$9&gt;$G$9</formula>
    </cfRule>
  </conditionalFormatting>
  <conditionalFormatting sqref="H6">
    <cfRule type="expression" priority="4" aboveAverage="0" equalAverage="0" bottom="0" percent="0" rank="0" text="" dxfId="2">
      <formula>$G$6&gt;$F$6</formula>
    </cfRule>
    <cfRule type="expression" priority="5" aboveAverage="0" equalAverage="0" bottom="0" percent="0" rank="0" text="" dxfId="3">
      <formula>$F$6&gt;$G$6</formula>
    </cfRule>
  </conditionalFormatting>
  <conditionalFormatting sqref="H8">
    <cfRule type="expression" priority="6" aboveAverage="0" equalAverage="0" bottom="0" percent="0" rank="0" text="" dxfId="4">
      <formula>$G$8&gt;$F$8</formula>
    </cfRule>
    <cfRule type="expression" priority="7" aboveAverage="0" equalAverage="0" bottom="0" percent="0" rank="0" text="" dxfId="5">
      <formula>$F$8&gt;$G$8</formula>
    </cfRule>
  </conditionalFormatting>
  <conditionalFormatting sqref="H7">
    <cfRule type="expression" priority="8" aboveAverage="0" equalAverage="0" bottom="0" percent="0" rank="0" text="" dxfId="6">
      <formula>$G$7&gt;$F$7</formula>
    </cfRule>
    <cfRule type="expression" priority="9" aboveAverage="0" equalAverage="0" bottom="0" percent="0" rank="0" text="" dxfId="7">
      <formula>$F$7&gt;$G$7</formula>
    </cfRule>
  </conditionalFormatting>
  <conditionalFormatting sqref="I9">
    <cfRule type="expression" priority="10" aboveAverage="0" equalAverage="0" bottom="0" percent="0" rank="0" text="" dxfId="8">
      <formula>$G$9&gt;$F$9</formula>
    </cfRule>
    <cfRule type="expression" priority="11" aboveAverage="0" equalAverage="0" bottom="0" percent="0" rank="0" text="" dxfId="9">
      <formula>$F$9&gt;$G$9</formula>
    </cfRule>
  </conditionalFormatting>
  <conditionalFormatting sqref="I6">
    <cfRule type="expression" priority="12" aboveAverage="0" equalAverage="0" bottom="0" percent="0" rank="0" text="" dxfId="10">
      <formula>$G$6&gt;$F$6</formula>
    </cfRule>
    <cfRule type="expression" priority="13" aboveAverage="0" equalAverage="0" bottom="0" percent="0" rank="0" text="" dxfId="11">
      <formula>$F$6&gt;$G$6</formula>
    </cfRule>
  </conditionalFormatting>
  <conditionalFormatting sqref="I8">
    <cfRule type="expression" priority="14" aboveAverage="0" equalAverage="0" bottom="0" percent="0" rank="0" text="" dxfId="12">
      <formula>$G$8&gt;$F$8</formula>
    </cfRule>
    <cfRule type="expression" priority="15" aboveAverage="0" equalAverage="0" bottom="0" percent="0" rank="0" text="" dxfId="13">
      <formula>$F$8&gt;$G$8</formula>
    </cfRule>
  </conditionalFormatting>
  <conditionalFormatting sqref="I7">
    <cfRule type="expression" priority="16" aboveAverage="0" equalAverage="0" bottom="0" percent="0" rank="0" text="" dxfId="14">
      <formula>$G$7&gt;$F$7</formula>
    </cfRule>
    <cfRule type="expression" priority="17" aboveAverage="0" equalAverage="0" bottom="0" percent="0" rank="0" text="" dxfId="15">
      <formula>$F$7&gt;$G$7</formula>
    </cfRule>
  </conditionalFormatting>
  <dataValidations count="2">
    <dataValidation allowBlank="true" errorStyle="stop" operator="between" prompt="Diese Warnung dient als Information! &#10;Berechnungen bleiben bis zum angegebenen Jahr (exklusive) korrekt!&#10;" promptTitle="WARNUNG!" showDropDown="false" showErrorMessage="true" showInputMessage="true" sqref="B2 D2" type="none">
      <formula1>0</formula1>
      <formula2>0</formula2>
    </dataValidation>
    <dataValidation allowBlank="true" errorStyle="stop" operator="between" prompt="Die Prozentangaben beziehen sich jeweils auf den kleineren&#10;der beiden Werte!" promptTitle="Information!" showDropDown="false" showErrorMessage="true" showInputMessage="true" sqref="I5:I9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8" id="{2040BFBA-C3DE-4019-9DAF-E264539E1160}">
            <xm:f>AND(IFERROR(MATCH(1,INDEX((Thesaurierer!$E$3:$E$102&lt;0)*1,0),0),0) &lt;= $C$13,IFERROR(MATCH(1,INDEX((Thesaurierer!$E$3:$E$102&lt;0)*1,0),0),0) &gt;0)</xm:f>
            <x14:dxf>
              <font>
                <color rgb="FF000000"/>
              </font>
              <fill>
                <patternFill>
                  <bgColor rgb="FFFF0000"/>
                </patternFill>
              </fill>
              <border diagonalUp="false" diagonalDown="false">
                <left style="thin"/>
                <right style="thin"/>
                <top style="thin"/>
                <bottom style="thin"/>
                <diagonal/>
              </border>
            </x14:dxf>
          </x14:cfRule>
          <x14:cfRule type="expression" priority="19" id="{23D16746-395B-4173-9558-D230D5BAED79}">
            <xm:f>0 = COUNTIF(Thesaurierer!E:E,"&lt;0")</xm:f>
            <x14:dxf>
              <font>
                <color rgb="FFFFFFFF"/>
              </font>
              <fill>
                <patternFill>
                  <bgColor rgb="FFFFFFFF"/>
                </patternFill>
              </fill>
              <border diagonalUp="false" diagonalDown="false">
                <left/>
                <right/>
                <top/>
                <bottom/>
                <diagonal/>
              </border>
            </x14:dxf>
          </x14:cfRule>
          <xm:sqref>B2 D2</xm:sqref>
        </x14:conditionalFormatting>
        <x14:conditionalFormatting xmlns:xm="http://schemas.microsoft.com/office/excel/2006/main">
          <x14:cfRule type="expression" priority="20" id="{BD131372-9EB2-4963-934C-DF7A93E33460}">
            <xm:f>AND(IFERROR(MATCH(1,INDEX((Ausschütter!$E$3:$E$102&lt;0)*1,0),0),0) &lt;= $C$13,IFERROR(MATCH(1,INDEX((Ausschütter!$E$3:$E$102&lt;0)*1,0),0),0) &gt;0)</xm:f>
            <x14:dxf>
              <font>
                <color rgb="FFFFFFFF"/>
              </font>
              <fill>
                <patternFill>
                  <bgColor rgb="FFFF0000"/>
                </patternFill>
              </fill>
              <border diagonalUp="false" diagonalDown="false">
                <left style="thin"/>
                <right style="thin"/>
                <top style="thin"/>
                <bottom style="thin"/>
                <diagonal/>
              </border>
            </x14:dxf>
          </x14:cfRule>
          <x14:cfRule type="expression" priority="21" id="{663CB631-CB5F-45D2-8063-C3BE3054165F}">
            <xm:f>0 = COUNTIF(Ausschütter!E:E,"&lt;0")</xm:f>
            <x14:dxf>
              <font>
                <strike val="0"/>
                <color rgb="FFFFFFFF"/>
              </font>
              <fill>
                <patternFill>
                  <bgColor rgb="FFFFFFFF"/>
                </patternFill>
              </fill>
              <border diagonalUp="false" diagonalDown="false">
                <left/>
                <right/>
                <top/>
                <bottom/>
                <diagonal/>
              </border>
            </x14:dxf>
          </x14:cfRule>
          <xm:sqref>E2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10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I3" activeCellId="0" sqref="I3"/>
    </sheetView>
  </sheetViews>
  <sheetFormatPr defaultColWidth="10.54296875" defaultRowHeight="15" zeroHeight="false" outlineLevelRow="0" outlineLevelCol="0"/>
  <cols>
    <col collapsed="false" customWidth="true" hidden="false" outlineLevel="0" max="1" min="1" style="0" width="7.7"/>
    <col collapsed="false" customWidth="true" hidden="true" outlineLevel="0" max="2" min="2" style="0" width="10.28"/>
    <col collapsed="false" customWidth="true" hidden="false" outlineLevel="0" max="3" min="3" style="0" width="16.14"/>
    <col collapsed="false" customWidth="true" hidden="false" outlineLevel="0" max="4" min="4" style="0" width="13.71"/>
    <col collapsed="false" customWidth="true" hidden="false" outlineLevel="0" max="5" min="5" style="0" width="11.28"/>
    <col collapsed="false" customWidth="true" hidden="false" outlineLevel="0" max="6" min="6" style="0" width="19.14"/>
    <col collapsed="false" customWidth="true" hidden="false" outlineLevel="0" max="7" min="7" style="0" width="16.71"/>
    <col collapsed="false" customWidth="true" hidden="false" outlineLevel="0" max="8" min="8" style="0" width="16.28"/>
    <col collapsed="false" customWidth="true" hidden="false" outlineLevel="0" max="9" min="9" style="0" width="13.43"/>
    <col collapsed="false" customWidth="true" hidden="false" outlineLevel="0" max="10" min="10" style="0" width="16.14"/>
    <col collapsed="false" customWidth="true" hidden="false" outlineLevel="0" max="12" min="11" style="0" width="16.43"/>
    <col collapsed="false" customWidth="true" hidden="false" outlineLevel="0" max="13" min="13" style="0" width="17.43"/>
    <col collapsed="false" customWidth="true" hidden="false" outlineLevel="0" max="14" min="14" style="0" width="16.14"/>
    <col collapsed="false" customWidth="true" hidden="false" outlineLevel="0" max="16" min="16" style="0" width="28.86"/>
    <col collapsed="false" customWidth="true" hidden="false" outlineLevel="0" max="17" min="17" style="0" width="18.57"/>
    <col collapsed="false" customWidth="true" hidden="false" outlineLevel="0" max="18" min="18" style="0" width="13"/>
    <col collapsed="false" customWidth="true" hidden="false" outlineLevel="0" max="19" min="19" style="0" width="18.57"/>
    <col collapsed="false" customWidth="true" hidden="false" outlineLevel="0" max="20" min="20" style="0" width="17.85"/>
    <col collapsed="false" customWidth="true" hidden="false" outlineLevel="0" max="22" min="22" style="0" width="17.85"/>
  </cols>
  <sheetData>
    <row r="1" customFormat="false" ht="15.75" hidden="false" customHeight="false" outlineLevel="0" collapsed="false"/>
    <row r="2" customFormat="false" ht="45.75" hidden="false" customHeight="false" outlineLevel="0" collapsed="false">
      <c r="A2" s="84" t="s">
        <v>21</v>
      </c>
      <c r="B2" s="84"/>
      <c r="C2" s="85" t="s">
        <v>23</v>
      </c>
      <c r="D2" s="84" t="s">
        <v>24</v>
      </c>
      <c r="E2" s="84" t="s">
        <v>25</v>
      </c>
      <c r="F2" s="84" t="s">
        <v>26</v>
      </c>
      <c r="G2" s="84" t="s">
        <v>27</v>
      </c>
      <c r="H2" s="85" t="s">
        <v>28</v>
      </c>
      <c r="I2" s="84" t="s">
        <v>29</v>
      </c>
      <c r="J2" s="84" t="s">
        <v>30</v>
      </c>
      <c r="K2" s="85" t="s">
        <v>31</v>
      </c>
      <c r="L2" s="85" t="s">
        <v>32</v>
      </c>
      <c r="M2" s="85" t="s">
        <v>33</v>
      </c>
      <c r="N2" s="84" t="s">
        <v>34</v>
      </c>
    </row>
    <row r="3" customFormat="false" ht="14.9" hidden="false" customHeight="false" outlineLevel="0" collapsed="false">
      <c r="A3" s="86" t="n">
        <v>1</v>
      </c>
      <c r="B3" s="87" t="n">
        <f aca="false">IF(Übersicht!$C$13&gt;=A3,-Übersicht!$C$5-Übersicht!$C$6,IF(A3=Übersicht!$C$13+1,Übersicht!$F$9,0))</f>
        <v>-112000</v>
      </c>
      <c r="C3" s="87" t="n">
        <f aca="false">E3+D3</f>
        <v>112000</v>
      </c>
      <c r="D3" s="87" t="n">
        <f aca="false">Q3</f>
        <v>100000</v>
      </c>
      <c r="E3" s="87" t="n">
        <f aca="false">$Q$4</f>
        <v>12000</v>
      </c>
      <c r="F3" s="87" t="n">
        <f aca="false">IF(ISNUMBER(Übersicht!C18),(D3+E3)*(1+Übersicht!C18),(D3+E3)*(1+$Q$5))</f>
        <v>120960</v>
      </c>
      <c r="G3" s="87" t="n">
        <f aca="false">F3-(E3+D3)</f>
        <v>8960.00000000002</v>
      </c>
      <c r="H3" s="87" t="n">
        <f aca="false">IF(G3&gt;0,MIN((D3+E3)*$Q$8*0.7,G3),0)</f>
        <v>1999.2</v>
      </c>
      <c r="I3" s="87" t="n">
        <f aca="false">(D3+E3)*$Q$6</f>
        <v>8960</v>
      </c>
      <c r="J3" s="87" t="n">
        <f aca="false">IF(G3&gt;0,MAX(H3-I3,0),0)</f>
        <v>0</v>
      </c>
      <c r="K3" s="87" t="n">
        <f aca="false">J3</f>
        <v>0</v>
      </c>
      <c r="L3" s="87" t="n">
        <f aca="false">IF(J3*$Q$9&gt;$Q$10,(J3*$Q$9-$Q$10)*$Q$7,0)</f>
        <v>0</v>
      </c>
      <c r="M3" s="87" t="n">
        <f aca="false">IF(I3*$Q$9&gt;$Q$10,(I3*$Q$9-$Q$10)*$Q$7,0)</f>
        <v>1390.49</v>
      </c>
      <c r="N3" s="88" t="n">
        <f aca="false">I3-M3-L3</f>
        <v>7569.51</v>
      </c>
      <c r="P3" s="8" t="s">
        <v>2</v>
      </c>
      <c r="Q3" s="89" t="n">
        <f aca="false">Übersicht!C5</f>
        <v>100000</v>
      </c>
    </row>
    <row r="4" customFormat="false" ht="14.9" hidden="false" customHeight="false" outlineLevel="0" collapsed="false">
      <c r="A4" s="90" t="n">
        <v>2</v>
      </c>
      <c r="B4" s="91" t="n">
        <f aca="false">IF(Übersicht!$C$13&gt;=A4,-Übersicht!$C$6,IF(A4=Übersicht!$C$13+1,Übersicht!$F$9,0))</f>
        <v>-12000</v>
      </c>
      <c r="C4" s="91" t="n">
        <f aca="false">C3+E4</f>
        <v>131569.51</v>
      </c>
      <c r="D4" s="91" t="n">
        <f aca="false">F3-I3</f>
        <v>112000</v>
      </c>
      <c r="E4" s="91" t="n">
        <f aca="false">$Q$4+N3</f>
        <v>19569.51</v>
      </c>
      <c r="F4" s="91" t="n">
        <f aca="false">IF(ISNUMBER(Übersicht!C19),(D4+E4)*(1+Übersicht!C19),(D4+E4)*(1+$Q$5))</f>
        <v>142095.0708</v>
      </c>
      <c r="G4" s="91" t="n">
        <f aca="false">F4-(E4+D4)</f>
        <v>10525.5608</v>
      </c>
      <c r="H4" s="91" t="n">
        <f aca="false">IF(G4&gt;0,MIN((D4+E4)*$Q$8*0.7,G4),0)</f>
        <v>2348.5157535</v>
      </c>
      <c r="I4" s="87" t="n">
        <f aca="false">(D4+E4)*$Q$6</f>
        <v>10525.5608</v>
      </c>
      <c r="J4" s="91" t="n">
        <f aca="false">IF(G4&gt;0,MAX(H4-I4,0),0)</f>
        <v>0</v>
      </c>
      <c r="K4" s="91" t="n">
        <f aca="false">K3+J4</f>
        <v>0</v>
      </c>
      <c r="L4" s="91" t="n">
        <f aca="false">IF(J4*$Q$9&gt;$Q$10,(J4*$Q$9-$Q$10)*$Q$7,0)</f>
        <v>0</v>
      </c>
      <c r="M4" s="91" t="n">
        <f aca="false">IF(J3*$Q$9&gt;$Q$10,(I4)*$Q$9*$Q$7,IF((J3+I4)*$Q$9&gt;$Q$10,((J3+I4)*$Q$9-$Q$10)*$Q$7,0))</f>
        <v>1679.5316627</v>
      </c>
      <c r="N4" s="88" t="n">
        <f aca="false">I4-M4-L4</f>
        <v>8846.0291373</v>
      </c>
      <c r="P4" s="15" t="s">
        <v>7</v>
      </c>
      <c r="Q4" s="92" t="n">
        <f aca="false">Übersicht!C6</f>
        <v>12000</v>
      </c>
    </row>
    <row r="5" customFormat="false" ht="14.9" hidden="false" customHeight="false" outlineLevel="0" collapsed="false">
      <c r="A5" s="90" t="n">
        <v>3</v>
      </c>
      <c r="B5" s="91" t="n">
        <f aca="false">IF(Übersicht!$C$13&gt;=A5,-Übersicht!$C$6,IF(A5=Übersicht!$C$13+1,Übersicht!$F$9,0))</f>
        <v>-12000</v>
      </c>
      <c r="C5" s="91" t="n">
        <f aca="false">C4+E5</f>
        <v>152415.5391373</v>
      </c>
      <c r="D5" s="91" t="n">
        <f aca="false">F4-I4</f>
        <v>131569.51</v>
      </c>
      <c r="E5" s="91" t="n">
        <f aca="false">$Q$4+N4</f>
        <v>20846.0291373</v>
      </c>
      <c r="F5" s="91" t="n">
        <f aca="false">IF(ISNUMBER(Übersicht!C20),(D5+E5)*(1+Übersicht!C20),(D5+E5)*(1+$Q$5))</f>
        <v>164608.782268284</v>
      </c>
      <c r="G5" s="91" t="n">
        <f aca="false">F5-(E5+D5)</f>
        <v>12193.243130984</v>
      </c>
      <c r="H5" s="91" t="n">
        <f aca="false">IF(G5&gt;0,MIN((D5+E5)*$Q$8*0.7,G5),0)</f>
        <v>2720.6173736008</v>
      </c>
      <c r="I5" s="87" t="n">
        <f aca="false">(D5+E5)*$Q$6</f>
        <v>12193.243130984</v>
      </c>
      <c r="J5" s="91" t="n">
        <f aca="false">IF(G5&gt;0,MAX(H5-I5,0),0)</f>
        <v>0</v>
      </c>
      <c r="K5" s="91" t="n">
        <f aca="false">K4+J5</f>
        <v>0</v>
      </c>
      <c r="L5" s="91" t="n">
        <f aca="false">IF(J5*$Q$9&gt;$Q$10,(J5*$Q$9-$Q$10)*$Q$7,0)</f>
        <v>0</v>
      </c>
      <c r="M5" s="91" t="n">
        <f aca="false">IF(J4*$Q$9&gt;$Q$10,(I5)*$Q$9*$Q$7,IF((J4+I5)*$Q$9&gt;$Q$10,((J4+I5)*$Q$9-$Q$10)*$Q$7,0))</f>
        <v>1987.42751305792</v>
      </c>
      <c r="N5" s="88" t="n">
        <f aca="false">I5-M5-L5</f>
        <v>10205.8156179261</v>
      </c>
      <c r="P5" s="15" t="s">
        <v>9</v>
      </c>
      <c r="Q5" s="93" t="n">
        <f aca="false">Übersicht!C7</f>
        <v>0.08</v>
      </c>
    </row>
    <row r="6" customFormat="false" ht="14.9" hidden="false" customHeight="false" outlineLevel="0" collapsed="false">
      <c r="A6" s="90" t="n">
        <v>4</v>
      </c>
      <c r="B6" s="91" t="n">
        <f aca="false">IF(Übersicht!$C$13&gt;=A6,-Übersicht!$C$6,IF(A6=Übersicht!$C$13+1,Übersicht!$F$9,0))</f>
        <v>-12000</v>
      </c>
      <c r="C6" s="91" t="n">
        <f aca="false">C5+E6</f>
        <v>174621.354755226</v>
      </c>
      <c r="D6" s="91" t="n">
        <f aca="false">F5-I5</f>
        <v>152415.5391373</v>
      </c>
      <c r="E6" s="91" t="n">
        <f aca="false">$Q$4+N5</f>
        <v>22205.8156179261</v>
      </c>
      <c r="F6" s="91" t="n">
        <f aca="false">IF(ISNUMBER(Übersicht!C21),(D6+E6)*(1+Übersicht!C21),(D6+E6)*(1+$Q$5))</f>
        <v>188591.063135644</v>
      </c>
      <c r="G6" s="91" t="n">
        <f aca="false">F6-(E6+D6)</f>
        <v>13969.7083804181</v>
      </c>
      <c r="H6" s="91" t="n">
        <f aca="false">IF(G6&gt;0,MIN((D6+E6)*$Q$8*0.7,G6),0)</f>
        <v>3116.99118238079</v>
      </c>
      <c r="I6" s="87" t="n">
        <f aca="false">(D6+E6)*$Q$6</f>
        <v>13969.7083804181</v>
      </c>
      <c r="J6" s="91" t="n">
        <f aca="false">IF(G6&gt;0,MAX(H6-I6,0),0)</f>
        <v>0</v>
      </c>
      <c r="K6" s="91" t="n">
        <f aca="false">K5+J6</f>
        <v>0</v>
      </c>
      <c r="L6" s="91" t="n">
        <f aca="false">IF(J6*$Q$9&gt;$Q$10,(J6*$Q$9-$Q$10)*$Q$7,0)</f>
        <v>0</v>
      </c>
      <c r="M6" s="91" t="n">
        <f aca="false">IF(J5*$Q$9&gt;$Q$10,(I6)*$Q$9*$Q$7,IF((J5+I6)*$Q$9&gt;$Q$10,((J5+I6)*$Q$9-$Q$10)*$Q$7,0))</f>
        <v>2315.40740973469</v>
      </c>
      <c r="N6" s="88" t="n">
        <f aca="false">I6-M6-L6</f>
        <v>11654.3009706834</v>
      </c>
      <c r="P6" s="15" t="s">
        <v>11</v>
      </c>
      <c r="Q6" s="93" t="n">
        <f aca="false">Übersicht!C8</f>
        <v>0.08</v>
      </c>
    </row>
    <row r="7" customFormat="false" ht="14.9" hidden="false" customHeight="false" outlineLevel="0" collapsed="false">
      <c r="A7" s="90" t="n">
        <v>5</v>
      </c>
      <c r="B7" s="91" t="n">
        <f aca="false">IF(Übersicht!$C$13&gt;=A7,-Übersicht!$C$6,IF(A7=Übersicht!$C$13+1,Übersicht!$F$9,0))</f>
        <v>-12000</v>
      </c>
      <c r="C7" s="91" t="n">
        <f aca="false">C6+E7</f>
        <v>198275.655725909</v>
      </c>
      <c r="D7" s="91" t="n">
        <f aca="false">F6-I6</f>
        <v>174621.354755226</v>
      </c>
      <c r="E7" s="91" t="n">
        <f aca="false">$Q$4+N6</f>
        <v>23654.3009706834</v>
      </c>
      <c r="F7" s="91" t="n">
        <f aca="false">IF(ISNUMBER(Übersicht!C22),(D7+E7)*(1+Übersicht!C22),(D7+E7)*(1+$Q$5))</f>
        <v>214137.708183982</v>
      </c>
      <c r="G7" s="91" t="n">
        <f aca="false">F7-(E7+D7)</f>
        <v>15862.0524580728</v>
      </c>
      <c r="H7" s="91" t="n">
        <f aca="false">IF(G7&gt;0,MIN((D7+E7)*$Q$8*0.7,G7),0)</f>
        <v>3539.22045470748</v>
      </c>
      <c r="I7" s="87" t="n">
        <f aca="false">(D7+E7)*$Q$6</f>
        <v>15862.0524580728</v>
      </c>
      <c r="J7" s="91" t="n">
        <f aca="false">IF(G7&gt;0,MAX(H7-I7,0),0)</f>
        <v>0</v>
      </c>
      <c r="K7" s="91" t="n">
        <f aca="false">K6+J7</f>
        <v>0</v>
      </c>
      <c r="L7" s="91" t="n">
        <f aca="false">IF(J7*$Q$9&gt;$Q$10,(J7*$Q$9-$Q$10)*$Q$7,0)</f>
        <v>0</v>
      </c>
      <c r="M7" s="91" t="n">
        <f aca="false">IF(J6*$Q$9&gt;$Q$10,(I7)*$Q$9*$Q$7,IF((J6+I7)*$Q$9&gt;$Q$10,((J6+I7)*$Q$9-$Q$10)*$Q$7,0))</f>
        <v>2664.78143507168</v>
      </c>
      <c r="N7" s="88" t="n">
        <f aca="false">I7-M7-L7</f>
        <v>13197.2710230011</v>
      </c>
      <c r="P7" s="15" t="s">
        <v>13</v>
      </c>
      <c r="Q7" s="94" t="n">
        <f aca="false">Übersicht!C9</f>
        <v>0.26375</v>
      </c>
    </row>
    <row r="8" customFormat="false" ht="14.9" hidden="false" customHeight="false" outlineLevel="0" collapsed="false">
      <c r="A8" s="90" t="n">
        <v>6</v>
      </c>
      <c r="B8" s="91" t="n">
        <f aca="false">IF(Übersicht!$C$13&gt;=A8,-Übersicht!$C$6,IF(A8=Übersicht!$C$13+1,Übersicht!$F$9,0))</f>
        <v>-12000</v>
      </c>
      <c r="C8" s="91" t="n">
        <f aca="false">C7+E8</f>
        <v>223472.926748911</v>
      </c>
      <c r="D8" s="91" t="n">
        <f aca="false">F7-I7</f>
        <v>198275.65572591</v>
      </c>
      <c r="E8" s="91" t="n">
        <f aca="false">$Q$4+N7</f>
        <v>25197.2710230011</v>
      </c>
      <c r="F8" s="91" t="n">
        <f aca="false">IF(ISNUMBER(Übersicht!C23),(D8+E8)*(1+Übersicht!C23),(D8+E8)*(1+$Q$5))</f>
        <v>241350.760888823</v>
      </c>
      <c r="G8" s="91" t="n">
        <f aca="false">F8-(E8+D8)</f>
        <v>17877.8341399129</v>
      </c>
      <c r="H8" s="91" t="n">
        <f aca="false">IF(G8&gt;0,MIN((D8+E8)*$Q$8*0.7,G8),0)</f>
        <v>3988.99174246805</v>
      </c>
      <c r="I8" s="87" t="n">
        <f aca="false">(D8+E8)*$Q$6</f>
        <v>17877.8341399129</v>
      </c>
      <c r="J8" s="91" t="n">
        <f aca="false">IF(G8&gt;0,MAX(H8-I8,0),0)</f>
        <v>0</v>
      </c>
      <c r="K8" s="91" t="n">
        <f aca="false">K7+J8</f>
        <v>0</v>
      </c>
      <c r="L8" s="91" t="n">
        <f aca="false">IF(J8*$Q$9&gt;$Q$10,(J8*$Q$9-$Q$10)*$Q$7,0)</f>
        <v>0</v>
      </c>
      <c r="M8" s="91" t="n">
        <f aca="false">IF(J7*$Q$9&gt;$Q$10,(I8)*$Q$9*$Q$7,IF((J7+I8)*$Q$9&gt;$Q$10,((J7+I8)*$Q$9-$Q$10)*$Q$7,0))</f>
        <v>3036.94512808141</v>
      </c>
      <c r="N8" s="88" t="n">
        <f aca="false">I8-M8-L8</f>
        <v>14840.8890118314</v>
      </c>
      <c r="P8" s="15" t="s">
        <v>15</v>
      </c>
      <c r="Q8" s="94" t="n">
        <f aca="false">Übersicht!C10</f>
        <v>0.0255</v>
      </c>
    </row>
    <row r="9" customFormat="false" ht="14.9" hidden="false" customHeight="false" outlineLevel="0" collapsed="false">
      <c r="A9" s="90" t="n">
        <v>7</v>
      </c>
      <c r="B9" s="91" t="n">
        <f aca="false">IF(Übersicht!$C$13&gt;=A9,-Übersicht!$C$6,IF(A9=Übersicht!$C$13+1,Übersicht!$F$9,0))</f>
        <v>-12000</v>
      </c>
      <c r="C9" s="91" t="n">
        <f aca="false">C8+E9</f>
        <v>250313.815760742</v>
      </c>
      <c r="D9" s="91" t="n">
        <f aca="false">F8-I8</f>
        <v>223472.926748911</v>
      </c>
      <c r="E9" s="91" t="n">
        <f aca="false">$Q$4+N8</f>
        <v>26840.8890118314</v>
      </c>
      <c r="F9" s="91" t="n">
        <f aca="false">IF(ISNUMBER(Übersicht!C24),(D9+E9)*(1+Übersicht!C24),(D9+E9)*(1+$Q$5))</f>
        <v>270338.921021601</v>
      </c>
      <c r="G9" s="91" t="n">
        <f aca="false">F9-(E9+D9)</f>
        <v>20025.1052608594</v>
      </c>
      <c r="H9" s="91" t="n">
        <f aca="false">IF(G9&gt;0,MIN((D9+E9)*$Q$8*0.7,G9),0)</f>
        <v>4468.10161132925</v>
      </c>
      <c r="I9" s="87" t="n">
        <f aca="false">(D9+E9)*$Q$6</f>
        <v>20025.1052608594</v>
      </c>
      <c r="J9" s="91" t="n">
        <f aca="false">IF(G9&gt;0,MAX(H9-I9,0),0)</f>
        <v>0</v>
      </c>
      <c r="K9" s="91" t="n">
        <f aca="false">K8+J9</f>
        <v>0</v>
      </c>
      <c r="L9" s="91" t="n">
        <f aca="false">IF(J9*$Q$9&gt;$Q$10,(J9*$Q$9-$Q$10)*$Q$7,0)</f>
        <v>0</v>
      </c>
      <c r="M9" s="91" t="n">
        <f aca="false">IF(J8*$Q$9&gt;$Q$10,(I9)*$Q$9*$Q$7,IF((J8+I9)*$Q$9&gt;$Q$10,((J8+I9)*$Q$9-$Q$10)*$Q$7,0))</f>
        <v>3433.38505878616</v>
      </c>
      <c r="N9" s="88" t="n">
        <f aca="false">I9-M9-L9</f>
        <v>16591.7202020732</v>
      </c>
      <c r="P9" s="38" t="s">
        <v>17</v>
      </c>
      <c r="Q9" s="95" t="n">
        <f aca="false">Übersicht!C11</f>
        <v>0.7</v>
      </c>
    </row>
    <row r="10" customFormat="false" ht="14.9" hidden="false" customHeight="false" outlineLevel="0" collapsed="false">
      <c r="A10" s="90" t="n">
        <v>8</v>
      </c>
      <c r="B10" s="91" t="n">
        <f aca="false">IF(Übersicht!$C$13&gt;=A10,-Übersicht!$C$6,IF(A10=Übersicht!$C$13+1,Übersicht!$F$9,0))</f>
        <v>-12000</v>
      </c>
      <c r="C10" s="91" t="n">
        <f aca="false">C9+E10</f>
        <v>278905.535962815</v>
      </c>
      <c r="D10" s="91" t="n">
        <f aca="false">F9-I9</f>
        <v>250313.815760742</v>
      </c>
      <c r="E10" s="91" t="n">
        <f aca="false">$Q$4+N9</f>
        <v>28591.7202020732</v>
      </c>
      <c r="F10" s="91" t="n">
        <f aca="false">IF(ISNUMBER(Übersicht!C25),(D10+E10)*(1+Übersicht!C25),(D10+E10)*(1+$Q$5))</f>
        <v>301217.97883984</v>
      </c>
      <c r="G10" s="91" t="n">
        <f aca="false">F10-(E10+D10)</f>
        <v>22312.4428770252</v>
      </c>
      <c r="H10" s="91" t="n">
        <f aca="false">IF(G10&gt;0,MIN((D10+E10)*$Q$8*0.7,G10),0)</f>
        <v>4978.46381693625</v>
      </c>
      <c r="I10" s="87" t="n">
        <f aca="false">(D10+E10)*$Q$6</f>
        <v>22312.4428770252</v>
      </c>
      <c r="J10" s="91" t="n">
        <f aca="false">IF(G10&gt;0,MAX(H10-I10,0),0)</f>
        <v>0</v>
      </c>
      <c r="K10" s="91" t="n">
        <f aca="false">K9+J10</f>
        <v>0</v>
      </c>
      <c r="L10" s="91" t="n">
        <f aca="false">IF(J10*$Q$9&gt;$Q$10,(J10*$Q$9-$Q$10)*$Q$7,0)</f>
        <v>0</v>
      </c>
      <c r="M10" s="91" t="n">
        <f aca="false">IF(J9*$Q$9&gt;$Q$10,(I10)*$Q$9*$Q$7,IF((J9+I10)*$Q$9&gt;$Q$10,((J9+I10)*$Q$9-$Q$10)*$Q$7,0))</f>
        <v>3855.68476617078</v>
      </c>
      <c r="N10" s="88" t="n">
        <f aca="false">I10-M10-L10</f>
        <v>18456.7581108544</v>
      </c>
      <c r="P10" s="15" t="s">
        <v>18</v>
      </c>
      <c r="Q10" s="96" t="n">
        <f aca="false">Übersicht!C12</f>
        <v>1000</v>
      </c>
    </row>
    <row r="11" customFormat="false" ht="14.9" hidden="false" customHeight="false" outlineLevel="0" collapsed="false">
      <c r="A11" s="90" t="n">
        <v>9</v>
      </c>
      <c r="B11" s="91" t="n">
        <f aca="false">IF(Übersicht!$C$13&gt;=A11,-Übersicht!$C$6,IF(A11=Übersicht!$C$13+1,Übersicht!$F$9,0))</f>
        <v>-12000</v>
      </c>
      <c r="C11" s="91" t="n">
        <f aca="false">C10+E11</f>
        <v>309362.29407367</v>
      </c>
      <c r="D11" s="91" t="n">
        <f aca="false">F10-I10</f>
        <v>278905.535962815</v>
      </c>
      <c r="E11" s="91" t="n">
        <f aca="false">$Q$4+N10</f>
        <v>30456.7581108544</v>
      </c>
      <c r="F11" s="91" t="n">
        <f aca="false">IF(ISNUMBER(Übersicht!C26),(D11+E11)*(1+Übersicht!C26),(D11+E11)*(1+$Q$5))</f>
        <v>334111.277599563</v>
      </c>
      <c r="G11" s="91" t="n">
        <f aca="false">F11-(E11+D11)</f>
        <v>24748.9835258936</v>
      </c>
      <c r="H11" s="91" t="n">
        <f aca="false">IF(G11&gt;0,MIN((D11+E11)*$Q$8*0.7,G11),0)</f>
        <v>5522.116949215</v>
      </c>
      <c r="I11" s="87" t="n">
        <f aca="false">(D11+E11)*$Q$6</f>
        <v>24748.9835258936</v>
      </c>
      <c r="J11" s="91" t="n">
        <f aca="false">IF(G11&gt;0,MAX(H11-I11,0),0)</f>
        <v>0</v>
      </c>
      <c r="K11" s="91" t="n">
        <f aca="false">K10+J11</f>
        <v>0</v>
      </c>
      <c r="L11" s="91" t="n">
        <f aca="false">IF(J11*$Q$9&gt;$Q$10,(J11*$Q$9-$Q$10)*$Q$7,0)</f>
        <v>0</v>
      </c>
      <c r="M11" s="91" t="n">
        <f aca="false">IF(J10*$Q$9&gt;$Q$10,(I11)*$Q$9*$Q$7,IF((J10+I11)*$Q$9&gt;$Q$10,((J10+I11)*$Q$9-$Q$10)*$Q$7,0))</f>
        <v>4305.5310834681</v>
      </c>
      <c r="N11" s="88" t="n">
        <f aca="false">I11-M11-L11</f>
        <v>20443.4524424255</v>
      </c>
      <c r="P11" s="15" t="s">
        <v>19</v>
      </c>
      <c r="Q11" s="96" t="n">
        <f aca="false">Übersicht!C13</f>
        <v>30</v>
      </c>
    </row>
    <row r="12" customFormat="false" ht="14.9" hidden="false" customHeight="false" outlineLevel="0" collapsed="false">
      <c r="A12" s="90" t="n">
        <v>10</v>
      </c>
      <c r="B12" s="91" t="n">
        <f aca="false">IF(Übersicht!$C$13&gt;=A12,-Übersicht!$C$6,IF(A12=Übersicht!$C$13+1,Übersicht!$F$9,0))</f>
        <v>-12000</v>
      </c>
      <c r="C12" s="91" t="n">
        <f aca="false">C11+E12</f>
        <v>341805.746516095</v>
      </c>
      <c r="D12" s="91" t="n">
        <f aca="false">F11-I11</f>
        <v>309362.29407367</v>
      </c>
      <c r="E12" s="91" t="n">
        <f aca="false">$Q$4+N11</f>
        <v>32443.4524424255</v>
      </c>
      <c r="F12" s="91" t="n">
        <f aca="false">IF(ISNUMBER(Übersicht!C27),(D12+E12)*(1+Übersicht!C27),(D12+E12)*(1+$Q$5))</f>
        <v>369150.206237383</v>
      </c>
      <c r="G12" s="91" t="n">
        <f aca="false">F12-(E12+D12)</f>
        <v>27344.4597212877</v>
      </c>
      <c r="H12" s="91" t="n">
        <f aca="false">IF(G12&gt;0,MIN((D12+E12)*$Q$8*0.7,G12),0)</f>
        <v>6101.2325753123</v>
      </c>
      <c r="I12" s="87" t="n">
        <f aca="false">(D12+E12)*$Q$6</f>
        <v>27344.4597212876</v>
      </c>
      <c r="J12" s="91" t="n">
        <f aca="false">IF(G12&gt;0,MAX(H12-I12,0),0)</f>
        <v>0</v>
      </c>
      <c r="K12" s="91" t="n">
        <f aca="false">K11+J12</f>
        <v>0</v>
      </c>
      <c r="L12" s="91" t="n">
        <f aca="false">IF(J12*$Q$9&gt;$Q$10,(J12*$Q$9-$Q$10)*$Q$7,0)</f>
        <v>0</v>
      </c>
      <c r="M12" s="91" t="n">
        <f aca="false">IF(J11*$Q$9&gt;$Q$10,(I12)*$Q$9*$Q$7,IF((J11+I12)*$Q$9&gt;$Q$10,((J11+I12)*$Q$9-$Q$10)*$Q$7,0))</f>
        <v>4784.72087604273</v>
      </c>
      <c r="N12" s="88" t="n">
        <f aca="false">I12-M12-L12</f>
        <v>22559.7388452449</v>
      </c>
      <c r="P12" s="97" t="s">
        <v>16</v>
      </c>
      <c r="Q12" s="98" t="n">
        <f aca="true">IRR(B3:INDIRECT("B"&amp;Q11+3),Übersicht!C7*(1-Übersicht!C9))</f>
        <v>0.0658046377551028</v>
      </c>
    </row>
    <row r="13" customFormat="false" ht="14.9" hidden="false" customHeight="false" outlineLevel="0" collapsed="false">
      <c r="A13" s="90" t="n">
        <v>11</v>
      </c>
      <c r="B13" s="91" t="n">
        <f aca="false">IF(Übersicht!$C$13&gt;=A13,-Übersicht!$C$6,IF(A13=Übersicht!$C$13+1,Übersicht!$F$9,0))</f>
        <v>-12000</v>
      </c>
      <c r="C13" s="91" t="n">
        <f aca="false">C12+E13</f>
        <v>376365.48536134</v>
      </c>
      <c r="D13" s="91" t="n">
        <f aca="false">F12-I12</f>
        <v>341805.746516095</v>
      </c>
      <c r="E13" s="91" t="n">
        <f aca="false">$Q$4+N12</f>
        <v>34559.7388452449</v>
      </c>
      <c r="F13" s="91" t="n">
        <f aca="false">IF(ISNUMBER(Übersicht!C28),(D13+E13)*(1+Übersicht!C28),(D13+E13)*(1+$Q$5))</f>
        <v>406474.724190247</v>
      </c>
      <c r="G13" s="91" t="n">
        <f aca="false">F13-(E13+D13)</f>
        <v>30109.2388289073</v>
      </c>
      <c r="H13" s="91" t="n">
        <f aca="false">IF(G13&gt;0,MIN((D13+E13)*$Q$8*0.7,G13),0)</f>
        <v>6718.12391369992</v>
      </c>
      <c r="I13" s="87" t="n">
        <f aca="false">(D13+E13)*$Q$6</f>
        <v>30109.2388289072</v>
      </c>
      <c r="J13" s="91" t="n">
        <f aca="false">IF(G13&gt;0,MAX(H13-I13,0),0)</f>
        <v>0</v>
      </c>
      <c r="K13" s="91" t="n">
        <f aca="false">K12+J13</f>
        <v>0</v>
      </c>
      <c r="L13" s="91" t="n">
        <f aca="false">IF(J13*$Q$9&gt;$Q$10,(J13*$Q$9-$Q$10)*$Q$7,0)</f>
        <v>0</v>
      </c>
      <c r="M13" s="91" t="n">
        <f aca="false">IF(J12*$Q$9&gt;$Q$10,(I13)*$Q$9*$Q$7,IF((J12+I13)*$Q$9&gt;$Q$10,((J12+I13)*$Q$9-$Q$10)*$Q$7,0))</f>
        <v>5295.16821878699</v>
      </c>
      <c r="N13" s="88" t="n">
        <f aca="false">I13-M13-L13</f>
        <v>24814.0706101202</v>
      </c>
    </row>
    <row r="14" customFormat="false" ht="14.9" hidden="false" customHeight="false" outlineLevel="0" collapsed="false">
      <c r="A14" s="90" t="n">
        <v>12</v>
      </c>
      <c r="B14" s="91" t="n">
        <f aca="false">IF(Übersicht!$C$13&gt;=A14,-Übersicht!$C$6,IF(A14=Übersicht!$C$13+1,Übersicht!$F$9,0))</f>
        <v>-12000</v>
      </c>
      <c r="C14" s="91" t="n">
        <f aca="false">C13+E14</f>
        <v>413179.55597146</v>
      </c>
      <c r="D14" s="91" t="n">
        <f aca="false">F13-I13</f>
        <v>376365.48536134</v>
      </c>
      <c r="E14" s="91" t="n">
        <f aca="false">$Q$4+N13</f>
        <v>36814.0706101202</v>
      </c>
      <c r="F14" s="91" t="n">
        <f aca="false">IF(ISNUMBER(Übersicht!C29),(D14+E14)*(1+Übersicht!C29),(D14+E14)*(1+$Q$5))</f>
        <v>446233.920449177</v>
      </c>
      <c r="G14" s="91" t="n">
        <f aca="false">F14-(E14+D14)</f>
        <v>33054.3644777169</v>
      </c>
      <c r="H14" s="91" t="n">
        <f aca="false">IF(G14&gt;0,MIN((D14+E14)*$Q$8*0.7,G14),0)</f>
        <v>7375.25507409057</v>
      </c>
      <c r="I14" s="87" t="n">
        <f aca="false">(D14+E14)*$Q$6</f>
        <v>33054.3644777168</v>
      </c>
      <c r="J14" s="91" t="n">
        <f aca="false">IF(G14&gt;0,MAX(H14-I14,0),0)</f>
        <v>0</v>
      </c>
      <c r="K14" s="91" t="n">
        <f aca="false">K13+J14</f>
        <v>0</v>
      </c>
      <c r="L14" s="91" t="n">
        <f aca="false">IF(J14*$Q$9&gt;$Q$10,(J14*$Q$9-$Q$10)*$Q$7,0)</f>
        <v>0</v>
      </c>
      <c r="M14" s="91" t="n">
        <f aca="false">IF(J13*$Q$9&gt;$Q$10,(I14)*$Q$9*$Q$7,IF((J13+I14)*$Q$9&gt;$Q$10,((J13+I14)*$Q$9-$Q$10)*$Q$7,0))</f>
        <v>5838.91204169847</v>
      </c>
      <c r="N14" s="88" t="n">
        <f aca="false">I14-M14-L14</f>
        <v>27215.4524360184</v>
      </c>
    </row>
    <row r="15" customFormat="false" ht="14.9" hidden="false" customHeight="false" outlineLevel="0" collapsed="false">
      <c r="A15" s="90" t="n">
        <v>13</v>
      </c>
      <c r="B15" s="91" t="n">
        <f aca="false">IF(Übersicht!$C$13&gt;=A15,-Übersicht!$C$6,IF(A15=Übersicht!$C$13+1,Übersicht!$F$9,0))</f>
        <v>-12000</v>
      </c>
      <c r="C15" s="91" t="n">
        <f aca="false">C14+E15</f>
        <v>452395.008407479</v>
      </c>
      <c r="D15" s="91" t="n">
        <f aca="false">F14-I14</f>
        <v>413179.55597146</v>
      </c>
      <c r="E15" s="91" t="n">
        <f aca="false">$Q$4+N14</f>
        <v>39215.4524360184</v>
      </c>
      <c r="F15" s="91" t="n">
        <f aca="false">IF(ISNUMBER(Übersicht!C30),(D15+E15)*(1+Übersicht!C30),(D15+E15)*(1+$Q$5))</f>
        <v>488586.609080077</v>
      </c>
      <c r="G15" s="91" t="n">
        <f aca="false">F15-(E15+D15)</f>
        <v>36191.6006725983</v>
      </c>
      <c r="H15" s="91" t="n">
        <f aca="false">IF(G15&gt;0,MIN((D15+E15)*$Q$8*0.7,G15),0)</f>
        <v>8075.25090007349</v>
      </c>
      <c r="I15" s="87" t="n">
        <f aca="false">(D15+E15)*$Q$6</f>
        <v>36191.6006725983</v>
      </c>
      <c r="J15" s="91" t="n">
        <f aca="false">IF(G15&gt;0,MAX(H15-I15,0),0)</f>
        <v>0</v>
      </c>
      <c r="K15" s="91" t="n">
        <f aca="false">K14+J15</f>
        <v>0</v>
      </c>
      <c r="L15" s="91" t="n">
        <f aca="false">IF(J15*$Q$9&gt;$Q$10,(J15*$Q$9-$Q$10)*$Q$7,0)</f>
        <v>0</v>
      </c>
      <c r="M15" s="91" t="n">
        <f aca="false">IF(J14*$Q$9&gt;$Q$10,(I15)*$Q$9*$Q$7,IF((J14+I15)*$Q$9&gt;$Q$10,((J14+I15)*$Q$9-$Q$10)*$Q$7,0))</f>
        <v>6418.12427417846</v>
      </c>
      <c r="N15" s="88" t="n">
        <f aca="false">I15-M15-L15</f>
        <v>29773.4763984198</v>
      </c>
    </row>
    <row r="16" customFormat="false" ht="14.9" hidden="false" customHeight="false" outlineLevel="0" collapsed="false">
      <c r="A16" s="90" t="n">
        <v>14</v>
      </c>
      <c r="B16" s="91" t="n">
        <f aca="false">IF(Übersicht!$C$13&gt;=A16,-Übersicht!$C$6,IF(A16=Übersicht!$C$13+1,Übersicht!$F$9,0))</f>
        <v>-12000</v>
      </c>
      <c r="C16" s="91" t="n">
        <f aca="false">C15+E16</f>
        <v>494168.484805898</v>
      </c>
      <c r="D16" s="91" t="n">
        <f aca="false">F15-I15</f>
        <v>452395.008407479</v>
      </c>
      <c r="E16" s="91" t="n">
        <f aca="false">$Q$4+N15</f>
        <v>41773.4763984198</v>
      </c>
      <c r="F16" s="91" t="n">
        <f aca="false">IF(ISNUMBER(Übersicht!C31),(D16+E16)*(1+Übersicht!C31),(D16+E16)*(1+$Q$5))</f>
        <v>533701.96359037</v>
      </c>
      <c r="G16" s="91" t="n">
        <f aca="false">F16-(E16+D16)</f>
        <v>39533.4787844719</v>
      </c>
      <c r="H16" s="91" t="n">
        <f aca="false">IF(G16&gt;0,MIN((D16+E16)*$Q$8*0.7,G16),0)</f>
        <v>8820.90745378529</v>
      </c>
      <c r="I16" s="87" t="n">
        <f aca="false">(D16+E16)*$Q$6</f>
        <v>39533.4787844719</v>
      </c>
      <c r="J16" s="91" t="n">
        <f aca="false">IF(G16&gt;0,MAX(H16-I16,0),0)</f>
        <v>0</v>
      </c>
      <c r="K16" s="91" t="n">
        <f aca="false">K15+J16</f>
        <v>0</v>
      </c>
      <c r="L16" s="91" t="n">
        <f aca="false">IF(J16*$Q$9&gt;$Q$10,(J16*$Q$9-$Q$10)*$Q$7,0)</f>
        <v>0</v>
      </c>
      <c r="M16" s="91" t="n">
        <f aca="false">IF(J15*$Q$9&gt;$Q$10,(I16)*$Q$9*$Q$7,IF((J15+I16)*$Q$9&gt;$Q$10,((J15+I16)*$Q$9-$Q$10)*$Q$7,0))</f>
        <v>7035.11852058312</v>
      </c>
      <c r="N16" s="88" t="n">
        <f aca="false">I16-M16-L16</f>
        <v>32498.3602638888</v>
      </c>
    </row>
    <row r="17" customFormat="false" ht="14.9" hidden="false" customHeight="false" outlineLevel="0" collapsed="false">
      <c r="A17" s="90" t="n">
        <v>15</v>
      </c>
      <c r="B17" s="91" t="n">
        <f aca="false">IF(Übersicht!$C$13&gt;=A17,-Übersicht!$C$6,IF(A17=Übersicht!$C$13+1,Übersicht!$F$9,0))</f>
        <v>-12000</v>
      </c>
      <c r="C17" s="91" t="n">
        <f aca="false">C16+E17</f>
        <v>538666.845069787</v>
      </c>
      <c r="D17" s="91" t="n">
        <f aca="false">F16-I16</f>
        <v>494168.484805899</v>
      </c>
      <c r="E17" s="91" t="n">
        <f aca="false">$Q$4+N16</f>
        <v>44498.3602638888</v>
      </c>
      <c r="F17" s="91" t="n">
        <f aca="false">IF(ISNUMBER(Übersicht!C32),(D17+E17)*(1+Übersicht!C32),(D17+E17)*(1+$Q$5))</f>
        <v>581760.19267537</v>
      </c>
      <c r="G17" s="91" t="n">
        <f aca="false">F17-(E17+D17)</f>
        <v>43093.347605583</v>
      </c>
      <c r="H17" s="91" t="n">
        <f aca="false">IF(G17&gt;0,MIN((D17+E17)*$Q$8*0.7,G17),0)</f>
        <v>9615.2031844957</v>
      </c>
      <c r="I17" s="87" t="n">
        <f aca="false">(D17+E17)*$Q$6</f>
        <v>43093.347605583</v>
      </c>
      <c r="J17" s="91" t="n">
        <f aca="false">IF(G17&gt;0,MAX(H17-I17,0),0)</f>
        <v>0</v>
      </c>
      <c r="K17" s="91" t="n">
        <f aca="false">K16+J17</f>
        <v>0</v>
      </c>
      <c r="L17" s="91" t="n">
        <f aca="false">IF(J17*$Q$9&gt;$Q$10,(J17*$Q$9-$Q$10)*$Q$7,0)</f>
        <v>0</v>
      </c>
      <c r="M17" s="91" t="n">
        <f aca="false">IF(J16*$Q$9&gt;$Q$10,(I17)*$Q$9*$Q$7,IF((J16+I17)*$Q$9&gt;$Q$10,((J16+I17)*$Q$9-$Q$10)*$Q$7,0))</f>
        <v>7692.35930168076</v>
      </c>
      <c r="N17" s="88" t="n">
        <f aca="false">I17-M17-L17</f>
        <v>35400.9883039022</v>
      </c>
    </row>
    <row r="18" customFormat="false" ht="14.9" hidden="false" customHeight="false" outlineLevel="0" collapsed="false">
      <c r="A18" s="90" t="n">
        <v>16</v>
      </c>
      <c r="B18" s="91" t="n">
        <f aca="false">IF(Übersicht!$C$13&gt;=A18,-Übersicht!$C$6,IF(A18=Übersicht!$C$13+1,Übersicht!$F$9,0))</f>
        <v>-12000</v>
      </c>
      <c r="C18" s="91" t="n">
        <f aca="false">C17+E18</f>
        <v>586067.833373689</v>
      </c>
      <c r="D18" s="91" t="n">
        <f aca="false">F17-I17</f>
        <v>538666.845069787</v>
      </c>
      <c r="E18" s="91" t="n">
        <f aca="false">$Q$4+N17</f>
        <v>47400.9883039022</v>
      </c>
      <c r="F18" s="91" t="n">
        <f aca="false">IF(ISNUMBER(Übersicht!C33),(D18+E18)*(1+Übersicht!C33),(D18+E18)*(1+$Q$5))</f>
        <v>632953.260043585</v>
      </c>
      <c r="G18" s="91" t="n">
        <f aca="false">F18-(E18+D18)</f>
        <v>46885.4266698952</v>
      </c>
      <c r="H18" s="91" t="n">
        <f aca="false">IF(G18&gt;0,MIN((D18+E18)*$Q$8*0.7,G18),0)</f>
        <v>10461.3108257204</v>
      </c>
      <c r="I18" s="87" t="n">
        <f aca="false">(D18+E18)*$Q$6</f>
        <v>46885.4266698952</v>
      </c>
      <c r="J18" s="91" t="n">
        <f aca="false">IF(G18&gt;0,MAX(H18-I18,0),0)</f>
        <v>0</v>
      </c>
      <c r="K18" s="91" t="n">
        <f aca="false">K17+J18</f>
        <v>0</v>
      </c>
      <c r="L18" s="91" t="n">
        <f aca="false">IF(J18*$Q$9&gt;$Q$10,(J18*$Q$9-$Q$10)*$Q$7,0)</f>
        <v>0</v>
      </c>
      <c r="M18" s="91" t="n">
        <f aca="false">IF(J17*$Q$9&gt;$Q$10,(I18)*$Q$9*$Q$7,IF((J17+I18)*$Q$9&gt;$Q$10,((J17+I18)*$Q$9-$Q$10)*$Q$7,0))</f>
        <v>8392.47189892939</v>
      </c>
      <c r="N18" s="88" t="n">
        <f aca="false">I18-M18-L18</f>
        <v>38492.9547709658</v>
      </c>
    </row>
    <row r="19" customFormat="false" ht="14.9" hidden="false" customHeight="false" outlineLevel="0" collapsed="false">
      <c r="A19" s="90" t="n">
        <v>17</v>
      </c>
      <c r="B19" s="91" t="n">
        <f aca="false">IF(Übersicht!$C$13&gt;=A19,-Übersicht!$C$6,IF(A19=Übersicht!$C$13+1,Übersicht!$F$9,0))</f>
        <v>-12000</v>
      </c>
      <c r="C19" s="91" t="n">
        <f aca="false">C18+E19</f>
        <v>636560.788144655</v>
      </c>
      <c r="D19" s="91" t="n">
        <f aca="false">F18-I18</f>
        <v>586067.83337369</v>
      </c>
      <c r="E19" s="91" t="n">
        <f aca="false">$Q$4+N18</f>
        <v>50492.9547709658</v>
      </c>
      <c r="F19" s="91" t="n">
        <f aca="false">IF(ISNUMBER(Übersicht!C34),(D19+E19)*(1+Übersicht!C34),(D19+E19)*(1+$Q$5))</f>
        <v>687485.651196228</v>
      </c>
      <c r="G19" s="91" t="n">
        <f aca="false">F19-(E19+D19)</f>
        <v>50924.8630515725</v>
      </c>
      <c r="H19" s="91" t="n">
        <f aca="false">IF(G19&gt;0,MIN((D19+E19)*$Q$8*0.7,G19),0)</f>
        <v>11362.6100683821</v>
      </c>
      <c r="I19" s="87" t="n">
        <f aca="false">(D19+E19)*$Q$6</f>
        <v>50924.8630515724</v>
      </c>
      <c r="J19" s="91" t="n">
        <f aca="false">IF(G19&gt;0,MAX(H19-I19,0),0)</f>
        <v>0</v>
      </c>
      <c r="K19" s="91" t="n">
        <f aca="false">K18+J19</f>
        <v>0</v>
      </c>
      <c r="L19" s="91" t="n">
        <f aca="false">IF(J19*$Q$9&gt;$Q$10,(J19*$Q$9-$Q$10)*$Q$7,0)</f>
        <v>0</v>
      </c>
      <c r="M19" s="91" t="n">
        <f aca="false">IF(J18*$Q$9&gt;$Q$10,(I19)*$Q$9*$Q$7,IF((J18+I19)*$Q$9&gt;$Q$10,((J18+I19)*$Q$9-$Q$10)*$Q$7,0))</f>
        <v>9138.25284089656</v>
      </c>
      <c r="N19" s="88" t="n">
        <f aca="false">I19-M19-L19</f>
        <v>41786.6102106759</v>
      </c>
      <c r="R19" s="99"/>
    </row>
    <row r="20" customFormat="false" ht="14.9" hidden="false" customHeight="false" outlineLevel="0" collapsed="false">
      <c r="A20" s="90" t="n">
        <v>18</v>
      </c>
      <c r="B20" s="91" t="n">
        <f aca="false">IF(Übersicht!$C$13&gt;=A20,-Übersicht!$C$6,IF(A20=Übersicht!$C$13+1,Übersicht!$F$9,0))</f>
        <v>-12000</v>
      </c>
      <c r="C20" s="91" t="n">
        <f aca="false">C19+E20</f>
        <v>690347.398355331</v>
      </c>
      <c r="D20" s="91" t="n">
        <f aca="false">F19-I19</f>
        <v>636560.788144655</v>
      </c>
      <c r="E20" s="91" t="n">
        <f aca="false">$Q$4+N19</f>
        <v>53786.6102106759</v>
      </c>
      <c r="F20" s="91" t="n">
        <f aca="false">IF(ISNUMBER(Übersicht!C35),(D20+E20)*(1+Übersicht!C35),(D20+E20)*(1+$Q$5))</f>
        <v>745575.190223758</v>
      </c>
      <c r="G20" s="91" t="n">
        <f aca="false">F20-(E20+D20)</f>
        <v>55227.7918684265</v>
      </c>
      <c r="H20" s="91" t="n">
        <f aca="false">IF(G20&gt;0,MIN((D20+E20)*$Q$8*0.7,G20),0)</f>
        <v>12322.7010606427</v>
      </c>
      <c r="I20" s="87" t="n">
        <f aca="false">(D20+E20)*$Q$6</f>
        <v>55227.7918684265</v>
      </c>
      <c r="J20" s="91" t="n">
        <f aca="false">IF(G20&gt;0,MAX(H20-I20,0),0)</f>
        <v>0</v>
      </c>
      <c r="K20" s="91" t="n">
        <f aca="false">K19+J20</f>
        <v>0</v>
      </c>
      <c r="L20" s="91" t="n">
        <f aca="false">IF(J20*$Q$9&gt;$Q$10,(J20*$Q$9-$Q$10)*$Q$7,0)</f>
        <v>0</v>
      </c>
      <c r="M20" s="91" t="n">
        <f aca="false">IF(J19*$Q$9&gt;$Q$10,(I20)*$Q$9*$Q$7,IF((J19+I20)*$Q$9&gt;$Q$10,((J19+I20)*$Q$9-$Q$10)*$Q$7,0))</f>
        <v>9932.68107370824</v>
      </c>
      <c r="N20" s="88" t="n">
        <f aca="false">I20-M20-L20</f>
        <v>45295.1107947183</v>
      </c>
    </row>
    <row r="21" customFormat="false" ht="14.9" hidden="false" customHeight="false" outlineLevel="0" collapsed="false">
      <c r="A21" s="90" t="n">
        <v>19</v>
      </c>
      <c r="B21" s="91" t="n">
        <f aca="false">IF(Übersicht!$C$13&gt;=A21,-Übersicht!$C$6,IF(A21=Übersicht!$C$13+1,Übersicht!$F$9,0))</f>
        <v>-12000</v>
      </c>
      <c r="C21" s="91" t="n">
        <f aca="false">C20+E21</f>
        <v>747642.509150049</v>
      </c>
      <c r="D21" s="91" t="n">
        <f aca="false">F20-I20</f>
        <v>690347.398355331</v>
      </c>
      <c r="E21" s="91" t="n">
        <f aca="false">$Q$4+N20</f>
        <v>57295.1107947183</v>
      </c>
      <c r="F21" s="91" t="n">
        <f aca="false">IF(ISNUMBER(Übersicht!C36),(D21+E21)*(1+Übersicht!C36),(D21+E21)*(1+$Q$5))</f>
        <v>807453.909882053</v>
      </c>
      <c r="G21" s="91" t="n">
        <f aca="false">F21-(E21+D21)</f>
        <v>59811.400732004</v>
      </c>
      <c r="H21" s="91" t="n">
        <f aca="false">IF(G21&gt;0,MIN((D21+E21)*$Q$8*0.7,G21),0)</f>
        <v>13345.4187883284</v>
      </c>
      <c r="I21" s="87" t="n">
        <f aca="false">(D21+E21)*$Q$6</f>
        <v>59811.400732004</v>
      </c>
      <c r="J21" s="91" t="n">
        <f aca="false">IF(G21&gt;0,MAX(H21-I21,0),0)</f>
        <v>0</v>
      </c>
      <c r="K21" s="91" t="n">
        <f aca="false">K20+J21</f>
        <v>0</v>
      </c>
      <c r="L21" s="91" t="n">
        <f aca="false">IF(J21*$Q$9&gt;$Q$10,(J21*$Q$9-$Q$10)*$Q$7,0)</f>
        <v>0</v>
      </c>
      <c r="M21" s="91" t="n">
        <f aca="false">IF(J20*$Q$9&gt;$Q$10,(I21)*$Q$9*$Q$7,IF((J20+I21)*$Q$9&gt;$Q$10,((J20+I21)*$Q$9-$Q$10)*$Q$7,0))</f>
        <v>10778.9298601462</v>
      </c>
      <c r="N21" s="88" t="n">
        <f aca="false">I21-M21-L21</f>
        <v>49032.4708718577</v>
      </c>
    </row>
    <row r="22" customFormat="false" ht="14.9" hidden="false" customHeight="false" outlineLevel="0" collapsed="false">
      <c r="A22" s="90" t="n">
        <v>20</v>
      </c>
      <c r="B22" s="91" t="n">
        <f aca="false">IF(Übersicht!$C$13&gt;=A22,-Übersicht!$C$6,IF(A22=Übersicht!$C$13+1,Übersicht!$F$9,0))</f>
        <v>-12000</v>
      </c>
      <c r="C22" s="91" t="n">
        <f aca="false">C21+E22</f>
        <v>808674.980021907</v>
      </c>
      <c r="D22" s="91" t="n">
        <f aca="false">F21-I21</f>
        <v>747642.509150049</v>
      </c>
      <c r="E22" s="91" t="n">
        <f aca="false">$Q$4+N21</f>
        <v>61032.4708718577</v>
      </c>
      <c r="F22" s="91" t="n">
        <f aca="false">IF(ISNUMBER(Übersicht!C37),(D22+E22)*(1+Übersicht!C37),(D22+E22)*(1+$Q$5))</f>
        <v>873368.97842366</v>
      </c>
      <c r="G22" s="91" t="n">
        <f aca="false">F22-(E22+D22)</f>
        <v>64693.9984017527</v>
      </c>
      <c r="H22" s="91" t="n">
        <f aca="false">IF(G22&gt;0,MIN((D22+E22)*$Q$8*0.7,G22),0)</f>
        <v>14434.848393391</v>
      </c>
      <c r="I22" s="87" t="n">
        <f aca="false">(D22+E22)*$Q$6</f>
        <v>64693.9984017526</v>
      </c>
      <c r="J22" s="91" t="n">
        <f aca="false">IF(G22&gt;0,MAX(H22-I22,0),0)</f>
        <v>0</v>
      </c>
      <c r="K22" s="91" t="n">
        <f aca="false">K21+J22</f>
        <v>0</v>
      </c>
      <c r="L22" s="91" t="n">
        <f aca="false">IF(J22*$Q$9&gt;$Q$10,(J22*$Q$9-$Q$10)*$Q$7,0)</f>
        <v>0</v>
      </c>
      <c r="M22" s="91" t="n">
        <f aca="false">IF(J21*$Q$9&gt;$Q$10,(I22)*$Q$9*$Q$7,IF((J21+I22)*$Q$9&gt;$Q$10,((J21+I22)*$Q$9-$Q$10)*$Q$7,0))</f>
        <v>11680.3794549236</v>
      </c>
      <c r="N22" s="88" t="n">
        <f aca="false">I22-M22-L22</f>
        <v>53013.618946829</v>
      </c>
    </row>
    <row r="23" customFormat="false" ht="14.9" hidden="false" customHeight="false" outlineLevel="0" collapsed="false">
      <c r="A23" s="90" t="n">
        <v>21</v>
      </c>
      <c r="B23" s="91" t="n">
        <f aca="false">IF(Übersicht!$C$13&gt;=A23,-Übersicht!$C$6,IF(A23=Übersicht!$C$13+1,Übersicht!$F$9,0))</f>
        <v>-12000</v>
      </c>
      <c r="C23" s="91" t="n">
        <f aca="false">C22+E23</f>
        <v>873688.598968736</v>
      </c>
      <c r="D23" s="91" t="n">
        <f aca="false">F22-I22</f>
        <v>808674.980021907</v>
      </c>
      <c r="E23" s="91" t="n">
        <f aca="false">$Q$4+N22</f>
        <v>65013.618946829</v>
      </c>
      <c r="F23" s="91" t="n">
        <f aca="false">IF(ISNUMBER(Übersicht!E18),(D23+E23)*(1+Übersicht!E18),(D23+E23)*(1+$Q$5))</f>
        <v>943583.686886235</v>
      </c>
      <c r="G23" s="91" t="n">
        <f aca="false">F23-(E23+D23)</f>
        <v>69895.087917499</v>
      </c>
      <c r="H23" s="91" t="n">
        <f aca="false">IF(G23&gt;0,MIN((D23+E23)*$Q$8*0.7,G23),0)</f>
        <v>15595.3414915919</v>
      </c>
      <c r="I23" s="87" t="n">
        <f aca="false">(D23+E23)*$Q$6</f>
        <v>69895.0879174989</v>
      </c>
      <c r="J23" s="91" t="n">
        <f aca="false">IF(G23&gt;0,MAX(H23-I23,0),0)</f>
        <v>0</v>
      </c>
      <c r="K23" s="91" t="n">
        <f aca="false">K22+J23</f>
        <v>0</v>
      </c>
      <c r="L23" s="91" t="n">
        <f aca="false">IF(J23*$Q$9&gt;$Q$10,(J23*$Q$9-$Q$10)*$Q$7,0)</f>
        <v>0</v>
      </c>
      <c r="M23" s="91" t="n">
        <f aca="false">IF(J22*$Q$9&gt;$Q$10,(I23)*$Q$9*$Q$7,IF((J22+I23)*$Q$9&gt;$Q$10,((J22+I23)*$Q$9-$Q$10)*$Q$7,0))</f>
        <v>12640.6306067682</v>
      </c>
      <c r="N23" s="88" t="n">
        <f aca="false">I23-M23-L23</f>
        <v>57254.4573107307</v>
      </c>
    </row>
    <row r="24" customFormat="false" ht="14.9" hidden="false" customHeight="false" outlineLevel="0" collapsed="false">
      <c r="A24" s="90" t="n">
        <v>22</v>
      </c>
      <c r="B24" s="91" t="n">
        <f aca="false">IF(Übersicht!$C$13&gt;=A24,-Übersicht!$C$6,IF(A24=Übersicht!$C$13+1,Übersicht!$F$9,0))</f>
        <v>-12000</v>
      </c>
      <c r="C24" s="91" t="n">
        <f aca="false">C23+E24</f>
        <v>942943.056279467</v>
      </c>
      <c r="D24" s="91" t="n">
        <f aca="false">F23-I23</f>
        <v>873688.598968736</v>
      </c>
      <c r="E24" s="91" t="n">
        <f aca="false">$Q$4+N23</f>
        <v>69254.4573107307</v>
      </c>
      <c r="F24" s="91" t="n">
        <f aca="false">IF(ISNUMBER(Übersicht!E19),(D24+E24)*(1+Übersicht!E19),(D24+E24)*(1+$Q$5))</f>
        <v>1018378.50078182</v>
      </c>
      <c r="G24" s="91" t="n">
        <f aca="false">F24-(E24+D24)</f>
        <v>75435.4445023574</v>
      </c>
      <c r="H24" s="91" t="n">
        <f aca="false">IF(G24&gt;0,MIN((D24+E24)*$Q$8*0.7,G24),0)</f>
        <v>16831.5335545885</v>
      </c>
      <c r="I24" s="87" t="n">
        <f aca="false">(D24+E24)*$Q$6</f>
        <v>75435.4445023574</v>
      </c>
      <c r="J24" s="91" t="n">
        <f aca="false">IF(G24&gt;0,MAX(H24-I24,0),0)</f>
        <v>0</v>
      </c>
      <c r="K24" s="91" t="n">
        <f aca="false">K23+J24</f>
        <v>0</v>
      </c>
      <c r="L24" s="91" t="n">
        <f aca="false">IF(J24*$Q$9&gt;$Q$10,(J24*$Q$9-$Q$10)*$Q$7,0)</f>
        <v>0</v>
      </c>
      <c r="M24" s="91" t="n">
        <f aca="false">IF(J23*$Q$9&gt;$Q$10,(I24)*$Q$9*$Q$7,IF((J23+I24)*$Q$9&gt;$Q$10,((J23+I24)*$Q$9-$Q$10)*$Q$7,0))</f>
        <v>13663.5189412477</v>
      </c>
      <c r="N24" s="88" t="n">
        <f aca="false">I24-M24-L24</f>
        <v>61771.9255611096</v>
      </c>
    </row>
    <row r="25" customFormat="false" ht="14.9" hidden="false" customHeight="false" outlineLevel="0" collapsed="false">
      <c r="A25" s="90" t="n">
        <v>23</v>
      </c>
      <c r="B25" s="91" t="n">
        <f aca="false">IF(Übersicht!$C$13&gt;=A25,-Übersicht!$C$6,IF(A25=Übersicht!$C$13+1,Übersicht!$F$9,0))</f>
        <v>-12000</v>
      </c>
      <c r="C25" s="91" t="n">
        <f aca="false">C24+E25</f>
        <v>1016714.98184058</v>
      </c>
      <c r="D25" s="91" t="n">
        <f aca="false">F24-I24</f>
        <v>942943.056279467</v>
      </c>
      <c r="E25" s="91" t="n">
        <f aca="false">$Q$4+N24</f>
        <v>73771.9255611096</v>
      </c>
      <c r="F25" s="91" t="n">
        <f aca="false">IF(ISNUMBER(Übersicht!E20),(D25+E25)*(1+Übersicht!E20),(D25+E25)*(1+$Q$5))</f>
        <v>1098052.18038782</v>
      </c>
      <c r="G25" s="91" t="n">
        <f aca="false">F25-(E25+D25)</f>
        <v>81337.1985472462</v>
      </c>
      <c r="H25" s="91" t="n">
        <f aca="false">IF(G25&gt;0,MIN((D25+E25)*$Q$8*0.7,G25),0)</f>
        <v>18148.3624258543</v>
      </c>
      <c r="I25" s="87" t="n">
        <f aca="false">(D25+E25)*$Q$6</f>
        <v>81337.1985472461</v>
      </c>
      <c r="J25" s="91" t="n">
        <f aca="false">IF(G25&gt;0,MAX(H25-I25,0),0)</f>
        <v>0</v>
      </c>
      <c r="K25" s="91" t="n">
        <f aca="false">K24+J25</f>
        <v>0</v>
      </c>
      <c r="L25" s="91" t="n">
        <f aca="false">IF(J25*$Q$9&gt;$Q$10,(J25*$Q$9-$Q$10)*$Q$7,0)</f>
        <v>0</v>
      </c>
      <c r="M25" s="91" t="n">
        <f aca="false">IF(J24*$Q$9&gt;$Q$10,(I25)*$Q$9*$Q$7,IF((J24+I25)*$Q$9&gt;$Q$10,((J24+I25)*$Q$9-$Q$10)*$Q$7,0))</f>
        <v>14753.1302817853</v>
      </c>
      <c r="N25" s="88" t="n">
        <f aca="false">I25-M25-L25</f>
        <v>66584.0682654608</v>
      </c>
    </row>
    <row r="26" customFormat="false" ht="14.9" hidden="false" customHeight="false" outlineLevel="0" collapsed="false">
      <c r="A26" s="90" t="n">
        <v>24</v>
      </c>
      <c r="B26" s="91" t="n">
        <f aca="false">IF(Übersicht!$C$13&gt;=A26,-Übersicht!$C$6,IF(A26=Übersicht!$C$13+1,Übersicht!$F$9,0))</f>
        <v>-12000</v>
      </c>
      <c r="C26" s="91" t="n">
        <f aca="false">C25+E26</f>
        <v>1095299.05010604</v>
      </c>
      <c r="D26" s="91" t="n">
        <f aca="false">F25-I25</f>
        <v>1016714.98184058</v>
      </c>
      <c r="E26" s="91" t="n">
        <f aca="false">$Q$4+N25</f>
        <v>78584.0682654608</v>
      </c>
      <c r="F26" s="91" t="n">
        <f aca="false">IF(ISNUMBER(Übersicht!E21),(D26+E26)*(1+Übersicht!E21),(D26+E26)*(1+$Q$5))</f>
        <v>1182922.97411452</v>
      </c>
      <c r="G26" s="91" t="n">
        <f aca="false">F26-(E26+D26)</f>
        <v>87623.9240084831</v>
      </c>
      <c r="H26" s="91" t="n">
        <f aca="false">IF(G26&gt;0,MIN((D26+E26)*$Q$8*0.7,G26),0)</f>
        <v>19551.0880443928</v>
      </c>
      <c r="I26" s="87" t="n">
        <f aca="false">(D26+E26)*$Q$6</f>
        <v>87623.924008483</v>
      </c>
      <c r="J26" s="91" t="n">
        <f aca="false">IF(G26&gt;0,MAX(H26-I26,0),0)</f>
        <v>0</v>
      </c>
      <c r="K26" s="91" t="n">
        <f aca="false">K25+J26</f>
        <v>0</v>
      </c>
      <c r="L26" s="91" t="n">
        <f aca="false">IF(J26*$Q$9&gt;$Q$10,(J26*$Q$9-$Q$10)*$Q$7,0)</f>
        <v>0</v>
      </c>
      <c r="M26" s="91" t="n">
        <f aca="false">IF(J25*$Q$9&gt;$Q$10,(I26)*$Q$9*$Q$7,IF((J25+I26)*$Q$9&gt;$Q$10,((J25+I26)*$Q$9-$Q$10)*$Q$7,0))</f>
        <v>15913.8169700662</v>
      </c>
      <c r="N26" s="88" t="n">
        <f aca="false">I26-M26-L26</f>
        <v>71710.1070384168</v>
      </c>
    </row>
    <row r="27" customFormat="false" ht="14.9" hidden="false" customHeight="false" outlineLevel="0" collapsed="false">
      <c r="A27" s="90" t="n">
        <v>25</v>
      </c>
      <c r="B27" s="91" t="n">
        <f aca="false">IF(Übersicht!$C$13&gt;=A27,-Übersicht!$C$6,IF(A27=Übersicht!$C$13+1,Übersicht!$F$9,0))</f>
        <v>-12000</v>
      </c>
      <c r="C27" s="91" t="n">
        <f aca="false">C26+E27</f>
        <v>1179009.15714445</v>
      </c>
      <c r="D27" s="91" t="n">
        <f aca="false">F26-I26</f>
        <v>1095299.05010604</v>
      </c>
      <c r="E27" s="91" t="n">
        <f aca="false">$Q$4+N26</f>
        <v>83710.1070384168</v>
      </c>
      <c r="F27" s="91" t="n">
        <f aca="false">IF(ISNUMBER(Übersicht!E22),(D27+E27)*(1+Übersicht!E22),(D27+E27)*(1+$Q$5))</f>
        <v>1273329.88971601</v>
      </c>
      <c r="G27" s="91" t="n">
        <f aca="false">F27-(E27+D27)</f>
        <v>94320.7325715565</v>
      </c>
      <c r="H27" s="91" t="n">
        <f aca="false">IF(G27&gt;0,MIN((D27+E27)*$Q$8*0.7,G27),0)</f>
        <v>21045.3134550285</v>
      </c>
      <c r="I27" s="87" t="n">
        <f aca="false">(D27+E27)*$Q$6</f>
        <v>94320.7325715564</v>
      </c>
      <c r="J27" s="91" t="n">
        <f aca="false">IF(G27&gt;0,MAX(H27-I27,0),0)</f>
        <v>0</v>
      </c>
      <c r="K27" s="91" t="n">
        <f aca="false">K26+J27</f>
        <v>0</v>
      </c>
      <c r="L27" s="91" t="n">
        <f aca="false">IF(J27*$Q$9&gt;$Q$10,(J27*$Q$9-$Q$10)*$Q$7,0)</f>
        <v>0</v>
      </c>
      <c r="M27" s="91" t="n">
        <f aca="false">IF(J26*$Q$9&gt;$Q$10,(I27)*$Q$9*$Q$7,IF((J26+I27)*$Q$9&gt;$Q$10,((J26+I27)*$Q$9-$Q$10)*$Q$7,0))</f>
        <v>17150.2152510236</v>
      </c>
      <c r="N27" s="88" t="n">
        <f aca="false">I27-M27-L27</f>
        <v>77170.5173205328</v>
      </c>
    </row>
    <row r="28" customFormat="false" ht="14.9" hidden="false" customHeight="false" outlineLevel="0" collapsed="false">
      <c r="A28" s="90" t="n">
        <v>26</v>
      </c>
      <c r="B28" s="91" t="n">
        <f aca="false">IF(Übersicht!$C$13&gt;=A28,-Übersicht!$C$6,IF(A28=Übersicht!$C$13+1,Übersicht!$F$9,0))</f>
        <v>-12000</v>
      </c>
      <c r="C28" s="91" t="n">
        <f aca="false">C27+E28</f>
        <v>1268179.67446499</v>
      </c>
      <c r="D28" s="91" t="n">
        <f aca="false">F27-I27</f>
        <v>1179009.15714445</v>
      </c>
      <c r="E28" s="91" t="n">
        <f aca="false">$Q$4+N27</f>
        <v>89170.5173205328</v>
      </c>
      <c r="F28" s="91" t="n">
        <f aca="false">IF(ISNUMBER(Übersicht!E23),(D28+E28)*(1+Übersicht!E23),(D28+E28)*(1+$Q$5))</f>
        <v>1369634.04842219</v>
      </c>
      <c r="G28" s="91" t="n">
        <f aca="false">F28-(E28+D28)</f>
        <v>101454.373957199</v>
      </c>
      <c r="H28" s="91" t="n">
        <f aca="false">IF(G28&gt;0,MIN((D28+E28)*$Q$8*0.7,G28),0)</f>
        <v>22637.0071892</v>
      </c>
      <c r="I28" s="87" t="n">
        <f aca="false">(D28+E28)*$Q$6</f>
        <v>101454.373957199</v>
      </c>
      <c r="J28" s="91" t="n">
        <f aca="false">IF(G28&gt;0,MAX(H28-I28,0),0)</f>
        <v>0</v>
      </c>
      <c r="K28" s="91" t="n">
        <f aca="false">K27+J28</f>
        <v>0</v>
      </c>
      <c r="L28" s="91" t="n">
        <f aca="false">IF(J28*$Q$9&gt;$Q$10,(J28*$Q$9-$Q$10)*$Q$7,0)</f>
        <v>0</v>
      </c>
      <c r="M28" s="91" t="n">
        <f aca="false">IF(J27*$Q$9&gt;$Q$10,(I28)*$Q$9*$Q$7,IF((J27+I28)*$Q$9&gt;$Q$10,((J27+I28)*$Q$9-$Q$10)*$Q$7,0))</f>
        <v>18467.2637918479</v>
      </c>
      <c r="N28" s="88" t="n">
        <f aca="false">I28-M28-L28</f>
        <v>82987.1101653511</v>
      </c>
    </row>
    <row r="29" customFormat="false" ht="14.9" hidden="false" customHeight="false" outlineLevel="0" collapsed="false">
      <c r="A29" s="90" t="n">
        <v>27</v>
      </c>
      <c r="B29" s="91" t="n">
        <f aca="false">IF(Übersicht!$C$13&gt;=A29,-Übersicht!$C$6,IF(A29=Übersicht!$C$13+1,Übersicht!$F$9,0))</f>
        <v>-12000</v>
      </c>
      <c r="C29" s="91" t="n">
        <f aca="false">C28+E29</f>
        <v>1363166.78463034</v>
      </c>
      <c r="D29" s="91" t="n">
        <f aca="false">F28-I28</f>
        <v>1268179.67446499</v>
      </c>
      <c r="E29" s="91" t="n">
        <f aca="false">$Q$4+N28</f>
        <v>94987.1101653511</v>
      </c>
      <c r="F29" s="91" t="n">
        <f aca="false">IF(ISNUMBER(Übersicht!E24),(D29+E29)*(1+Übersicht!E24),(D29+E29)*(1+$Q$5))</f>
        <v>1472220.12740077</v>
      </c>
      <c r="G29" s="91" t="n">
        <f aca="false">F29-(E29+D29)</f>
        <v>109053.342770427</v>
      </c>
      <c r="H29" s="91" t="n">
        <f aca="false">IF(G29&gt;0,MIN((D29+E29)*$Q$8*0.7,G29),0)</f>
        <v>24332.5271056515</v>
      </c>
      <c r="I29" s="87" t="n">
        <f aca="false">(D29+E29)*$Q$6</f>
        <v>109053.342770427</v>
      </c>
      <c r="J29" s="91" t="n">
        <f aca="false">IF(G29&gt;0,MAX(H29-I29,0),0)</f>
        <v>0</v>
      </c>
      <c r="K29" s="91" t="n">
        <f aca="false">K28+J29</f>
        <v>0</v>
      </c>
      <c r="L29" s="91" t="n">
        <f aca="false">IF(J29*$Q$9&gt;$Q$10,(J29*$Q$9-$Q$10)*$Q$7,0)</f>
        <v>0</v>
      </c>
      <c r="M29" s="91" t="n">
        <f aca="false">IF(J28*$Q$9&gt;$Q$10,(I29)*$Q$9*$Q$7,IF((J28+I29)*$Q$9&gt;$Q$10,((J28+I29)*$Q$9-$Q$10)*$Q$7,0))</f>
        <v>19870.2234089901</v>
      </c>
      <c r="N29" s="88" t="n">
        <f aca="false">I29-M29-L29</f>
        <v>89183.119361437</v>
      </c>
    </row>
    <row r="30" customFormat="false" ht="14.9" hidden="false" customHeight="false" outlineLevel="0" collapsed="false">
      <c r="A30" s="90" t="n">
        <v>28</v>
      </c>
      <c r="B30" s="91" t="n">
        <f aca="false">IF(Übersicht!$C$13&gt;=A30,-Übersicht!$C$6,IF(A30=Übersicht!$C$13+1,Übersicht!$F$9,0))</f>
        <v>-12000</v>
      </c>
      <c r="C30" s="91" t="n">
        <f aca="false">C29+E30</f>
        <v>1464349.90399177</v>
      </c>
      <c r="D30" s="91" t="n">
        <f aca="false">F29-I29</f>
        <v>1363166.78463034</v>
      </c>
      <c r="E30" s="91" t="n">
        <f aca="false">$Q$4+N29</f>
        <v>101183.119361437</v>
      </c>
      <c r="F30" s="91" t="n">
        <f aca="false">IF(ISNUMBER(Übersicht!E25),(D30+E30)*(1+Übersicht!E25),(D30+E30)*(1+$Q$5))</f>
        <v>1581497.89631112</v>
      </c>
      <c r="G30" s="91" t="n">
        <f aca="false">F30-(E30+D30)</f>
        <v>117147.992319342</v>
      </c>
      <c r="H30" s="91" t="n">
        <f aca="false">IF(G30&gt;0,MIN((D30+E30)*$Q$8*0.7,G30),0)</f>
        <v>26138.6457862532</v>
      </c>
      <c r="I30" s="87" t="n">
        <f aca="false">(D30+E30)*$Q$6</f>
        <v>117147.992319342</v>
      </c>
      <c r="J30" s="91" t="n">
        <f aca="false">IF(G30&gt;0,MAX(H30-I30,0),0)</f>
        <v>0</v>
      </c>
      <c r="K30" s="91" t="n">
        <f aca="false">K29+J30</f>
        <v>0</v>
      </c>
      <c r="L30" s="91" t="n">
        <f aca="false">IF(J30*$Q$9&gt;$Q$10,(J30*$Q$9-$Q$10)*$Q$7,0)</f>
        <v>0</v>
      </c>
      <c r="M30" s="91" t="n">
        <f aca="false">IF(J29*$Q$9&gt;$Q$10,(I30)*$Q$9*$Q$7,IF((J29+I30)*$Q$9&gt;$Q$10,((J29+I30)*$Q$9-$Q$10)*$Q$7,0))</f>
        <v>21364.6980819585</v>
      </c>
      <c r="N30" s="88" t="n">
        <f aca="false">I30-M30-L30</f>
        <v>95783.2942373835</v>
      </c>
    </row>
    <row r="31" customFormat="false" ht="14.9" hidden="false" customHeight="false" outlineLevel="0" collapsed="false">
      <c r="A31" s="90" t="n">
        <v>29</v>
      </c>
      <c r="B31" s="91" t="n">
        <f aca="false">IF(Übersicht!$C$13&gt;=A31,-Übersicht!$C$6,IF(A31=Übersicht!$C$13+1,Übersicht!$F$9,0))</f>
        <v>-12000</v>
      </c>
      <c r="C31" s="91" t="n">
        <f aca="false">C30+E31</f>
        <v>1572133.19822916</v>
      </c>
      <c r="D31" s="91" t="n">
        <f aca="false">F30-I30</f>
        <v>1464349.90399178</v>
      </c>
      <c r="E31" s="91" t="n">
        <f aca="false">$Q$4+N30</f>
        <v>107783.294237384</v>
      </c>
      <c r="F31" s="91" t="n">
        <f aca="false">IF(ISNUMBER(Übersicht!E26),(D31+E31)*(1+Übersicht!E26),(D31+E31)*(1+$Q$5))</f>
        <v>1697903.85408749</v>
      </c>
      <c r="G31" s="91" t="n">
        <f aca="false">F31-(E31+D31)</f>
        <v>125770.655858333</v>
      </c>
      <c r="H31" s="91" t="n">
        <f aca="false">IF(G31&gt;0,MIN((D31+E31)*$Q$8*0.7,G31),0)</f>
        <v>28062.5775883905</v>
      </c>
      <c r="I31" s="87" t="n">
        <f aca="false">(D31+E31)*$Q$6</f>
        <v>125770.655858333</v>
      </c>
      <c r="J31" s="91" t="n">
        <f aca="false">IF(G31&gt;0,MAX(H31-I31,0),0)</f>
        <v>0</v>
      </c>
      <c r="K31" s="91" t="n">
        <f aca="false">K30+J31</f>
        <v>0</v>
      </c>
      <c r="L31" s="91" t="n">
        <f aca="false">IF(J31*$Q$9&gt;$Q$10,(J31*$Q$9-$Q$10)*$Q$7,0)</f>
        <v>0</v>
      </c>
      <c r="M31" s="91" t="n">
        <f aca="false">IF(J30*$Q$9&gt;$Q$10,(I31)*$Q$9*$Q$7,IF((J30+I31)*$Q$9&gt;$Q$10,((J30+I31)*$Q$9-$Q$10)*$Q$7,0))</f>
        <v>22956.6573378447</v>
      </c>
      <c r="N31" s="88" t="n">
        <f aca="false">I31-M31-L31</f>
        <v>102813.998520488</v>
      </c>
    </row>
    <row r="32" customFormat="false" ht="14.9" hidden="false" customHeight="false" outlineLevel="0" collapsed="false">
      <c r="A32" s="90" t="n">
        <v>30</v>
      </c>
      <c r="B32" s="91" t="n">
        <f aca="false">IF(Übersicht!$C$13&gt;=A32,-Übersicht!$C$6,IF(A32=Übersicht!$C$13+1,Übersicht!$F$9,0))</f>
        <v>-12000</v>
      </c>
      <c r="C32" s="91" t="n">
        <f aca="false">C31+E32</f>
        <v>1686947.19674965</v>
      </c>
      <c r="D32" s="91" t="n">
        <f aca="false">F31-I31</f>
        <v>1572133.19822916</v>
      </c>
      <c r="E32" s="91" t="n">
        <f aca="false">$Q$4+N31</f>
        <v>114813.998520488</v>
      </c>
      <c r="F32" s="91" t="n">
        <f aca="false">IF(ISNUMBER(Übersicht!E27),(D32+E32)*(1+Übersicht!E27),(D32+E32)*(1+$Q$5))</f>
        <v>1821902.97248962</v>
      </c>
      <c r="G32" s="91" t="n">
        <f aca="false">F32-(E32+D32)</f>
        <v>134955.775739972</v>
      </c>
      <c r="H32" s="91" t="n">
        <f aca="false">IF(G32&gt;0,MIN((D32+E32)*$Q$8*0.7,G32),0)</f>
        <v>30112.0074619812</v>
      </c>
      <c r="I32" s="87" t="n">
        <f aca="false">(D32+E32)*$Q$6</f>
        <v>134955.775739972</v>
      </c>
      <c r="J32" s="91" t="n">
        <f aca="false">IF(G32&gt;0,MAX(H32-I32,0),0)</f>
        <v>0</v>
      </c>
      <c r="K32" s="91" t="n">
        <f aca="false">K31+J32</f>
        <v>0</v>
      </c>
      <c r="L32" s="91" t="n">
        <f aca="false">IF(J32*$Q$9&gt;$Q$10,(J32*$Q$9-$Q$10)*$Q$7,0)</f>
        <v>0</v>
      </c>
      <c r="M32" s="91" t="n">
        <f aca="false">IF(J31*$Q$9&gt;$Q$10,(I32)*$Q$9*$Q$7,IF((J31+I32)*$Q$9&gt;$Q$10,((J31+I32)*$Q$9-$Q$10)*$Q$7,0))</f>
        <v>24652.4600959923</v>
      </c>
      <c r="N32" s="88" t="n">
        <f aca="false">I32-M32-L32</f>
        <v>110303.31564398</v>
      </c>
    </row>
    <row r="33" customFormat="false" ht="14.9" hidden="false" customHeight="false" outlineLevel="0" collapsed="false">
      <c r="A33" s="90" t="n">
        <v>31</v>
      </c>
      <c r="B33" s="91" t="n">
        <f aca="false">IF(Übersicht!$C$13&gt;=A33,-Übersicht!$C$6,IF(A33=Übersicht!$C$13+1,Übersicht!$F$9,0))</f>
        <v>1797250.51239363</v>
      </c>
      <c r="C33" s="91" t="n">
        <f aca="false">C32+E33</f>
        <v>1809250.51239363</v>
      </c>
      <c r="D33" s="91" t="n">
        <f aca="false">F32-I32</f>
        <v>1686947.19674965</v>
      </c>
      <c r="E33" s="91" t="n">
        <f aca="false">$Q$4+N32</f>
        <v>122303.31564398</v>
      </c>
      <c r="F33" s="91" t="n">
        <f aca="false">IF(ISNUMBER(Übersicht!E28),(D33+E33)*(1+Übersicht!E28),(D33+E33)*(1+$Q$5))</f>
        <v>1953990.55338512</v>
      </c>
      <c r="G33" s="91" t="n">
        <f aca="false">F33-(E33+D33)</f>
        <v>144740.04099149</v>
      </c>
      <c r="H33" s="91" t="n">
        <f aca="false">IF(G33&gt;0,MIN((D33+E33)*$Q$8*0.7,G33),0)</f>
        <v>32295.1216462262</v>
      </c>
      <c r="I33" s="87" t="n">
        <f aca="false">(D33+E33)*$Q$6</f>
        <v>144740.04099149</v>
      </c>
      <c r="J33" s="91" t="n">
        <f aca="false">IF(G33&gt;0,MAX(H33-I33,0),0)</f>
        <v>0</v>
      </c>
      <c r="K33" s="91" t="n">
        <f aca="false">K32+J33</f>
        <v>0</v>
      </c>
      <c r="L33" s="91" t="n">
        <f aca="false">IF(J33*$Q$9&gt;$Q$10,(J33*$Q$9-$Q$10)*$Q$7,0)</f>
        <v>0</v>
      </c>
      <c r="M33" s="91" t="n">
        <f aca="false">IF(J32*$Q$9&gt;$Q$10,(I33)*$Q$9*$Q$7,IF((J32+I33)*$Q$9&gt;$Q$10,((J32+I33)*$Q$9-$Q$10)*$Q$7,0))</f>
        <v>26458.8800680539</v>
      </c>
      <c r="N33" s="88" t="n">
        <f aca="false">I33-M33-L33</f>
        <v>118281.160923436</v>
      </c>
    </row>
    <row r="34" customFormat="false" ht="14.9" hidden="false" customHeight="false" outlineLevel="0" collapsed="false">
      <c r="A34" s="90" t="n">
        <v>32</v>
      </c>
      <c r="B34" s="91" t="n">
        <f aca="false">IF(Übersicht!$C$13&gt;=A34,-Übersicht!$C$6,IF(A34=Übersicht!$C$13+1,Übersicht!$F$9,0))</f>
        <v>0</v>
      </c>
      <c r="C34" s="91" t="n">
        <f aca="false">C33+E34</f>
        <v>1939531.67331706</v>
      </c>
      <c r="D34" s="91" t="n">
        <f aca="false">F33-I33</f>
        <v>1809250.51239363</v>
      </c>
      <c r="E34" s="91" t="n">
        <f aca="false">$Q$4+N33</f>
        <v>130281.160923436</v>
      </c>
      <c r="F34" s="91" t="n">
        <f aca="false">IF(ISNUMBER(Übersicht!E29),(D34+E34)*(1+Übersicht!E29),(D34+E34)*(1+$Q$5))</f>
        <v>2094694.20718243</v>
      </c>
      <c r="G34" s="91" t="n">
        <f aca="false">F34-(E34+D34)</f>
        <v>155162.533865365</v>
      </c>
      <c r="H34" s="91" t="n">
        <f aca="false">IF(G34&gt;0,MIN((D34+E34)*$Q$8*0.7,G34),0)</f>
        <v>34620.6403687096</v>
      </c>
      <c r="I34" s="87" t="n">
        <f aca="false">(D34+E34)*$Q$6</f>
        <v>155162.533865365</v>
      </c>
      <c r="J34" s="91" t="n">
        <f aca="false">IF(G34&gt;0,MAX(H34-I34,0),0)</f>
        <v>0</v>
      </c>
      <c r="K34" s="91" t="n">
        <f aca="false">K33+J34</f>
        <v>0</v>
      </c>
      <c r="L34" s="91" t="n">
        <f aca="false">IF(J34*$Q$9&gt;$Q$10,(J34*$Q$9-$Q$10)*$Q$7,0)</f>
        <v>0</v>
      </c>
      <c r="M34" s="91" t="n">
        <f aca="false">IF(J33*$Q$9&gt;$Q$10,(I34)*$Q$9*$Q$7,IF((J33+I34)*$Q$9&gt;$Q$10,((J33+I34)*$Q$9-$Q$10)*$Q$7,0))</f>
        <v>28383.132814893</v>
      </c>
      <c r="N34" s="88" t="n">
        <f aca="false">I34-M34-L34</f>
        <v>126779.401050472</v>
      </c>
    </row>
    <row r="35" customFormat="false" ht="14.9" hidden="false" customHeight="false" outlineLevel="0" collapsed="false">
      <c r="A35" s="90" t="n">
        <v>33</v>
      </c>
      <c r="B35" s="91" t="n">
        <f aca="false">IF(Übersicht!$C$13&gt;=A35,-Übersicht!$C$6,IF(A35=Übersicht!$C$13+1,Übersicht!$F$9,0))</f>
        <v>0</v>
      </c>
      <c r="C35" s="91" t="n">
        <f aca="false">C34+E35</f>
        <v>2078311.07436753</v>
      </c>
      <c r="D35" s="91" t="n">
        <f aca="false">F34-I34</f>
        <v>1939531.67331706</v>
      </c>
      <c r="E35" s="91" t="n">
        <f aca="false">$Q$4+N34</f>
        <v>138779.401050472</v>
      </c>
      <c r="F35" s="91" t="n">
        <f aca="false">IF(ISNUMBER(Übersicht!E30),(D35+E35)*(1+Übersicht!E30),(D35+E35)*(1+$Q$5))</f>
        <v>2244575.96031694</v>
      </c>
      <c r="G35" s="91" t="n">
        <f aca="false">F35-(E35+D35)</f>
        <v>166264.885949403</v>
      </c>
      <c r="H35" s="91" t="n">
        <f aca="false">IF(G35&gt;0,MIN((D35+E35)*$Q$8*0.7,G35),0)</f>
        <v>37097.8526774605</v>
      </c>
      <c r="I35" s="87" t="n">
        <f aca="false">(D35+E35)*$Q$6</f>
        <v>166264.885949403</v>
      </c>
      <c r="J35" s="91" t="n">
        <f aca="false">IF(G35&gt;0,MAX(H35-I35,0),0)</f>
        <v>0</v>
      </c>
      <c r="K35" s="91" t="n">
        <f aca="false">K34+J35</f>
        <v>0</v>
      </c>
      <c r="L35" s="91" t="n">
        <f aca="false">IF(J35*$Q$9&gt;$Q$10,(J35*$Q$9-$Q$10)*$Q$7,0)</f>
        <v>0</v>
      </c>
      <c r="M35" s="91" t="n">
        <f aca="false">IF(J34*$Q$9&gt;$Q$10,(I35)*$Q$9*$Q$7,IF((J34+I35)*$Q$9&gt;$Q$10,((J34+I35)*$Q$9-$Q$10)*$Q$7,0))</f>
        <v>30432.9045684085</v>
      </c>
      <c r="N35" s="88" t="n">
        <f aca="false">I35-M35-L35</f>
        <v>135831.981380994</v>
      </c>
    </row>
    <row r="36" customFormat="false" ht="14.9" hidden="false" customHeight="false" outlineLevel="0" collapsed="false">
      <c r="A36" s="90" t="n">
        <v>34</v>
      </c>
      <c r="B36" s="91" t="n">
        <f aca="false">IF(Übersicht!$C$13&gt;=A36,-Übersicht!$C$6,IF(A36=Übersicht!$C$13+1,Übersicht!$F$9,0))</f>
        <v>0</v>
      </c>
      <c r="C36" s="91" t="n">
        <f aca="false">C35+E36</f>
        <v>2226143.05574853</v>
      </c>
      <c r="D36" s="91" t="n">
        <f aca="false">F35-I35</f>
        <v>2078311.07436754</v>
      </c>
      <c r="E36" s="91" t="n">
        <f aca="false">$Q$4+N35</f>
        <v>147831.981380994</v>
      </c>
      <c r="F36" s="91" t="n">
        <f aca="false">IF(ISNUMBER(Übersicht!E31),(D36+E36)*(1+Übersicht!E31),(D36+E36)*(1+$Q$5))</f>
        <v>2404234.50020841</v>
      </c>
      <c r="G36" s="91" t="n">
        <f aca="false">F36-(E36+D36)</f>
        <v>178091.444459883</v>
      </c>
      <c r="H36" s="91" t="n">
        <f aca="false">IF(G36&gt;0,MIN((D36+E36)*$Q$8*0.7,G36),0)</f>
        <v>39736.6535451113</v>
      </c>
      <c r="I36" s="87" t="n">
        <f aca="false">(D36+E36)*$Q$6</f>
        <v>178091.444459882</v>
      </c>
      <c r="J36" s="91" t="n">
        <f aca="false">IF(G36&gt;0,MAX(H36-I36,0),0)</f>
        <v>0</v>
      </c>
      <c r="K36" s="91" t="n">
        <f aca="false">K35+J36</f>
        <v>0</v>
      </c>
      <c r="L36" s="91" t="n">
        <f aca="false">IF(J36*$Q$9&gt;$Q$10,(J36*$Q$9-$Q$10)*$Q$7,0)</f>
        <v>0</v>
      </c>
      <c r="M36" s="91" t="n">
        <f aca="false">IF(J35*$Q$9&gt;$Q$10,(I36)*$Q$9*$Q$7,IF((J35+I36)*$Q$9&gt;$Q$10,((J35+I36)*$Q$9-$Q$10)*$Q$7,0))</f>
        <v>32616.3829334058</v>
      </c>
      <c r="N36" s="88" t="n">
        <f aca="false">I36-M36-L36</f>
        <v>145475.061526477</v>
      </c>
    </row>
    <row r="37" customFormat="false" ht="14.9" hidden="false" customHeight="false" outlineLevel="0" collapsed="false">
      <c r="A37" s="90" t="n">
        <v>35</v>
      </c>
      <c r="B37" s="91" t="n">
        <f aca="false">IF(Übersicht!$C$13&gt;=A37,-Übersicht!$C$6,IF(A37=Übersicht!$C$13+1,Übersicht!$F$9,0))</f>
        <v>0</v>
      </c>
      <c r="C37" s="91" t="n">
        <f aca="false">C36+E37</f>
        <v>2383618.117275</v>
      </c>
      <c r="D37" s="91" t="n">
        <f aca="false">F36-I36</f>
        <v>2226143.05574853</v>
      </c>
      <c r="E37" s="91" t="n">
        <f aca="false">$Q$4+N36</f>
        <v>157475.061526477</v>
      </c>
      <c r="F37" s="91" t="n">
        <f aca="false">IF(ISNUMBER(Übersicht!E32),(D37+E37)*(1+Übersicht!E32),(D37+E37)*(1+$Q$5))</f>
        <v>2574307.56665701</v>
      </c>
      <c r="G37" s="91" t="n">
        <f aca="false">F37-(E37+D37)</f>
        <v>190689.449382001</v>
      </c>
      <c r="H37" s="91" t="n">
        <f aca="false">IF(G37&gt;0,MIN((D37+E37)*$Q$8*0.7,G37),0)</f>
        <v>42547.5833933589</v>
      </c>
      <c r="I37" s="87" t="n">
        <f aca="false">(D37+E37)*$Q$6</f>
        <v>190689.449382001</v>
      </c>
      <c r="J37" s="91" t="n">
        <f aca="false">IF(G37&gt;0,MAX(H37-I37,0),0)</f>
        <v>0</v>
      </c>
      <c r="K37" s="91" t="n">
        <f aca="false">K36+J37</f>
        <v>0</v>
      </c>
      <c r="L37" s="91" t="n">
        <f aca="false">IF(J37*$Q$9&gt;$Q$10,(J37*$Q$9-$Q$10)*$Q$7,0)</f>
        <v>0</v>
      </c>
      <c r="M37" s="91" t="n">
        <f aca="false">IF(J36*$Q$9&gt;$Q$10,(I37)*$Q$9*$Q$7,IF((J36+I37)*$Q$9&gt;$Q$10,((J36+I37)*$Q$9-$Q$10)*$Q$7,0))</f>
        <v>34942.2895921519</v>
      </c>
      <c r="N37" s="88" t="n">
        <f aca="false">I37-M37-L37</f>
        <v>155747.159789849</v>
      </c>
    </row>
    <row r="38" customFormat="false" ht="14.9" hidden="false" customHeight="false" outlineLevel="0" collapsed="false">
      <c r="A38" s="90" t="n">
        <v>36</v>
      </c>
      <c r="B38" s="91" t="n">
        <f aca="false">IF(Übersicht!$C$13&gt;=A38,-Übersicht!$C$6,IF(A38=Übersicht!$C$13+1,Übersicht!$F$9,0))</f>
        <v>0</v>
      </c>
      <c r="C38" s="91" t="n">
        <f aca="false">C37+E38</f>
        <v>2551365.27706485</v>
      </c>
      <c r="D38" s="91" t="n">
        <f aca="false">F37-I37</f>
        <v>2383618.11727501</v>
      </c>
      <c r="E38" s="91" t="n">
        <f aca="false">$Q$4+N37</f>
        <v>167747.159789849</v>
      </c>
      <c r="F38" s="91" t="n">
        <f aca="false">IF(ISNUMBER(Übersicht!E33),(D38+E38)*(1+Übersicht!E33),(D38+E38)*(1+$Q$5))</f>
        <v>2755474.49923004</v>
      </c>
      <c r="G38" s="91" t="n">
        <f aca="false">F38-(E38+D38)</f>
        <v>204109.222165189</v>
      </c>
      <c r="H38" s="91" t="n">
        <f aca="false">IF(G38&gt;0,MIN((D38+E38)*$Q$8*0.7,G38),0)</f>
        <v>45541.8701956077</v>
      </c>
      <c r="I38" s="87" t="n">
        <f aca="false">(D38+E38)*$Q$6</f>
        <v>204109.222165188</v>
      </c>
      <c r="J38" s="91" t="n">
        <f aca="false">IF(G38&gt;0,MAX(H38-I38,0),0)</f>
        <v>0</v>
      </c>
      <c r="K38" s="91" t="n">
        <f aca="false">K37+J38</f>
        <v>0</v>
      </c>
      <c r="L38" s="91" t="n">
        <f aca="false">IF(J38*$Q$9&gt;$Q$10,(J38*$Q$9-$Q$10)*$Q$7,0)</f>
        <v>0</v>
      </c>
      <c r="M38" s="91" t="n">
        <f aca="false">IF(J37*$Q$9&gt;$Q$10,(I38)*$Q$9*$Q$7,IF((J37+I38)*$Q$9&gt;$Q$10,((J37+I38)*$Q$9-$Q$10)*$Q$7,0))</f>
        <v>37419.9151422479</v>
      </c>
      <c r="N38" s="88" t="n">
        <f aca="false">I38-M38-L38</f>
        <v>166689.307022941</v>
      </c>
    </row>
    <row r="39" customFormat="false" ht="14.9" hidden="false" customHeight="false" outlineLevel="0" collapsed="false">
      <c r="A39" s="90" t="n">
        <v>37</v>
      </c>
      <c r="B39" s="91" t="n">
        <f aca="false">IF(Übersicht!$C$13&gt;=A39,-Übersicht!$C$6,IF(A39=Übersicht!$C$13+1,Übersicht!$F$9,0))</f>
        <v>0</v>
      </c>
      <c r="C39" s="91" t="n">
        <f aca="false">C38+E39</f>
        <v>2730054.58408779</v>
      </c>
      <c r="D39" s="91" t="n">
        <f aca="false">F38-I38</f>
        <v>2551365.27706486</v>
      </c>
      <c r="E39" s="91" t="n">
        <f aca="false">$Q$4+N38</f>
        <v>178689.307022941</v>
      </c>
      <c r="F39" s="91" t="n">
        <f aca="false">IF(ISNUMBER(Übersicht!E34),(D39+E39)*(1+Übersicht!E34),(D39+E39)*(1+$Q$5))</f>
        <v>2948458.95081482</v>
      </c>
      <c r="G39" s="91" t="n">
        <f aca="false">F39-(E39+D39)</f>
        <v>218404.366727024</v>
      </c>
      <c r="H39" s="91" t="n">
        <f aca="false">IF(G39&gt;0,MIN((D39+E39)*$Q$8*0.7,G39),0)</f>
        <v>48731.4743259672</v>
      </c>
      <c r="I39" s="87" t="n">
        <f aca="false">(D39+E39)*$Q$6</f>
        <v>218404.366727024</v>
      </c>
      <c r="J39" s="91" t="n">
        <f aca="false">IF(G39&gt;0,MAX(H39-I39,0),0)</f>
        <v>0</v>
      </c>
      <c r="K39" s="91" t="n">
        <f aca="false">K38+J39</f>
        <v>0</v>
      </c>
      <c r="L39" s="91" t="n">
        <f aca="false">IF(J39*$Q$9&gt;$Q$10,(J39*$Q$9-$Q$10)*$Q$7,0)</f>
        <v>0</v>
      </c>
      <c r="M39" s="91" t="n">
        <f aca="false">IF(J38*$Q$9&gt;$Q$10,(I39)*$Q$9*$Q$7,IF((J38+I39)*$Q$9&gt;$Q$10,((J38+I39)*$Q$9-$Q$10)*$Q$7,0))</f>
        <v>40059.1562069768</v>
      </c>
      <c r="N39" s="88" t="n">
        <f aca="false">I39-M39-L39</f>
        <v>178345.210520047</v>
      </c>
    </row>
    <row r="40" customFormat="false" ht="14.9" hidden="false" customHeight="false" outlineLevel="0" collapsed="false">
      <c r="A40" s="90" t="n">
        <v>38</v>
      </c>
      <c r="B40" s="91" t="n">
        <f aca="false">IF(Übersicht!$C$13&gt;=A40,-Übersicht!$C$6,IF(A40=Übersicht!$C$13+1,Übersicht!$F$9,0))</f>
        <v>0</v>
      </c>
      <c r="C40" s="91" t="n">
        <f aca="false">C39+E40</f>
        <v>2920399.79460784</v>
      </c>
      <c r="D40" s="91" t="n">
        <f aca="false">F39-I39</f>
        <v>2730054.5840878</v>
      </c>
      <c r="E40" s="91" t="n">
        <f aca="false">$Q$4+N39</f>
        <v>190345.210520047</v>
      </c>
      <c r="F40" s="91" t="n">
        <f aca="false">IF(ISNUMBER(Übersicht!E35),(D40+E40)*(1+Übersicht!E35),(D40+E40)*(1+$Q$5))</f>
        <v>3154031.77817647</v>
      </c>
      <c r="G40" s="91" t="n">
        <f aca="false">F40-(E40+D40)</f>
        <v>233631.983568628</v>
      </c>
      <c r="H40" s="91" t="n">
        <f aca="false">IF(G40&gt;0,MIN((D40+E40)*$Q$8*0.7,G40),0)</f>
        <v>52129.13633375</v>
      </c>
      <c r="I40" s="87" t="n">
        <f aca="false">(D40+E40)*$Q$6</f>
        <v>233631.983568627</v>
      </c>
      <c r="J40" s="91" t="n">
        <f aca="false">IF(G40&gt;0,MAX(H40-I40,0),0)</f>
        <v>0</v>
      </c>
      <c r="K40" s="91" t="n">
        <f aca="false">K39+J40</f>
        <v>0</v>
      </c>
      <c r="L40" s="91" t="n">
        <f aca="false">IF(J40*$Q$9&gt;$Q$10,(J40*$Q$9-$Q$10)*$Q$7,0)</f>
        <v>0</v>
      </c>
      <c r="M40" s="91" t="n">
        <f aca="false">IF(J39*$Q$9&gt;$Q$10,(I40)*$Q$9*$Q$7,IF((J39+I40)*$Q$9&gt;$Q$10,((J39+I40)*$Q$9-$Q$10)*$Q$7,0))</f>
        <v>42870.5549663578</v>
      </c>
      <c r="N40" s="88" t="n">
        <f aca="false">I40-M40-L40</f>
        <v>190761.42860227</v>
      </c>
    </row>
    <row r="41" customFormat="false" ht="14.9" hidden="false" customHeight="false" outlineLevel="0" collapsed="false">
      <c r="A41" s="90" t="n">
        <v>39</v>
      </c>
      <c r="B41" s="91" t="n">
        <f aca="false">IF(Übersicht!$C$13&gt;=A41,-Übersicht!$C$6,IF(A41=Übersicht!$C$13+1,Übersicht!$F$9,0))</f>
        <v>0</v>
      </c>
      <c r="C41" s="91" t="n">
        <f aca="false">C40+E41</f>
        <v>3123161.22321011</v>
      </c>
      <c r="D41" s="91" t="n">
        <f aca="false">F40-I40</f>
        <v>2920399.79460784</v>
      </c>
      <c r="E41" s="91" t="n">
        <f aca="false">$Q$4+N40</f>
        <v>202761.42860227</v>
      </c>
      <c r="F41" s="91" t="n">
        <f aca="false">IF(ISNUMBER(Übersicht!E36),(D41+E41)*(1+Übersicht!E36),(D41+E41)*(1+$Q$5))</f>
        <v>3373014.12106692</v>
      </c>
      <c r="G41" s="91" t="n">
        <f aca="false">F41-(E41+D41)</f>
        <v>249852.897856809</v>
      </c>
      <c r="H41" s="91" t="n">
        <f aca="false">IF(G41&gt;0,MIN((D41+E41)*$Q$8*0.7,G41),0)</f>
        <v>55748.4278343005</v>
      </c>
      <c r="I41" s="87" t="n">
        <f aca="false">(D41+E41)*$Q$6</f>
        <v>249852.897856809</v>
      </c>
      <c r="J41" s="91" t="n">
        <f aca="false">IF(G41&gt;0,MAX(H41-I41,0),0)</f>
        <v>0</v>
      </c>
      <c r="K41" s="91" t="n">
        <f aca="false">K40+J41</f>
        <v>0</v>
      </c>
      <c r="L41" s="91" t="n">
        <f aca="false">IF(J41*$Q$9&gt;$Q$10,(J41*$Q$9-$Q$10)*$Q$7,0)</f>
        <v>0</v>
      </c>
      <c r="M41" s="91" t="n">
        <f aca="false">IF(J40*$Q$9&gt;$Q$10,(I41)*$Q$9*$Q$7,IF((J40+I41)*$Q$9&gt;$Q$10,((J40+I41)*$Q$9-$Q$10)*$Q$7,0))</f>
        <v>45865.3412668134</v>
      </c>
      <c r="N41" s="88" t="n">
        <f aca="false">I41-M41-L41</f>
        <v>203987.556589996</v>
      </c>
    </row>
    <row r="42" customFormat="false" ht="14.9" hidden="false" customHeight="false" outlineLevel="0" collapsed="false">
      <c r="A42" s="90" t="n">
        <v>40</v>
      </c>
      <c r="B42" s="91" t="n">
        <f aca="false">IF(Übersicht!$C$13&gt;=A42,-Übersicht!$C$6,IF(A42=Übersicht!$C$13+1,Übersicht!$F$9,0))</f>
        <v>0</v>
      </c>
      <c r="C42" s="91" t="n">
        <f aca="false">C41+E42</f>
        <v>3339148.77980011</v>
      </c>
      <c r="D42" s="91" t="n">
        <f aca="false">F41-I41</f>
        <v>3123161.22321011</v>
      </c>
      <c r="E42" s="91" t="n">
        <f aca="false">$Q$4+N41</f>
        <v>215987.556589996</v>
      </c>
      <c r="F42" s="91" t="n">
        <f aca="false">IF(ISNUMBER(Übersicht!E37),(D42+E42)*(1+Übersicht!E37),(D42+E42)*(1+$Q$5))</f>
        <v>3606280.68218412</v>
      </c>
      <c r="G42" s="91" t="n">
        <f aca="false">F42-(E42+D42)</f>
        <v>267131.902384009</v>
      </c>
      <c r="H42" s="91" t="n">
        <f aca="false">IF(G42&gt;0,MIN((D42+E42)*$Q$8*0.7,G42),0)</f>
        <v>59603.8057194319</v>
      </c>
      <c r="I42" s="87" t="n">
        <f aca="false">(D42+E42)*$Q$6</f>
        <v>267131.902384009</v>
      </c>
      <c r="J42" s="91" t="n">
        <f aca="false">IF(G42&gt;0,MAX(H42-I42,0),0)</f>
        <v>0</v>
      </c>
      <c r="K42" s="91" t="n">
        <f aca="false">K41+J42</f>
        <v>0</v>
      </c>
      <c r="L42" s="91" t="n">
        <f aca="false">IF(J42*$Q$9&gt;$Q$10,(J42*$Q$9-$Q$10)*$Q$7,0)</f>
        <v>0</v>
      </c>
      <c r="M42" s="91" t="n">
        <f aca="false">IF(J41*$Q$9&gt;$Q$10,(I42)*$Q$9*$Q$7,IF((J41+I42)*$Q$9&gt;$Q$10,((J41+I42)*$Q$9-$Q$10)*$Q$7,0))</f>
        <v>49055.4774776476</v>
      </c>
      <c r="N42" s="88" t="n">
        <f aca="false">I42-M42-L42</f>
        <v>218076.424906361</v>
      </c>
    </row>
    <row r="43" customFormat="false" ht="14.9" hidden="false" customHeight="false" outlineLevel="0" collapsed="false">
      <c r="A43" s="90" t="n">
        <v>41</v>
      </c>
      <c r="B43" s="91" t="n">
        <f aca="false">IF(Übersicht!$C$13&gt;=A43,-Übersicht!$C$6,IF(A43=Übersicht!$C$13+1,Übersicht!$F$9,0))</f>
        <v>0</v>
      </c>
      <c r="C43" s="91" t="n">
        <f aca="false">C42+E43</f>
        <v>3569225.20470647</v>
      </c>
      <c r="D43" s="91" t="n">
        <f aca="false">F42-I42</f>
        <v>3339148.77980011</v>
      </c>
      <c r="E43" s="91" t="n">
        <f aca="false">$Q$4+N42</f>
        <v>230076.424906361</v>
      </c>
      <c r="F43" s="91" t="n">
        <f aca="false">IF(ISNUMBER(Übersicht!G18),(D43+E43)*(1+Übersicht!G18),(D43+E43)*(1+$Q$5))</f>
        <v>3854763.22108299</v>
      </c>
      <c r="G43" s="91" t="n">
        <f aca="false">F43-(E43+D43)</f>
        <v>285538.016376518</v>
      </c>
      <c r="H43" s="91" t="n">
        <f aca="false">IF(G43&gt;0,MIN((D43+E43)*$Q$8*0.7,G43),0)</f>
        <v>63710.6699040105</v>
      </c>
      <c r="I43" s="87" t="n">
        <f aca="false">(D43+E43)*$Q$6</f>
        <v>285538.016376518</v>
      </c>
      <c r="J43" s="91" t="n">
        <f aca="false">IF(G43&gt;0,MAX(H43-I43,0),0)</f>
        <v>0</v>
      </c>
      <c r="K43" s="91" t="n">
        <f aca="false">K42+J43</f>
        <v>0</v>
      </c>
      <c r="L43" s="91" t="n">
        <f aca="false">IF(J43*$Q$9&gt;$Q$10,(J43*$Q$9-$Q$10)*$Q$7,0)</f>
        <v>0</v>
      </c>
      <c r="M43" s="91" t="n">
        <f aca="false">IF(J42*$Q$9&gt;$Q$10,(I43)*$Q$9*$Q$7,IF((J42+I43)*$Q$9&gt;$Q$10,((J42+I43)*$Q$9-$Q$10)*$Q$7,0))</f>
        <v>52453.7062735146</v>
      </c>
      <c r="N43" s="88" t="n">
        <f aca="false">I43-M43-L43</f>
        <v>233084.310103003</v>
      </c>
    </row>
    <row r="44" customFormat="false" ht="14.9" hidden="false" customHeight="false" outlineLevel="0" collapsed="false">
      <c r="A44" s="90" t="n">
        <v>42</v>
      </c>
      <c r="B44" s="91" t="n">
        <f aca="false">IF(Übersicht!$C$13&gt;=A44,-Übersicht!$C$6,IF(A44=Übersicht!$C$13+1,Übersicht!$F$9,0))</f>
        <v>0</v>
      </c>
      <c r="C44" s="91" t="n">
        <f aca="false">C43+E44</f>
        <v>3814309.51480947</v>
      </c>
      <c r="D44" s="91" t="n">
        <f aca="false">F43-I43</f>
        <v>3569225.20470647</v>
      </c>
      <c r="E44" s="91" t="n">
        <f aca="false">$Q$4+N43</f>
        <v>245084.310103003</v>
      </c>
      <c r="F44" s="91" t="n">
        <f aca="false">IF(ISNUMBER(Übersicht!G19),(D44+E44)*(1+Übersicht!G19),(D44+E44)*(1+$Q$5))</f>
        <v>4119454.27599423</v>
      </c>
      <c r="G44" s="91" t="n">
        <f aca="false">F44-(E44+D44)</f>
        <v>305144.761184758</v>
      </c>
      <c r="H44" s="91" t="n">
        <f aca="false">IF(G44&gt;0,MIN((D44+E44)*$Q$8*0.7,G44),0)</f>
        <v>68085.4248393491</v>
      </c>
      <c r="I44" s="87" t="n">
        <f aca="false">(D44+E44)*$Q$6</f>
        <v>305144.761184758</v>
      </c>
      <c r="J44" s="91" t="n">
        <f aca="false">IF(G44&gt;0,MAX(H44-I44,0),0)</f>
        <v>0</v>
      </c>
      <c r="K44" s="91" t="n">
        <f aca="false">K43+J44</f>
        <v>0</v>
      </c>
      <c r="L44" s="91" t="n">
        <f aca="false">IF(J44*$Q$9&gt;$Q$10,(J44*$Q$9-$Q$10)*$Q$7,0)</f>
        <v>0</v>
      </c>
      <c r="M44" s="91" t="n">
        <f aca="false">IF(J43*$Q$9&gt;$Q$10,(I44)*$Q$9*$Q$7,IF((J43+I44)*$Q$9&gt;$Q$10,((J43+I44)*$Q$9-$Q$10)*$Q$7,0))</f>
        <v>56073.6015337359</v>
      </c>
      <c r="N44" s="88" t="n">
        <f aca="false">I44-M44-L44</f>
        <v>249071.159651022</v>
      </c>
    </row>
    <row r="45" customFormat="false" ht="14.9" hidden="false" customHeight="false" outlineLevel="0" collapsed="false">
      <c r="A45" s="90" t="n">
        <v>43</v>
      </c>
      <c r="B45" s="91" t="n">
        <f aca="false">IF(Übersicht!$C$13&gt;=A45,-Übersicht!$C$6,IF(A45=Übersicht!$C$13+1,Übersicht!$F$9,0))</f>
        <v>0</v>
      </c>
      <c r="C45" s="91" t="n">
        <f aca="false">C44+E45</f>
        <v>4075380.67446049</v>
      </c>
      <c r="D45" s="91" t="n">
        <f aca="false">F44-I44</f>
        <v>3814309.51480947</v>
      </c>
      <c r="E45" s="91" t="n">
        <f aca="false">$Q$4+N44</f>
        <v>261071.159651022</v>
      </c>
      <c r="F45" s="91" t="n">
        <f aca="false">IF(ISNUMBER(Übersicht!G20),(D45+E45)*(1+Übersicht!G20),(D45+E45)*(1+$Q$5))</f>
        <v>4401411.12841734</v>
      </c>
      <c r="G45" s="91" t="n">
        <f aca="false">F45-(E45+D45)</f>
        <v>326030.45395684</v>
      </c>
      <c r="H45" s="91" t="n">
        <f aca="false">IF(G45&gt;0,MIN((D45+E45)*$Q$8*0.7,G45),0)</f>
        <v>72745.5450391198</v>
      </c>
      <c r="I45" s="87" t="n">
        <f aca="false">(D45+E45)*$Q$6</f>
        <v>326030.45395684</v>
      </c>
      <c r="J45" s="91" t="n">
        <f aca="false">IF(G45&gt;0,MAX(H45-I45,0),0)</f>
        <v>0</v>
      </c>
      <c r="K45" s="91" t="n">
        <f aca="false">K44+J45</f>
        <v>0</v>
      </c>
      <c r="L45" s="91" t="n">
        <f aca="false">IF(J45*$Q$9&gt;$Q$10,(J45*$Q$9-$Q$10)*$Q$7,0)</f>
        <v>0</v>
      </c>
      <c r="M45" s="91" t="n">
        <f aca="false">IF(J44*$Q$9&gt;$Q$10,(I45)*$Q$9*$Q$7,IF((J44+I45)*$Q$9&gt;$Q$10,((J44+I45)*$Q$9-$Q$10)*$Q$7,0))</f>
        <v>59929.6225617815</v>
      </c>
      <c r="N45" s="88" t="n">
        <f aca="false">I45-M45-L45</f>
        <v>266100.831395058</v>
      </c>
    </row>
    <row r="46" customFormat="false" ht="14.9" hidden="false" customHeight="false" outlineLevel="0" collapsed="false">
      <c r="A46" s="90" t="n">
        <v>44</v>
      </c>
      <c r="B46" s="91" t="n">
        <f aca="false">IF(Übersicht!$C$13&gt;=A46,-Übersicht!$C$6,IF(A46=Übersicht!$C$13+1,Übersicht!$F$9,0))</f>
        <v>0</v>
      </c>
      <c r="C46" s="91" t="n">
        <f aca="false">C45+E46</f>
        <v>4353481.50585555</v>
      </c>
      <c r="D46" s="91" t="n">
        <f aca="false">F45-I45</f>
        <v>4075380.67446049</v>
      </c>
      <c r="E46" s="91" t="n">
        <f aca="false">$Q$4+N45</f>
        <v>278100.831395058</v>
      </c>
      <c r="F46" s="91" t="n">
        <f aca="false">IF(ISNUMBER(Übersicht!G21),(D46+E46)*(1+Übersicht!G21),(D46+E46)*(1+$Q$5))</f>
        <v>4701760.026324</v>
      </c>
      <c r="G46" s="91" t="n">
        <f aca="false">F46-(E46+D46)</f>
        <v>348278.520468445</v>
      </c>
      <c r="H46" s="91" t="n">
        <f aca="false">IF(G46&gt;0,MIN((D46+E46)*$Q$8*0.7,G46),0)</f>
        <v>77709.6448795216</v>
      </c>
      <c r="I46" s="87" t="n">
        <f aca="false">(D46+E46)*$Q$6</f>
        <v>348278.520468444</v>
      </c>
      <c r="J46" s="91" t="n">
        <f aca="false">IF(G46&gt;0,MAX(H46-I46,0),0)</f>
        <v>0</v>
      </c>
      <c r="K46" s="91" t="n">
        <f aca="false">K45+J46</f>
        <v>0</v>
      </c>
      <c r="L46" s="91" t="n">
        <f aca="false">IF(J46*$Q$9&gt;$Q$10,(J46*$Q$9-$Q$10)*$Q$7,0)</f>
        <v>0</v>
      </c>
      <c r="M46" s="91" t="n">
        <f aca="false">IF(J45*$Q$9&gt;$Q$10,(I46)*$Q$9*$Q$7,IF((J45+I46)*$Q$9&gt;$Q$10,((J45+I46)*$Q$9-$Q$10)*$Q$7,0))</f>
        <v>64037.1718414865</v>
      </c>
      <c r="N46" s="88" t="n">
        <f aca="false">I46-M46-L46</f>
        <v>284241.348626958</v>
      </c>
    </row>
    <row r="47" customFormat="false" ht="14.9" hidden="false" customHeight="false" outlineLevel="0" collapsed="false">
      <c r="A47" s="90" t="n">
        <v>45</v>
      </c>
      <c r="B47" s="91" t="n">
        <f aca="false">IF(Übersicht!$C$13&gt;=A47,-Übersicht!$C$6,IF(A47=Übersicht!$C$13+1,Übersicht!$F$9,0))</f>
        <v>0</v>
      </c>
      <c r="C47" s="91" t="n">
        <f aca="false">C46+E47</f>
        <v>4649722.85448251</v>
      </c>
      <c r="D47" s="91" t="n">
        <f aca="false">F46-I46</f>
        <v>4353481.50585555</v>
      </c>
      <c r="E47" s="91" t="n">
        <f aca="false">$Q$4+N46</f>
        <v>296241.348626958</v>
      </c>
      <c r="F47" s="91" t="n">
        <f aca="false">IF(ISNUMBER(Übersicht!G22),(D47+E47)*(1+Übersicht!G22),(D47+E47)*(1+$Q$5))</f>
        <v>5021700.68284111</v>
      </c>
      <c r="G47" s="91" t="n">
        <f aca="false">F47-(E47+D47)</f>
        <v>371977.828358601</v>
      </c>
      <c r="H47" s="91" t="n">
        <f aca="false">IF(G47&gt;0,MIN((D47+E47)*$Q$8*0.7,G47),0)</f>
        <v>82997.5529525128</v>
      </c>
      <c r="I47" s="87" t="n">
        <f aca="false">(D47+E47)*$Q$6</f>
        <v>371977.828358601</v>
      </c>
      <c r="J47" s="91" t="n">
        <f aca="false">IF(G47&gt;0,MAX(H47-I47,0),0)</f>
        <v>0</v>
      </c>
      <c r="K47" s="91" t="n">
        <f aca="false">K46+J47</f>
        <v>0</v>
      </c>
      <c r="L47" s="91" t="n">
        <f aca="false">IF(J47*$Q$9&gt;$Q$10,(J47*$Q$9-$Q$10)*$Q$7,0)</f>
        <v>0</v>
      </c>
      <c r="M47" s="91" t="n">
        <f aca="false">IF(J46*$Q$9&gt;$Q$10,(I47)*$Q$9*$Q$7,IF((J46+I47)*$Q$9&gt;$Q$10,((J46+I47)*$Q$9-$Q$10)*$Q$7,0))</f>
        <v>68412.6565607067</v>
      </c>
      <c r="N47" s="88" t="n">
        <f aca="false">I47-M47-L47</f>
        <v>303565.171797894</v>
      </c>
    </row>
    <row r="48" customFormat="false" ht="14.9" hidden="false" customHeight="false" outlineLevel="0" collapsed="false">
      <c r="A48" s="90" t="n">
        <v>46</v>
      </c>
      <c r="B48" s="91" t="n">
        <f aca="false">IF(Übersicht!$C$13&gt;=A48,-Übersicht!$C$6,IF(A48=Übersicht!$C$13+1,Übersicht!$F$9,0))</f>
        <v>0</v>
      </c>
      <c r="C48" s="91" t="n">
        <f aca="false">C47+E48</f>
        <v>4965288.0262804</v>
      </c>
      <c r="D48" s="91" t="n">
        <f aca="false">F47-I47</f>
        <v>4649722.85448251</v>
      </c>
      <c r="E48" s="91" t="n">
        <f aca="false">$Q$4+N47</f>
        <v>315565.171797894</v>
      </c>
      <c r="F48" s="91" t="n">
        <f aca="false">IF(ISNUMBER(Übersicht!G23),(D48+E48)*(1+Übersicht!G23),(D48+E48)*(1+$Q$5))</f>
        <v>5362511.06838284</v>
      </c>
      <c r="G48" s="91" t="n">
        <f aca="false">F48-(E48+D48)</f>
        <v>397223.042102433</v>
      </c>
      <c r="H48" s="91" t="n">
        <f aca="false">IF(G48&gt;0,MIN((D48+E48)*$Q$8*0.7,G48),0)</f>
        <v>88630.3912691052</v>
      </c>
      <c r="I48" s="87" t="n">
        <f aca="false">(D48+E48)*$Q$6</f>
        <v>397223.042102432</v>
      </c>
      <c r="J48" s="91" t="n">
        <f aca="false">IF(G48&gt;0,MAX(H48-I48,0),0)</f>
        <v>0</v>
      </c>
      <c r="K48" s="91" t="n">
        <f aca="false">K47+J48</f>
        <v>0</v>
      </c>
      <c r="L48" s="91" t="n">
        <f aca="false">IF(J48*$Q$9&gt;$Q$10,(J48*$Q$9-$Q$10)*$Q$7,0)</f>
        <v>0</v>
      </c>
      <c r="M48" s="91" t="n">
        <f aca="false">IF(J47*$Q$9&gt;$Q$10,(I48)*$Q$9*$Q$7,IF((J47+I48)*$Q$9&gt;$Q$10,((J47+I48)*$Q$9-$Q$10)*$Q$7,0))</f>
        <v>73073.5541481616</v>
      </c>
      <c r="N48" s="88" t="n">
        <f aca="false">I48-M48-L48</f>
        <v>324149.487954271</v>
      </c>
    </row>
    <row r="49" customFormat="false" ht="14.9" hidden="false" customHeight="false" outlineLevel="0" collapsed="false">
      <c r="A49" s="90" t="n">
        <v>47</v>
      </c>
      <c r="B49" s="91" t="n">
        <f aca="false">IF(Übersicht!$C$13&gt;=A49,-Übersicht!$C$6,IF(A49=Übersicht!$C$13+1,Übersicht!$F$9,0))</f>
        <v>0</v>
      </c>
      <c r="C49" s="91" t="n">
        <f aca="false">C48+E49</f>
        <v>5301437.51423467</v>
      </c>
      <c r="D49" s="91" t="n">
        <f aca="false">F48-I48</f>
        <v>4965288.0262804</v>
      </c>
      <c r="E49" s="91" t="n">
        <f aca="false">$Q$4+N48</f>
        <v>336149.487954271</v>
      </c>
      <c r="F49" s="91" t="n">
        <f aca="false">IF(ISNUMBER(Übersicht!G24),(D49+E49)*(1+Übersicht!G24),(D49+E49)*(1+$Q$5))</f>
        <v>5725552.51537345</v>
      </c>
      <c r="G49" s="91" t="n">
        <f aca="false">F49-(E49+D49)</f>
        <v>424115.001138775</v>
      </c>
      <c r="H49" s="91" t="n">
        <f aca="false">IF(G49&gt;0,MIN((D49+E49)*$Q$8*0.7,G49),0)</f>
        <v>94630.659629089</v>
      </c>
      <c r="I49" s="87" t="n">
        <f aca="false">(D49+E49)*$Q$6</f>
        <v>424115.001138774</v>
      </c>
      <c r="J49" s="91" t="n">
        <f aca="false">IF(G49&gt;0,MAX(H49-I49,0),0)</f>
        <v>0</v>
      </c>
      <c r="K49" s="91" t="n">
        <f aca="false">K48+J49</f>
        <v>0</v>
      </c>
      <c r="L49" s="91" t="n">
        <f aca="false">IF(J49*$Q$9&gt;$Q$10,(J49*$Q$9-$Q$10)*$Q$7,0)</f>
        <v>0</v>
      </c>
      <c r="M49" s="91" t="n">
        <f aca="false">IF(J48*$Q$9&gt;$Q$10,(I49)*$Q$9*$Q$7,IF((J48+I49)*$Q$9&gt;$Q$10,((J48+I49)*$Q$9-$Q$10)*$Q$7,0))</f>
        <v>78038.4820852462</v>
      </c>
      <c r="N49" s="88" t="n">
        <f aca="false">I49-M49-L49</f>
        <v>346076.519053528</v>
      </c>
    </row>
    <row r="50" customFormat="false" ht="14.9" hidden="false" customHeight="false" outlineLevel="0" collapsed="false">
      <c r="A50" s="90" t="n">
        <v>48</v>
      </c>
      <c r="B50" s="91" t="n">
        <f aca="false">IF(Übersicht!$C$13&gt;=A50,-Übersicht!$C$6,IF(A50=Übersicht!$C$13+1,Übersicht!$F$9,0))</f>
        <v>0</v>
      </c>
      <c r="C50" s="91" t="n">
        <f aca="false">C49+E50</f>
        <v>5659514.0332882</v>
      </c>
      <c r="D50" s="91" t="n">
        <f aca="false">F49-I49</f>
        <v>5301437.51423468</v>
      </c>
      <c r="E50" s="91" t="n">
        <f aca="false">$Q$4+N49</f>
        <v>358076.519053528</v>
      </c>
      <c r="F50" s="91" t="n">
        <f aca="false">IF(ISNUMBER(Übersicht!G25),(D50+E50)*(1+Übersicht!G25),(D50+E50)*(1+$Q$5))</f>
        <v>6112275.15595126</v>
      </c>
      <c r="G50" s="91" t="n">
        <f aca="false">F50-(E50+D50)</f>
        <v>452761.122663056</v>
      </c>
      <c r="H50" s="91" t="n">
        <f aca="false">IF(G50&gt;0,MIN((D50+E50)*$Q$8*0.7,G50),0)</f>
        <v>101022.325494194</v>
      </c>
      <c r="I50" s="87" t="n">
        <f aca="false">(D50+E50)*$Q$6</f>
        <v>452761.122663056</v>
      </c>
      <c r="J50" s="91" t="n">
        <f aca="false">IF(G50&gt;0,MAX(H50-I50,0),0)</f>
        <v>0</v>
      </c>
      <c r="K50" s="91" t="n">
        <f aca="false">K49+J50</f>
        <v>0</v>
      </c>
      <c r="L50" s="91" t="n">
        <f aca="false">IF(J50*$Q$9&gt;$Q$10,(J50*$Q$9-$Q$10)*$Q$7,0)</f>
        <v>0</v>
      </c>
      <c r="M50" s="91" t="n">
        <f aca="false">IF(J49*$Q$9&gt;$Q$10,(I50)*$Q$9*$Q$7,IF((J49+I50)*$Q$9&gt;$Q$10,((J49+I50)*$Q$9-$Q$10)*$Q$7,0))</f>
        <v>83327.2722716668</v>
      </c>
      <c r="N50" s="88" t="n">
        <f aca="false">I50-M50-L50</f>
        <v>369433.85039139</v>
      </c>
    </row>
    <row r="51" customFormat="false" ht="14.9" hidden="false" customHeight="false" outlineLevel="0" collapsed="false">
      <c r="A51" s="90" t="n">
        <v>49</v>
      </c>
      <c r="B51" s="91" t="n">
        <f aca="false">IF(Übersicht!$C$13&gt;=A51,-Übersicht!$C$6,IF(A51=Übersicht!$C$13+1,Übersicht!$F$9,0))</f>
        <v>0</v>
      </c>
      <c r="C51" s="91" t="n">
        <f aca="false">C50+E51</f>
        <v>6040947.88367959</v>
      </c>
      <c r="D51" s="91" t="n">
        <f aca="false">F50-I50</f>
        <v>5659514.03328821</v>
      </c>
      <c r="E51" s="91" t="n">
        <f aca="false">$Q$4+N50</f>
        <v>381433.85039139</v>
      </c>
      <c r="F51" s="91" t="n">
        <f aca="false">IF(ISNUMBER(Übersicht!G26),(D51+E51)*(1+Übersicht!G26),(D51+E51)*(1+$Q$5))</f>
        <v>6524223.71437396</v>
      </c>
      <c r="G51" s="91" t="n">
        <f aca="false">F51-(E51+D51)</f>
        <v>483275.830694368</v>
      </c>
      <c r="H51" s="91" t="n">
        <f aca="false">IF(G51&gt;0,MIN((D51+E51)*$Q$8*0.7,G51),0)</f>
        <v>107830.919723681</v>
      </c>
      <c r="I51" s="87" t="n">
        <f aca="false">(D51+E51)*$Q$6</f>
        <v>483275.830694368</v>
      </c>
      <c r="J51" s="91" t="n">
        <f aca="false">IF(G51&gt;0,MAX(H51-I51,0),0)</f>
        <v>0</v>
      </c>
      <c r="K51" s="91" t="n">
        <f aca="false">K50+J51</f>
        <v>0</v>
      </c>
      <c r="L51" s="91" t="n">
        <f aca="false">IF(J51*$Q$9&gt;$Q$10,(J51*$Q$9-$Q$10)*$Q$7,0)</f>
        <v>0</v>
      </c>
      <c r="M51" s="91" t="n">
        <f aca="false">IF(J50*$Q$9&gt;$Q$10,(I51)*$Q$9*$Q$7,IF((J50+I51)*$Q$9&gt;$Q$10,((J50+I51)*$Q$9-$Q$10)*$Q$7,0))</f>
        <v>88961.0502419476</v>
      </c>
      <c r="N51" s="88" t="n">
        <f aca="false">I51-M51-L51</f>
        <v>394314.78045242</v>
      </c>
    </row>
    <row r="52" customFormat="false" ht="14.9" hidden="false" customHeight="false" outlineLevel="0" collapsed="false">
      <c r="A52" s="90" t="n">
        <v>50</v>
      </c>
      <c r="B52" s="91" t="n">
        <f aca="false">IF(Übersicht!$C$13&gt;=A52,-Übersicht!$C$6,IF(A52=Übersicht!$C$13+1,Übersicht!$F$9,0))</f>
        <v>0</v>
      </c>
      <c r="C52" s="91" t="n">
        <f aca="false">C51+E52</f>
        <v>6447262.66413201</v>
      </c>
      <c r="D52" s="91" t="n">
        <f aca="false">F51-I51</f>
        <v>6040947.8836796</v>
      </c>
      <c r="E52" s="91" t="n">
        <f aca="false">$Q$4+N51</f>
        <v>406314.78045242</v>
      </c>
      <c r="F52" s="91" t="n">
        <f aca="false">IF(ISNUMBER(Übersicht!G27),(D52+E52)*(1+Übersicht!G27),(D52+E52)*(1+$Q$5))</f>
        <v>6963043.67726258</v>
      </c>
      <c r="G52" s="91" t="n">
        <f aca="false">F52-(E52+D52)</f>
        <v>515781.013130562</v>
      </c>
      <c r="H52" s="91" t="n">
        <f aca="false">IF(G52&gt;0,MIN((D52+E52)*$Q$8*0.7,G52),0)</f>
        <v>115083.638554756</v>
      </c>
      <c r="I52" s="87" t="n">
        <f aca="false">(D52+E52)*$Q$6</f>
        <v>515781.013130561</v>
      </c>
      <c r="J52" s="91" t="n">
        <f aca="false">IF(G52&gt;0,MAX(H52-I52,0),0)</f>
        <v>0</v>
      </c>
      <c r="K52" s="91" t="n">
        <f aca="false">K51+J52</f>
        <v>0</v>
      </c>
      <c r="L52" s="91" t="n">
        <f aca="false">IF(J52*$Q$9&gt;$Q$10,(J52*$Q$9-$Q$10)*$Q$7,0)</f>
        <v>0</v>
      </c>
      <c r="M52" s="91" t="n">
        <f aca="false">IF(J51*$Q$9&gt;$Q$10,(I52)*$Q$9*$Q$7,IF((J51+I52)*$Q$9&gt;$Q$10,((J51+I52)*$Q$9-$Q$10)*$Q$7,0))</f>
        <v>94962.3195492299</v>
      </c>
      <c r="N52" s="88" t="n">
        <f aca="false">I52-M52-L52</f>
        <v>420818.693581331</v>
      </c>
    </row>
    <row r="53" customFormat="false" ht="14.9" hidden="false" customHeight="false" outlineLevel="0" collapsed="false">
      <c r="A53" s="90" t="n">
        <v>51</v>
      </c>
      <c r="B53" s="91" t="n">
        <f aca="false">IF(Übersicht!$C$13&gt;=A53,-Übersicht!$C$6,IF(A53=Übersicht!$C$13+1,Übersicht!$F$9,0))</f>
        <v>0</v>
      </c>
      <c r="C53" s="91" t="n">
        <f aca="false">C52+E53</f>
        <v>6880081.35771334</v>
      </c>
      <c r="D53" s="91" t="n">
        <f aca="false">F52-I52</f>
        <v>6447262.66413202</v>
      </c>
      <c r="E53" s="91" t="n">
        <f aca="false">$Q$4+N52</f>
        <v>432818.693581331</v>
      </c>
      <c r="F53" s="91" t="n">
        <f aca="false">IF(ISNUMBER(Übersicht!G28),(D53+E53)*(1+Übersicht!G28),(D53+E53)*(1+$Q$5))</f>
        <v>7430487.86633042</v>
      </c>
      <c r="G53" s="91" t="n">
        <f aca="false">F53-(E53+D53)</f>
        <v>550406.508617069</v>
      </c>
      <c r="H53" s="91" t="n">
        <f aca="false">IF(G53&gt;0,MIN((D53+E53)*$Q$8*0.7,G53),0)</f>
        <v>122809.452235183</v>
      </c>
      <c r="I53" s="87" t="n">
        <f aca="false">(D53+E53)*$Q$6</f>
        <v>550406.508617068</v>
      </c>
      <c r="J53" s="91" t="n">
        <f aca="false">IF(G53&gt;0,MAX(H53-I53,0),0)</f>
        <v>0</v>
      </c>
      <c r="K53" s="91" t="n">
        <f aca="false">K52+J53</f>
        <v>0</v>
      </c>
      <c r="L53" s="91" t="n">
        <f aca="false">IF(J53*$Q$9&gt;$Q$10,(J53*$Q$9-$Q$10)*$Q$7,0)</f>
        <v>0</v>
      </c>
      <c r="M53" s="91" t="n">
        <f aca="false">IF(J52*$Q$9&gt;$Q$10,(I53)*$Q$9*$Q$7,IF((J52+I53)*$Q$9&gt;$Q$10,((J52+I53)*$Q$9-$Q$10)*$Q$7,0))</f>
        <v>101355.051653426</v>
      </c>
      <c r="N53" s="88" t="n">
        <f aca="false">I53-M53-L53</f>
        <v>449051.456963642</v>
      </c>
    </row>
    <row r="54" customFormat="false" ht="14.9" hidden="false" customHeight="false" outlineLevel="0" collapsed="false">
      <c r="A54" s="90" t="n">
        <v>52</v>
      </c>
      <c r="B54" s="91" t="n">
        <f aca="false">IF(Übersicht!$C$13&gt;=A54,-Übersicht!$C$6,IF(A54=Übersicht!$C$13+1,Übersicht!$F$9,0))</f>
        <v>0</v>
      </c>
      <c r="C54" s="91" t="n">
        <f aca="false">C53+E54</f>
        <v>7341132.81467698</v>
      </c>
      <c r="D54" s="91" t="n">
        <f aca="false">F53-I53</f>
        <v>6880081.35771335</v>
      </c>
      <c r="E54" s="91" t="n">
        <f aca="false">$Q$4+N53</f>
        <v>461051.456963642</v>
      </c>
      <c r="F54" s="91" t="n">
        <f aca="false">IF(ISNUMBER(Übersicht!G29),(D54+E54)*(1+Übersicht!G29),(D54+E54)*(1+$Q$5))</f>
        <v>7928423.43985115</v>
      </c>
      <c r="G54" s="91" t="n">
        <f aca="false">F54-(E54+D54)</f>
        <v>587290.62517416</v>
      </c>
      <c r="H54" s="91" t="n">
        <f aca="false">IF(G54&gt;0,MIN((D54+E54)*$Q$8*0.7,G54),0)</f>
        <v>131039.220741984</v>
      </c>
      <c r="I54" s="87" t="n">
        <f aca="false">(D54+E54)*$Q$6</f>
        <v>587290.625174159</v>
      </c>
      <c r="J54" s="91" t="n">
        <f aca="false">IF(G54&gt;0,MAX(H54-I54,0),0)</f>
        <v>0</v>
      </c>
      <c r="K54" s="91" t="n">
        <f aca="false">K53+J54</f>
        <v>0</v>
      </c>
      <c r="L54" s="91" t="n">
        <f aca="false">IF(J54*$Q$9&gt;$Q$10,(J54*$Q$9-$Q$10)*$Q$7,0)</f>
        <v>0</v>
      </c>
      <c r="M54" s="91" t="n">
        <f aca="false">IF(J53*$Q$9&gt;$Q$10,(I54)*$Q$9*$Q$7,IF((J53+I54)*$Q$9&gt;$Q$10,((J53+I54)*$Q$9-$Q$10)*$Q$7,0))</f>
        <v>108164.781672779</v>
      </c>
      <c r="N54" s="88" t="n">
        <f aca="false">I54-M54-L54</f>
        <v>479125.84350138</v>
      </c>
    </row>
    <row r="55" customFormat="false" ht="14.9" hidden="false" customHeight="false" outlineLevel="0" collapsed="false">
      <c r="A55" s="90" t="n">
        <v>53</v>
      </c>
      <c r="B55" s="91" t="n">
        <f aca="false">IF(Übersicht!$C$13&gt;=A55,-Übersicht!$C$6,IF(A55=Übersicht!$C$13+1,Übersicht!$F$9,0))</f>
        <v>0</v>
      </c>
      <c r="C55" s="91" t="n">
        <f aca="false">C54+E55</f>
        <v>7832258.65817836</v>
      </c>
      <c r="D55" s="91" t="n">
        <f aca="false">F54-I54</f>
        <v>7341132.81467699</v>
      </c>
      <c r="E55" s="91" t="n">
        <f aca="false">$Q$4+N54</f>
        <v>491125.84350138</v>
      </c>
      <c r="F55" s="91" t="n">
        <f aca="false">IF(ISNUMBER(Übersicht!G30),(D55+E55)*(1+Übersicht!G30),(D55+E55)*(1+$Q$5))</f>
        <v>8458839.35083264</v>
      </c>
      <c r="G55" s="91" t="n">
        <f aca="false">F55-(E55+D55)</f>
        <v>626580.692654271</v>
      </c>
      <c r="H55" s="91" t="n">
        <f aca="false">IF(G55&gt;0,MIN((D55+E55)*$Q$8*0.7,G55),0)</f>
        <v>139805.817048484</v>
      </c>
      <c r="I55" s="87" t="n">
        <f aca="false">(D55+E55)*$Q$6</f>
        <v>626580.69265427</v>
      </c>
      <c r="J55" s="91" t="n">
        <f aca="false">IF(G55&gt;0,MAX(H55-I55,0),0)</f>
        <v>0</v>
      </c>
      <c r="K55" s="91" t="n">
        <f aca="false">K54+J55</f>
        <v>0</v>
      </c>
      <c r="L55" s="91" t="n">
        <f aca="false">IF(J55*$Q$9&gt;$Q$10,(J55*$Q$9-$Q$10)*$Q$7,0)</f>
        <v>0</v>
      </c>
      <c r="M55" s="91" t="n">
        <f aca="false">IF(J54*$Q$9&gt;$Q$10,(I55)*$Q$9*$Q$7,IF((J54+I55)*$Q$9&gt;$Q$10,((J54+I55)*$Q$9-$Q$10)*$Q$7,0))</f>
        <v>115418.710381295</v>
      </c>
      <c r="N55" s="88" t="n">
        <f aca="false">I55-M55-L55</f>
        <v>511161.982272975</v>
      </c>
    </row>
    <row r="56" customFormat="false" ht="14.9" hidden="false" customHeight="false" outlineLevel="0" collapsed="false">
      <c r="A56" s="90" t="n">
        <v>54</v>
      </c>
      <c r="B56" s="91" t="n">
        <f aca="false">IF(Übersicht!$C$13&gt;=A56,-Übersicht!$C$6,IF(A56=Übersicht!$C$13+1,Übersicht!$F$9,0))</f>
        <v>0</v>
      </c>
      <c r="C56" s="91" t="n">
        <f aca="false">C55+E56</f>
        <v>8355420.64045134</v>
      </c>
      <c r="D56" s="91" t="n">
        <f aca="false">F55-I55</f>
        <v>7832258.65817837</v>
      </c>
      <c r="E56" s="91" t="n">
        <f aca="false">$Q$4+N55</f>
        <v>523161.982272975</v>
      </c>
      <c r="F56" s="91" t="n">
        <f aca="false">IF(ISNUMBER(Übersicht!G31),(D56+E56)*(1+Übersicht!G31),(D56+E56)*(1+$Q$5))</f>
        <v>9023854.29168746</v>
      </c>
      <c r="G56" s="91" t="n">
        <f aca="false">F56-(E56+D56)</f>
        <v>668433.651236109</v>
      </c>
      <c r="H56" s="91" t="n">
        <f aca="false">IF(G56&gt;0,MIN((D56+E56)*$Q$8*0.7,G56),0)</f>
        <v>149144.258432057</v>
      </c>
      <c r="I56" s="87" t="n">
        <f aca="false">(D56+E56)*$Q$6</f>
        <v>668433.651236108</v>
      </c>
      <c r="J56" s="91" t="n">
        <f aca="false">IF(G56&gt;0,MAX(H56-I56,0),0)</f>
        <v>0</v>
      </c>
      <c r="K56" s="91" t="n">
        <f aca="false">K55+J56</f>
        <v>0</v>
      </c>
      <c r="L56" s="91" t="n">
        <f aca="false">IF(J56*$Q$9&gt;$Q$10,(J56*$Q$9-$Q$10)*$Q$7,0)</f>
        <v>0</v>
      </c>
      <c r="M56" s="91" t="n">
        <f aca="false">IF(J55*$Q$9&gt;$Q$10,(I56)*$Q$9*$Q$7,IF((J55+I56)*$Q$9&gt;$Q$10,((J55+I56)*$Q$9-$Q$10)*$Q$7,0))</f>
        <v>123145.812859466</v>
      </c>
      <c r="N56" s="88" t="n">
        <f aca="false">I56-M56-L56</f>
        <v>545287.838376641</v>
      </c>
    </row>
    <row r="57" customFormat="false" ht="14.9" hidden="false" customHeight="false" outlineLevel="0" collapsed="false">
      <c r="A57" s="90" t="n">
        <v>55</v>
      </c>
      <c r="B57" s="91" t="n">
        <f aca="false">IF(Übersicht!$C$13&gt;=A57,-Übersicht!$C$6,IF(A57=Übersicht!$C$13+1,Übersicht!$F$9,0))</f>
        <v>0</v>
      </c>
      <c r="C57" s="91" t="n">
        <f aca="false">C56+E57</f>
        <v>8912708.47882798</v>
      </c>
      <c r="D57" s="91" t="n">
        <f aca="false">F56-I56</f>
        <v>8355420.64045135</v>
      </c>
      <c r="E57" s="91" t="n">
        <f aca="false">$Q$4+N56</f>
        <v>557287.838376641</v>
      </c>
      <c r="F57" s="91" t="n">
        <f aca="false">IF(ISNUMBER(Übersicht!G32),(D57+E57)*(1+Übersicht!G32),(D57+E57)*(1+$Q$5))</f>
        <v>9625725.15713423</v>
      </c>
      <c r="G57" s="91" t="n">
        <f aca="false">F57-(E57+D57)</f>
        <v>713016.678306241</v>
      </c>
      <c r="H57" s="91" t="n">
        <f aca="false">IF(G57&gt;0,MIN((D57+E57)*$Q$8*0.7,G57),0)</f>
        <v>159091.84634708</v>
      </c>
      <c r="I57" s="87" t="n">
        <f aca="false">(D57+E57)*$Q$6</f>
        <v>713016.678306239</v>
      </c>
      <c r="J57" s="91" t="n">
        <f aca="false">IF(G57&gt;0,MAX(H57-I57,0),0)</f>
        <v>0</v>
      </c>
      <c r="K57" s="91" t="n">
        <f aca="false">K56+J57</f>
        <v>0</v>
      </c>
      <c r="L57" s="91" t="n">
        <f aca="false">IF(J57*$Q$9&gt;$Q$10,(J57*$Q$9-$Q$10)*$Q$7,0)</f>
        <v>0</v>
      </c>
      <c r="M57" s="91" t="n">
        <f aca="false">IF(J56*$Q$9&gt;$Q$10,(I57)*$Q$9*$Q$7,IF((J56+I57)*$Q$9&gt;$Q$10,((J56+I57)*$Q$9-$Q$10)*$Q$7,0))</f>
        <v>131376.954232289</v>
      </c>
      <c r="N57" s="88" t="n">
        <f aca="false">I57-M57-L57</f>
        <v>581639.72407395</v>
      </c>
    </row>
    <row r="58" customFormat="false" ht="14.9" hidden="false" customHeight="false" outlineLevel="0" collapsed="false">
      <c r="A58" s="90" t="n">
        <v>56</v>
      </c>
      <c r="B58" s="91" t="n">
        <f aca="false">IF(Übersicht!$C$13&gt;=A58,-Übersicht!$C$6,IF(A58=Übersicht!$C$13+1,Übersicht!$F$9,0))</f>
        <v>0</v>
      </c>
      <c r="C58" s="91" t="n">
        <f aca="false">C57+E58</f>
        <v>9506348.20290193</v>
      </c>
      <c r="D58" s="91" t="n">
        <f aca="false">F57-I57</f>
        <v>8912708.47882799</v>
      </c>
      <c r="E58" s="91" t="n">
        <f aca="false">$Q$4+N57</f>
        <v>593639.72407395</v>
      </c>
      <c r="F58" s="91" t="n">
        <f aca="false">IF(ISNUMBER(Übersicht!G33),(D58+E58)*(1+Übersicht!G33),(D58+E58)*(1+$Q$5))</f>
        <v>10266856.0591341</v>
      </c>
      <c r="G58" s="91" t="n">
        <f aca="false">F58-(E58+D58)</f>
        <v>760507.856232155</v>
      </c>
      <c r="H58" s="91" t="n">
        <f aca="false">IF(G58&gt;0,MIN((D58+E58)*$Q$8*0.7,G58),0)</f>
        <v>169688.3154218</v>
      </c>
      <c r="I58" s="87" t="n">
        <f aca="false">(D58+E58)*$Q$6</f>
        <v>760507.856232155</v>
      </c>
      <c r="J58" s="91" t="n">
        <f aca="false">IF(G58&gt;0,MAX(H58-I58,0),0)</f>
        <v>0</v>
      </c>
      <c r="K58" s="91" t="n">
        <f aca="false">K57+J58</f>
        <v>0</v>
      </c>
      <c r="L58" s="91" t="n">
        <f aca="false">IF(J58*$Q$9&gt;$Q$10,(J58*$Q$9-$Q$10)*$Q$7,0)</f>
        <v>0</v>
      </c>
      <c r="M58" s="91" t="n">
        <f aca="false">IF(J57*$Q$9&gt;$Q$10,(I58)*$Q$9*$Q$7,IF((J57+I58)*$Q$9&gt;$Q$10,((J57+I58)*$Q$9-$Q$10)*$Q$7,0))</f>
        <v>140145.012956862</v>
      </c>
      <c r="N58" s="88" t="n">
        <f aca="false">I58-M58-L58</f>
        <v>620362.843275294</v>
      </c>
    </row>
    <row r="59" customFormat="false" ht="14.9" hidden="false" customHeight="false" outlineLevel="0" collapsed="false">
      <c r="A59" s="90" t="n">
        <v>57</v>
      </c>
      <c r="B59" s="91" t="n">
        <f aca="false">IF(Übersicht!$C$13&gt;=A59,-Übersicht!$C$6,IF(A59=Übersicht!$C$13+1,Übersicht!$F$9,0))</f>
        <v>0</v>
      </c>
      <c r="C59" s="91" t="n">
        <f aca="false">C58+E59</f>
        <v>10138711.0461772</v>
      </c>
      <c r="D59" s="91" t="n">
        <f aca="false">F58-I58</f>
        <v>9506348.20290194</v>
      </c>
      <c r="E59" s="91" t="n">
        <f aca="false">$Q$4+N58</f>
        <v>632362.843275294</v>
      </c>
      <c r="F59" s="91" t="n">
        <f aca="false">IF(ISNUMBER(Übersicht!G34),(D59+E59)*(1+Übersicht!G34),(D59+E59)*(1+$Q$5))</f>
        <v>10949807.9298714</v>
      </c>
      <c r="G59" s="91" t="n">
        <f aca="false">F59-(E59+D59)</f>
        <v>811096.883694179</v>
      </c>
      <c r="H59" s="91" t="n">
        <f aca="false">IF(G59&gt;0,MIN((D59+E59)*$Q$8*0.7,G59),0)</f>
        <v>180975.992174264</v>
      </c>
      <c r="I59" s="87" t="n">
        <f aca="false">(D59+E59)*$Q$6</f>
        <v>811096.883694179</v>
      </c>
      <c r="J59" s="91" t="n">
        <f aca="false">IF(G59&gt;0,MAX(H59-I59,0),0)</f>
        <v>0</v>
      </c>
      <c r="K59" s="91" t="n">
        <f aca="false">K58+J59</f>
        <v>0</v>
      </c>
      <c r="L59" s="91" t="n">
        <f aca="false">IF(J59*$Q$9&gt;$Q$10,(J59*$Q$9-$Q$10)*$Q$7,0)</f>
        <v>0</v>
      </c>
      <c r="M59" s="91" t="n">
        <f aca="false">IF(J58*$Q$9&gt;$Q$10,(I59)*$Q$9*$Q$7,IF((J58+I59)*$Q$9&gt;$Q$10,((J58+I59)*$Q$9-$Q$10)*$Q$7,0))</f>
        <v>149485.012152038</v>
      </c>
      <c r="N59" s="88" t="n">
        <f aca="false">I59-M59-L59</f>
        <v>661611.871542141</v>
      </c>
    </row>
    <row r="60" customFormat="false" ht="14.9" hidden="false" customHeight="false" outlineLevel="0" collapsed="false">
      <c r="A60" s="90" t="n">
        <v>58</v>
      </c>
      <c r="B60" s="91" t="n">
        <f aca="false">IF(Übersicht!$C$13&gt;=A60,-Übersicht!$C$6,IF(A60=Übersicht!$C$13+1,Übersicht!$F$9,0))</f>
        <v>0</v>
      </c>
      <c r="C60" s="91" t="n">
        <f aca="false">C59+E60</f>
        <v>10812322.9177194</v>
      </c>
      <c r="D60" s="91" t="n">
        <f aca="false">F59-I59</f>
        <v>10138711.0461772</v>
      </c>
      <c r="E60" s="91" t="n">
        <f aca="false">$Q$4+N59</f>
        <v>673611.871542141</v>
      </c>
      <c r="F60" s="91" t="n">
        <f aca="false">IF(ISNUMBER(Übersicht!G35),(D60+E60)*(1+Übersicht!G35),(D60+E60)*(1+$Q$5))</f>
        <v>11677308.7511369</v>
      </c>
      <c r="G60" s="91" t="n">
        <f aca="false">F60-(E60+D60)</f>
        <v>864985.833417552</v>
      </c>
      <c r="H60" s="91" t="n">
        <f aca="false">IF(G60&gt;0,MIN((D60+E60)*$Q$8*0.7,G60),0)</f>
        <v>192999.964081291</v>
      </c>
      <c r="I60" s="87" t="n">
        <f aca="false">(D60+E60)*$Q$6</f>
        <v>864985.83341755</v>
      </c>
      <c r="J60" s="91" t="n">
        <f aca="false">IF(G60&gt;0,MAX(H60-I60,0),0)</f>
        <v>0</v>
      </c>
      <c r="K60" s="91" t="n">
        <f aca="false">K59+J60</f>
        <v>0</v>
      </c>
      <c r="L60" s="91" t="n">
        <f aca="false">IF(J60*$Q$9&gt;$Q$10,(J60*$Q$9-$Q$10)*$Q$7,0)</f>
        <v>0</v>
      </c>
      <c r="M60" s="91" t="n">
        <f aca="false">IF(J59*$Q$9&gt;$Q$10,(I60)*$Q$9*$Q$7,IF((J59+I60)*$Q$9&gt;$Q$10,((J59+I60)*$Q$9-$Q$10)*$Q$7,0))</f>
        <v>159434.259494715</v>
      </c>
      <c r="N60" s="88" t="n">
        <f aca="false">I60-M60-L60</f>
        <v>705551.573922835</v>
      </c>
    </row>
    <row r="61" customFormat="false" ht="14.9" hidden="false" customHeight="false" outlineLevel="0" collapsed="false">
      <c r="A61" s="90" t="n">
        <v>59</v>
      </c>
      <c r="B61" s="91" t="n">
        <f aca="false">IF(Übersicht!$C$13&gt;=A61,-Übersicht!$C$6,IF(A61=Übersicht!$C$13+1,Übersicht!$F$9,0))</f>
        <v>0</v>
      </c>
      <c r="C61" s="91" t="n">
        <f aca="false">C60+E61</f>
        <v>11529874.4916422</v>
      </c>
      <c r="D61" s="91" t="n">
        <f aca="false">F60-I60</f>
        <v>10812322.9177194</v>
      </c>
      <c r="E61" s="91" t="n">
        <f aca="false">$Q$4+N60</f>
        <v>717551.573922835</v>
      </c>
      <c r="F61" s="91" t="n">
        <f aca="false">IF(ISNUMBER(Übersicht!G36),(D61+E61)*(1+Übersicht!G36),(D61+E61)*(1+$Q$5))</f>
        <v>12452264.4509736</v>
      </c>
      <c r="G61" s="91" t="n">
        <f aca="false">F61-(E61+D61)</f>
        <v>922389.959331378</v>
      </c>
      <c r="H61" s="91" t="n">
        <f aca="false">IF(G61&gt;0,MIN((D61+E61)*$Q$8*0.7,G61),0)</f>
        <v>205808.259675813</v>
      </c>
      <c r="I61" s="87" t="n">
        <f aca="false">(D61+E61)*$Q$6</f>
        <v>922389.959331377</v>
      </c>
      <c r="J61" s="91" t="n">
        <f aca="false">IF(G61&gt;0,MAX(H61-I61,0),0)</f>
        <v>0</v>
      </c>
      <c r="K61" s="91" t="n">
        <f aca="false">K60+J61</f>
        <v>0</v>
      </c>
      <c r="L61" s="91" t="n">
        <f aca="false">IF(J61*$Q$9&gt;$Q$10,(J61*$Q$9-$Q$10)*$Q$7,0)</f>
        <v>0</v>
      </c>
      <c r="M61" s="91" t="n">
        <f aca="false">IF(J60*$Q$9&gt;$Q$10,(I61)*$Q$9*$Q$7,IF((J60+I61)*$Q$9&gt;$Q$10,((J60+I61)*$Q$9-$Q$10)*$Q$7,0))</f>
        <v>170032.496241555</v>
      </c>
      <c r="N61" s="88" t="n">
        <f aca="false">I61-M61-L61</f>
        <v>752357.463089822</v>
      </c>
    </row>
    <row r="62" customFormat="false" ht="14.9" hidden="false" customHeight="false" outlineLevel="0" collapsed="false">
      <c r="A62" s="90" t="n">
        <v>60</v>
      </c>
      <c r="B62" s="91" t="n">
        <f aca="false">IF(Übersicht!$C$13&gt;=A62,-Übersicht!$C$6,IF(A62=Übersicht!$C$13+1,Übersicht!$F$9,0))</f>
        <v>0</v>
      </c>
      <c r="C62" s="91" t="n">
        <f aca="false">C61+E62</f>
        <v>12294231.954732</v>
      </c>
      <c r="D62" s="91" t="n">
        <f aca="false">F61-I61</f>
        <v>11529874.4916422</v>
      </c>
      <c r="E62" s="91" t="n">
        <f aca="false">$Q$4+N61</f>
        <v>764357.463089822</v>
      </c>
      <c r="F62" s="91" t="n">
        <f aca="false">IF(ISNUMBER(Übersicht!G37),(D62+E62)*(1+Übersicht!G37),(D62+E62)*(1+$Q$5))</f>
        <v>13277770.5111106</v>
      </c>
      <c r="G62" s="91" t="n">
        <f aca="false">F62-(E62+D62)</f>
        <v>983538.556378564</v>
      </c>
      <c r="H62" s="91" t="n">
        <f aca="false">IF(G62&gt;0,MIN((D62+E62)*$Q$8*0.7,G62),0)</f>
        <v>219452.040391967</v>
      </c>
      <c r="I62" s="87" t="n">
        <f aca="false">(D62+E62)*$Q$6</f>
        <v>983538.556378563</v>
      </c>
      <c r="J62" s="91" t="n">
        <f aca="false">IF(G62&gt;0,MAX(H62-I62,0),0)</f>
        <v>0</v>
      </c>
      <c r="K62" s="91" t="n">
        <f aca="false">K61+J62</f>
        <v>0</v>
      </c>
      <c r="L62" s="91" t="n">
        <f aca="false">IF(J62*$Q$9&gt;$Q$10,(J62*$Q$9-$Q$10)*$Q$7,0)</f>
        <v>0</v>
      </c>
      <c r="M62" s="91" t="n">
        <f aca="false">IF(J61*$Q$9&gt;$Q$10,(I62)*$Q$9*$Q$7,IF((J61+I62)*$Q$9&gt;$Q$10,((J61+I62)*$Q$9-$Q$10)*$Q$7,0))</f>
        <v>181322.055971392</v>
      </c>
      <c r="N62" s="88" t="n">
        <f aca="false">I62-M62-L62</f>
        <v>802216.500407171</v>
      </c>
    </row>
    <row r="63" customFormat="false" ht="14.9" hidden="false" customHeight="false" outlineLevel="0" collapsed="false">
      <c r="A63" s="90" t="n">
        <v>61</v>
      </c>
      <c r="B63" s="91" t="n">
        <f aca="false">IF(Übersicht!$C$13&gt;=A63,-Übersicht!$C$6,IF(A63=Übersicht!$C$13+1,Übersicht!$F$9,0))</f>
        <v>0</v>
      </c>
      <c r="C63" s="91" t="n">
        <f aca="false">C62+E63</f>
        <v>13108448.4551392</v>
      </c>
      <c r="D63" s="91" t="n">
        <f aca="false">F62-I62</f>
        <v>12294231.954732</v>
      </c>
      <c r="E63" s="91" t="n">
        <f aca="false">$Q$4+N62</f>
        <v>814216.500407171</v>
      </c>
      <c r="F63" s="91" t="n">
        <f aca="false">IF(ISNUMBER(Übersicht!I18),(D63+E63)*(1+Übersicht!I18),(D63+E63)*(1+$Q$5))</f>
        <v>14157124.3315503</v>
      </c>
      <c r="G63" s="91" t="n">
        <f aca="false">F63-(E63+D63)</f>
        <v>1048675.87641114</v>
      </c>
      <c r="H63" s="91" t="n">
        <f aca="false">IF(G63&gt;0,MIN((D63+E63)*$Q$8*0.7,G63),0)</f>
        <v>233985.804924235</v>
      </c>
      <c r="I63" s="87" t="n">
        <f aca="false">(D63+E63)*$Q$6</f>
        <v>1048675.87641114</v>
      </c>
      <c r="J63" s="91" t="n">
        <f aca="false">IF(G63&gt;0,MAX(H63-I63,0),0)</f>
        <v>0</v>
      </c>
      <c r="K63" s="91" t="n">
        <f aca="false">K62+J63</f>
        <v>0</v>
      </c>
      <c r="L63" s="91" t="n">
        <f aca="false">IF(J63*$Q$9&gt;$Q$10,(J63*$Q$9-$Q$10)*$Q$7,0)</f>
        <v>0</v>
      </c>
      <c r="M63" s="91" t="n">
        <f aca="false">IF(J62*$Q$9&gt;$Q$10,(I63)*$Q$9*$Q$7,IF((J62+I63)*$Q$9&gt;$Q$10,((J62+I63)*$Q$9-$Q$10)*$Q$7,0))</f>
        <v>193348.033682406</v>
      </c>
      <c r="N63" s="88" t="n">
        <f aca="false">I63-M63-L63</f>
        <v>855327.842728731</v>
      </c>
    </row>
    <row r="64" customFormat="false" ht="14.9" hidden="false" customHeight="false" outlineLevel="0" collapsed="false">
      <c r="A64" s="90" t="n">
        <v>62</v>
      </c>
      <c r="B64" s="91" t="n">
        <f aca="false">IF(Übersicht!$C$13&gt;=A64,-Übersicht!$C$6,IF(A64=Übersicht!$C$13+1,Übersicht!$F$9,0))</f>
        <v>0</v>
      </c>
      <c r="C64" s="91" t="n">
        <f aca="false">C63+E64</f>
        <v>13975776.2978679</v>
      </c>
      <c r="D64" s="91" t="n">
        <f aca="false">F63-I63</f>
        <v>13108448.4551392</v>
      </c>
      <c r="E64" s="91" t="n">
        <f aca="false">$Q$4+N63</f>
        <v>867327.842728731</v>
      </c>
      <c r="F64" s="91" t="n">
        <f aca="false">IF(ISNUMBER(Übersicht!I19),(D64+E64)*(1+Übersicht!I19),(D64+E64)*(1+$Q$5))</f>
        <v>15093838.4016974</v>
      </c>
      <c r="G64" s="91" t="n">
        <f aca="false">F64-(E64+D64)</f>
        <v>1118062.10382944</v>
      </c>
      <c r="H64" s="91" t="n">
        <f aca="false">IF(G64&gt;0,MIN((D64+E64)*$Q$8*0.7,G64),0)</f>
        <v>249467.606916943</v>
      </c>
      <c r="I64" s="87" t="n">
        <f aca="false">(D64+E64)*$Q$6</f>
        <v>1118062.10382944</v>
      </c>
      <c r="J64" s="91" t="n">
        <f aca="false">IF(G64&gt;0,MAX(H64-I64,0),0)</f>
        <v>0</v>
      </c>
      <c r="K64" s="91" t="n">
        <f aca="false">K63+J64</f>
        <v>0</v>
      </c>
      <c r="L64" s="91" t="n">
        <f aca="false">IF(J64*$Q$9&gt;$Q$10,(J64*$Q$9-$Q$10)*$Q$7,0)</f>
        <v>0</v>
      </c>
      <c r="M64" s="91" t="n">
        <f aca="false">IF(J63*$Q$9&gt;$Q$10,(I64)*$Q$9*$Q$7,IF((J63+I64)*$Q$9&gt;$Q$10,((J63+I64)*$Q$9-$Q$10)*$Q$7,0))</f>
        <v>206158.465919509</v>
      </c>
      <c r="N64" s="88" t="n">
        <f aca="false">I64-M64-L64</f>
        <v>911903.637909926</v>
      </c>
    </row>
    <row r="65" customFormat="false" ht="14.9" hidden="false" customHeight="false" outlineLevel="0" collapsed="false">
      <c r="A65" s="90" t="n">
        <v>63</v>
      </c>
      <c r="B65" s="91" t="n">
        <f aca="false">IF(Übersicht!$C$13&gt;=A65,-Übersicht!$C$6,IF(A65=Übersicht!$C$13+1,Übersicht!$F$9,0))</f>
        <v>0</v>
      </c>
      <c r="C65" s="91" t="n">
        <f aca="false">C64+E65</f>
        <v>14899679.9357778</v>
      </c>
      <c r="D65" s="91" t="n">
        <f aca="false">F64-I64</f>
        <v>13975776.2978679</v>
      </c>
      <c r="E65" s="91" t="n">
        <f aca="false">$Q$4+N64</f>
        <v>923903.637909926</v>
      </c>
      <c r="F65" s="91" t="n">
        <f aca="false">IF(ISNUMBER(Übersicht!I20),(D65+E65)*(1+Übersicht!I20),(D65+E65)*(1+$Q$5))</f>
        <v>16091654.3306401</v>
      </c>
      <c r="G65" s="91" t="n">
        <f aca="false">F65-(E65+D65)</f>
        <v>1191974.39486223</v>
      </c>
      <c r="H65" s="91" t="n">
        <f aca="false">IF(G65&gt;0,MIN((D65+E65)*$Q$8*0.7,G65),0)</f>
        <v>265959.286853635</v>
      </c>
      <c r="I65" s="87" t="n">
        <f aca="false">(D65+E65)*$Q$6</f>
        <v>1191974.39486223</v>
      </c>
      <c r="J65" s="91" t="n">
        <f aca="false">IF(G65&gt;0,MAX(H65-I65,0),0)</f>
        <v>0</v>
      </c>
      <c r="K65" s="91" t="n">
        <f aca="false">K64+J65</f>
        <v>0</v>
      </c>
      <c r="L65" s="91" t="n">
        <f aca="false">IF(J65*$Q$9&gt;$Q$10,(J65*$Q$9-$Q$10)*$Q$7,0)</f>
        <v>0</v>
      </c>
      <c r="M65" s="91" t="n">
        <f aca="false">IF(J64*$Q$9&gt;$Q$10,(I65)*$Q$9*$Q$7,IF((J64+I65)*$Q$9&gt;$Q$10,((J64+I65)*$Q$9-$Q$10)*$Q$7,0))</f>
        <v>219804.522651439</v>
      </c>
      <c r="N65" s="88" t="n">
        <f aca="false">I65-M65-L65</f>
        <v>972169.87221079</v>
      </c>
    </row>
    <row r="66" customFormat="false" ht="14.9" hidden="false" customHeight="false" outlineLevel="0" collapsed="false">
      <c r="A66" s="90" t="n">
        <v>64</v>
      </c>
      <c r="B66" s="91" t="n">
        <f aca="false">IF(Übersicht!$C$13&gt;=A66,-Übersicht!$C$6,IF(A66=Übersicht!$C$13+1,Übersicht!$F$9,0))</f>
        <v>0</v>
      </c>
      <c r="C66" s="91" t="n">
        <f aca="false">C65+E66</f>
        <v>15883849.8079886</v>
      </c>
      <c r="D66" s="91" t="n">
        <f aca="false">F65-I65</f>
        <v>14899679.9357779</v>
      </c>
      <c r="E66" s="91" t="n">
        <f aca="false">$Q$4+N65</f>
        <v>984169.87221079</v>
      </c>
      <c r="F66" s="91" t="n">
        <f aca="false">IF(ISNUMBER(Übersicht!I21),(D66+E66)*(1+Übersicht!I21),(D66+E66)*(1+$Q$5))</f>
        <v>17154557.7926278</v>
      </c>
      <c r="G66" s="91" t="n">
        <f aca="false">F66-(E66+D66)</f>
        <v>1270707.98463909</v>
      </c>
      <c r="H66" s="91" t="n">
        <f aca="false">IF(G66&gt;0,MIN((D66+E66)*$Q$8*0.7,G66),0)</f>
        <v>283526.719072597</v>
      </c>
      <c r="I66" s="87" t="n">
        <f aca="false">(D66+E66)*$Q$6</f>
        <v>1270707.98463909</v>
      </c>
      <c r="J66" s="91" t="n">
        <f aca="false">IF(G66&gt;0,MAX(H66-I66,0),0)</f>
        <v>0</v>
      </c>
      <c r="K66" s="91" t="n">
        <f aca="false">K65+J66</f>
        <v>0</v>
      </c>
      <c r="L66" s="91" t="n">
        <f aca="false">IF(J66*$Q$9&gt;$Q$10,(J66*$Q$9-$Q$10)*$Q$7,0)</f>
        <v>0</v>
      </c>
      <c r="M66" s="91" t="n">
        <f aca="false">IF(J65*$Q$9&gt;$Q$10,(I66)*$Q$9*$Q$7,IF((J65+I66)*$Q$9&gt;$Q$10,((J65+I66)*$Q$9-$Q$10)*$Q$7,0))</f>
        <v>234340.711663992</v>
      </c>
      <c r="N66" s="88" t="n">
        <f aca="false">I66-M66-L66</f>
        <v>1036367.2729751</v>
      </c>
    </row>
    <row r="67" customFormat="false" ht="14.9" hidden="false" customHeight="false" outlineLevel="0" collapsed="false">
      <c r="A67" s="90" t="n">
        <v>65</v>
      </c>
      <c r="B67" s="91" t="n">
        <f aca="false">IF(Übersicht!$C$13&gt;=A67,-Übersicht!$C$6,IF(A67=Übersicht!$C$13+1,Übersicht!$F$9,0))</f>
        <v>0</v>
      </c>
      <c r="C67" s="91" t="n">
        <f aca="false">C66+E67</f>
        <v>16932217.0809637</v>
      </c>
      <c r="D67" s="91" t="n">
        <f aca="false">F66-I66</f>
        <v>15883849.8079887</v>
      </c>
      <c r="E67" s="91" t="n">
        <f aca="false">$Q$4+N66</f>
        <v>1048367.2729751</v>
      </c>
      <c r="F67" s="91" t="n">
        <f aca="false">IF(ISNUMBER(Übersicht!I22),(D67+E67)*(1+Übersicht!I22),(D67+E67)*(1+$Q$5))</f>
        <v>18286794.4474409</v>
      </c>
      <c r="G67" s="91" t="n">
        <f aca="false">F67-(E67+D67)</f>
        <v>1354577.3664771</v>
      </c>
      <c r="H67" s="91" t="n">
        <f aca="false">IF(G67&gt;0,MIN((D67+E67)*$Q$8*0.7,G67),0)</f>
        <v>302240.074895203</v>
      </c>
      <c r="I67" s="87" t="n">
        <f aca="false">(D67+E67)*$Q$6</f>
        <v>1354577.3664771</v>
      </c>
      <c r="J67" s="91" t="n">
        <f aca="false">IF(G67&gt;0,MAX(H67-I67,0),0)</f>
        <v>0</v>
      </c>
      <c r="K67" s="91" t="n">
        <f aca="false">K66+J67</f>
        <v>0</v>
      </c>
      <c r="L67" s="91" t="n">
        <f aca="false">IF(J67*$Q$9&gt;$Q$10,(J67*$Q$9-$Q$10)*$Q$7,0)</f>
        <v>0</v>
      </c>
      <c r="M67" s="91" t="n">
        <f aca="false">IF(J66*$Q$9&gt;$Q$10,(I67)*$Q$9*$Q$7,IF((J66+I67)*$Q$9&gt;$Q$10,((J66+I67)*$Q$9-$Q$10)*$Q$7,0))</f>
        <v>249825.096285835</v>
      </c>
      <c r="N67" s="88" t="n">
        <f aca="false">I67-M67-L67</f>
        <v>1104752.27019127</v>
      </c>
    </row>
    <row r="68" customFormat="false" ht="14.9" hidden="false" customHeight="false" outlineLevel="0" collapsed="false">
      <c r="A68" s="90" t="n">
        <v>66</v>
      </c>
      <c r="B68" s="91" t="n">
        <f aca="false">IF(Übersicht!$C$13&gt;=A68,-Übersicht!$C$6,IF(A68=Übersicht!$C$13+1,Übersicht!$F$9,0))</f>
        <v>0</v>
      </c>
      <c r="C68" s="91" t="n">
        <f aca="false">C67+E68</f>
        <v>18048969.351155</v>
      </c>
      <c r="D68" s="91" t="n">
        <f aca="false">F67-I67</f>
        <v>16932217.0809638</v>
      </c>
      <c r="E68" s="91" t="n">
        <f aca="false">$Q$4+N67</f>
        <v>1116752.27019127</v>
      </c>
      <c r="F68" s="91" t="n">
        <f aca="false">IF(ISNUMBER(Übersicht!I23),(D68+E68)*(1+Übersicht!I23),(D68+E68)*(1+$Q$5))</f>
        <v>19492886.8992474</v>
      </c>
      <c r="G68" s="91" t="n">
        <f aca="false">F68-(E68+D68)</f>
        <v>1443917.5480924</v>
      </c>
      <c r="H68" s="91" t="n">
        <f aca="false">IF(G68&gt;0,MIN((D68+E68)*$Q$8*0.7,G68),0)</f>
        <v>322174.102918117</v>
      </c>
      <c r="I68" s="87" t="n">
        <f aca="false">(D68+E68)*$Q$6</f>
        <v>1443917.5480924</v>
      </c>
      <c r="J68" s="91" t="n">
        <f aca="false">IF(G68&gt;0,MAX(H68-I68,0),0)</f>
        <v>0</v>
      </c>
      <c r="K68" s="91" t="n">
        <f aca="false">K67+J68</f>
        <v>0</v>
      </c>
      <c r="L68" s="91" t="n">
        <f aca="false">IF(J68*$Q$9&gt;$Q$10,(J68*$Q$9-$Q$10)*$Q$7,0)</f>
        <v>0</v>
      </c>
      <c r="M68" s="91" t="n">
        <f aca="false">IF(J67*$Q$9&gt;$Q$10,(I68)*$Q$9*$Q$7,IF((J67+I68)*$Q$9&gt;$Q$10,((J67+I68)*$Q$9-$Q$10)*$Q$7,0))</f>
        <v>266319.52731656</v>
      </c>
      <c r="N68" s="88" t="n">
        <f aca="false">I68-M68-L68</f>
        <v>1177598.02077584</v>
      </c>
    </row>
    <row r="69" customFormat="false" ht="14.9" hidden="false" customHeight="false" outlineLevel="0" collapsed="false">
      <c r="A69" s="90" t="n">
        <v>67</v>
      </c>
      <c r="B69" s="91" t="n">
        <f aca="false">IF(Übersicht!$C$13&gt;=A69,-Übersicht!$C$6,IF(A69=Übersicht!$C$13+1,Übersicht!$F$9,0))</f>
        <v>0</v>
      </c>
      <c r="C69" s="91" t="n">
        <f aca="false">C68+E69</f>
        <v>19238567.3719309</v>
      </c>
      <c r="D69" s="91" t="n">
        <f aca="false">F68-I68</f>
        <v>18048969.351155</v>
      </c>
      <c r="E69" s="91" t="n">
        <f aca="false">$Q$4+N68</f>
        <v>1189598.02077584</v>
      </c>
      <c r="F69" s="91" t="n">
        <f aca="false">IF(ISNUMBER(Übersicht!I24),(D69+E69)*(1+Übersicht!I24),(D69+E69)*(1+$Q$5))</f>
        <v>20777652.7616853</v>
      </c>
      <c r="G69" s="91" t="n">
        <f aca="false">F69-(E69+D69)</f>
        <v>1539085.38975447</v>
      </c>
      <c r="H69" s="91" t="n">
        <f aca="false">IF(G69&gt;0,MIN((D69+E69)*$Q$8*0.7,G69),0)</f>
        <v>343408.427588966</v>
      </c>
      <c r="I69" s="87" t="n">
        <f aca="false">(D69+E69)*$Q$6</f>
        <v>1539085.38975447</v>
      </c>
      <c r="J69" s="91" t="n">
        <f aca="false">IF(G69&gt;0,MAX(H69-I69,0),0)</f>
        <v>0</v>
      </c>
      <c r="K69" s="91" t="n">
        <f aca="false">K68+J69</f>
        <v>0</v>
      </c>
      <c r="L69" s="91" t="n">
        <f aca="false">IF(J69*$Q$9&gt;$Q$10,(J69*$Q$9-$Q$10)*$Q$7,0)</f>
        <v>0</v>
      </c>
      <c r="M69" s="91" t="n">
        <f aca="false">IF(J68*$Q$9&gt;$Q$10,(I69)*$Q$9*$Q$7,IF((J68+I69)*$Q$9&gt;$Q$10,((J68+I69)*$Q$9-$Q$10)*$Q$7,0))</f>
        <v>283889.890083419</v>
      </c>
      <c r="N69" s="88" t="n">
        <f aca="false">I69-M69-L69</f>
        <v>1255195.49967105</v>
      </c>
    </row>
    <row r="70" customFormat="false" ht="14.9" hidden="false" customHeight="false" outlineLevel="0" collapsed="false">
      <c r="A70" s="90" t="n">
        <v>68</v>
      </c>
      <c r="B70" s="91" t="n">
        <f aca="false">IF(Übersicht!$C$13&gt;=A70,-Übersicht!$C$6,IF(A70=Übersicht!$C$13+1,Übersicht!$F$9,0))</f>
        <v>0</v>
      </c>
      <c r="C70" s="91" t="n">
        <f aca="false">C69+E70</f>
        <v>20505762.8716019</v>
      </c>
      <c r="D70" s="91" t="n">
        <f aca="false">F69-I69</f>
        <v>19238567.3719309</v>
      </c>
      <c r="E70" s="91" t="n">
        <f aca="false">$Q$4+N69</f>
        <v>1267195.49967105</v>
      </c>
      <c r="F70" s="91" t="n">
        <f aca="false">IF(ISNUMBER(Übersicht!I25),(D70+E70)*(1+Übersicht!I25),(D70+E70)*(1+$Q$5))</f>
        <v>22146223.9013301</v>
      </c>
      <c r="G70" s="91" t="n">
        <f aca="false">F70-(E70+D70)</f>
        <v>1640461.02972816</v>
      </c>
      <c r="H70" s="91" t="n">
        <f aca="false">IF(G70&gt;0,MIN((D70+E70)*$Q$8*0.7,G70),0)</f>
        <v>366027.867258094</v>
      </c>
      <c r="I70" s="87" t="n">
        <f aca="false">(D70+E70)*$Q$6</f>
        <v>1640461.02972815</v>
      </c>
      <c r="J70" s="91" t="n">
        <f aca="false">IF(G70&gt;0,MAX(H70-I70,0),0)</f>
        <v>0</v>
      </c>
      <c r="K70" s="91" t="n">
        <f aca="false">K69+J70</f>
        <v>0</v>
      </c>
      <c r="L70" s="91" t="n">
        <f aca="false">IF(J70*$Q$9&gt;$Q$10,(J70*$Q$9-$Q$10)*$Q$7,0)</f>
        <v>0</v>
      </c>
      <c r="M70" s="91" t="n">
        <f aca="false">IF(J69*$Q$9&gt;$Q$10,(I70)*$Q$9*$Q$7,IF((J69+I70)*$Q$9&gt;$Q$10,((J69+I70)*$Q$9-$Q$10)*$Q$7,0))</f>
        <v>302606.36761356</v>
      </c>
      <c r="N70" s="88" t="n">
        <f aca="false">I70-M70-L70</f>
        <v>1337854.66211459</v>
      </c>
    </row>
    <row r="71" customFormat="false" ht="14.9" hidden="false" customHeight="false" outlineLevel="0" collapsed="false">
      <c r="A71" s="90" t="n">
        <v>69</v>
      </c>
      <c r="B71" s="91" t="n">
        <f aca="false">IF(Übersicht!$C$13&gt;=A71,-Übersicht!$C$6,IF(A71=Übersicht!$C$13+1,Übersicht!$F$9,0))</f>
        <v>0</v>
      </c>
      <c r="C71" s="91" t="n">
        <f aca="false">C70+E71</f>
        <v>21855617.5337165</v>
      </c>
      <c r="D71" s="91" t="n">
        <f aca="false">F70-I70</f>
        <v>20505762.8716019</v>
      </c>
      <c r="E71" s="91" t="n">
        <f aca="false">$Q$4+N70</f>
        <v>1349854.66211459</v>
      </c>
      <c r="F71" s="91" t="n">
        <f aca="false">IF(ISNUMBER(Übersicht!I26),(D71+E71)*(1+Übersicht!I26),(D71+E71)*(1+$Q$5))</f>
        <v>23604066.9364138</v>
      </c>
      <c r="G71" s="91" t="n">
        <f aca="false">F71-(E71+D71)</f>
        <v>1748449.40269732</v>
      </c>
      <c r="H71" s="91" t="n">
        <f aca="false">IF(G71&gt;0,MIN((D71+E71)*$Q$8*0.7,G71),0)</f>
        <v>390122.77297684</v>
      </c>
      <c r="I71" s="87" t="n">
        <f aca="false">(D71+E71)*$Q$6</f>
        <v>1748449.40269732</v>
      </c>
      <c r="J71" s="91" t="n">
        <f aca="false">IF(G71&gt;0,MAX(H71-I71,0),0)</f>
        <v>0</v>
      </c>
      <c r="K71" s="91" t="n">
        <f aca="false">K70+J71</f>
        <v>0</v>
      </c>
      <c r="L71" s="91" t="n">
        <f aca="false">IF(J71*$Q$9&gt;$Q$10,(J71*$Q$9-$Q$10)*$Q$7,0)</f>
        <v>0</v>
      </c>
      <c r="M71" s="91" t="n">
        <f aca="false">IF(J70*$Q$9&gt;$Q$10,(I71)*$Q$9*$Q$7,IF((J70+I71)*$Q$9&gt;$Q$10,((J70+I71)*$Q$9-$Q$10)*$Q$7,0))</f>
        <v>322543.720972993</v>
      </c>
      <c r="N71" s="88" t="n">
        <f aca="false">I71-M71-L71</f>
        <v>1425905.68172433</v>
      </c>
    </row>
    <row r="72" customFormat="false" ht="14.9" hidden="false" customHeight="false" outlineLevel="0" collapsed="false">
      <c r="A72" s="90" t="n">
        <v>70</v>
      </c>
      <c r="B72" s="91" t="n">
        <f aca="false">IF(Übersicht!$C$13&gt;=A72,-Übersicht!$C$6,IF(A72=Übersicht!$C$13+1,Übersicht!$F$9,0))</f>
        <v>0</v>
      </c>
      <c r="C72" s="91" t="n">
        <f aca="false">C71+E72</f>
        <v>23293523.2154408</v>
      </c>
      <c r="D72" s="91" t="n">
        <f aca="false">F71-I71</f>
        <v>21855617.5337165</v>
      </c>
      <c r="E72" s="91" t="n">
        <f aca="false">$Q$4+N71</f>
        <v>1437905.68172433</v>
      </c>
      <c r="F72" s="91" t="n">
        <f aca="false">IF(ISNUMBER(Übersicht!I27),(D72+E72)*(1+Übersicht!I27),(D72+E72)*(1+$Q$5))</f>
        <v>25157005.0726761</v>
      </c>
      <c r="G72" s="91" t="n">
        <f aca="false">F72-(E72+D72)</f>
        <v>1863481.85723527</v>
      </c>
      <c r="H72" s="91" t="n">
        <f aca="false">IF(G72&gt;0,MIN((D72+E72)*$Q$8*0.7,G72),0)</f>
        <v>415789.389395619</v>
      </c>
      <c r="I72" s="87" t="n">
        <f aca="false">(D72+E72)*$Q$6</f>
        <v>1863481.85723527</v>
      </c>
      <c r="J72" s="91" t="n">
        <f aca="false">IF(G72&gt;0,MAX(H72-I72,0),0)</f>
        <v>0</v>
      </c>
      <c r="K72" s="91" t="n">
        <f aca="false">K71+J72</f>
        <v>0</v>
      </c>
      <c r="L72" s="91" t="n">
        <f aca="false">IF(J72*$Q$9&gt;$Q$10,(J72*$Q$9-$Q$10)*$Q$7,0)</f>
        <v>0</v>
      </c>
      <c r="M72" s="91" t="n">
        <f aca="false">IF(J71*$Q$9&gt;$Q$10,(I72)*$Q$9*$Q$7,IF((J71+I72)*$Q$9&gt;$Q$10,((J71+I72)*$Q$9-$Q$10)*$Q$7,0))</f>
        <v>343781.587892061</v>
      </c>
      <c r="N72" s="88" t="n">
        <f aca="false">I72-M72-L72</f>
        <v>1519700.26934321</v>
      </c>
    </row>
    <row r="73" customFormat="false" ht="14.9" hidden="false" customHeight="false" outlineLevel="0" collapsed="false">
      <c r="A73" s="90" t="n">
        <v>71</v>
      </c>
      <c r="B73" s="91" t="n">
        <f aca="false">IF(Übersicht!$C$13&gt;=A73,-Übersicht!$C$6,IF(A73=Übersicht!$C$13+1,Übersicht!$F$9,0))</f>
        <v>0</v>
      </c>
      <c r="C73" s="91" t="n">
        <f aca="false">C72+E73</f>
        <v>24825223.484784</v>
      </c>
      <c r="D73" s="91" t="n">
        <f aca="false">F72-I72</f>
        <v>23293523.2154409</v>
      </c>
      <c r="E73" s="91" t="n">
        <f aca="false">$Q$4+N72</f>
        <v>1531700.26934321</v>
      </c>
      <c r="F73" s="91" t="n">
        <f aca="false">IF(ISNUMBER(Übersicht!I28),(D73+E73)*(1+Übersicht!I28),(D73+E73)*(1+$Q$5))</f>
        <v>26811241.3635668</v>
      </c>
      <c r="G73" s="91" t="n">
        <f aca="false">F73-(E73+D73)</f>
        <v>1986017.87878273</v>
      </c>
      <c r="H73" s="91" t="n">
        <f aca="false">IF(G73&gt;0,MIN((D73+E73)*$Q$8*0.7,G73),0)</f>
        <v>443130.239203395</v>
      </c>
      <c r="I73" s="87" t="n">
        <f aca="false">(D73+E73)*$Q$6</f>
        <v>1986017.87878272</v>
      </c>
      <c r="J73" s="91" t="n">
        <f aca="false">IF(G73&gt;0,MAX(H73-I73,0),0)</f>
        <v>0</v>
      </c>
      <c r="K73" s="91" t="n">
        <f aca="false">K72+J73</f>
        <v>0</v>
      </c>
      <c r="L73" s="91" t="n">
        <f aca="false">IF(J73*$Q$9&gt;$Q$10,(J73*$Q$9-$Q$10)*$Q$7,0)</f>
        <v>0</v>
      </c>
      <c r="M73" s="91" t="n">
        <f aca="false">IF(J72*$Q$9&gt;$Q$10,(I73)*$Q$9*$Q$7,IF((J72+I73)*$Q$9&gt;$Q$10,((J72+I73)*$Q$9-$Q$10)*$Q$7,0))</f>
        <v>366404.80087026</v>
      </c>
      <c r="N73" s="88" t="n">
        <f aca="false">I73-M73-L73</f>
        <v>1619613.07791246</v>
      </c>
    </row>
    <row r="74" customFormat="false" ht="14.9" hidden="false" customHeight="false" outlineLevel="0" collapsed="false">
      <c r="A74" s="90" t="n">
        <v>72</v>
      </c>
      <c r="B74" s="91" t="n">
        <f aca="false">IF(Übersicht!$C$13&gt;=A74,-Übersicht!$C$6,IF(A74=Übersicht!$C$13+1,Übersicht!$F$9,0))</f>
        <v>0</v>
      </c>
      <c r="C74" s="91" t="n">
        <f aca="false">C73+E74</f>
        <v>26456836.5626965</v>
      </c>
      <c r="D74" s="91" t="n">
        <f aca="false">F73-I73</f>
        <v>24825223.4847841</v>
      </c>
      <c r="E74" s="91" t="n">
        <f aca="false">$Q$4+N73</f>
        <v>1631613.07791246</v>
      </c>
      <c r="F74" s="91" t="n">
        <f aca="false">IF(ISNUMBER(Übersicht!I29),(D74+E74)*(1+Übersicht!I29),(D74+E74)*(1+$Q$5))</f>
        <v>28573383.4877123</v>
      </c>
      <c r="G74" s="91" t="n">
        <f aca="false">F74-(E74+D74)</f>
        <v>2116546.92501573</v>
      </c>
      <c r="H74" s="91" t="n">
        <f aca="false">IF(G74&gt;0,MIN((D74+E74)*$Q$8*0.7,G74),0)</f>
        <v>472254.532644133</v>
      </c>
      <c r="I74" s="87" t="n">
        <f aca="false">(D74+E74)*$Q$6</f>
        <v>2116546.92501572</v>
      </c>
      <c r="J74" s="91" t="n">
        <f aca="false">IF(G74&gt;0,MAX(H74-I74,0),0)</f>
        <v>0</v>
      </c>
      <c r="K74" s="91" t="n">
        <f aca="false">K73+J74</f>
        <v>0</v>
      </c>
      <c r="L74" s="91" t="n">
        <f aca="false">IF(J74*$Q$9&gt;$Q$10,(J74*$Q$9-$Q$10)*$Q$7,0)</f>
        <v>0</v>
      </c>
      <c r="M74" s="91" t="n">
        <f aca="false">IF(J73*$Q$9&gt;$Q$10,(I74)*$Q$9*$Q$7,IF((J73+I74)*$Q$9&gt;$Q$10,((J73+I74)*$Q$9-$Q$10)*$Q$7,0))</f>
        <v>390503.726031028</v>
      </c>
      <c r="N74" s="88" t="n">
        <f aca="false">I74-M74-L74</f>
        <v>1726043.19898469</v>
      </c>
    </row>
    <row r="75" customFormat="false" ht="14.9" hidden="false" customHeight="false" outlineLevel="0" collapsed="false">
      <c r="A75" s="90" t="n">
        <v>73</v>
      </c>
      <c r="B75" s="91" t="n">
        <f aca="false">IF(Übersicht!$C$13&gt;=A75,-Übersicht!$C$6,IF(A75=Übersicht!$C$13+1,Übersicht!$F$9,0))</f>
        <v>0</v>
      </c>
      <c r="C75" s="91" t="n">
        <f aca="false">C74+E75</f>
        <v>28194879.7616812</v>
      </c>
      <c r="D75" s="91" t="n">
        <f aca="false">F74-I74</f>
        <v>26456836.5626965</v>
      </c>
      <c r="E75" s="91" t="n">
        <f aca="false">$Q$4+N74</f>
        <v>1738043.19898469</v>
      </c>
      <c r="F75" s="91" t="n">
        <f aca="false">IF(ISNUMBER(Übersicht!I30),(D75+E75)*(1+Übersicht!I30),(D75+E75)*(1+$Q$5))</f>
        <v>30450470.1426157</v>
      </c>
      <c r="G75" s="91" t="n">
        <f aca="false">F75-(E75+D75)</f>
        <v>2255590.3809345</v>
      </c>
      <c r="H75" s="91" t="n">
        <f aca="false">IF(G75&gt;0,MIN((D75+E75)*$Q$8*0.7,G75),0)</f>
        <v>503278.60374601</v>
      </c>
      <c r="I75" s="87" t="n">
        <f aca="false">(D75+E75)*$Q$6</f>
        <v>2255590.3809345</v>
      </c>
      <c r="J75" s="91" t="n">
        <f aca="false">IF(G75&gt;0,MAX(H75-I75,0),0)</f>
        <v>0</v>
      </c>
      <c r="K75" s="91" t="n">
        <f aca="false">K74+J75</f>
        <v>0</v>
      </c>
      <c r="L75" s="91" t="n">
        <f aca="false">IF(J75*$Q$9&gt;$Q$10,(J75*$Q$9-$Q$10)*$Q$7,0)</f>
        <v>0</v>
      </c>
      <c r="M75" s="91" t="n">
        <f aca="false">IF(J74*$Q$9&gt;$Q$10,(I75)*$Q$9*$Q$7,IF((J74+I75)*$Q$9&gt;$Q$10,((J74+I75)*$Q$9-$Q$10)*$Q$7,0))</f>
        <v>416174.624080032</v>
      </c>
      <c r="N75" s="88" t="n">
        <f aca="false">I75-M75-L75</f>
        <v>1839415.75685447</v>
      </c>
    </row>
    <row r="76" customFormat="false" ht="14.9" hidden="false" customHeight="false" outlineLevel="0" collapsed="false">
      <c r="A76" s="90" t="n">
        <v>74</v>
      </c>
      <c r="B76" s="91" t="n">
        <f aca="false">IF(Übersicht!$C$13&gt;=A76,-Übersicht!$C$6,IF(A76=Übersicht!$C$13+1,Übersicht!$F$9,0))</f>
        <v>0</v>
      </c>
      <c r="C76" s="91" t="n">
        <f aca="false">C75+E76</f>
        <v>30046295.5185357</v>
      </c>
      <c r="D76" s="91" t="n">
        <f aca="false">F75-I75</f>
        <v>28194879.7616812</v>
      </c>
      <c r="E76" s="91" t="n">
        <f aca="false">$Q$4+N75</f>
        <v>1851415.75685447</v>
      </c>
      <c r="F76" s="91" t="n">
        <f aca="false">IF(ISNUMBER(Übersicht!I31),(D76+E76)*(1+Übersicht!I31),(D76+E76)*(1+$Q$5))</f>
        <v>32449999.1600185</v>
      </c>
      <c r="G76" s="91" t="n">
        <f aca="false">F76-(E76+D76)</f>
        <v>2403703.64148286</v>
      </c>
      <c r="H76" s="91" t="n">
        <f aca="false">IF(G76&gt;0,MIN((D76+E76)*$Q$8*0.7,G76),0)</f>
        <v>536326.375005862</v>
      </c>
      <c r="I76" s="87" t="n">
        <f aca="false">(D76+E76)*$Q$6</f>
        <v>2403703.64148286</v>
      </c>
      <c r="J76" s="91" t="n">
        <f aca="false">IF(G76&gt;0,MAX(H76-I76,0),0)</f>
        <v>0</v>
      </c>
      <c r="K76" s="91" t="n">
        <f aca="false">K75+J76</f>
        <v>0</v>
      </c>
      <c r="L76" s="91" t="n">
        <f aca="false">IF(J76*$Q$9&gt;$Q$10,(J76*$Q$9-$Q$10)*$Q$7,0)</f>
        <v>0</v>
      </c>
      <c r="M76" s="91" t="n">
        <f aca="false">IF(J75*$Q$9&gt;$Q$10,(I76)*$Q$9*$Q$7,IF((J75+I76)*$Q$9&gt;$Q$10,((J75+I76)*$Q$9-$Q$10)*$Q$7,0))</f>
        <v>443520.034808772</v>
      </c>
      <c r="N76" s="88" t="n">
        <f aca="false">I76-M76-L76</f>
        <v>1960183.60667408</v>
      </c>
    </row>
    <row r="77" customFormat="false" ht="14.9" hidden="false" customHeight="false" outlineLevel="0" collapsed="false">
      <c r="A77" s="90" t="n">
        <v>75</v>
      </c>
      <c r="B77" s="91" t="n">
        <f aca="false">IF(Übersicht!$C$13&gt;=A77,-Übersicht!$C$6,IF(A77=Übersicht!$C$13+1,Übersicht!$F$9,0))</f>
        <v>0</v>
      </c>
      <c r="C77" s="91" t="n">
        <f aca="false">C76+E77</f>
        <v>32018479.1252097</v>
      </c>
      <c r="D77" s="91" t="n">
        <f aca="false">F76-I76</f>
        <v>30046295.5185357</v>
      </c>
      <c r="E77" s="91" t="n">
        <f aca="false">$Q$4+N76</f>
        <v>1972183.60667408</v>
      </c>
      <c r="F77" s="91" t="n">
        <f aca="false">IF(ISNUMBER(Übersicht!I32),(D77+E77)*(1+Übersicht!I32),(D77+E77)*(1+$Q$5))</f>
        <v>34579957.4552266</v>
      </c>
      <c r="G77" s="91" t="n">
        <f aca="false">F77-(E77+D77)</f>
        <v>2561478.33001678</v>
      </c>
      <c r="H77" s="91" t="n">
        <f aca="false">IF(G77&gt;0,MIN((D77+E77)*$Q$8*0.7,G77),0)</f>
        <v>571529.852384994</v>
      </c>
      <c r="I77" s="87" t="n">
        <f aca="false">(D77+E77)*$Q$6</f>
        <v>2561478.33001678</v>
      </c>
      <c r="J77" s="91" t="n">
        <f aca="false">IF(G77&gt;0,MAX(H77-I77,0),0)</f>
        <v>0</v>
      </c>
      <c r="K77" s="91" t="n">
        <f aca="false">K76+J77</f>
        <v>0</v>
      </c>
      <c r="L77" s="91" t="n">
        <f aca="false">IF(J77*$Q$9&gt;$Q$10,(J77*$Q$9-$Q$10)*$Q$7,0)</f>
        <v>0</v>
      </c>
      <c r="M77" s="91" t="n">
        <f aca="false">IF(J76*$Q$9&gt;$Q$10,(I77)*$Q$9*$Q$7,IF((J76+I77)*$Q$9&gt;$Q$10,((J76+I77)*$Q$9-$Q$10)*$Q$7,0))</f>
        <v>472649.186679348</v>
      </c>
      <c r="N77" s="88" t="n">
        <f aca="false">I77-M77-L77</f>
        <v>2088829.14333743</v>
      </c>
    </row>
    <row r="78" customFormat="false" ht="14.9" hidden="false" customHeight="false" outlineLevel="0" collapsed="false">
      <c r="A78" s="90" t="n">
        <v>76</v>
      </c>
      <c r="B78" s="91" t="n">
        <f aca="false">IF(Übersicht!$C$13&gt;=A78,-Übersicht!$C$6,IF(A78=Übersicht!$C$13+1,Übersicht!$F$9,0))</f>
        <v>0</v>
      </c>
      <c r="C78" s="91" t="n">
        <f aca="false">C77+E78</f>
        <v>34119308.2685472</v>
      </c>
      <c r="D78" s="91" t="n">
        <f aca="false">F77-I77</f>
        <v>32018479.1252098</v>
      </c>
      <c r="E78" s="91" t="n">
        <f aca="false">$Q$4+N77</f>
        <v>2100829.14333743</v>
      </c>
      <c r="F78" s="91" t="n">
        <f aca="false">IF(ISNUMBER(Übersicht!I33),(D78+E78)*(1+Übersicht!I33),(D78+E78)*(1+$Q$5))</f>
        <v>36848852.930031</v>
      </c>
      <c r="G78" s="91" t="n">
        <f aca="false">F78-(E78+D78)</f>
        <v>2729544.66148378</v>
      </c>
      <c r="H78" s="91" t="n">
        <f aca="false">IF(G78&gt;0,MIN((D78+E78)*$Q$8*0.7,G78),0)</f>
        <v>609029.652593568</v>
      </c>
      <c r="I78" s="87" t="n">
        <f aca="false">(D78+E78)*$Q$6</f>
        <v>2729544.66148378</v>
      </c>
      <c r="J78" s="91" t="n">
        <f aca="false">IF(G78&gt;0,MAX(H78-I78,0),0)</f>
        <v>0</v>
      </c>
      <c r="K78" s="91" t="n">
        <f aca="false">K77+J78</f>
        <v>0</v>
      </c>
      <c r="L78" s="91" t="n">
        <f aca="false">IF(J78*$Q$9&gt;$Q$10,(J78*$Q$9-$Q$10)*$Q$7,0)</f>
        <v>0</v>
      </c>
      <c r="M78" s="91" t="n">
        <f aca="false">IF(J77*$Q$9&gt;$Q$10,(I78)*$Q$9*$Q$7,IF((J77+I78)*$Q$9&gt;$Q$10,((J77+I78)*$Q$9-$Q$10)*$Q$7,0))</f>
        <v>503678.433126442</v>
      </c>
      <c r="N78" s="88" t="n">
        <f aca="false">I78-M78-L78</f>
        <v>2225866.22835733</v>
      </c>
    </row>
    <row r="79" customFormat="false" ht="14.9" hidden="false" customHeight="false" outlineLevel="0" collapsed="false">
      <c r="A79" s="90" t="n">
        <v>77</v>
      </c>
      <c r="B79" s="91" t="n">
        <f aca="false">IF(Übersicht!$C$13&gt;=A79,-Übersicht!$C$6,IF(A79=Übersicht!$C$13+1,Übersicht!$F$9,0))</f>
        <v>0</v>
      </c>
      <c r="C79" s="91" t="n">
        <f aca="false">C78+E79</f>
        <v>36357174.4969045</v>
      </c>
      <c r="D79" s="91" t="n">
        <f aca="false">F78-I78</f>
        <v>34119308.2685472</v>
      </c>
      <c r="E79" s="91" t="n">
        <f aca="false">$Q$4+N78</f>
        <v>2237866.22835733</v>
      </c>
      <c r="F79" s="91" t="n">
        <f aca="false">IF(ISNUMBER(Übersicht!I34),(D79+E79)*(1+Übersicht!I34),(D79+E79)*(1+$Q$5))</f>
        <v>39265748.4566569</v>
      </c>
      <c r="G79" s="91" t="n">
        <f aca="false">F79-(E79+D79)</f>
        <v>2908573.95975237</v>
      </c>
      <c r="H79" s="91" t="n">
        <f aca="false">IF(G79&gt;0,MIN((D79+E79)*$Q$8*0.7,G79),0)</f>
        <v>648975.564769746</v>
      </c>
      <c r="I79" s="87" t="n">
        <f aca="false">(D79+E79)*$Q$6</f>
        <v>2908573.95975236</v>
      </c>
      <c r="J79" s="91" t="n">
        <f aca="false">IF(G79&gt;0,MAX(H79-I79,0),0)</f>
        <v>0</v>
      </c>
      <c r="K79" s="91" t="n">
        <f aca="false">K78+J79</f>
        <v>0</v>
      </c>
      <c r="L79" s="91" t="n">
        <f aca="false">IF(J79*$Q$9&gt;$Q$10,(J79*$Q$9-$Q$10)*$Q$7,0)</f>
        <v>0</v>
      </c>
      <c r="M79" s="91" t="n">
        <f aca="false">IF(J78*$Q$9&gt;$Q$10,(I79)*$Q$9*$Q$7,IF((J78+I79)*$Q$9&gt;$Q$10,((J78+I79)*$Q$9-$Q$10)*$Q$7,0))</f>
        <v>536731.71731928</v>
      </c>
      <c r="N79" s="88" t="n">
        <f aca="false">I79-M79-L79</f>
        <v>2371842.24243308</v>
      </c>
    </row>
    <row r="80" customFormat="false" ht="14.9" hidden="false" customHeight="false" outlineLevel="0" collapsed="false">
      <c r="A80" s="90" t="n">
        <v>78</v>
      </c>
      <c r="B80" s="91" t="n">
        <f aca="false">IF(Übersicht!$C$13&gt;=A80,-Übersicht!$C$6,IF(A80=Übersicht!$C$13+1,Übersicht!$F$9,0))</f>
        <v>0</v>
      </c>
      <c r="C80" s="91" t="n">
        <f aca="false">C79+E80</f>
        <v>38741016.7393376</v>
      </c>
      <c r="D80" s="91" t="n">
        <f aca="false">F79-I79</f>
        <v>36357174.4969045</v>
      </c>
      <c r="E80" s="91" t="n">
        <f aca="false">$Q$4+N79</f>
        <v>2383842.24243308</v>
      </c>
      <c r="F80" s="91" t="n">
        <f aca="false">IF(ISNUMBER(Übersicht!I35),(D80+E80)*(1+Übersicht!I35),(D80+E80)*(1+$Q$5))</f>
        <v>41840298.0784846</v>
      </c>
      <c r="G80" s="91" t="n">
        <f aca="false">F80-(E80+D80)</f>
        <v>3099281.33914702</v>
      </c>
      <c r="H80" s="91" t="n">
        <f aca="false">IF(G80&gt;0,MIN((D80+E80)*$Q$8*0.7,G80),0)</f>
        <v>691527.148797177</v>
      </c>
      <c r="I80" s="87" t="n">
        <f aca="false">(D80+E80)*$Q$6</f>
        <v>3099281.33914701</v>
      </c>
      <c r="J80" s="91" t="n">
        <f aca="false">IF(G80&gt;0,MAX(H80-I80,0),0)</f>
        <v>0</v>
      </c>
      <c r="K80" s="91" t="n">
        <f aca="false">K79+J80</f>
        <v>0</v>
      </c>
      <c r="L80" s="91" t="n">
        <f aca="false">IF(J80*$Q$9&gt;$Q$10,(J80*$Q$9-$Q$10)*$Q$7,0)</f>
        <v>0</v>
      </c>
      <c r="M80" s="91" t="n">
        <f aca="false">IF(J79*$Q$9&gt;$Q$10,(I80)*$Q$9*$Q$7,IF((J79+I80)*$Q$9&gt;$Q$10,((J79+I80)*$Q$9-$Q$10)*$Q$7,0))</f>
        <v>571941.067240017</v>
      </c>
      <c r="N80" s="88" t="n">
        <f aca="false">I80-M80-L80</f>
        <v>2527340.27190699</v>
      </c>
    </row>
    <row r="81" customFormat="false" ht="14.9" hidden="false" customHeight="false" outlineLevel="0" collapsed="false">
      <c r="A81" s="90" t="n">
        <v>79</v>
      </c>
      <c r="B81" s="91" t="n">
        <f aca="false">IF(Übersicht!$C$13&gt;=A81,-Übersicht!$C$6,IF(A81=Übersicht!$C$13+1,Übersicht!$F$9,0))</f>
        <v>0</v>
      </c>
      <c r="C81" s="91" t="n">
        <f aca="false">C80+E81</f>
        <v>41280357.0112446</v>
      </c>
      <c r="D81" s="91" t="n">
        <f aca="false">F80-I80</f>
        <v>38741016.7393376</v>
      </c>
      <c r="E81" s="91" t="n">
        <f aca="false">$Q$4+N80</f>
        <v>2539340.27190699</v>
      </c>
      <c r="F81" s="91" t="n">
        <f aca="false">IF(ISNUMBER(Übersicht!I36),(D81+E81)*(1+Übersicht!I36),(D81+E81)*(1+$Q$5))</f>
        <v>44582785.5721442</v>
      </c>
      <c r="G81" s="91" t="n">
        <f aca="false">F81-(E81+D81)</f>
        <v>3302428.56089957</v>
      </c>
      <c r="H81" s="91" t="n">
        <f aca="false">IF(G81&gt;0,MIN((D81+E81)*$Q$8*0.7,G81),0)</f>
        <v>736854.372650717</v>
      </c>
      <c r="I81" s="87" t="n">
        <f aca="false">(D81+E81)*$Q$6</f>
        <v>3302428.56089957</v>
      </c>
      <c r="J81" s="91" t="n">
        <f aca="false">IF(G81&gt;0,MAX(H81-I81,0),0)</f>
        <v>0</v>
      </c>
      <c r="K81" s="91" t="n">
        <f aca="false">K80+J81</f>
        <v>0</v>
      </c>
      <c r="L81" s="91" t="n">
        <f aca="false">IF(J81*$Q$9&gt;$Q$10,(J81*$Q$9-$Q$10)*$Q$7,0)</f>
        <v>0</v>
      </c>
      <c r="M81" s="91" t="n">
        <f aca="false">IF(J80*$Q$9&gt;$Q$10,(I81)*$Q$9*$Q$7,IF((J80+I81)*$Q$9&gt;$Q$10,((J80+I81)*$Q$9-$Q$10)*$Q$7,0))</f>
        <v>609447.123056083</v>
      </c>
      <c r="N81" s="88" t="n">
        <f aca="false">I81-M81-L81</f>
        <v>2692981.43784349</v>
      </c>
    </row>
    <row r="82" customFormat="false" ht="14.9" hidden="false" customHeight="false" outlineLevel="0" collapsed="false">
      <c r="A82" s="90" t="n">
        <v>80</v>
      </c>
      <c r="B82" s="91" t="n">
        <f aca="false">IF(Übersicht!$C$13&gt;=A82,-Übersicht!$C$6,IF(A82=Übersicht!$C$13+1,Übersicht!$F$9,0))</f>
        <v>0</v>
      </c>
      <c r="C82" s="91" t="n">
        <f aca="false">C81+E82</f>
        <v>43985338.4490881</v>
      </c>
      <c r="D82" s="91" t="n">
        <f aca="false">F81-I81</f>
        <v>41280357.0112446</v>
      </c>
      <c r="E82" s="91" t="n">
        <f aca="false">$Q$4+N81</f>
        <v>2704981.43784349</v>
      </c>
      <c r="F82" s="91" t="n">
        <f aca="false">IF(ISNUMBER(Übersicht!I37),(D82+E82)*(1+Übersicht!I37),(D82+E82)*(1+$Q$5))</f>
        <v>47504165.5250152</v>
      </c>
      <c r="G82" s="91" t="n">
        <f aca="false">F82-(E82+D82)</f>
        <v>3518827.07592705</v>
      </c>
      <c r="H82" s="91" t="n">
        <f aca="false">IF(G82&gt;0,MIN((D82+E82)*$Q$8*0.7,G82),0)</f>
        <v>785138.291316223</v>
      </c>
      <c r="I82" s="87" t="n">
        <f aca="false">(D82+E82)*$Q$6</f>
        <v>3518827.07592705</v>
      </c>
      <c r="J82" s="91" t="n">
        <f aca="false">IF(G82&gt;0,MAX(H82-I82,0),0)</f>
        <v>0</v>
      </c>
      <c r="K82" s="91" t="n">
        <f aca="false">K81+J82</f>
        <v>0</v>
      </c>
      <c r="L82" s="91" t="n">
        <f aca="false">IF(J82*$Q$9&gt;$Q$10,(J82*$Q$9-$Q$10)*$Q$7,0)</f>
        <v>0</v>
      </c>
      <c r="M82" s="91" t="n">
        <f aca="false">IF(J81*$Q$9&gt;$Q$10,(I82)*$Q$9*$Q$7,IF((J81+I82)*$Q$9&gt;$Q$10,((J81+I82)*$Q$9-$Q$10)*$Q$7,0))</f>
        <v>649399.698893031</v>
      </c>
      <c r="N82" s="88" t="n">
        <f aca="false">I82-M82-L82</f>
        <v>2869427.37703402</v>
      </c>
    </row>
    <row r="83" customFormat="false" ht="14.9" hidden="false" customHeight="false" outlineLevel="0" collapsed="false">
      <c r="A83" s="90" t="n">
        <v>81</v>
      </c>
      <c r="B83" s="91" t="n">
        <f aca="false">IF(Übersicht!$C$13&gt;=A83,-Übersicht!$C$6,IF(A83=Übersicht!$C$13+1,Übersicht!$F$9,0))</f>
        <v>0</v>
      </c>
      <c r="C83" s="91" t="n">
        <f aca="false">C82+E83</f>
        <v>46866765.8261221</v>
      </c>
      <c r="D83" s="91" t="n">
        <f aca="false">F82-I82</f>
        <v>43985338.4490881</v>
      </c>
      <c r="E83" s="91" t="n">
        <f aca="false">$Q$4+N82</f>
        <v>2881427.37703402</v>
      </c>
      <c r="F83" s="91" t="n">
        <f aca="false">IF(ISNUMBER(Übersicht!K18),(D83+E83)*(1+Übersicht!K18),(D83+E83)*(1+$Q$5))</f>
        <v>50616107.0922119</v>
      </c>
      <c r="G83" s="91" t="n">
        <f aca="false">F83-(E83+D83)</f>
        <v>3749341.26608977</v>
      </c>
      <c r="H83" s="91" t="n">
        <f aca="false">IF(G83&gt;0,MIN((D83+E83)*$Q$8*0.7,G83),0)</f>
        <v>836571.76999628</v>
      </c>
      <c r="I83" s="87" t="n">
        <f aca="false">(D83+E83)*$Q$6</f>
        <v>3749341.26608977</v>
      </c>
      <c r="J83" s="91" t="n">
        <f aca="false">IF(G83&gt;0,MAX(H83-I83,0),0)</f>
        <v>0</v>
      </c>
      <c r="K83" s="91" t="n">
        <f aca="false">K82+J83</f>
        <v>0</v>
      </c>
      <c r="L83" s="91" t="n">
        <f aca="false">IF(J83*$Q$9&gt;$Q$10,(J83*$Q$9-$Q$10)*$Q$7,0)</f>
        <v>0</v>
      </c>
      <c r="M83" s="91" t="n">
        <f aca="false">IF(J82*$Q$9&gt;$Q$10,(I83)*$Q$9*$Q$7,IF((J82+I83)*$Q$9&gt;$Q$10,((J82+I83)*$Q$9-$Q$10)*$Q$7,0))</f>
        <v>691958.381251824</v>
      </c>
      <c r="N83" s="88" t="n">
        <f aca="false">I83-M83-L83</f>
        <v>3057382.88483795</v>
      </c>
    </row>
    <row r="84" customFormat="false" ht="14.9" hidden="false" customHeight="false" outlineLevel="0" collapsed="false">
      <c r="A84" s="90" t="n">
        <v>82</v>
      </c>
      <c r="B84" s="91" t="n">
        <f aca="false">IF(Übersicht!$C$13&gt;=A84,-Übersicht!$C$6,IF(A84=Übersicht!$C$13+1,Übersicht!$F$9,0))</f>
        <v>0</v>
      </c>
      <c r="C84" s="91" t="n">
        <f aca="false">C83+E84</f>
        <v>49936148.71096</v>
      </c>
      <c r="D84" s="91" t="n">
        <f aca="false">F83-I83</f>
        <v>46866765.8261221</v>
      </c>
      <c r="E84" s="91" t="n">
        <f aca="false">$Q$4+N83</f>
        <v>3069382.88483795</v>
      </c>
      <c r="F84" s="91" t="n">
        <f aca="false">IF(ISNUMBER(Übersicht!K19),(D84+E84)*(1+Übersicht!K19),(D84+E84)*(1+$Q$5))</f>
        <v>53931040.6078369</v>
      </c>
      <c r="G84" s="91" t="n">
        <f aca="false">F84-(E84+D84)</f>
        <v>3994891.89687681</v>
      </c>
      <c r="H84" s="91" t="n">
        <f aca="false">IF(G84&gt;0,MIN((D84+E84)*$Q$8*0.7,G84),0)</f>
        <v>891360.254490638</v>
      </c>
      <c r="I84" s="87" t="n">
        <f aca="false">(D84+E84)*$Q$6</f>
        <v>3994891.89687681</v>
      </c>
      <c r="J84" s="91" t="n">
        <f aca="false">IF(G84&gt;0,MAX(H84-I84,0),0)</f>
        <v>0</v>
      </c>
      <c r="K84" s="91" t="n">
        <f aca="false">K83+J84</f>
        <v>0</v>
      </c>
      <c r="L84" s="91" t="n">
        <f aca="false">IF(J84*$Q$9&gt;$Q$10,(J84*$Q$9-$Q$10)*$Q$7,0)</f>
        <v>0</v>
      </c>
      <c r="M84" s="91" t="n">
        <f aca="false">IF(J83*$Q$9&gt;$Q$10,(I84)*$Q$9*$Q$7,IF((J83+I84)*$Q$9&gt;$Q$10,((J83+I84)*$Q$9-$Q$10)*$Q$7,0))</f>
        <v>737293.16646088</v>
      </c>
      <c r="N84" s="88" t="n">
        <f aca="false">I84-M84-L84</f>
        <v>3257598.73041593</v>
      </c>
    </row>
    <row r="85" customFormat="false" ht="14.9" hidden="false" customHeight="false" outlineLevel="0" collapsed="false">
      <c r="A85" s="90" t="n">
        <v>83</v>
      </c>
      <c r="B85" s="91" t="n">
        <f aca="false">IF(Übersicht!$C$13&gt;=A85,-Übersicht!$C$6,IF(A85=Übersicht!$C$13+1,Übersicht!$F$9,0))</f>
        <v>0</v>
      </c>
      <c r="C85" s="91" t="n">
        <f aca="false">C84+E85</f>
        <v>53205747.441376</v>
      </c>
      <c r="D85" s="91" t="n">
        <f aca="false">F84-I84</f>
        <v>49936148.7109601</v>
      </c>
      <c r="E85" s="91" t="n">
        <f aca="false">$Q$4+N84</f>
        <v>3269598.73041593</v>
      </c>
      <c r="F85" s="91" t="n">
        <f aca="false">IF(ISNUMBER(Übersicht!K20),(D85+E85)*(1+Übersicht!K20),(D85+E85)*(1+$Q$5))</f>
        <v>57462207.2366861</v>
      </c>
      <c r="G85" s="91" t="n">
        <f aca="false">F85-(E85+D85)</f>
        <v>4256459.79531009</v>
      </c>
      <c r="H85" s="91" t="n">
        <f aca="false">IF(G85&gt;0,MIN((D85+E85)*$Q$8*0.7,G85),0)</f>
        <v>949722.591828562</v>
      </c>
      <c r="I85" s="87" t="n">
        <f aca="false">(D85+E85)*$Q$6</f>
        <v>4256459.79531008</v>
      </c>
      <c r="J85" s="91" t="n">
        <f aca="false">IF(G85&gt;0,MAX(H85-I85,0),0)</f>
        <v>0</v>
      </c>
      <c r="K85" s="91" t="n">
        <f aca="false">K84+J85</f>
        <v>0</v>
      </c>
      <c r="L85" s="91" t="n">
        <f aca="false">IF(J85*$Q$9&gt;$Q$10,(J85*$Q$9-$Q$10)*$Q$7,0)</f>
        <v>0</v>
      </c>
      <c r="M85" s="91" t="n">
        <f aca="false">IF(J84*$Q$9&gt;$Q$10,(I85)*$Q$9*$Q$7,IF((J84+I85)*$Q$9&gt;$Q$10,((J84+I85)*$Q$9-$Q$10)*$Q$7,0))</f>
        <v>785585.139709124</v>
      </c>
      <c r="N85" s="88" t="n">
        <f aca="false">I85-M85-L85</f>
        <v>3470874.65560096</v>
      </c>
    </row>
    <row r="86" customFormat="false" ht="14.9" hidden="false" customHeight="false" outlineLevel="0" collapsed="false">
      <c r="A86" s="90" t="n">
        <v>84</v>
      </c>
      <c r="B86" s="91" t="n">
        <f aca="false">IF(Übersicht!$C$13&gt;=A86,-Übersicht!$C$6,IF(A86=Übersicht!$C$13+1,Übersicht!$F$9,0))</f>
        <v>0</v>
      </c>
      <c r="C86" s="91" t="n">
        <f aca="false">C85+E86</f>
        <v>56688622.0969769</v>
      </c>
      <c r="D86" s="91" t="n">
        <f aca="false">F85-I85</f>
        <v>53205747.441376</v>
      </c>
      <c r="E86" s="91" t="n">
        <f aca="false">$Q$4+N85</f>
        <v>3482874.65560096</v>
      </c>
      <c r="F86" s="91" t="n">
        <f aca="false">IF(ISNUMBER(Übersicht!K21),(D86+E86)*(1+Übersicht!K21),(D86+E86)*(1+$Q$5))</f>
        <v>61223711.8647351</v>
      </c>
      <c r="G86" s="91" t="n">
        <f aca="false">F86-(E86+D86)</f>
        <v>4535089.76775816</v>
      </c>
      <c r="H86" s="91" t="n">
        <f aca="false">IF(G86&gt;0,MIN((D86+E86)*$Q$8*0.7,G86),0)</f>
        <v>1011891.90443104</v>
      </c>
      <c r="I86" s="87" t="n">
        <f aca="false">(D86+E86)*$Q$6</f>
        <v>4535089.76775816</v>
      </c>
      <c r="J86" s="91" t="n">
        <f aca="false">IF(G86&gt;0,MAX(H86-I86,0),0)</f>
        <v>0</v>
      </c>
      <c r="K86" s="91" t="n">
        <f aca="false">K85+J86</f>
        <v>0</v>
      </c>
      <c r="L86" s="91" t="n">
        <f aca="false">IF(J86*$Q$9&gt;$Q$10,(J86*$Q$9-$Q$10)*$Q$7,0)</f>
        <v>0</v>
      </c>
      <c r="M86" s="91" t="n">
        <f aca="false">IF(J85*$Q$9&gt;$Q$10,(I86)*$Q$9*$Q$7,IF((J85+I86)*$Q$9&gt;$Q$10,((J85+I86)*$Q$9-$Q$10)*$Q$7,0))</f>
        <v>837027.19837235</v>
      </c>
      <c r="N86" s="88" t="n">
        <f aca="false">I86-M86-L86</f>
        <v>3698062.56938581</v>
      </c>
    </row>
    <row r="87" customFormat="false" ht="14.9" hidden="false" customHeight="false" outlineLevel="0" collapsed="false">
      <c r="A87" s="90" t="n">
        <v>85</v>
      </c>
      <c r="B87" s="91" t="n">
        <f aca="false">IF(Übersicht!$C$13&gt;=A87,-Übersicht!$C$6,IF(A87=Übersicht!$C$13+1,Übersicht!$F$9,0))</f>
        <v>0</v>
      </c>
      <c r="C87" s="91" t="n">
        <f aca="false">C86+E87</f>
        <v>60398684.6663627</v>
      </c>
      <c r="D87" s="91" t="n">
        <f aca="false">F86-I86</f>
        <v>56688622.096977</v>
      </c>
      <c r="E87" s="91" t="n">
        <f aca="false">$Q$4+N86</f>
        <v>3710062.56938581</v>
      </c>
      <c r="F87" s="91" t="n">
        <f aca="false">IF(ISNUMBER(Übersicht!K22),(D87+E87)*(1+Übersicht!K22),(D87+E87)*(1+$Q$5))</f>
        <v>65230579.4396718</v>
      </c>
      <c r="G87" s="91" t="n">
        <f aca="false">F87-(E87+D87)</f>
        <v>4831894.77330903</v>
      </c>
      <c r="H87" s="91" t="n">
        <f aca="false">IF(G87&gt;0,MIN((D87+E87)*$Q$8*0.7,G87),0)</f>
        <v>1078116.52129458</v>
      </c>
      <c r="I87" s="87" t="n">
        <f aca="false">(D87+E87)*$Q$6</f>
        <v>4831894.77330902</v>
      </c>
      <c r="J87" s="91" t="n">
        <f aca="false">IF(G87&gt;0,MAX(H87-I87,0),0)</f>
        <v>0</v>
      </c>
      <c r="K87" s="91" t="n">
        <f aca="false">K86+J87</f>
        <v>0</v>
      </c>
      <c r="L87" s="91" t="n">
        <f aca="false">IF(J87*$Q$9&gt;$Q$10,(J87*$Q$9-$Q$10)*$Q$7,0)</f>
        <v>0</v>
      </c>
      <c r="M87" s="91" t="n">
        <f aca="false">IF(J86*$Q$9&gt;$Q$10,(I87)*$Q$9*$Q$7,IF((J86+I87)*$Q$9&gt;$Q$10,((J86+I87)*$Q$9-$Q$10)*$Q$7,0))</f>
        <v>891824.822522178</v>
      </c>
      <c r="N87" s="88" t="n">
        <f aca="false">I87-M87-L87</f>
        <v>3940069.95078684</v>
      </c>
    </row>
    <row r="88" customFormat="false" ht="14.9" hidden="false" customHeight="false" outlineLevel="0" collapsed="false">
      <c r="A88" s="90" t="n">
        <v>86</v>
      </c>
      <c r="B88" s="91" t="n">
        <f aca="false">IF(Übersicht!$C$13&gt;=A88,-Übersicht!$C$6,IF(A88=Übersicht!$C$13+1,Übersicht!$F$9,0))</f>
        <v>0</v>
      </c>
      <c r="C88" s="91" t="n">
        <f aca="false">C87+E88</f>
        <v>64350754.6171496</v>
      </c>
      <c r="D88" s="91" t="n">
        <f aca="false">F87-I87</f>
        <v>60398684.6663628</v>
      </c>
      <c r="E88" s="91" t="n">
        <f aca="false">$Q$4+N87</f>
        <v>3952069.95078684</v>
      </c>
      <c r="F88" s="91" t="n">
        <f aca="false">IF(ISNUMBER(Übersicht!K23),(D88+E88)*(1+Übersicht!K23),(D88+E88)*(1+$Q$5))</f>
        <v>69498814.9865216</v>
      </c>
      <c r="G88" s="91" t="n">
        <f aca="false">F88-(E88+D88)</f>
        <v>5148060.36937197</v>
      </c>
      <c r="H88" s="91" t="n">
        <f aca="false">IF(G88&gt;0,MIN((D88+E88)*$Q$8*0.7,G88),0)</f>
        <v>1148660.96991612</v>
      </c>
      <c r="I88" s="87" t="n">
        <f aca="false">(D88+E88)*$Q$6</f>
        <v>5148060.36937197</v>
      </c>
      <c r="J88" s="91" t="n">
        <f aca="false">IF(G88&gt;0,MAX(H88-I88,0),0)</f>
        <v>0</v>
      </c>
      <c r="K88" s="91" t="n">
        <f aca="false">K87+J88</f>
        <v>0</v>
      </c>
      <c r="L88" s="91" t="n">
        <f aca="false">IF(J88*$Q$9&gt;$Q$10,(J88*$Q$9-$Q$10)*$Q$7,0)</f>
        <v>0</v>
      </c>
      <c r="M88" s="91" t="n">
        <f aca="false">IF(J87*$Q$9&gt;$Q$10,(I88)*$Q$9*$Q$7,IF((J87+I88)*$Q$9&gt;$Q$10,((J87+I88)*$Q$9-$Q$10)*$Q$7,0))</f>
        <v>950196.8956953</v>
      </c>
      <c r="N88" s="88" t="n">
        <f aca="false">I88-M88-L88</f>
        <v>4197863.47367667</v>
      </c>
    </row>
    <row r="89" customFormat="false" ht="14.9" hidden="false" customHeight="false" outlineLevel="0" collapsed="false">
      <c r="A89" s="90" t="n">
        <v>87</v>
      </c>
      <c r="B89" s="91" t="n">
        <f aca="false">IF(Übersicht!$C$13&gt;=A89,-Übersicht!$C$6,IF(A89=Übersicht!$C$13+1,Übersicht!$F$9,0))</f>
        <v>0</v>
      </c>
      <c r="C89" s="91" t="n">
        <f aca="false">C88+E89</f>
        <v>68560618.0908262</v>
      </c>
      <c r="D89" s="91" t="n">
        <f aca="false">F88-I88</f>
        <v>64350754.6171496</v>
      </c>
      <c r="E89" s="91" t="n">
        <f aca="false">$Q$4+N88</f>
        <v>4209863.47367667</v>
      </c>
      <c r="F89" s="91" t="n">
        <f aca="false">IF(ISNUMBER(Übersicht!K24),(D89+E89)*(1+Übersicht!K24),(D89+E89)*(1+$Q$5))</f>
        <v>74045467.5380924</v>
      </c>
      <c r="G89" s="91" t="n">
        <f aca="false">F89-(E89+D89)</f>
        <v>5484849.44726612</v>
      </c>
      <c r="H89" s="91" t="n">
        <f aca="false">IF(G89&gt;0,MIN((D89+E89)*$Q$8*0.7,G89),0)</f>
        <v>1223807.03292125</v>
      </c>
      <c r="I89" s="87" t="n">
        <f aca="false">(D89+E89)*$Q$6</f>
        <v>5484849.44726611</v>
      </c>
      <c r="J89" s="91" t="n">
        <f aca="false">IF(G89&gt;0,MAX(H89-I89,0),0)</f>
        <v>0</v>
      </c>
      <c r="K89" s="91" t="n">
        <f aca="false">K88+J89</f>
        <v>0</v>
      </c>
      <c r="L89" s="91" t="n">
        <f aca="false">IF(J89*$Q$9&gt;$Q$10,(J89*$Q$9-$Q$10)*$Q$7,0)</f>
        <v>0</v>
      </c>
      <c r="M89" s="91" t="n">
        <f aca="false">IF(J88*$Q$9&gt;$Q$10,(I89)*$Q$9*$Q$7,IF((J88+I89)*$Q$9&gt;$Q$10,((J88+I89)*$Q$9-$Q$10)*$Q$7,0))</f>
        <v>1012376.5792015</v>
      </c>
      <c r="N89" s="88" t="n">
        <f aca="false">I89-M89-L89</f>
        <v>4472472.8680646</v>
      </c>
    </row>
    <row r="90" customFormat="false" ht="14.9" hidden="false" customHeight="false" outlineLevel="0" collapsed="false">
      <c r="A90" s="90" t="n">
        <v>88</v>
      </c>
      <c r="B90" s="91" t="n">
        <f aca="false">IF(Übersicht!$C$13&gt;=A90,-Übersicht!$C$6,IF(A90=Übersicht!$C$13+1,Übersicht!$F$9,0))</f>
        <v>0</v>
      </c>
      <c r="C90" s="91" t="n">
        <f aca="false">C89+E90</f>
        <v>73045090.9588908</v>
      </c>
      <c r="D90" s="91" t="n">
        <f aca="false">F89-I89</f>
        <v>68560618.0908263</v>
      </c>
      <c r="E90" s="91" t="n">
        <f aca="false">$Q$4+N89</f>
        <v>4484472.8680646</v>
      </c>
      <c r="F90" s="91" t="n">
        <f aca="false">IF(ISNUMBER(Übersicht!K25),(D90+E90)*(1+Übersicht!K25),(D90+E90)*(1+$Q$5))</f>
        <v>78888698.2356022</v>
      </c>
      <c r="G90" s="91" t="n">
        <f aca="false">F90-(E90+D90)</f>
        <v>5843607.27671129</v>
      </c>
      <c r="H90" s="91" t="n">
        <f aca="false">IF(G90&gt;0,MIN((D90+E90)*$Q$8*0.7,G90),0)</f>
        <v>1303854.8736162</v>
      </c>
      <c r="I90" s="87" t="n">
        <f aca="false">(D90+E90)*$Q$6</f>
        <v>5843607.27671128</v>
      </c>
      <c r="J90" s="91" t="n">
        <f aca="false">IF(G90&gt;0,MAX(H90-I90,0),0)</f>
        <v>0</v>
      </c>
      <c r="K90" s="91" t="n">
        <f aca="false">K89+J90</f>
        <v>0</v>
      </c>
      <c r="L90" s="91" t="n">
        <f aca="false">IF(J90*$Q$9&gt;$Q$10,(J90*$Q$9-$Q$10)*$Q$7,0)</f>
        <v>0</v>
      </c>
      <c r="M90" s="91" t="n">
        <f aca="false">IF(J89*$Q$9&gt;$Q$10,(I90)*$Q$9*$Q$7,IF((J89+I90)*$Q$9&gt;$Q$10,((J89+I90)*$Q$9-$Q$10)*$Q$7,0))</f>
        <v>1078612.24346282</v>
      </c>
      <c r="N90" s="88" t="n">
        <f aca="false">I90-M90-L90</f>
        <v>4764995.03324846</v>
      </c>
    </row>
    <row r="91" customFormat="false" ht="14.9" hidden="false" customHeight="false" outlineLevel="0" collapsed="false">
      <c r="A91" s="90" t="n">
        <v>89</v>
      </c>
      <c r="B91" s="91" t="n">
        <f aca="false">IF(Übersicht!$C$13&gt;=A91,-Übersicht!$C$6,IF(A91=Übersicht!$C$13+1,Übersicht!$F$9,0))</f>
        <v>0</v>
      </c>
      <c r="C91" s="91" t="n">
        <f aca="false">C90+E91</f>
        <v>77822085.9921393</v>
      </c>
      <c r="D91" s="91" t="n">
        <f aca="false">F90-I90</f>
        <v>73045090.9588909</v>
      </c>
      <c r="E91" s="91" t="n">
        <f aca="false">$Q$4+N90</f>
        <v>4776995.03324846</v>
      </c>
      <c r="F91" s="91" t="n">
        <f aca="false">IF(ISNUMBER(Übersicht!K26),(D91+E91)*(1+Übersicht!K26),(D91+E91)*(1+$Q$5))</f>
        <v>84047852.8715106</v>
      </c>
      <c r="G91" s="91" t="n">
        <f aca="false">F91-(E91+D91)</f>
        <v>6225766.87937115</v>
      </c>
      <c r="H91" s="91" t="n">
        <f aca="false">IF(G91&gt;0,MIN((D91+E91)*$Q$8*0.7,G91),0)</f>
        <v>1389124.23495969</v>
      </c>
      <c r="I91" s="87" t="n">
        <f aca="false">(D91+E91)*$Q$6</f>
        <v>6225766.87937115</v>
      </c>
      <c r="J91" s="91" t="n">
        <f aca="false">IF(G91&gt;0,MAX(H91-I91,0),0)</f>
        <v>0</v>
      </c>
      <c r="K91" s="91" t="n">
        <f aca="false">K90+J91</f>
        <v>0</v>
      </c>
      <c r="L91" s="91" t="n">
        <f aca="false">IF(J91*$Q$9&gt;$Q$10,(J91*$Q$9-$Q$10)*$Q$7,0)</f>
        <v>0</v>
      </c>
      <c r="M91" s="91" t="n">
        <f aca="false">IF(J90*$Q$9&gt;$Q$10,(I91)*$Q$9*$Q$7,IF((J90+I91)*$Q$9&gt;$Q$10,((J90+I91)*$Q$9-$Q$10)*$Q$7,0))</f>
        <v>1149168.4601039</v>
      </c>
      <c r="N91" s="88" t="n">
        <f aca="false">I91-M91-L91</f>
        <v>5076598.41926725</v>
      </c>
    </row>
    <row r="92" customFormat="false" ht="14.9" hidden="false" customHeight="false" outlineLevel="0" collapsed="false">
      <c r="A92" s="90" t="n">
        <v>90</v>
      </c>
      <c r="B92" s="91" t="n">
        <f aca="false">IF(Übersicht!$C$13&gt;=A92,-Übersicht!$C$6,IF(A92=Übersicht!$C$13+1,Übersicht!$F$9,0))</f>
        <v>0</v>
      </c>
      <c r="C92" s="91" t="n">
        <f aca="false">C91+E92</f>
        <v>82910684.4114065</v>
      </c>
      <c r="D92" s="91" t="n">
        <f aca="false">F91-I91</f>
        <v>77822085.9921394</v>
      </c>
      <c r="E92" s="91" t="n">
        <f aca="false">$Q$4+N91</f>
        <v>5088598.41926725</v>
      </c>
      <c r="F92" s="91" t="n">
        <f aca="false">IF(ISNUMBER(Übersicht!K27),(D92+E92)*(1+Übersicht!K27),(D92+E92)*(1+$Q$5))</f>
        <v>89543539.1643192</v>
      </c>
      <c r="G92" s="91" t="n">
        <f aca="false">F92-(E92+D92)</f>
        <v>6632854.75291254</v>
      </c>
      <c r="H92" s="91" t="n">
        <f aca="false">IF(G92&gt;0,MIN((D92+E92)*$Q$8*0.7,G92),0)</f>
        <v>1479955.71674361</v>
      </c>
      <c r="I92" s="87" t="n">
        <f aca="false">(D92+E92)*$Q$6</f>
        <v>6632854.75291253</v>
      </c>
      <c r="J92" s="91" t="n">
        <f aca="false">IF(G92&gt;0,MAX(H92-I92,0),0)</f>
        <v>0</v>
      </c>
      <c r="K92" s="91" t="n">
        <f aca="false">K91+J92</f>
        <v>0</v>
      </c>
      <c r="L92" s="91" t="n">
        <f aca="false">IF(J92*$Q$9&gt;$Q$10,(J92*$Q$9-$Q$10)*$Q$7,0)</f>
        <v>0</v>
      </c>
      <c r="M92" s="91" t="n">
        <f aca="false">IF(J91*$Q$9&gt;$Q$10,(I92)*$Q$9*$Q$7,IF((J91+I92)*$Q$9&gt;$Q$10,((J91+I92)*$Q$9-$Q$10)*$Q$7,0))</f>
        <v>1224327.05875648</v>
      </c>
      <c r="N92" s="88" t="n">
        <f aca="false">I92-M92-L92</f>
        <v>5408527.69415606</v>
      </c>
    </row>
    <row r="93" customFormat="false" ht="14.9" hidden="false" customHeight="false" outlineLevel="0" collapsed="false">
      <c r="A93" s="90" t="n">
        <v>91</v>
      </c>
      <c r="B93" s="91" t="n">
        <f aca="false">IF(Übersicht!$C$13&gt;=A93,-Übersicht!$C$6,IF(A93=Übersicht!$C$13+1,Übersicht!$F$9,0))</f>
        <v>0</v>
      </c>
      <c r="C93" s="91" t="n">
        <f aca="false">C92+E93</f>
        <v>88331212.1055626</v>
      </c>
      <c r="D93" s="91" t="n">
        <f aca="false">F92-I92</f>
        <v>82910684.4114066</v>
      </c>
      <c r="E93" s="91" t="n">
        <f aca="false">$Q$4+N92</f>
        <v>5420527.69415606</v>
      </c>
      <c r="F93" s="91" t="n">
        <f aca="false">IF(ISNUMBER(Übersicht!K28),(D93+E93)*(1+Übersicht!K28),(D93+E93)*(1+$Q$5))</f>
        <v>95397709.0740077</v>
      </c>
      <c r="G93" s="91" t="n">
        <f aca="false">F93-(E93+D93)</f>
        <v>7066496.96844502</v>
      </c>
      <c r="H93" s="91" t="n">
        <f aca="false">IF(G93&gt;0,MIN((D93+E93)*$Q$8*0.7,G93),0)</f>
        <v>1576712.13608429</v>
      </c>
      <c r="I93" s="87" t="n">
        <f aca="false">(D93+E93)*$Q$6</f>
        <v>7066496.96844502</v>
      </c>
      <c r="J93" s="91" t="n">
        <f aca="false">IF(G93&gt;0,MAX(H93-I93,0),0)</f>
        <v>0</v>
      </c>
      <c r="K93" s="91" t="n">
        <f aca="false">K92+J93</f>
        <v>0</v>
      </c>
      <c r="L93" s="91" t="n">
        <f aca="false">IF(J93*$Q$9&gt;$Q$10,(J93*$Q$9-$Q$10)*$Q$7,0)</f>
        <v>0</v>
      </c>
      <c r="M93" s="91" t="n">
        <f aca="false">IF(J92*$Q$9&gt;$Q$10,(I93)*$Q$9*$Q$7,IF((J92+I93)*$Q$9&gt;$Q$10,((J92+I93)*$Q$9-$Q$10)*$Q$7,0))</f>
        <v>1304388.25279916</v>
      </c>
      <c r="N93" s="88" t="n">
        <f aca="false">I93-M93-L93</f>
        <v>5762108.71564586</v>
      </c>
    </row>
    <row r="94" customFormat="false" ht="14.9" hidden="false" customHeight="false" outlineLevel="0" collapsed="false">
      <c r="A94" s="90" t="n">
        <v>92</v>
      </c>
      <c r="B94" s="91" t="n">
        <f aca="false">IF(Übersicht!$C$13&gt;=A94,-Übersicht!$C$6,IF(A94=Übersicht!$C$13+1,Übersicht!$F$9,0))</f>
        <v>0</v>
      </c>
      <c r="C94" s="91" t="n">
        <f aca="false">C93+E94</f>
        <v>94105320.8212085</v>
      </c>
      <c r="D94" s="91" t="n">
        <f aca="false">F93-I93</f>
        <v>88331212.1055627</v>
      </c>
      <c r="E94" s="91" t="n">
        <f aca="false">$Q$4+N93</f>
        <v>5774108.71564586</v>
      </c>
      <c r="F94" s="91" t="n">
        <f aca="false">IF(ISNUMBER(Übersicht!K29),(D94+E94)*(1+Übersicht!K29),(D94+E94)*(1+$Q$5))</f>
        <v>101633746.486905</v>
      </c>
      <c r="G94" s="91" t="n">
        <f aca="false">F94-(E94+D94)</f>
        <v>7528425.6656967</v>
      </c>
      <c r="H94" s="91" t="n">
        <f aca="false">IF(G94&gt;0,MIN((D94+E94)*$Q$8*0.7,G94),0)</f>
        <v>1679779.97665857</v>
      </c>
      <c r="I94" s="87" t="n">
        <f aca="false">(D94+E94)*$Q$6</f>
        <v>7528425.66569668</v>
      </c>
      <c r="J94" s="91" t="n">
        <f aca="false">IF(G94&gt;0,MAX(H94-I94,0),0)</f>
        <v>0</v>
      </c>
      <c r="K94" s="91" t="n">
        <f aca="false">K93+J94</f>
        <v>0</v>
      </c>
      <c r="L94" s="91" t="n">
        <f aca="false">IF(J94*$Q$9&gt;$Q$10,(J94*$Q$9-$Q$10)*$Q$7,0)</f>
        <v>0</v>
      </c>
      <c r="M94" s="91" t="n">
        <f aca="false">IF(J93*$Q$9&gt;$Q$10,(I94)*$Q$9*$Q$7,IF((J93+I94)*$Q$9&gt;$Q$10,((J93+I94)*$Q$9-$Q$10)*$Q$7,0))</f>
        <v>1389671.83852925</v>
      </c>
      <c r="N94" s="88" t="n">
        <f aca="false">I94-M94-L94</f>
        <v>6138753.82716743</v>
      </c>
    </row>
    <row r="95" customFormat="false" ht="14.9" hidden="false" customHeight="false" outlineLevel="0" collapsed="false">
      <c r="A95" s="90" t="n">
        <v>93</v>
      </c>
      <c r="B95" s="91" t="n">
        <f aca="false">IF(Übersicht!$C$13&gt;=A95,-Übersicht!$C$6,IF(A95=Übersicht!$C$13+1,Übersicht!$F$9,0))</f>
        <v>0</v>
      </c>
      <c r="C95" s="91" t="n">
        <f aca="false">C94+E95</f>
        <v>100256074.648376</v>
      </c>
      <c r="D95" s="91" t="n">
        <f aca="false">F94-I94</f>
        <v>94105320.8212086</v>
      </c>
      <c r="E95" s="91" t="n">
        <f aca="false">$Q$4+N94</f>
        <v>6150753.82716744</v>
      </c>
      <c r="F95" s="91" t="n">
        <f aca="false">IF(ISNUMBER(Übersicht!K30),(D95+E95)*(1+Übersicht!K30),(D95+E95)*(1+$Q$5))</f>
        <v>108276560.620246</v>
      </c>
      <c r="G95" s="91" t="n">
        <f aca="false">F95-(E95+D95)</f>
        <v>8020485.97187009</v>
      </c>
      <c r="H95" s="91" t="n">
        <f aca="false">IF(G95&gt;0,MIN((D95+E95)*$Q$8*0.7,G95),0)</f>
        <v>1789570.93247351</v>
      </c>
      <c r="I95" s="87" t="n">
        <f aca="false">(D95+E95)*$Q$6</f>
        <v>8020485.97187008</v>
      </c>
      <c r="J95" s="91" t="n">
        <f aca="false">IF(G95&gt;0,MAX(H95-I95,0),0)</f>
        <v>0</v>
      </c>
      <c r="K95" s="91" t="n">
        <f aca="false">K94+J95</f>
        <v>0</v>
      </c>
      <c r="L95" s="91" t="n">
        <f aca="false">IF(J95*$Q$9&gt;$Q$10,(J95*$Q$9-$Q$10)*$Q$7,0)</f>
        <v>0</v>
      </c>
      <c r="M95" s="91" t="n">
        <f aca="false">IF(J94*$Q$9&gt;$Q$10,(I95)*$Q$9*$Q$7,IF((J94+I95)*$Q$9&gt;$Q$10,((J94+I95)*$Q$9-$Q$10)*$Q$7,0))</f>
        <v>1480518.47255651</v>
      </c>
      <c r="N95" s="88" t="n">
        <f aca="false">I95-M95-L95</f>
        <v>6539967.49931357</v>
      </c>
    </row>
    <row r="96" customFormat="false" ht="14.9" hidden="false" customHeight="false" outlineLevel="0" collapsed="false">
      <c r="A96" s="90" t="n">
        <v>94</v>
      </c>
      <c r="B96" s="91" t="n">
        <f aca="false">IF(Übersicht!$C$13&gt;=A96,-Übersicht!$C$6,IF(A96=Übersicht!$C$13+1,Übersicht!$F$9,0))</f>
        <v>0</v>
      </c>
      <c r="C96" s="91" t="n">
        <f aca="false">C95+E96</f>
        <v>106808042.147689</v>
      </c>
      <c r="D96" s="91" t="n">
        <f aca="false">F95-I95</f>
        <v>100256074.648376</v>
      </c>
      <c r="E96" s="91" t="n">
        <f aca="false">$Q$4+N95</f>
        <v>6551967.49931357</v>
      </c>
      <c r="F96" s="91" t="n">
        <f aca="false">IF(ISNUMBER(Übersicht!K31),(D96+E96)*(1+Übersicht!K31),(D96+E96)*(1+$Q$5))</f>
        <v>115352685.519505</v>
      </c>
      <c r="G96" s="91" t="n">
        <f aca="false">F96-(E96+D96)</f>
        <v>8544643.37181518</v>
      </c>
      <c r="H96" s="91" t="n">
        <f aca="false">IF(G96&gt;0,MIN((D96+E96)*$Q$8*0.7,G96),0)</f>
        <v>1906523.55233626</v>
      </c>
      <c r="I96" s="87" t="n">
        <f aca="false">(D96+E96)*$Q$6</f>
        <v>8544643.37181517</v>
      </c>
      <c r="J96" s="91" t="n">
        <f aca="false">IF(G96&gt;0,MAX(H96-I96,0),0)</f>
        <v>0</v>
      </c>
      <c r="K96" s="91" t="n">
        <f aca="false">K95+J96</f>
        <v>0</v>
      </c>
      <c r="L96" s="91" t="n">
        <f aca="false">IF(J96*$Q$9&gt;$Q$10,(J96*$Q$9-$Q$10)*$Q$7,0)</f>
        <v>0</v>
      </c>
      <c r="M96" s="91" t="n">
        <f aca="false">IF(J95*$Q$9&gt;$Q$10,(I96)*$Q$9*$Q$7,IF((J95+I96)*$Q$9&gt;$Q$10,((J95+I96)*$Q$9-$Q$10)*$Q$7,0))</f>
        <v>1577291.03252138</v>
      </c>
      <c r="N96" s="88" t="n">
        <f aca="false">I96-M96-L96</f>
        <v>6967352.33929379</v>
      </c>
    </row>
    <row r="97" customFormat="false" ht="14.9" hidden="false" customHeight="false" outlineLevel="0" collapsed="false">
      <c r="A97" s="90" t="n">
        <v>95</v>
      </c>
      <c r="B97" s="91" t="n">
        <f aca="false">IF(Übersicht!$C$13&gt;=A97,-Übersicht!$C$6,IF(A97=Übersicht!$C$13+1,Übersicht!$F$9,0))</f>
        <v>0</v>
      </c>
      <c r="C97" s="91" t="n">
        <f aca="false">C96+E97</f>
        <v>113787394.486983</v>
      </c>
      <c r="D97" s="91" t="n">
        <f aca="false">F96-I96</f>
        <v>106808042.14769</v>
      </c>
      <c r="E97" s="91" t="n">
        <f aca="false">$Q$4+N96</f>
        <v>6979352.33929379</v>
      </c>
      <c r="F97" s="91" t="n">
        <f aca="false">IF(ISNUMBER(Übersicht!K32),(D97+E97)*(1+Übersicht!K32),(D97+E97)*(1+$Q$5))</f>
        <v>122890386.045942</v>
      </c>
      <c r="G97" s="91" t="n">
        <f aca="false">F97-(E97+D97)</f>
        <v>9102991.55895868</v>
      </c>
      <c r="H97" s="91" t="n">
        <f aca="false">IF(G97&gt;0,MIN((D97+E97)*$Q$8*0.7,G97),0)</f>
        <v>2031104.99159265</v>
      </c>
      <c r="I97" s="87" t="n">
        <f aca="false">(D97+E97)*$Q$6</f>
        <v>9102991.55895867</v>
      </c>
      <c r="J97" s="91" t="n">
        <f aca="false">IF(G97&gt;0,MAX(H97-I97,0),0)</f>
        <v>0</v>
      </c>
      <c r="K97" s="91" t="n">
        <f aca="false">K96+J97</f>
        <v>0</v>
      </c>
      <c r="L97" s="91" t="n">
        <f aca="false">IF(J97*$Q$9&gt;$Q$10,(J97*$Q$9-$Q$10)*$Q$7,0)</f>
        <v>0</v>
      </c>
      <c r="M97" s="91" t="n">
        <f aca="false">IF(J96*$Q$9&gt;$Q$10,(I97)*$Q$9*$Q$7,IF((J96+I97)*$Q$9&gt;$Q$10,((J96+I97)*$Q$9-$Q$10)*$Q$7,0))</f>
        <v>1680376.06657274</v>
      </c>
      <c r="N97" s="88" t="n">
        <f aca="false">I97-M97-L97</f>
        <v>7422615.49238593</v>
      </c>
    </row>
    <row r="98" customFormat="false" ht="14.9" hidden="false" customHeight="false" outlineLevel="0" collapsed="false">
      <c r="A98" s="90" t="n">
        <v>96</v>
      </c>
      <c r="B98" s="91" t="n">
        <f aca="false">IF(Übersicht!$C$13&gt;=A98,-Übersicht!$C$6,IF(A98=Übersicht!$C$13+1,Übersicht!$F$9,0))</f>
        <v>0</v>
      </c>
      <c r="C98" s="91" t="n">
        <f aca="false">C97+E98</f>
        <v>121222009.979369</v>
      </c>
      <c r="D98" s="91" t="n">
        <f aca="false">F97-I97</f>
        <v>113787394.486983</v>
      </c>
      <c r="E98" s="91" t="n">
        <f aca="false">$Q$4+N97</f>
        <v>7434615.49238593</v>
      </c>
      <c r="F98" s="91" t="n">
        <f aca="false">IF(ISNUMBER(Übersicht!K33),(D98+E98)*(1+Übersicht!K33),(D98+E98)*(1+$Q$5))</f>
        <v>130919770.777719</v>
      </c>
      <c r="G98" s="91" t="n">
        <f aca="false">F98-(E98+D98)</f>
        <v>9697760.79834956</v>
      </c>
      <c r="H98" s="91" t="n">
        <f aca="false">IF(G98&gt;0,MIN((D98+E98)*$Q$8*0.7,G98),0)</f>
        <v>2163812.87813174</v>
      </c>
      <c r="I98" s="87" t="n">
        <f aca="false">(D98+E98)*$Q$6</f>
        <v>9697760.79834954</v>
      </c>
      <c r="J98" s="91" t="n">
        <f aca="false">IF(G98&gt;0,MAX(H98-I98,0),0)</f>
        <v>0</v>
      </c>
      <c r="K98" s="91" t="n">
        <f aca="false">K97+J98</f>
        <v>0</v>
      </c>
      <c r="L98" s="91" t="n">
        <f aca="false">IF(J98*$Q$9&gt;$Q$10,(J98*$Q$9-$Q$10)*$Q$7,0)</f>
        <v>0</v>
      </c>
      <c r="M98" s="91" t="n">
        <f aca="false">IF(J97*$Q$9&gt;$Q$10,(I98)*$Q$9*$Q$7,IF((J97+I98)*$Q$9&gt;$Q$10,((J97+I98)*$Q$9-$Q$10)*$Q$7,0))</f>
        <v>1790185.33739528</v>
      </c>
      <c r="N98" s="88" t="n">
        <f aca="false">I98-M98-L98</f>
        <v>7907575.46095426</v>
      </c>
    </row>
    <row r="99" customFormat="false" ht="14.9" hidden="false" customHeight="false" outlineLevel="0" collapsed="false">
      <c r="A99" s="90" t="n">
        <v>97</v>
      </c>
      <c r="B99" s="91" t="n">
        <f aca="false">IF(Übersicht!$C$13&gt;=A99,-Übersicht!$C$6,IF(A99=Übersicht!$C$13+1,Übersicht!$F$9,0))</f>
        <v>0</v>
      </c>
      <c r="C99" s="91" t="n">
        <f aca="false">C98+E99</f>
        <v>129141585.440323</v>
      </c>
      <c r="D99" s="91" t="n">
        <f aca="false">F98-I98</f>
        <v>121222009.979369</v>
      </c>
      <c r="E99" s="91" t="n">
        <f aca="false">$Q$4+N98</f>
        <v>7919575.46095426</v>
      </c>
      <c r="F99" s="91" t="n">
        <f aca="false">IF(ISNUMBER(Übersicht!K34),(D99+E99)*(1+Übersicht!K34),(D99+E99)*(1+$Q$5))</f>
        <v>139472912.27555</v>
      </c>
      <c r="G99" s="91" t="n">
        <f aca="false">F99-(E99+D99)</f>
        <v>10331326.8352259</v>
      </c>
      <c r="H99" s="91" t="n">
        <f aca="false">IF(G99&gt;0,MIN((D99+E99)*$Q$8*0.7,G99),0)</f>
        <v>2305177.30010978</v>
      </c>
      <c r="I99" s="87" t="n">
        <f aca="false">(D99+E99)*$Q$6</f>
        <v>10331326.8352259</v>
      </c>
      <c r="J99" s="91" t="n">
        <f aca="false">IF(G99&gt;0,MAX(H99-I99,0),0)</f>
        <v>0</v>
      </c>
      <c r="K99" s="91" t="n">
        <f aca="false">K98+J99</f>
        <v>0</v>
      </c>
      <c r="L99" s="91" t="n">
        <f aca="false">IF(J99*$Q$9&gt;$Q$10,(J99*$Q$9-$Q$10)*$Q$7,0)</f>
        <v>0</v>
      </c>
      <c r="M99" s="91" t="n">
        <f aca="false">IF(J98*$Q$9&gt;$Q$10,(I99)*$Q$9*$Q$7,IF((J98+I99)*$Q$9&gt;$Q$10,((J98+I99)*$Q$9-$Q$10)*$Q$7,0))</f>
        <v>1907157.46695358</v>
      </c>
      <c r="N99" s="88" t="n">
        <f aca="false">I99-M99-L99</f>
        <v>8424169.36827231</v>
      </c>
    </row>
    <row r="100" customFormat="false" ht="14.9" hidden="false" customHeight="false" outlineLevel="0" collapsed="false">
      <c r="A100" s="90" t="n">
        <v>98</v>
      </c>
      <c r="B100" s="91" t="n">
        <f aca="false">IF(Übersicht!$C$13&gt;=A100,-Übersicht!$C$6,IF(A100=Übersicht!$C$13+1,Übersicht!$F$9,0))</f>
        <v>0</v>
      </c>
      <c r="C100" s="91" t="n">
        <f aca="false">C99+E100</f>
        <v>137577754.808596</v>
      </c>
      <c r="D100" s="91" t="n">
        <f aca="false">F99-I99</f>
        <v>129141585.440324</v>
      </c>
      <c r="E100" s="91" t="n">
        <f aca="false">$Q$4+N99</f>
        <v>8436169.36827231</v>
      </c>
      <c r="F100" s="91" t="n">
        <f aca="false">IF(ISNUMBER(Übersicht!K35),(D100+E100)*(1+Übersicht!K35),(D100+E100)*(1+$Q$5))</f>
        <v>148583975.193284</v>
      </c>
      <c r="G100" s="91" t="n">
        <f aca="false">F100-(E100+D100)</f>
        <v>11006220.3846877</v>
      </c>
      <c r="H100" s="91" t="n">
        <f aca="false">IF(G100&gt;0,MIN((D100+E100)*$Q$8*0.7,G100),0)</f>
        <v>2455762.92333344</v>
      </c>
      <c r="I100" s="87" t="n">
        <f aca="false">(D100+E100)*$Q$6</f>
        <v>11006220.3846877</v>
      </c>
      <c r="J100" s="91" t="n">
        <f aca="false">IF(G100&gt;0,MAX(H100-I100,0),0)</f>
        <v>0</v>
      </c>
      <c r="K100" s="91" t="n">
        <f aca="false">K99+J100</f>
        <v>0</v>
      </c>
      <c r="L100" s="91" t="n">
        <f aca="false">IF(J100*$Q$9&gt;$Q$10,(J100*$Q$9-$Q$10)*$Q$7,0)</f>
        <v>0</v>
      </c>
      <c r="M100" s="91" t="n">
        <f aca="false">IF(J99*$Q$9&gt;$Q$10,(I100)*$Q$9*$Q$7,IF((J99+I100)*$Q$9&gt;$Q$10,((J99+I100)*$Q$9-$Q$10)*$Q$7,0))</f>
        <v>2031759.68852296</v>
      </c>
      <c r="N100" s="88" t="n">
        <f aca="false">I100-M100-L100</f>
        <v>8974460.69616471</v>
      </c>
    </row>
    <row r="101" customFormat="false" ht="14.9" hidden="false" customHeight="false" outlineLevel="0" collapsed="false">
      <c r="A101" s="90" t="n">
        <v>99</v>
      </c>
      <c r="B101" s="91" t="n">
        <f aca="false">IF(Übersicht!$C$13&gt;=A101,-Übersicht!$C$6,IF(A101=Übersicht!$C$13+1,Übersicht!$F$9,0))</f>
        <v>0</v>
      </c>
      <c r="C101" s="91" t="n">
        <f aca="false">C100+E101</f>
        <v>146564215.50476</v>
      </c>
      <c r="D101" s="91" t="n">
        <f aca="false">F100-I100</f>
        <v>137577754.808596</v>
      </c>
      <c r="E101" s="91" t="n">
        <f aca="false">$Q$4+N100</f>
        <v>8986460.69616471</v>
      </c>
      <c r="F101" s="91" t="n">
        <f aca="false">IF(ISNUMBER(Übersicht!K36),(D101+E101)*(1+Übersicht!K36),(D101+E101)*(1+$Q$5))</f>
        <v>158289352.745142</v>
      </c>
      <c r="G101" s="91" t="n">
        <f aca="false">F101-(E101+D101)</f>
        <v>11725137.2403809</v>
      </c>
      <c r="H101" s="91" t="n">
        <f aca="false">IF(G101&gt;0,MIN((D101+E101)*$Q$8*0.7,G101),0)</f>
        <v>2616171.24675998</v>
      </c>
      <c r="I101" s="87" t="n">
        <f aca="false">(D101+E101)*$Q$6</f>
        <v>11725137.2403809</v>
      </c>
      <c r="J101" s="91" t="n">
        <f aca="false">IF(G101&gt;0,MAX(H101-I101,0),0)</f>
        <v>0</v>
      </c>
      <c r="K101" s="91" t="n">
        <f aca="false">K100+J101</f>
        <v>0</v>
      </c>
      <c r="L101" s="91" t="n">
        <f aca="false">IF(J101*$Q$9&gt;$Q$10,(J101*$Q$9-$Q$10)*$Q$7,0)</f>
        <v>0</v>
      </c>
      <c r="M101" s="91" t="n">
        <f aca="false">IF(J100*$Q$9&gt;$Q$10,(I101)*$Q$9*$Q$7,IF((J100+I101)*$Q$9&gt;$Q$10,((J100+I101)*$Q$9-$Q$10)*$Q$7,0))</f>
        <v>2164489.71300531</v>
      </c>
      <c r="N101" s="88" t="n">
        <f aca="false">I101-M101-L101</f>
        <v>9560647.52737554</v>
      </c>
    </row>
    <row r="102" customFormat="false" ht="14.9" hidden="false" customHeight="false" outlineLevel="0" collapsed="false">
      <c r="A102" s="100" t="n">
        <v>100</v>
      </c>
      <c r="B102" s="101" t="n">
        <f aca="false">IF(Übersicht!$C$13&gt;=A102,-Übersicht!$C$6,IF(A102=Übersicht!$C$13+1,Übersicht!$F$9,0))</f>
        <v>0</v>
      </c>
      <c r="C102" s="101" t="n">
        <f aca="false">C101+E102</f>
        <v>156136863.032136</v>
      </c>
      <c r="D102" s="101" t="n">
        <f aca="false">F101-I101</f>
        <v>146564215.504761</v>
      </c>
      <c r="E102" s="101" t="n">
        <f aca="false">$Q$4+N101</f>
        <v>9572647.52737554</v>
      </c>
      <c r="F102" s="101" t="n">
        <f aca="false">IF(ISNUMBER(Übersicht!K37),(D102+E102)*(1+Übersicht!K37),(D102+E102)*(1+$Q$5))</f>
        <v>168627812.074707</v>
      </c>
      <c r="G102" s="101" t="n">
        <f aca="false">F102-(E102+D102)</f>
        <v>12490949.0425709</v>
      </c>
      <c r="H102" s="101" t="n">
        <f aca="false">IF(G102&gt;0,MIN((D102+E102)*$Q$8*0.7,G102),0)</f>
        <v>2787043.00512363</v>
      </c>
      <c r="I102" s="87" t="n">
        <f aca="false">(D102+E102)*$Q$6</f>
        <v>12490949.0425709</v>
      </c>
      <c r="J102" s="101" t="n">
        <f aca="false">IF(G102&gt;0,MAX(H102-I102,0),0)</f>
        <v>0</v>
      </c>
      <c r="K102" s="101" t="n">
        <f aca="false">K101+J102</f>
        <v>0</v>
      </c>
      <c r="L102" s="101" t="n">
        <f aca="false">IF(J102*$Q$9&gt;$Q$10,(J102*$Q$9-$Q$10)*$Q$7,0)</f>
        <v>0</v>
      </c>
      <c r="M102" s="102" t="n">
        <f aca="false">IF(J101*$Q$9&gt;$Q$10,(I102)*$Q$9*$Q$7,IF((J101+I102)*$Q$9&gt;$Q$10,((J101+I102)*$Q$9-$Q$10)*$Q$7,0))</f>
        <v>2305877.71698465</v>
      </c>
      <c r="N102" s="102" t="n">
        <f aca="false">I102-M102-L102</f>
        <v>10185071.3255862</v>
      </c>
    </row>
    <row r="103" customFormat="false" ht="15" hidden="false" customHeight="false" outlineLevel="0" collapsed="false">
      <c r="A103" s="90" t="n">
        <v>101</v>
      </c>
    </row>
    <row r="104" customFormat="false" ht="15" hidden="false" customHeight="false" outlineLevel="0" collapsed="false">
      <c r="C104" s="103"/>
    </row>
  </sheetData>
  <conditionalFormatting sqref="E3:E102">
    <cfRule type="cellIs" priority="2" operator="lessThan" aboveAverage="0" equalAverage="0" bottom="0" percent="0" rank="0" text="" dxfId="20">
      <formula>0</formula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102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E32" activeCellId="0" sqref="E32"/>
    </sheetView>
  </sheetViews>
  <sheetFormatPr defaultColWidth="10.54296875" defaultRowHeight="15" zeroHeight="false" outlineLevelRow="0" outlineLevelCol="0"/>
  <cols>
    <col collapsed="false" customWidth="true" hidden="false" outlineLevel="0" max="1" min="1" style="0" width="7.28"/>
    <col collapsed="false" customWidth="true" hidden="true" outlineLevel="0" max="2" min="2" style="0" width="10.85"/>
    <col collapsed="false" customWidth="true" hidden="false" outlineLevel="0" max="3" min="3" style="0" width="11.14"/>
    <col collapsed="false" customWidth="true" hidden="false" outlineLevel="0" max="4" min="4" style="0" width="18.71"/>
    <col collapsed="false" customWidth="true" hidden="false" outlineLevel="0" max="5" min="5" style="0" width="14.43"/>
    <col collapsed="false" customWidth="true" hidden="false" outlineLevel="0" max="6" min="6" style="0" width="20.85"/>
    <col collapsed="false" customWidth="true" hidden="false" outlineLevel="0" max="7" min="7" style="0" width="16.43"/>
    <col collapsed="false" customWidth="true" hidden="false" outlineLevel="0" max="8" min="8" style="0" width="11.14"/>
    <col collapsed="false" customWidth="true" hidden="false" outlineLevel="0" max="9" min="9" style="0" width="17.28"/>
    <col collapsed="false" customWidth="true" hidden="false" outlineLevel="0" max="10" min="10" style="0" width="10.14"/>
    <col collapsed="false" customWidth="true" hidden="false" outlineLevel="0" max="11" min="11" style="0" width="16.14"/>
    <col collapsed="false" customWidth="true" hidden="false" outlineLevel="0" max="13" min="13" style="0" width="24.43"/>
    <col collapsed="false" customWidth="true" hidden="false" outlineLevel="0" max="15" min="15" style="0" width="28"/>
  </cols>
  <sheetData>
    <row r="1" customFormat="false" ht="15.75" hidden="false" customHeight="false" outlineLevel="0" collapsed="false"/>
    <row r="2" customFormat="false" ht="30.75" hidden="false" customHeight="false" outlineLevel="0" collapsed="false">
      <c r="A2" s="85" t="s">
        <v>21</v>
      </c>
      <c r="B2" s="85"/>
      <c r="C2" s="84" t="s">
        <v>35</v>
      </c>
      <c r="D2" s="84" t="s">
        <v>24</v>
      </c>
      <c r="E2" s="84" t="s">
        <v>25</v>
      </c>
      <c r="F2" s="84" t="s">
        <v>36</v>
      </c>
      <c r="G2" s="84" t="s">
        <v>27</v>
      </c>
      <c r="H2" s="84" t="s">
        <v>37</v>
      </c>
      <c r="I2" s="84" t="s">
        <v>30</v>
      </c>
      <c r="J2" s="85" t="s">
        <v>38</v>
      </c>
      <c r="K2" s="85" t="s">
        <v>39</v>
      </c>
    </row>
    <row r="3" customFormat="false" ht="15" hidden="false" customHeight="false" outlineLevel="0" collapsed="false">
      <c r="A3" s="104" t="n">
        <v>1</v>
      </c>
      <c r="B3" s="105" t="n">
        <f aca="false">IF(Übersicht!$C$13&gt;=A3,-Übersicht!$C$5-Übersicht!$C$6,IF(A3=Übersicht!$C$13+1,Übersicht!$G$9,0))</f>
        <v>-112000</v>
      </c>
      <c r="C3" s="87" t="n">
        <f aca="false">E3+D3</f>
        <v>112000</v>
      </c>
      <c r="D3" s="87" t="n">
        <f aca="false">P3</f>
        <v>100000</v>
      </c>
      <c r="E3" s="87" t="n">
        <f aca="false">$P$4</f>
        <v>12000</v>
      </c>
      <c r="F3" s="87" t="n">
        <f aca="false">IF(ISNUMBER(Übersicht!C18),(D3+E3)*(1+Übersicht!C18),(D3+E3)*(1+$P$5))</f>
        <v>120960</v>
      </c>
      <c r="G3" s="87" t="n">
        <f aca="false">F3-(E3+D3)</f>
        <v>8960.00000000002</v>
      </c>
      <c r="H3" s="87" t="n">
        <f aca="false">IF(G3&gt;0,(D3+E3)*$P$8*0.7,0)</f>
        <v>1999.2</v>
      </c>
      <c r="I3" s="87" t="n">
        <f aca="false">IF(G3&gt;0,MIN(G3,H3),0)</f>
        <v>1999.2</v>
      </c>
      <c r="J3" s="87" t="n">
        <f aca="false">IF(I3*$P$9&gt;$P$10,(I3*$P$9-$P$10)*$P$7,0)</f>
        <v>105.3523</v>
      </c>
      <c r="K3" s="106" t="n">
        <f aca="false">I3</f>
        <v>1999.2</v>
      </c>
      <c r="O3" s="8" t="s">
        <v>2</v>
      </c>
      <c r="P3" s="107" t="n">
        <f aca="false">Übersicht!C5</f>
        <v>100000</v>
      </c>
    </row>
    <row r="4" customFormat="false" ht="15" hidden="false" customHeight="false" outlineLevel="0" collapsed="false">
      <c r="A4" s="108" t="n">
        <v>2</v>
      </c>
      <c r="B4" s="109" t="n">
        <f aca="false">IF(Übersicht!$C$13&gt;=A4,-Übersicht!$C$6,IF(A4=Übersicht!$C$13+1,Übersicht!$G$9,0))</f>
        <v>-12000</v>
      </c>
      <c r="C4" s="91" t="n">
        <f aca="false">C3+E4</f>
        <v>123894.6477</v>
      </c>
      <c r="D4" s="91" t="n">
        <f aca="false">F3</f>
        <v>120960</v>
      </c>
      <c r="E4" s="91" t="n">
        <f aca="false">$P$4-J3</f>
        <v>11894.6477</v>
      </c>
      <c r="F4" s="91" t="n">
        <f aca="false">IF(ISNUMBER(Übersicht!C19),(D4+E4)*(1+Übersicht!C19),(D4+E4)*(1+$P$5))</f>
        <v>143483.019516</v>
      </c>
      <c r="G4" s="91" t="n">
        <f aca="false">F4-(E4+D4)</f>
        <v>10628.371816</v>
      </c>
      <c r="H4" s="91" t="n">
        <f aca="false">IF(G4&gt;0,(D4+E4)*$P$8*0.7,0)</f>
        <v>2371.455461445</v>
      </c>
      <c r="I4" s="91" t="n">
        <f aca="false">IF(G4&gt;0,MIN(G4,H4),0)</f>
        <v>2371.455461445</v>
      </c>
      <c r="J4" s="91" t="n">
        <f aca="false">IF(I4*$P$9&gt;$P$10,(I4*$P$9-$P$10)*$P$7,0)</f>
        <v>174.079964569283</v>
      </c>
      <c r="K4" s="110" t="n">
        <f aca="false">K3+I4</f>
        <v>4370.655461445</v>
      </c>
      <c r="O4" s="15" t="s">
        <v>7</v>
      </c>
      <c r="P4" s="111" t="n">
        <f aca="false">Übersicht!C6</f>
        <v>12000</v>
      </c>
    </row>
    <row r="5" customFormat="false" ht="15" hidden="false" customHeight="false" outlineLevel="0" collapsed="false">
      <c r="A5" s="108" t="n">
        <v>3</v>
      </c>
      <c r="B5" s="109" t="n">
        <f aca="false">IF(Übersicht!$C$13&gt;=A5,-Übersicht!$C$6,IF(A5=Übersicht!$C$13+1,Übersicht!$G$9,0))</f>
        <v>-12000</v>
      </c>
      <c r="C5" s="91" t="n">
        <f aca="false">C4+E5</f>
        <v>135720.567735431</v>
      </c>
      <c r="D5" s="91" t="n">
        <f aca="false">F4</f>
        <v>143483.019516</v>
      </c>
      <c r="E5" s="91" t="n">
        <f aca="false">$P$4-J4</f>
        <v>11825.9200354307</v>
      </c>
      <c r="F5" s="91" t="n">
        <f aca="false">IF(ISNUMBER(Übersicht!C20),(D5+E5)*(1+Übersicht!C20),(D5+E5)*(1+$P$5))</f>
        <v>167733.654715545</v>
      </c>
      <c r="G5" s="91" t="n">
        <f aca="false">F5-(E5+D5)</f>
        <v>12424.7151641145</v>
      </c>
      <c r="H5" s="91" t="n">
        <f aca="false">IF(G5&gt;0,(D5+E5)*$P$8*0.7,0)</f>
        <v>2772.26457099304</v>
      </c>
      <c r="I5" s="91" t="n">
        <f aca="false">IF(G5&gt;0,MIN(G5,H5),0)</f>
        <v>2772.26457099304</v>
      </c>
      <c r="J5" s="91" t="n">
        <f aca="false">IF(I5*$P$9&gt;$P$10,(I5*$P$9-$P$10)*$P$7,0)</f>
        <v>248.07934641959</v>
      </c>
      <c r="K5" s="110" t="n">
        <f aca="false">K4+I5</f>
        <v>7142.92003243804</v>
      </c>
      <c r="O5" s="15" t="s">
        <v>9</v>
      </c>
      <c r="P5" s="93" t="n">
        <f aca="false">Übersicht!C7</f>
        <v>0.08</v>
      </c>
    </row>
    <row r="6" customFormat="false" ht="15" hidden="false" customHeight="false" outlineLevel="0" collapsed="false">
      <c r="A6" s="108" t="n">
        <v>4</v>
      </c>
      <c r="B6" s="109" t="n">
        <f aca="false">IF(Übersicht!$C$13&gt;=A6,-Übersicht!$C$6,IF(A6=Übersicht!$C$13+1,Übersicht!$G$9,0))</f>
        <v>-12000</v>
      </c>
      <c r="C6" s="91" t="n">
        <f aca="false">C5+E6</f>
        <v>147472.488389011</v>
      </c>
      <c r="D6" s="91" t="n">
        <f aca="false">F5</f>
        <v>167733.654715545</v>
      </c>
      <c r="E6" s="91" t="n">
        <f aca="false">$P$4-J5</f>
        <v>11751.9206535804</v>
      </c>
      <c r="F6" s="91" t="n">
        <f aca="false">IF(ISNUMBER(Übersicht!C21),(D6+E6)*(1+Übersicht!C21),(D6+E6)*(1+$P$5))</f>
        <v>193844.421398656</v>
      </c>
      <c r="G6" s="91" t="n">
        <f aca="false">F6-(E6+D6)</f>
        <v>14358.84602953</v>
      </c>
      <c r="H6" s="91" t="n">
        <f aca="false">IF(G6&gt;0,(D6+E6)*$P$8*0.7,0)</f>
        <v>3203.81752033889</v>
      </c>
      <c r="I6" s="91" t="n">
        <f aca="false">IF(G6&gt;0,MIN(G6,H6),0)</f>
        <v>3203.81752033889</v>
      </c>
      <c r="J6" s="91" t="n">
        <f aca="false">IF(I6*$P$9&gt;$P$10,(I6*$P$9-$P$10)*$P$7,0)</f>
        <v>327.754809692568</v>
      </c>
      <c r="K6" s="110" t="n">
        <f aca="false">K5+I6</f>
        <v>10346.7375527769</v>
      </c>
      <c r="O6" s="15" t="s">
        <v>11</v>
      </c>
      <c r="P6" s="93" t="n">
        <f aca="false">Übersicht!C8</f>
        <v>0.08</v>
      </c>
    </row>
    <row r="7" customFormat="false" ht="15" hidden="false" customHeight="false" outlineLevel="0" collapsed="false">
      <c r="A7" s="108" t="n">
        <v>5</v>
      </c>
      <c r="B7" s="109" t="n">
        <f aca="false">IF(Übersicht!$C$13&gt;=A7,-Übersicht!$C$6,IF(A7=Übersicht!$C$13+1,Übersicht!$G$9,0))</f>
        <v>-12000</v>
      </c>
      <c r="C7" s="91" t="n">
        <f aca="false">C6+E7</f>
        <v>159144.733579319</v>
      </c>
      <c r="D7" s="91" t="n">
        <f aca="false">F6</f>
        <v>193844.421398656</v>
      </c>
      <c r="E7" s="91" t="n">
        <f aca="false">$P$4-J6</f>
        <v>11672.2451903074</v>
      </c>
      <c r="F7" s="91" t="n">
        <f aca="false">IF(ISNUMBER(Übersicht!C22),(D7+E7)*(1+Übersicht!C22),(D7+E7)*(1+$P$5))</f>
        <v>221957.99991608</v>
      </c>
      <c r="G7" s="91" t="n">
        <f aca="false">F7-(E7+D7)</f>
        <v>16441.3333271171</v>
      </c>
      <c r="H7" s="91" t="n">
        <f aca="false">IF(G7&gt;0,(D7+E7)*$P$8*0.7,0)</f>
        <v>3668.47249861299</v>
      </c>
      <c r="I7" s="91" t="n">
        <f aca="false">IF(G7&gt;0,MIN(G7,H7),0)</f>
        <v>3668.47249861299</v>
      </c>
      <c r="J7" s="91" t="n">
        <f aca="false">IF(I7*$P$9&gt;$P$10,(I7*$P$9-$P$10)*$P$7,0)</f>
        <v>413.541735056423</v>
      </c>
      <c r="K7" s="110" t="n">
        <f aca="false">K6+I7</f>
        <v>14015.2100513899</v>
      </c>
      <c r="O7" s="15" t="s">
        <v>13</v>
      </c>
      <c r="P7" s="94" t="n">
        <f aca="false">Übersicht!C9</f>
        <v>0.26375</v>
      </c>
    </row>
    <row r="8" customFormat="false" ht="15" hidden="false" customHeight="false" outlineLevel="0" collapsed="false">
      <c r="A8" s="108" t="n">
        <v>6</v>
      </c>
      <c r="B8" s="109" t="n">
        <f aca="false">IF(Übersicht!$C$13&gt;=A8,-Übersicht!$C$6,IF(A8=Übersicht!$C$13+1,Übersicht!$G$9,0))</f>
        <v>-12000</v>
      </c>
      <c r="C8" s="91" t="n">
        <f aca="false">C7+E8</f>
        <v>170731.191844262</v>
      </c>
      <c r="D8" s="91" t="n">
        <f aca="false">F7</f>
        <v>221957.99991608</v>
      </c>
      <c r="E8" s="91" t="n">
        <f aca="false">$P$4-J7</f>
        <v>11586.4582649436</v>
      </c>
      <c r="F8" s="91" t="n">
        <f aca="false">IF(ISNUMBER(Übersicht!C23),(D8+E8)*(1+Übersicht!C23),(D8+E8)*(1+$P$5))</f>
        <v>252228.014835506</v>
      </c>
      <c r="G8" s="91" t="n">
        <f aca="false">F8-(E8+D8)</f>
        <v>18683.5566544819</v>
      </c>
      <c r="H8" s="91" t="n">
        <f aca="false">IF(G8&gt;0,(D8+E8)*$P$8*0.7,0)</f>
        <v>4168.76857853127</v>
      </c>
      <c r="I8" s="91" t="n">
        <f aca="false">IF(G8&gt;0,MIN(G8,H8),0)</f>
        <v>4168.76857853127</v>
      </c>
      <c r="J8" s="91" t="n">
        <f aca="false">IF(I8*$P$9&gt;$P$10,(I8*$P$9-$P$10)*$P$7,0)</f>
        <v>505.908898811336</v>
      </c>
      <c r="K8" s="110" t="n">
        <f aca="false">K7+I8</f>
        <v>18183.9786299212</v>
      </c>
      <c r="O8" s="15" t="s">
        <v>15</v>
      </c>
      <c r="P8" s="94" t="n">
        <f aca="false">Übersicht!C10</f>
        <v>0.0255</v>
      </c>
    </row>
    <row r="9" customFormat="false" ht="15" hidden="false" customHeight="false" outlineLevel="0" collapsed="false">
      <c r="A9" s="108" t="n">
        <v>7</v>
      </c>
      <c r="B9" s="109" t="n">
        <f aca="false">IF(Übersicht!$C$13&gt;=A9,-Übersicht!$C$6,IF(A9=Übersicht!$C$13+1,Übersicht!$G$9,0))</f>
        <v>-12000</v>
      </c>
      <c r="C9" s="91" t="n">
        <f aca="false">C8+E9</f>
        <v>182225.282945451</v>
      </c>
      <c r="D9" s="91" t="n">
        <f aca="false">F8</f>
        <v>252228.014835506</v>
      </c>
      <c r="E9" s="91" t="n">
        <f aca="false">$P$4-J8</f>
        <v>11494.0911011887</v>
      </c>
      <c r="F9" s="91" t="n">
        <f aca="false">IF(ISNUMBER(Übersicht!C24),(D9+E9)*(1+Übersicht!C24),(D9+E9)*(1+$P$5))</f>
        <v>284819.87441163</v>
      </c>
      <c r="G9" s="91" t="n">
        <f aca="false">F9-(E9+D9)</f>
        <v>21097.7684749356</v>
      </c>
      <c r="H9" s="91" t="n">
        <f aca="false">IF(G9&gt;0,(D9+E9)*$P$8*0.7,0)</f>
        <v>4707.43959096999</v>
      </c>
      <c r="I9" s="91" t="n">
        <f aca="false">IF(G9&gt;0,MIN(G9,H9),0)</f>
        <v>4707.43959096999</v>
      </c>
      <c r="J9" s="91" t="n">
        <f aca="false">IF(I9*$P$9&gt;$P$10,(I9*$P$9-$P$10)*$P$7,0)</f>
        <v>605.361034482835</v>
      </c>
      <c r="K9" s="110" t="n">
        <f aca="false">K8+I9</f>
        <v>22891.4182208912</v>
      </c>
      <c r="O9" s="38" t="s">
        <v>17</v>
      </c>
      <c r="P9" s="112" t="n">
        <f aca="false">Übersicht!C11</f>
        <v>0.7</v>
      </c>
    </row>
    <row r="10" customFormat="false" ht="15" hidden="false" customHeight="false" outlineLevel="0" collapsed="false">
      <c r="A10" s="108" t="n">
        <v>8</v>
      </c>
      <c r="B10" s="109" t="n">
        <f aca="false">IF(Übersicht!$C$13&gt;=A10,-Übersicht!$C$6,IF(A10=Übersicht!$C$13+1,Übersicht!$G$9,0))</f>
        <v>-12000</v>
      </c>
      <c r="C10" s="91" t="n">
        <f aca="false">C9+E10</f>
        <v>193619.921910968</v>
      </c>
      <c r="D10" s="91" t="n">
        <f aca="false">F9</f>
        <v>284819.87441163</v>
      </c>
      <c r="E10" s="91" t="n">
        <f aca="false">$P$4-J9</f>
        <v>11394.6389655172</v>
      </c>
      <c r="F10" s="91" t="n">
        <f aca="false">IF(ISNUMBER(Übersicht!C25),(D10+E10)*(1+Übersicht!C25),(D10+E10)*(1+$P$5))</f>
        <v>319911.674447319</v>
      </c>
      <c r="G10" s="91" t="n">
        <f aca="false">F10-(E10+D10)</f>
        <v>23697.1610701718</v>
      </c>
      <c r="H10" s="91" t="n">
        <f aca="false">IF(G10&gt;0,(D10+E10)*$P$8*0.7,0)</f>
        <v>5287.42906378207</v>
      </c>
      <c r="I10" s="91" t="n">
        <f aca="false">IF(G10&gt;0,MIN(G10,H10),0)</f>
        <v>5287.42906378207</v>
      </c>
      <c r="J10" s="91" t="n">
        <f aca="false">IF(I10*$P$9&gt;$P$10,(I10*$P$9-$P$10)*$P$7,0)</f>
        <v>712.441590900765</v>
      </c>
      <c r="K10" s="110" t="n">
        <f aca="false">K9+I10</f>
        <v>28178.8472846733</v>
      </c>
      <c r="O10" s="113" t="s">
        <v>18</v>
      </c>
      <c r="P10" s="114" t="n">
        <f aca="false">Übersicht!C12</f>
        <v>1000</v>
      </c>
    </row>
    <row r="11" customFormat="false" ht="15" hidden="false" customHeight="false" outlineLevel="0" collapsed="false">
      <c r="A11" s="108" t="n">
        <v>9</v>
      </c>
      <c r="B11" s="109" t="n">
        <f aca="false">IF(Übersicht!$C$13&gt;=A11,-Übersicht!$C$6,IF(A11=Übersicht!$C$13+1,Übersicht!$G$9,0))</f>
        <v>-12000</v>
      </c>
      <c r="C11" s="91" t="n">
        <f aca="false">C10+E11</f>
        <v>204907.480320067</v>
      </c>
      <c r="D11" s="91" t="n">
        <f aca="false">F10</f>
        <v>319911.674447319</v>
      </c>
      <c r="E11" s="91" t="n">
        <f aca="false">$P$4-J10</f>
        <v>11287.5584090992</v>
      </c>
      <c r="F11" s="91" t="n">
        <f aca="false">IF(ISNUMBER(Übersicht!C26),(D11+E11)*(1+Übersicht!C26),(D11+E11)*(1+$P$5))</f>
        <v>357695.171484932</v>
      </c>
      <c r="G11" s="91" t="n">
        <f aca="false">F11-(E11+D11)</f>
        <v>26495.9386285135</v>
      </c>
      <c r="H11" s="91" t="n">
        <f aca="false">IF(G11&gt;0,(D11+E11)*$P$8*0.7,0)</f>
        <v>5911.90630648706</v>
      </c>
      <c r="I11" s="91" t="n">
        <f aca="false">IF(G11&gt;0,MIN(G11,H11),0)</f>
        <v>5911.90630648706</v>
      </c>
      <c r="J11" s="91" t="n">
        <f aca="false">IF(I11*$P$9&gt;$P$10,(I11*$P$9-$P$10)*$P$7,0)</f>
        <v>827.735701835174</v>
      </c>
      <c r="K11" s="110" t="n">
        <f aca="false">K10+I11</f>
        <v>34090.7535911603</v>
      </c>
      <c r="O11" s="15" t="s">
        <v>19</v>
      </c>
      <c r="P11" s="96" t="n">
        <f aca="false">Übersicht!C13</f>
        <v>30</v>
      </c>
    </row>
    <row r="12" customFormat="false" ht="15.75" hidden="false" customHeight="false" outlineLevel="0" collapsed="false">
      <c r="A12" s="108" t="n">
        <v>10</v>
      </c>
      <c r="B12" s="109" t="n">
        <f aca="false">IF(Übersicht!$C$13&gt;=A12,-Übersicht!$C$6,IF(A12=Übersicht!$C$13+1,Übersicht!$G$9,0))</f>
        <v>-12000</v>
      </c>
      <c r="C12" s="91" t="n">
        <f aca="false">C11+E12</f>
        <v>216079.744618232</v>
      </c>
      <c r="D12" s="91" t="n">
        <f aca="false">F11</f>
        <v>357695.171484932</v>
      </c>
      <c r="E12" s="91" t="n">
        <f aca="false">$P$4-J11</f>
        <v>11172.2642981648</v>
      </c>
      <c r="F12" s="91" t="n">
        <f aca="false">IF(ISNUMBER(Übersicht!C27),(D12+E12)*(1+Übersicht!C27),(D12+E12)*(1+$P$5))</f>
        <v>398376.830645744</v>
      </c>
      <c r="G12" s="91" t="n">
        <f aca="false">F12-(E12+D12)</f>
        <v>29509.3948626477</v>
      </c>
      <c r="H12" s="91" t="n">
        <f aca="false">IF(G12&gt;0,(D12+E12)*$P$8*0.7,0)</f>
        <v>6584.28372872827</v>
      </c>
      <c r="I12" s="91" t="n">
        <f aca="false">IF(G12&gt;0,MIN(G12,H12),0)</f>
        <v>6584.28372872827</v>
      </c>
      <c r="J12" s="91" t="n">
        <f aca="false">IF(I12*$P$9&gt;$P$10,(I12*$P$9-$P$10)*$P$7,0)</f>
        <v>951.873383416457</v>
      </c>
      <c r="K12" s="110" t="n">
        <f aca="false">K11+I12</f>
        <v>40675.0373198886</v>
      </c>
      <c r="O12" s="97" t="s">
        <v>16</v>
      </c>
      <c r="P12" s="98" t="n">
        <f aca="true">IRR(B3:INDIRECT("B"&amp;P11+3),Übersicht!C7*(1-Übersicht!C9))</f>
        <v>0.071605502924159</v>
      </c>
    </row>
    <row r="13" customFormat="false" ht="15" hidden="false" customHeight="false" outlineLevel="0" collapsed="false">
      <c r="A13" s="108" t="n">
        <v>11</v>
      </c>
      <c r="B13" s="109" t="n">
        <f aca="false">IF(Übersicht!$C$13&gt;=A13,-Übersicht!$C$6,IF(A13=Übersicht!$C$13+1,Übersicht!$G$9,0))</f>
        <v>-12000</v>
      </c>
      <c r="C13" s="91" t="n">
        <f aca="false">C12+E13</f>
        <v>227127.871234816</v>
      </c>
      <c r="D13" s="91" t="n">
        <f aca="false">F12</f>
        <v>398376.830645744</v>
      </c>
      <c r="E13" s="91" t="n">
        <f aca="false">$P$4-J12</f>
        <v>11048.1266165835</v>
      </c>
      <c r="F13" s="91" t="n">
        <f aca="false">IF(ISNUMBER(Übersicht!C28),(D13+E13)*(1+Übersicht!C28),(D13+E13)*(1+$P$5))</f>
        <v>442178.953843314</v>
      </c>
      <c r="G13" s="91" t="n">
        <f aca="false">F13-(E13+D13)</f>
        <v>32753.9965809862</v>
      </c>
      <c r="H13" s="91" t="n">
        <f aca="false">IF(G13&gt;0,(D13+E13)*$P$8*0.7,0)</f>
        <v>7308.23548713255</v>
      </c>
      <c r="I13" s="91" t="n">
        <f aca="false">IF(G13&gt;0,MIN(G13,H13),0)</f>
        <v>7308.23548713255</v>
      </c>
      <c r="J13" s="91" t="n">
        <f aca="false">IF(I13*$P$9&gt;$P$10,(I13*$P$9-$P$10)*$P$7,0)</f>
        <v>1085.53297681185</v>
      </c>
      <c r="K13" s="110" t="n">
        <f aca="false">K12+I13</f>
        <v>47983.2728070211</v>
      </c>
    </row>
    <row r="14" customFormat="false" ht="15" hidden="false" customHeight="false" outlineLevel="0" collapsed="false">
      <c r="A14" s="108" t="n">
        <v>12</v>
      </c>
      <c r="B14" s="109" t="n">
        <f aca="false">IF(Übersicht!$C$13&gt;=A14,-Übersicht!$C$6,IF(A14=Übersicht!$C$13+1,Übersicht!$G$9,0))</f>
        <v>-12000</v>
      </c>
      <c r="C14" s="91" t="n">
        <f aca="false">C13+E14</f>
        <v>238042.338258004</v>
      </c>
      <c r="D14" s="91" t="n">
        <f aca="false">F13</f>
        <v>442178.953843314</v>
      </c>
      <c r="E14" s="91" t="n">
        <f aca="false">$P$4-J13</f>
        <v>10914.4670231882</v>
      </c>
      <c r="F14" s="91" t="n">
        <f aca="false">IF(ISNUMBER(Übersicht!C29),(D14+E14)*(1+Übersicht!C29),(D14+E14)*(1+$P$5))</f>
        <v>489340.894535822</v>
      </c>
      <c r="G14" s="91" t="n">
        <f aca="false">F14-(E14+D14)</f>
        <v>36247.4736693202</v>
      </c>
      <c r="H14" s="91" t="n">
        <f aca="false">IF(G14&gt;0,(D14+E14)*$P$8*0.7,0)</f>
        <v>8087.71756246706</v>
      </c>
      <c r="I14" s="91" t="n">
        <f aca="false">IF(G14&gt;0,MIN(G14,H14),0)</f>
        <v>8087.71756246706</v>
      </c>
      <c r="J14" s="91" t="n">
        <f aca="false">IF(I14*$P$9&gt;$P$10,(I14*$P$9-$P$10)*$P$7,0)</f>
        <v>1229.44485497048</v>
      </c>
      <c r="K14" s="110" t="n">
        <f aca="false">K13+I14</f>
        <v>56070.9903694882</v>
      </c>
    </row>
    <row r="15" customFormat="false" ht="15" hidden="false" customHeight="false" outlineLevel="0" collapsed="false">
      <c r="A15" s="108" t="n">
        <v>13</v>
      </c>
      <c r="B15" s="109" t="n">
        <f aca="false">IF(Übersicht!$C$13&gt;=A15,-Übersicht!$C$6,IF(A15=Übersicht!$C$13+1,Übersicht!$G$9,0))</f>
        <v>-12000</v>
      </c>
      <c r="C15" s="91" t="n">
        <f aca="false">C14+E15</f>
        <v>248812.893403033</v>
      </c>
      <c r="D15" s="91" t="n">
        <f aca="false">F14</f>
        <v>489340.894535822</v>
      </c>
      <c r="E15" s="91" t="n">
        <f aca="false">$P$4-J14</f>
        <v>10770.5551450295</v>
      </c>
      <c r="F15" s="91" t="n">
        <f aca="false">IF(ISNUMBER(Übersicht!C30),(D15+E15)*(1+Übersicht!C30),(D15+E15)*(1+$P$5))</f>
        <v>540120.36565532</v>
      </c>
      <c r="G15" s="91" t="n">
        <f aca="false">F15-(E15+D15)</f>
        <v>40008.9159744682</v>
      </c>
      <c r="H15" s="91" t="n">
        <f aca="false">IF(G15&gt;0,(D15+E15)*$P$8*0.7,0)</f>
        <v>8926.9893768032</v>
      </c>
      <c r="I15" s="91" t="n">
        <f aca="false">IF(G15&gt;0,MIN(G15,H15),0)</f>
        <v>8926.9893768032</v>
      </c>
      <c r="J15" s="91" t="n">
        <f aca="false">IF(I15*$P$9&gt;$P$10,(I15*$P$9-$P$10)*$P$7,0)</f>
        <v>1384.39541369229</v>
      </c>
      <c r="K15" s="110" t="n">
        <f aca="false">K14+I15</f>
        <v>64997.9797462914</v>
      </c>
    </row>
    <row r="16" customFormat="false" ht="15" hidden="false" customHeight="false" outlineLevel="0" collapsed="false">
      <c r="A16" s="108" t="n">
        <v>14</v>
      </c>
      <c r="B16" s="109" t="n">
        <f aca="false">IF(Übersicht!$C$13&gt;=A16,-Übersicht!$C$6,IF(A16=Übersicht!$C$13+1,Übersicht!$G$9,0))</f>
        <v>-12000</v>
      </c>
      <c r="C16" s="91" t="n">
        <f aca="false">C15+E16</f>
        <v>259428.497989341</v>
      </c>
      <c r="D16" s="91" t="n">
        <f aca="false">F15</f>
        <v>540120.36565532</v>
      </c>
      <c r="E16" s="91" t="n">
        <f aca="false">$P$4-J15</f>
        <v>10615.6045863077</v>
      </c>
      <c r="F16" s="91" t="n">
        <f aca="false">IF(ISNUMBER(Übersicht!C31),(D16+E16)*(1+Übersicht!C31),(D16+E16)*(1+$P$5))</f>
        <v>594794.847860958</v>
      </c>
      <c r="G16" s="91" t="n">
        <f aca="false">F16-(E16+D16)</f>
        <v>44058.8776193302</v>
      </c>
      <c r="H16" s="91" t="n">
        <f aca="false">IF(G16&gt;0,(D16+E16)*$P$8*0.7,0)</f>
        <v>9830.63706881305</v>
      </c>
      <c r="I16" s="91" t="n">
        <f aca="false">IF(G16&gt;0,MIN(G16,H16),0)</f>
        <v>9830.63706881305</v>
      </c>
      <c r="J16" s="91" t="n">
        <f aca="false">IF(I16*$P$9&gt;$P$10,(I16*$P$9-$P$10)*$P$7,0)</f>
        <v>1551.23136882961</v>
      </c>
      <c r="K16" s="110" t="n">
        <f aca="false">K15+I16</f>
        <v>74828.6168151045</v>
      </c>
    </row>
    <row r="17" customFormat="false" ht="15" hidden="false" customHeight="false" outlineLevel="0" collapsed="false">
      <c r="A17" s="108" t="n">
        <v>15</v>
      </c>
      <c r="B17" s="109" t="n">
        <f aca="false">IF(Übersicht!$C$13&gt;=A17,-Übersicht!$C$6,IF(A17=Übersicht!$C$13+1,Übersicht!$G$9,0))</f>
        <v>-12000</v>
      </c>
      <c r="C17" s="91" t="n">
        <f aca="false">C16+E17</f>
        <v>269877.266620511</v>
      </c>
      <c r="D17" s="91" t="n">
        <f aca="false">F16</f>
        <v>594794.847860958</v>
      </c>
      <c r="E17" s="91" t="n">
        <f aca="false">$P$4-J16</f>
        <v>10448.7686311704</v>
      </c>
      <c r="F17" s="91" t="n">
        <f aca="false">IF(ISNUMBER(Übersicht!C32),(D17+E17)*(1+Übersicht!C32),(D17+E17)*(1+$P$5))</f>
        <v>653663.105811498</v>
      </c>
      <c r="G17" s="91" t="n">
        <f aca="false">F17-(E17+D17)</f>
        <v>48419.4893193703</v>
      </c>
      <c r="H17" s="91" t="n">
        <f aca="false">IF(G17&gt;0,(D17+E17)*$P$8*0.7,0)</f>
        <v>10803.5985543845</v>
      </c>
      <c r="I17" s="91" t="n">
        <f aca="false">IF(G17&gt;0,MIN(G17,H17),0)</f>
        <v>10803.5985543845</v>
      </c>
      <c r="J17" s="91" t="n">
        <f aca="false">IF(I17*$P$9&gt;$P$10,(I17*$P$9-$P$10)*$P$7,0)</f>
        <v>1730.86438310324</v>
      </c>
      <c r="K17" s="110" t="n">
        <f aca="false">K16+I17</f>
        <v>85632.2153694889</v>
      </c>
    </row>
    <row r="18" customFormat="false" ht="15" hidden="false" customHeight="false" outlineLevel="0" collapsed="false">
      <c r="A18" s="108" t="n">
        <v>16</v>
      </c>
      <c r="B18" s="109" t="n">
        <f aca="false">IF(Übersicht!$C$13&gt;=A18,-Übersicht!$C$6,IF(A18=Übersicht!$C$13+1,Übersicht!$G$9,0))</f>
        <v>-12000</v>
      </c>
      <c r="C18" s="91" t="n">
        <f aca="false">C17+E18</f>
        <v>280146.402237408</v>
      </c>
      <c r="D18" s="91" t="n">
        <f aca="false">F17</f>
        <v>653663.105811498</v>
      </c>
      <c r="E18" s="91" t="n">
        <f aca="false">$P$4-J17</f>
        <v>10269.1356168968</v>
      </c>
      <c r="F18" s="91" t="n">
        <f aca="false">IF(ISNUMBER(Übersicht!C33),(D18+E18)*(1+Übersicht!C33),(D18+E18)*(1+$P$5))</f>
        <v>717046.820742667</v>
      </c>
      <c r="G18" s="91" t="n">
        <f aca="false">F18-(E18+D18)</f>
        <v>53114.5793142717</v>
      </c>
      <c r="H18" s="91" t="n">
        <f aca="false">IF(G18&gt;0,(D18+E18)*$P$8*0.7,0)</f>
        <v>11851.1905094969</v>
      </c>
      <c r="I18" s="91" t="n">
        <f aca="false">IF(G18&gt;0,MIN(G18,H18),0)</f>
        <v>11851.1905094969</v>
      </c>
      <c r="J18" s="91" t="n">
        <f aca="false">IF(I18*$P$9&gt;$P$10,(I18*$P$9-$P$10)*$P$7,0)</f>
        <v>1924.27604781586</v>
      </c>
      <c r="K18" s="110" t="n">
        <f aca="false">K17+I18</f>
        <v>97483.4058789858</v>
      </c>
    </row>
    <row r="19" customFormat="false" ht="15" hidden="false" customHeight="false" outlineLevel="0" collapsed="false">
      <c r="A19" s="108" t="n">
        <v>17</v>
      </c>
      <c r="B19" s="109" t="n">
        <f aca="false">IF(Übersicht!$C$13&gt;=A19,-Übersicht!$C$6,IF(A19=Übersicht!$C$13+1,Übersicht!$G$9,0))</f>
        <v>-12000</v>
      </c>
      <c r="C19" s="91" t="n">
        <f aca="false">C18+E19</f>
        <v>290222.126189592</v>
      </c>
      <c r="D19" s="91" t="n">
        <f aca="false">F18</f>
        <v>717046.820742667</v>
      </c>
      <c r="E19" s="91" t="n">
        <f aca="false">$P$4-J18</f>
        <v>10075.7239521841</v>
      </c>
      <c r="F19" s="91" t="n">
        <f aca="false">IF(ISNUMBER(Übersicht!C34),(D19+E19)*(1+Übersicht!C34),(D19+E19)*(1+$P$5))</f>
        <v>785292.348270439</v>
      </c>
      <c r="G19" s="91" t="n">
        <f aca="false">F19-(E19+D19)</f>
        <v>58169.8035755882</v>
      </c>
      <c r="H19" s="91" t="n">
        <f aca="false">IF(G19&gt;0,(D19+E19)*$P$8*0.7,0)</f>
        <v>12979.1374228031</v>
      </c>
      <c r="I19" s="91" t="n">
        <f aca="false">IF(G19&gt;0,MIN(G19,H19),0)</f>
        <v>12979.1374228031</v>
      </c>
      <c r="J19" s="91" t="n">
        <f aca="false">IF(I19*$P$9&gt;$P$10,(I19*$P$9-$P$10)*$P$7,0)</f>
        <v>2132.52324668502</v>
      </c>
      <c r="K19" s="110" t="n">
        <f aca="false">K18+I19</f>
        <v>110462.543301789</v>
      </c>
    </row>
    <row r="20" customFormat="false" ht="15" hidden="false" customHeight="false" outlineLevel="0" collapsed="false">
      <c r="A20" s="108" t="n">
        <v>18</v>
      </c>
      <c r="B20" s="109" t="n">
        <f aca="false">IF(Übersicht!$C$13&gt;=A20,-Übersicht!$C$6,IF(A20=Übersicht!$C$13+1,Übersicht!$G$9,0))</f>
        <v>-12000</v>
      </c>
      <c r="C20" s="91" t="n">
        <f aca="false">C19+E20</f>
        <v>300089.602942907</v>
      </c>
      <c r="D20" s="91" t="n">
        <f aca="false">F19</f>
        <v>785292.348270439</v>
      </c>
      <c r="E20" s="91" t="n">
        <f aca="false">$P$4-J19</f>
        <v>9867.47675331498</v>
      </c>
      <c r="F20" s="91" t="n">
        <f aca="false">IF(ISNUMBER(Übersicht!C35),(D20+E20)*(1+Übersicht!C35),(D20+E20)*(1+$P$5))</f>
        <v>858772.611025655</v>
      </c>
      <c r="G20" s="91" t="n">
        <f aca="false">F20-(E20+D20)</f>
        <v>63612.7860019005</v>
      </c>
      <c r="H20" s="91" t="n">
        <f aca="false">IF(G20&gt;0,(D20+E20)*$P$8*0.7,0)</f>
        <v>14193.602876674</v>
      </c>
      <c r="I20" s="91" t="n">
        <f aca="false">IF(G20&gt;0,MIN(G20,H20),0)</f>
        <v>14193.602876674</v>
      </c>
      <c r="J20" s="91" t="n">
        <f aca="false">IF(I20*$P$9&gt;$P$10,(I20*$P$9-$P$10)*$P$7,0)</f>
        <v>2356.74393110594</v>
      </c>
      <c r="K20" s="110" t="n">
        <f aca="false">K19+I20</f>
        <v>124656.146178463</v>
      </c>
    </row>
    <row r="21" customFormat="false" ht="15" hidden="false" customHeight="false" outlineLevel="0" collapsed="false">
      <c r="A21" s="108" t="n">
        <v>19</v>
      </c>
      <c r="B21" s="109" t="n">
        <f aca="false">IF(Übersicht!$C$13&gt;=A21,-Übersicht!$C$6,IF(A21=Übersicht!$C$13+1,Übersicht!$G$9,0))</f>
        <v>-12000</v>
      </c>
      <c r="C21" s="91" t="n">
        <f aca="false">C20+E21</f>
        <v>309732.859011801</v>
      </c>
      <c r="D21" s="91" t="n">
        <f aca="false">F20</f>
        <v>858772.611025655</v>
      </c>
      <c r="E21" s="91" t="n">
        <f aca="false">$P$4-J20</f>
        <v>9643.25606889406</v>
      </c>
      <c r="F21" s="91" t="n">
        <f aca="false">IF(ISNUMBER(Übersicht!C36),(D21+E21)*(1+Übersicht!C36),(D21+E21)*(1+$P$5))</f>
        <v>937889.136462113</v>
      </c>
      <c r="G21" s="91" t="n">
        <f aca="false">F21-(E21+D21)</f>
        <v>69473.269367564</v>
      </c>
      <c r="H21" s="91" t="n">
        <f aca="false">IF(G21&gt;0,(D21+E21)*$P$8*0.7,0)</f>
        <v>15501.2232276377</v>
      </c>
      <c r="I21" s="91" t="n">
        <f aca="false">IF(G21&gt;0,MIN(G21,H21),0)</f>
        <v>15501.2232276377</v>
      </c>
      <c r="J21" s="91" t="n">
        <f aca="false">IF(I21*$P$9&gt;$P$10,(I21*$P$9-$P$10)*$P$7,0)</f>
        <v>2598.16333840261</v>
      </c>
      <c r="K21" s="110" t="n">
        <f aca="false">K20+I21</f>
        <v>140157.369406101</v>
      </c>
    </row>
    <row r="22" customFormat="false" ht="15" hidden="false" customHeight="false" outlineLevel="0" collapsed="false">
      <c r="A22" s="108" t="n">
        <v>20</v>
      </c>
      <c r="B22" s="109" t="n">
        <f aca="false">IF(Übersicht!$C$13&gt;=A22,-Übersicht!$C$6,IF(A22=Übersicht!$C$13+1,Übersicht!$G$9,0))</f>
        <v>-12000</v>
      </c>
      <c r="C22" s="91" t="n">
        <f aca="false">C21+E22</f>
        <v>319134.695673399</v>
      </c>
      <c r="D22" s="91" t="n">
        <f aca="false">F21</f>
        <v>937889.136462113</v>
      </c>
      <c r="E22" s="91" t="n">
        <f aca="false">$P$4-J21</f>
        <v>9401.83666159739</v>
      </c>
      <c r="F22" s="91" t="n">
        <f aca="false">IF(ISNUMBER(Übersicht!C37),(D22+E22)*(1+Übersicht!C37),(D22+E22)*(1+$P$5))</f>
        <v>1023074.25097361</v>
      </c>
      <c r="G22" s="91" t="n">
        <f aca="false">F22-(E22+D22)</f>
        <v>75783.2778498968</v>
      </c>
      <c r="H22" s="91" t="n">
        <f aca="false">IF(G22&gt;0,(D22+E22)*$P$8*0.7,0)</f>
        <v>16909.1438702582</v>
      </c>
      <c r="I22" s="91" t="n">
        <f aca="false">IF(G22&gt;0,MIN(G22,H22),0)</f>
        <v>16909.1438702582</v>
      </c>
      <c r="J22" s="91" t="n">
        <f aca="false">IF(I22*$P$9&gt;$P$10,(I22*$P$9-$P$10)*$P$7,0)</f>
        <v>2858.10068704642</v>
      </c>
      <c r="K22" s="110" t="n">
        <f aca="false">K21+I22</f>
        <v>157066.513276359</v>
      </c>
    </row>
    <row r="23" customFormat="false" ht="15" hidden="false" customHeight="false" outlineLevel="0" collapsed="false">
      <c r="A23" s="108" t="n">
        <v>21</v>
      </c>
      <c r="B23" s="109" t="n">
        <f aca="false">IF(Übersicht!$C$13&gt;=A23,-Übersicht!$C$6,IF(A23=Übersicht!$C$13+1,Übersicht!$G$9,0))</f>
        <v>-12000</v>
      </c>
      <c r="C23" s="91" t="n">
        <f aca="false">C22+E23</f>
        <v>328276.594986352</v>
      </c>
      <c r="D23" s="91" t="n">
        <f aca="false">F22</f>
        <v>1023074.25097361</v>
      </c>
      <c r="E23" s="91" t="n">
        <f aca="false">$P$4-J22</f>
        <v>9141.89931295358</v>
      </c>
      <c r="F23" s="91" t="n">
        <f aca="false">IF(ISNUMBER(Übersicht!E18),(D23+E23)*(1+Übersicht!E18),(D23+E23)*(1+$P$5))</f>
        <v>1114793.44230949</v>
      </c>
      <c r="G23" s="91" t="n">
        <f aca="false">F23-(E23+D23)</f>
        <v>82577.2920229249</v>
      </c>
      <c r="H23" s="91" t="n">
        <f aca="false">IF(G23&gt;0,(D23+E23)*$P$8*0.7,0)</f>
        <v>18425.0582826151</v>
      </c>
      <c r="I23" s="91" t="n">
        <f aca="false">IF(G23&gt;0,MIN(G23,H23),0)</f>
        <v>18425.0582826151</v>
      </c>
      <c r="J23" s="91" t="n">
        <f aca="false">IF(I23*$P$9&gt;$P$10,(I23*$P$9-$P$10)*$P$7,0)</f>
        <v>3137.97638542781</v>
      </c>
      <c r="K23" s="110" t="n">
        <f aca="false">K22+I23</f>
        <v>175491.571558974</v>
      </c>
    </row>
    <row r="24" customFormat="false" ht="15" hidden="false" customHeight="false" outlineLevel="0" collapsed="false">
      <c r="A24" s="108" t="n">
        <v>22</v>
      </c>
      <c r="B24" s="109" t="n">
        <f aca="false">IF(Übersicht!$C$13&gt;=A24,-Übersicht!$C$6,IF(A24=Übersicht!$C$13+1,Übersicht!$G$9,0))</f>
        <v>-12000</v>
      </c>
      <c r="C24" s="91" t="n">
        <f aca="false">C23+E24</f>
        <v>337138.618600924</v>
      </c>
      <c r="D24" s="91" t="n">
        <f aca="false">F23</f>
        <v>1114793.44230949</v>
      </c>
      <c r="E24" s="91" t="n">
        <f aca="false">$P$4-J23</f>
        <v>8862.02361457219</v>
      </c>
      <c r="F24" s="91" t="n">
        <f aca="false">IF(ISNUMBER(Übersicht!E19),(D24+E24)*(1+Übersicht!E19),(D24+E24)*(1+$P$5))</f>
        <v>1213547.90319798</v>
      </c>
      <c r="G24" s="91" t="n">
        <f aca="false">F24-(E24+D24)</f>
        <v>89892.4372739247</v>
      </c>
      <c r="H24" s="91" t="n">
        <f aca="false">IF(G24&gt;0,(D24+E24)*$P$8*0.7,0)</f>
        <v>20057.2500667444</v>
      </c>
      <c r="I24" s="91" t="n">
        <f aca="false">IF(G24&gt;0,MIN(G24,H24),0)</f>
        <v>20057.2500667444</v>
      </c>
      <c r="J24" s="91" t="n">
        <f aca="false">IF(I24*$P$9&gt;$P$10,(I24*$P$9-$P$10)*$P$7,0)</f>
        <v>3439.31979357269</v>
      </c>
      <c r="K24" s="110" t="n">
        <f aca="false">K23+I24</f>
        <v>195548.821625718</v>
      </c>
    </row>
    <row r="25" customFormat="false" ht="15" hidden="false" customHeight="false" outlineLevel="0" collapsed="false">
      <c r="A25" s="108" t="n">
        <v>23</v>
      </c>
      <c r="B25" s="109" t="n">
        <f aca="false">IF(Übersicht!$C$13&gt;=A25,-Übersicht!$C$6,IF(A25=Übersicht!$C$13+1,Übersicht!$G$9,0))</f>
        <v>-12000</v>
      </c>
      <c r="C25" s="91" t="n">
        <f aca="false">C24+E25</f>
        <v>345699.298807352</v>
      </c>
      <c r="D25" s="91" t="n">
        <f aca="false">F24</f>
        <v>1213547.90319798</v>
      </c>
      <c r="E25" s="91" t="n">
        <f aca="false">$P$4-J24</f>
        <v>8560.68020642731</v>
      </c>
      <c r="F25" s="91" t="n">
        <f aca="false">IF(ISNUMBER(Übersicht!E20),(D25+E25)*(1+Übersicht!E20),(D25+E25)*(1+$P$5))</f>
        <v>1319877.27007676</v>
      </c>
      <c r="G25" s="91" t="n">
        <f aca="false">F25-(E25+D25)</f>
        <v>97768.686672353</v>
      </c>
      <c r="H25" s="91" t="n">
        <f aca="false">IF(G25&gt;0,(D25+E25)*$P$8*0.7,0)</f>
        <v>21814.6382137687</v>
      </c>
      <c r="I25" s="91" t="n">
        <f aca="false">IF(G25&gt;0,MIN(G25,H25),0)</f>
        <v>21814.6382137687</v>
      </c>
      <c r="J25" s="91" t="n">
        <f aca="false">IF(I25*$P$9&gt;$P$10,(I25*$P$9-$P$10)*$P$7,0)</f>
        <v>3763.77758021705</v>
      </c>
      <c r="K25" s="110" t="n">
        <f aca="false">K24+I25</f>
        <v>217363.459839487</v>
      </c>
    </row>
    <row r="26" customFormat="false" ht="15" hidden="false" customHeight="false" outlineLevel="0" collapsed="false">
      <c r="A26" s="108" t="n">
        <v>24</v>
      </c>
      <c r="B26" s="109" t="n">
        <f aca="false">IF(Übersicht!$C$13&gt;=A26,-Übersicht!$C$6,IF(A26=Übersicht!$C$13+1,Übersicht!$G$9,0))</f>
        <v>-12000</v>
      </c>
      <c r="C26" s="91" t="n">
        <f aca="false">C25+E26</f>
        <v>353935.521227135</v>
      </c>
      <c r="D26" s="91" t="n">
        <f aca="false">F25</f>
        <v>1319877.27007676</v>
      </c>
      <c r="E26" s="91" t="n">
        <f aca="false">$P$4-J25</f>
        <v>8236.22241978295</v>
      </c>
      <c r="F26" s="91" t="n">
        <f aca="false">IF(ISNUMBER(Übersicht!E21),(D26+E26)*(1+Übersicht!E21),(D26+E26)*(1+$P$5))</f>
        <v>1434362.57189627</v>
      </c>
      <c r="G26" s="91" t="n">
        <f aca="false">F26-(E26+D26)</f>
        <v>106249.079399724</v>
      </c>
      <c r="H26" s="91" t="n">
        <f aca="false">IF(G26&gt;0,(D26+E26)*$P$8*0.7,0)</f>
        <v>23706.8258410633</v>
      </c>
      <c r="I26" s="91" t="n">
        <f aca="false">IF(G26&gt;0,MIN(G26,H26),0)</f>
        <v>23706.8258410633</v>
      </c>
      <c r="J26" s="91" t="n">
        <f aca="false">IF(I26*$P$9&gt;$P$10,(I26*$P$9-$P$10)*$P$7,0)</f>
        <v>4113.12272090632</v>
      </c>
      <c r="K26" s="110" t="n">
        <f aca="false">K25+I26</f>
        <v>241070.28568055</v>
      </c>
    </row>
    <row r="27" customFormat="false" ht="15" hidden="false" customHeight="false" outlineLevel="0" collapsed="false">
      <c r="A27" s="108" t="n">
        <v>25</v>
      </c>
      <c r="B27" s="109" t="n">
        <f aca="false">IF(Übersicht!$C$13&gt;=A27,-Übersicht!$C$6,IF(A27=Übersicht!$C$13+1,Übersicht!$G$9,0))</f>
        <v>-12000</v>
      </c>
      <c r="C27" s="91" t="n">
        <f aca="false">C26+E27</f>
        <v>361822.398506228</v>
      </c>
      <c r="D27" s="91" t="n">
        <f aca="false">F26</f>
        <v>1434362.57189627</v>
      </c>
      <c r="E27" s="91" t="n">
        <f aca="false">$P$4-J26</f>
        <v>7886.87727909368</v>
      </c>
      <c r="F27" s="91" t="n">
        <f aca="false">IF(ISNUMBER(Übersicht!E22),(D27+E27)*(1+Übersicht!E22),(D27+E27)*(1+$P$5))</f>
        <v>1557629.40510939</v>
      </c>
      <c r="G27" s="91" t="n">
        <f aca="false">F27-(E27+D27)</f>
        <v>115379.955934029</v>
      </c>
      <c r="H27" s="91" t="n">
        <f aca="false">IF(G27&gt;0,(D27+E27)*$P$8*0.7,0)</f>
        <v>25744.1526677802</v>
      </c>
      <c r="I27" s="91" t="n">
        <f aca="false">IF(G27&gt;0,MIN(G27,H27),0)</f>
        <v>25744.1526677802</v>
      </c>
      <c r="J27" s="91" t="n">
        <f aca="false">IF(I27*$P$9&gt;$P$10,(I27*$P$9-$P$10)*$P$7,0)</f>
        <v>4489.26418628892</v>
      </c>
      <c r="K27" s="110" t="n">
        <f aca="false">K26+I27</f>
        <v>266814.438348331</v>
      </c>
    </row>
    <row r="28" customFormat="false" ht="15" hidden="false" customHeight="false" outlineLevel="0" collapsed="false">
      <c r="A28" s="108" t="n">
        <v>26</v>
      </c>
      <c r="B28" s="109" t="n">
        <f aca="false">IF(Übersicht!$C$13&gt;=A28,-Übersicht!$C$6,IF(A28=Übersicht!$C$13+1,Übersicht!$G$9,0))</f>
        <v>-12000</v>
      </c>
      <c r="C28" s="91" t="n">
        <f aca="false">C27+E28</f>
        <v>369333.134319939</v>
      </c>
      <c r="D28" s="91" t="n">
        <f aca="false">F27</f>
        <v>1557629.40510939</v>
      </c>
      <c r="E28" s="91" t="n">
        <f aca="false">$P$4-J27</f>
        <v>7510.73581371108</v>
      </c>
      <c r="F28" s="91" t="n">
        <f aca="false">IF(ISNUMBER(Übersicht!E23),(D28+E28)*(1+Übersicht!E23),(D28+E28)*(1+$P$5))</f>
        <v>1690351.35219695</v>
      </c>
      <c r="G28" s="91" t="n">
        <f aca="false">F28-(E28+D28)</f>
        <v>125211.211273848</v>
      </c>
      <c r="H28" s="91" t="n">
        <f aca="false">IF(G28&gt;0,(D28+E28)*$P$8*0.7,0)</f>
        <v>27937.7515154774</v>
      </c>
      <c r="I28" s="91" t="n">
        <f aca="false">IF(G28&gt;0,MIN(G28,H28),0)</f>
        <v>27937.7515154774</v>
      </c>
      <c r="J28" s="91" t="n">
        <f aca="false">IF(I28*$P$9&gt;$P$10,(I28*$P$9-$P$10)*$P$7,0)</f>
        <v>4894.25737354501</v>
      </c>
      <c r="K28" s="110" t="n">
        <f aca="false">K27+I28</f>
        <v>294752.189863808</v>
      </c>
    </row>
    <row r="29" customFormat="false" ht="15" hidden="false" customHeight="false" outlineLevel="0" collapsed="false">
      <c r="A29" s="108" t="n">
        <v>27</v>
      </c>
      <c r="B29" s="109" t="n">
        <f aca="false">IF(Übersicht!$C$13&gt;=A29,-Übersicht!$C$6,IF(A29=Übersicht!$C$13+1,Übersicht!$G$9,0))</f>
        <v>-12000</v>
      </c>
      <c r="C29" s="91" t="n">
        <f aca="false">C28+E29</f>
        <v>376438.876946394</v>
      </c>
      <c r="D29" s="91" t="n">
        <f aca="false">F28</f>
        <v>1690351.35219695</v>
      </c>
      <c r="E29" s="91" t="n">
        <f aca="false">$P$4-J28</f>
        <v>7105.74262645499</v>
      </c>
      <c r="F29" s="91" t="n">
        <f aca="false">IF(ISNUMBER(Übersicht!E24),(D29+E29)*(1+Übersicht!E24),(D29+E29)*(1+$P$5))</f>
        <v>1833253.66240928</v>
      </c>
      <c r="G29" s="91" t="n">
        <f aca="false">F29-(E29+D29)</f>
        <v>135796.567585873</v>
      </c>
      <c r="H29" s="91" t="n">
        <f aca="false">IF(G29&gt;0,(D29+E29)*$P$8*0.7,0)</f>
        <v>30299.6091425978</v>
      </c>
      <c r="I29" s="91" t="n">
        <f aca="false">IF(G29&gt;0,MIN(G29,H29),0)</f>
        <v>30299.6091425978</v>
      </c>
      <c r="J29" s="91" t="n">
        <f aca="false">IF(I29*$P$9&gt;$P$10,(I29*$P$9-$P$10)*$P$7,0)</f>
        <v>5330.31533795212</v>
      </c>
      <c r="K29" s="110" t="n">
        <f aca="false">K28+I29</f>
        <v>325051.799006406</v>
      </c>
    </row>
    <row r="30" customFormat="false" ht="15" hidden="false" customHeight="false" outlineLevel="0" collapsed="false">
      <c r="A30" s="108" t="n">
        <v>28</v>
      </c>
      <c r="B30" s="109" t="n">
        <f aca="false">IF(Übersicht!$C$13&gt;=A30,-Übersicht!$C$6,IF(A30=Übersicht!$C$13+1,Übersicht!$G$9,0))</f>
        <v>-12000</v>
      </c>
      <c r="C30" s="91" t="n">
        <f aca="false">C29+E30</f>
        <v>383108.561608442</v>
      </c>
      <c r="D30" s="91" t="n">
        <f aca="false">F29</f>
        <v>1833253.66240928</v>
      </c>
      <c r="E30" s="91" t="n">
        <f aca="false">$P$4-J29</f>
        <v>6669.68466204788</v>
      </c>
      <c r="F30" s="91" t="n">
        <f aca="false">IF(ISNUMBER(Übersicht!E25),(D30+E30)*(1+Übersicht!E25),(D30+E30)*(1+$P$5))</f>
        <v>1987117.21483703</v>
      </c>
      <c r="G30" s="91" t="n">
        <f aca="false">F30-(E30+D30)</f>
        <v>147193.867765706</v>
      </c>
      <c r="H30" s="91" t="n">
        <f aca="false">IF(G30&gt;0,(D30+E30)*$P$8*0.7,0)</f>
        <v>32842.6317452232</v>
      </c>
      <c r="I30" s="91" t="n">
        <f aca="false">IF(G30&gt;0,MIN(G30,H30),0)</f>
        <v>32842.6317452232</v>
      </c>
      <c r="J30" s="91" t="n">
        <f aca="false">IF(I30*$P$9&gt;$P$10,(I30*$P$9-$P$10)*$P$7,0)</f>
        <v>5799.82088596183</v>
      </c>
      <c r="K30" s="110" t="n">
        <f aca="false">K29+I30</f>
        <v>357894.430751629</v>
      </c>
    </row>
    <row r="31" customFormat="false" ht="15" hidden="false" customHeight="false" outlineLevel="0" collapsed="false">
      <c r="A31" s="108" t="n">
        <v>29</v>
      </c>
      <c r="B31" s="109" t="n">
        <f aca="false">IF(Übersicht!$C$13&gt;=A31,-Übersicht!$C$6,IF(A31=Übersicht!$C$13+1,Übersicht!$G$9,0))</f>
        <v>-12000</v>
      </c>
      <c r="C31" s="91" t="n">
        <f aca="false">C30+E31</f>
        <v>389308.740722481</v>
      </c>
      <c r="D31" s="91" t="n">
        <f aca="false">F30</f>
        <v>1987117.21483703</v>
      </c>
      <c r="E31" s="91" t="n">
        <f aca="false">$P$4-J30</f>
        <v>6200.17911403817</v>
      </c>
      <c r="F31" s="91" t="n">
        <f aca="false">IF(ISNUMBER(Übersicht!E26),(D31+E31)*(1+Übersicht!E26),(D31+E31)*(1+$P$5))</f>
        <v>2152782.78546716</v>
      </c>
      <c r="G31" s="91" t="n">
        <f aca="false">F31-(E31+D31)</f>
        <v>159465.391516086</v>
      </c>
      <c r="H31" s="91" t="n">
        <f aca="false">IF(G31&gt;0,(D31+E31)*$P$8*0.7,0)</f>
        <v>35580.7154820266</v>
      </c>
      <c r="I31" s="91" t="n">
        <f aca="false">IF(G31&gt;0,MIN(G31,H31),0)</f>
        <v>35580.7154820266</v>
      </c>
      <c r="J31" s="91" t="n">
        <f aca="false">IF(I31*$P$9&gt;$P$10,(I31*$P$9-$P$10)*$P$7,0)</f>
        <v>6305.33959586916</v>
      </c>
      <c r="K31" s="110" t="n">
        <f aca="false">K30+I31</f>
        <v>393475.146233656</v>
      </c>
    </row>
    <row r="32" customFormat="false" ht="15" hidden="false" customHeight="false" outlineLevel="0" collapsed="false">
      <c r="A32" s="108" t="n">
        <v>30</v>
      </c>
      <c r="B32" s="109" t="n">
        <f aca="false">IF(Übersicht!$C$13&gt;=A32,-Übersicht!$C$6,IF(A32=Übersicht!$C$13+1,Übersicht!$G$9,0))</f>
        <v>-12000</v>
      </c>
      <c r="C32" s="91" t="n">
        <f aca="false">C31+E32</f>
        <v>395003.401126611</v>
      </c>
      <c r="D32" s="91" t="n">
        <f aca="false">F31</f>
        <v>2152782.78546716</v>
      </c>
      <c r="E32" s="91" t="n">
        <f aca="false">$P$4-J31</f>
        <v>5694.66040413084</v>
      </c>
      <c r="F32" s="91" t="n">
        <f aca="false">IF(ISNUMBER(Übersicht!E27),(D32+E32)*(1+Übersicht!E27),(D32+E32)*(1+$P$5))</f>
        <v>2331155.64154099</v>
      </c>
      <c r="G32" s="91" t="n">
        <f aca="false">F32-(E32+D32)</f>
        <v>172678.195669703</v>
      </c>
      <c r="H32" s="91" t="n">
        <f aca="false">IF(G32&gt;0,(D32+E32)*$P$8*0.7,0)</f>
        <v>38528.8224088025</v>
      </c>
      <c r="I32" s="91" t="n">
        <f aca="false">IF(G32&gt;0,MIN(G32,H32),0)</f>
        <v>38528.8224088025</v>
      </c>
      <c r="J32" s="91" t="n">
        <f aca="false">IF(I32*$P$9&gt;$P$10,(I32*$P$9-$P$10)*$P$7,0)</f>
        <v>6849.63383722516</v>
      </c>
      <c r="K32" s="110" t="n">
        <f aca="false">K31+I32</f>
        <v>432003.968642458</v>
      </c>
    </row>
    <row r="33" customFormat="false" ht="15" hidden="false" customHeight="false" outlineLevel="0" collapsed="false">
      <c r="A33" s="108" t="n">
        <v>31</v>
      </c>
      <c r="B33" s="109" t="n">
        <f aca="false">IF(Übersicht!$C$13&gt;=A33,-Übersicht!$C$6,IF(A33=Übersicht!$C$13+1,Übersicht!$G$9,0))</f>
        <v>2046602.63302787</v>
      </c>
      <c r="C33" s="91" t="n">
        <f aca="false">C32+E33</f>
        <v>400153.767289386</v>
      </c>
      <c r="D33" s="91" t="n">
        <f aca="false">F32</f>
        <v>2331155.64154099</v>
      </c>
      <c r="E33" s="91" t="n">
        <f aca="false">$P$4-J32</f>
        <v>5150.36616277484</v>
      </c>
      <c r="F33" s="91" t="n">
        <f aca="false">IF(ISNUMBER(Übersicht!E28),(D33+E33)*(1+Übersicht!E28),(D33+E33)*(1+$P$5))</f>
        <v>2523210.48832007</v>
      </c>
      <c r="G33" s="91" t="n">
        <f aca="false">F33-(E33+D33)</f>
        <v>186904.480616301</v>
      </c>
      <c r="H33" s="91" t="n">
        <f aca="false">IF(G33&gt;0,(D33+E33)*$P$8*0.7,0)</f>
        <v>41703.0622375122</v>
      </c>
      <c r="I33" s="91" t="n">
        <f aca="false">IF(G33&gt;0,MIN(G33,H33),0)</f>
        <v>41703.0622375122</v>
      </c>
      <c r="J33" s="91" t="n">
        <f aca="false">IF(I33*$P$9&gt;$P$10,(I33*$P$9-$P$10)*$P$7,0)</f>
        <v>7435.67786560069</v>
      </c>
      <c r="K33" s="110" t="n">
        <f aca="false">K32+I33</f>
        <v>473707.03087997</v>
      </c>
    </row>
    <row r="34" customFormat="false" ht="15" hidden="false" customHeight="false" outlineLevel="0" collapsed="false">
      <c r="A34" s="108" t="n">
        <v>32</v>
      </c>
      <c r="B34" s="109" t="n">
        <f aca="false">IF(Übersicht!$C$13&gt;=A34,-Übersicht!$C$6,IF(A34=Übersicht!$C$13+1,Übersicht!$G$9,0))</f>
        <v>0</v>
      </c>
      <c r="C34" s="91" t="n">
        <f aca="false">C33+E34</f>
        <v>404718.089423786</v>
      </c>
      <c r="D34" s="91" t="n">
        <f aca="false">F33</f>
        <v>2523210.48832007</v>
      </c>
      <c r="E34" s="91" t="n">
        <f aca="false">$P$4-J33</f>
        <v>4564.32213439931</v>
      </c>
      <c r="F34" s="91" t="n">
        <f aca="false">IF(ISNUMBER(Übersicht!E29),(D34+E34)*(1+Übersicht!E29),(D34+E34)*(1+$P$5))</f>
        <v>2729996.79529082</v>
      </c>
      <c r="G34" s="91" t="n">
        <f aca="false">F34-(E34+D34)</f>
        <v>202221.984836358</v>
      </c>
      <c r="H34" s="91" t="n">
        <f aca="false">IF(G34&gt;0,(D34+E34)*$P$8*0.7,0)</f>
        <v>45120.7803666122</v>
      </c>
      <c r="I34" s="91" t="n">
        <f aca="false">IF(G34&gt;0,MIN(G34,H34),0)</f>
        <v>45120.7803666122</v>
      </c>
      <c r="J34" s="91" t="n">
        <f aca="false">IF(I34*$P$9&gt;$P$10,(I34*$P$9-$P$10)*$P$7,0)</f>
        <v>8066.67407518578</v>
      </c>
      <c r="K34" s="110" t="n">
        <f aca="false">K33+I34</f>
        <v>518827.811246583</v>
      </c>
    </row>
    <row r="35" customFormat="false" ht="15" hidden="false" customHeight="false" outlineLevel="0" collapsed="false">
      <c r="A35" s="108" t="n">
        <v>33</v>
      </c>
      <c r="B35" s="109" t="n">
        <f aca="false">IF(Übersicht!$C$13&gt;=A35,-Übersicht!$C$6,IF(A35=Übersicht!$C$13+1,Übersicht!$G$9,0))</f>
        <v>0</v>
      </c>
      <c r="C35" s="91" t="n">
        <f aca="false">C34+E35</f>
        <v>408651.4153486</v>
      </c>
      <c r="D35" s="91" t="n">
        <f aca="false">F34</f>
        <v>2729996.79529082</v>
      </c>
      <c r="E35" s="91" t="n">
        <f aca="false">$P$4-J34</f>
        <v>3933.32592481422</v>
      </c>
      <c r="F35" s="91" t="n">
        <f aca="false">IF(ISNUMBER(Übersicht!E30),(D35+E35)*(1+Übersicht!E30),(D35+E35)*(1+$P$5))</f>
        <v>2952644.53091289</v>
      </c>
      <c r="G35" s="91" t="n">
        <f aca="false">F35-(E35+D35)</f>
        <v>218714.409697251</v>
      </c>
      <c r="H35" s="91" t="n">
        <f aca="false">IF(G35&gt;0,(D35+E35)*$P$8*0.7,0)</f>
        <v>48800.6526636991</v>
      </c>
      <c r="I35" s="91" t="n">
        <f aca="false">IF(G35&gt;0,MIN(G35,H35),0)</f>
        <v>48800.6526636991</v>
      </c>
      <c r="J35" s="91" t="n">
        <f aca="false">IF(I35*$P$9&gt;$P$10,(I35*$P$9-$P$10)*$P$7,0)</f>
        <v>8746.07049803545</v>
      </c>
      <c r="K35" s="110" t="n">
        <f aca="false">K34+I35</f>
        <v>567628.463910282</v>
      </c>
    </row>
    <row r="36" customFormat="false" ht="15" hidden="false" customHeight="false" outlineLevel="0" collapsed="false">
      <c r="A36" s="108" t="n">
        <v>34</v>
      </c>
      <c r="B36" s="109" t="n">
        <f aca="false">IF(Übersicht!$C$13&gt;=A36,-Übersicht!$C$6,IF(A36=Übersicht!$C$13+1,Übersicht!$G$9,0))</f>
        <v>0</v>
      </c>
      <c r="C36" s="91" t="n">
        <f aca="false">C35+E36</f>
        <v>411905.344850564</v>
      </c>
      <c r="D36" s="91" t="n">
        <f aca="false">F35</f>
        <v>2952644.53091289</v>
      </c>
      <c r="E36" s="91" t="n">
        <f aca="false">$P$4-J35</f>
        <v>3253.92950196455</v>
      </c>
      <c r="F36" s="91" t="n">
        <f aca="false">IF(ISNUMBER(Übersicht!E31),(D36+E36)*(1+Übersicht!E31),(D36+E36)*(1+$P$5))</f>
        <v>3192370.33724804</v>
      </c>
      <c r="G36" s="91" t="n">
        <f aca="false">F36-(E36+D36)</f>
        <v>236471.876833188</v>
      </c>
      <c r="H36" s="91" t="n">
        <f aca="false">IF(G36&gt;0,(D36+E36)*$P$8*0.7,0)</f>
        <v>52762.7875184052</v>
      </c>
      <c r="I36" s="91" t="n">
        <f aca="false">IF(G36&gt;0,MIN(G36,H36),0)</f>
        <v>52762.7875184052</v>
      </c>
      <c r="J36" s="91" t="n">
        <f aca="false">IF(I36*$P$9&gt;$P$10,(I36*$P$9-$P$10)*$P$7,0)</f>
        <v>9477.57964558555</v>
      </c>
      <c r="K36" s="110" t="n">
        <f aca="false">K35+I36</f>
        <v>620391.251428687</v>
      </c>
    </row>
    <row r="37" customFormat="false" ht="15" hidden="false" customHeight="false" outlineLevel="0" collapsed="false">
      <c r="A37" s="108" t="n">
        <v>35</v>
      </c>
      <c r="B37" s="109" t="n">
        <f aca="false">IF(Übersicht!$C$13&gt;=A37,-Übersicht!$C$6,IF(A37=Übersicht!$C$13+1,Übersicht!$G$9,0))</f>
        <v>0</v>
      </c>
      <c r="C37" s="91" t="n">
        <f aca="false">C36+E37</f>
        <v>414427.765204979</v>
      </c>
      <c r="D37" s="91" t="n">
        <f aca="false">F36</f>
        <v>3192370.33724804</v>
      </c>
      <c r="E37" s="91" t="n">
        <f aca="false">$P$4-J36</f>
        <v>2522.42035441445</v>
      </c>
      <c r="F37" s="91" t="n">
        <f aca="false">IF(ISNUMBER(Übersicht!E32),(D37+E37)*(1+Übersicht!E32),(D37+E37)*(1+$P$5))</f>
        <v>3450484.17821065</v>
      </c>
      <c r="G37" s="91" t="n">
        <f aca="false">F37-(E37+D37)</f>
        <v>255591.420608197</v>
      </c>
      <c r="H37" s="91" t="n">
        <f aca="false">IF(G37&gt;0,(D37+E37)*$P$8*0.7,0)</f>
        <v>57028.8357232039</v>
      </c>
      <c r="I37" s="91" t="n">
        <f aca="false">IF(G37&gt;0,MIN(G37,H37),0)</f>
        <v>57028.8357232039</v>
      </c>
      <c r="J37" s="91" t="n">
        <f aca="false">IF(I37*$P$9&gt;$P$10,(I37*$P$9-$P$10)*$P$7,0)</f>
        <v>10265.1987953965</v>
      </c>
      <c r="K37" s="110" t="n">
        <f aca="false">K36+I37</f>
        <v>677420.087151891</v>
      </c>
    </row>
    <row r="38" customFormat="false" ht="15" hidden="false" customHeight="false" outlineLevel="0" collapsed="false">
      <c r="A38" s="108" t="n">
        <v>36</v>
      </c>
      <c r="B38" s="109" t="n">
        <f aca="false">IF(Übersicht!$C$13&gt;=A38,-Übersicht!$C$6,IF(A38=Übersicht!$C$13+1,Übersicht!$G$9,0))</f>
        <v>0</v>
      </c>
      <c r="C38" s="91" t="n">
        <f aca="false">C37+E38</f>
        <v>416162.566409582</v>
      </c>
      <c r="D38" s="91" t="n">
        <f aca="false">F37</f>
        <v>3450484.17821065</v>
      </c>
      <c r="E38" s="91" t="n">
        <f aca="false">$P$4-J37</f>
        <v>1734.80120460349</v>
      </c>
      <c r="F38" s="91" t="n">
        <f aca="false">IF(ISNUMBER(Übersicht!E33),(D38+E38)*(1+Übersicht!E33),(D38+E38)*(1+$P$5))</f>
        <v>3728396.49776848</v>
      </c>
      <c r="G38" s="91" t="n">
        <f aca="false">F38-(E38+D38)</f>
        <v>276177.518353221</v>
      </c>
      <c r="H38" s="91" t="n">
        <f aca="false">IF(G38&gt;0,(D38+E38)*$P$8*0.7,0)</f>
        <v>61622.1087825623</v>
      </c>
      <c r="I38" s="91" t="n">
        <f aca="false">IF(G38&gt;0,MIN(G38,H38),0)</f>
        <v>61622.1087825623</v>
      </c>
      <c r="J38" s="91" t="n">
        <f aca="false">IF(I38*$P$9&gt;$P$10,(I38*$P$9-$P$10)*$P$7,0)</f>
        <v>11113.2318339806</v>
      </c>
      <c r="K38" s="110" t="n">
        <f aca="false">K37+I38</f>
        <v>739042.195934453</v>
      </c>
    </row>
    <row r="39" customFormat="false" ht="15" hidden="false" customHeight="false" outlineLevel="0" collapsed="false">
      <c r="A39" s="108" t="n">
        <v>37</v>
      </c>
      <c r="B39" s="109" t="n">
        <f aca="false">IF(Übersicht!$C$13&gt;=A39,-Übersicht!$C$6,IF(A39=Übersicht!$C$13+1,Übersicht!$G$9,0))</f>
        <v>0</v>
      </c>
      <c r="C39" s="91" t="n">
        <f aca="false">C38+E39</f>
        <v>417049.334575602</v>
      </c>
      <c r="D39" s="91" t="n">
        <f aca="false">F38</f>
        <v>3728396.49776848</v>
      </c>
      <c r="E39" s="91" t="n">
        <f aca="false">$P$4-J38</f>
        <v>886.76816601943</v>
      </c>
      <c r="F39" s="91" t="n">
        <f aca="false">IF(ISNUMBER(Übersicht!E34),(D39+E39)*(1+Übersicht!E34),(D39+E39)*(1+$P$5))</f>
        <v>4027625.92720926</v>
      </c>
      <c r="G39" s="91" t="n">
        <f aca="false">F39-(E39+D39)</f>
        <v>298342.66127476</v>
      </c>
      <c r="H39" s="91" t="n">
        <f aca="false">IF(G39&gt;0,(D39+E39)*$P$8*0.7,0)</f>
        <v>66567.7062969308</v>
      </c>
      <c r="I39" s="91" t="n">
        <f aca="false">IF(G39&gt;0,MIN(G39,H39),0)</f>
        <v>66567.7062969308</v>
      </c>
      <c r="J39" s="91" t="n">
        <f aca="false">IF(I39*$P$9&gt;$P$10,(I39*$P$9-$P$10)*$P$7,0)</f>
        <v>12026.3127750708</v>
      </c>
      <c r="K39" s="110" t="n">
        <f aca="false">K38+I39</f>
        <v>805609.902231384</v>
      </c>
    </row>
    <row r="40" customFormat="false" ht="15" hidden="false" customHeight="false" outlineLevel="0" collapsed="false">
      <c r="A40" s="108" t="n">
        <v>38</v>
      </c>
      <c r="B40" s="109" t="n">
        <f aca="false">IF(Übersicht!$C$13&gt;=A40,-Übersicht!$C$6,IF(A40=Übersicht!$C$13+1,Übersicht!$G$9,0))</f>
        <v>0</v>
      </c>
      <c r="C40" s="91" t="n">
        <f aca="false">C39+E40</f>
        <v>417023.021800531</v>
      </c>
      <c r="D40" s="91" t="n">
        <f aca="false">F39</f>
        <v>4027625.92720926</v>
      </c>
      <c r="E40" s="91" t="n">
        <f aca="false">$P$4-J39</f>
        <v>-26.3127750708445</v>
      </c>
      <c r="F40" s="91" t="n">
        <f aca="false">IF(ISNUMBER(Übersicht!E35),(D40+E40)*(1+Übersicht!E35),(D40+E40)*(1+$P$5))</f>
        <v>4349807.58358892</v>
      </c>
      <c r="G40" s="91" t="n">
        <f aca="false">F40-(E40+D40)</f>
        <v>322207.969154735</v>
      </c>
      <c r="H40" s="91" t="n">
        <f aca="false">IF(G40&gt;0,(D40+E40)*$P$8*0.7,0)</f>
        <v>71892.6531176502</v>
      </c>
      <c r="I40" s="91" t="n">
        <f aca="false">IF(G40&gt;0,MIN(G40,H40),0)</f>
        <v>71892.6531176502</v>
      </c>
      <c r="J40" s="91" t="n">
        <f aca="false">IF(I40*$P$9&gt;$P$10,(I40*$P$9-$P$10)*$P$7,0)</f>
        <v>13009.4310818462</v>
      </c>
      <c r="K40" s="110" t="n">
        <f aca="false">K39+I40</f>
        <v>877502.555349034</v>
      </c>
    </row>
    <row r="41" customFormat="false" ht="15" hidden="false" customHeight="false" outlineLevel="0" collapsed="false">
      <c r="A41" s="108" t="n">
        <v>39</v>
      </c>
      <c r="B41" s="109" t="n">
        <f aca="false">IF(Übersicht!$C$13&gt;=A41,-Übersicht!$C$6,IF(A41=Übersicht!$C$13+1,Übersicht!$G$9,0))</f>
        <v>0</v>
      </c>
      <c r="C41" s="91" t="n">
        <f aca="false">C40+E41</f>
        <v>416013.590718685</v>
      </c>
      <c r="D41" s="91" t="n">
        <f aca="false">F40</f>
        <v>4349807.58358892</v>
      </c>
      <c r="E41" s="91" t="n">
        <f aca="false">$P$4-J40</f>
        <v>-1009.43108184617</v>
      </c>
      <c r="F41" s="91" t="n">
        <f aca="false">IF(ISNUMBER(Übersicht!E36),(D41+E41)*(1+Übersicht!E36),(D41+E41)*(1+$P$5))</f>
        <v>4696702.00470764</v>
      </c>
      <c r="G41" s="91" t="n">
        <f aca="false">F41-(E41+D41)</f>
        <v>347903.852200567</v>
      </c>
      <c r="H41" s="91" t="n">
        <f aca="false">IF(G41&gt;0,(D41+E41)*$P$8*0.7,0)</f>
        <v>77626.0470222513</v>
      </c>
      <c r="I41" s="91" t="n">
        <f aca="false">IF(G41&gt;0,MIN(G41,H41),0)</f>
        <v>77626.0470222513</v>
      </c>
      <c r="J41" s="91" t="n">
        <f aca="false">IF(I41*$P$9&gt;$P$10,(I41*$P$9-$P$10)*$P$7,0)</f>
        <v>14067.9589314831</v>
      </c>
      <c r="K41" s="110" t="n">
        <f aca="false">K40+I41</f>
        <v>955128.602371285</v>
      </c>
    </row>
    <row r="42" customFormat="false" ht="15" hidden="false" customHeight="false" outlineLevel="0" collapsed="false">
      <c r="A42" s="108" t="n">
        <v>40</v>
      </c>
      <c r="B42" s="109" t="n">
        <f aca="false">IF(Übersicht!$C$13&gt;=A42,-Übersicht!$C$6,IF(A42=Übersicht!$C$13+1,Übersicht!$G$9,0))</f>
        <v>0</v>
      </c>
      <c r="C42" s="91" t="n">
        <f aca="false">C41+E42</f>
        <v>413945.631787201</v>
      </c>
      <c r="D42" s="91" t="n">
        <f aca="false">F41</f>
        <v>4696702.00470764</v>
      </c>
      <c r="E42" s="91" t="n">
        <f aca="false">$P$4-J41</f>
        <v>-2067.95893148314</v>
      </c>
      <c r="F42" s="91" t="n">
        <f aca="false">IF(ISNUMBER(Übersicht!E37),(D42+E42)*(1+Übersicht!E37),(D42+E42)*(1+$P$5))</f>
        <v>5070204.76943825</v>
      </c>
      <c r="G42" s="91" t="n">
        <f aca="false">F42-(E42+D42)</f>
        <v>375570.723662093</v>
      </c>
      <c r="H42" s="91" t="n">
        <f aca="false">IF(G42&gt;0,(D42+E42)*$P$8*0.7,0)</f>
        <v>83799.2177171044</v>
      </c>
      <c r="I42" s="91" t="n">
        <f aca="false">IF(G42&gt;0,MIN(G42,H42),0)</f>
        <v>83799.2177171044</v>
      </c>
      <c r="J42" s="91" t="n">
        <f aca="false">IF(I42*$P$9&gt;$P$10,(I42*$P$9-$P$10)*$P$7,0)</f>
        <v>15207.6805710204</v>
      </c>
      <c r="K42" s="110" t="n">
        <f aca="false">K41+I42</f>
        <v>1038927.82008839</v>
      </c>
    </row>
    <row r="43" customFormat="false" ht="15" hidden="false" customHeight="false" outlineLevel="0" collapsed="false">
      <c r="A43" s="108" t="n">
        <v>41</v>
      </c>
      <c r="B43" s="109" t="n">
        <f aca="false">IF(Übersicht!$C$13&gt;=A43,-Übersicht!$C$6,IF(A43=Übersicht!$C$13+1,Übersicht!$G$9,0))</f>
        <v>0</v>
      </c>
      <c r="C43" s="91" t="n">
        <f aca="false">C42+E43</f>
        <v>410737.951216181</v>
      </c>
      <c r="D43" s="91" t="n">
        <f aca="false">F42</f>
        <v>5070204.76943825</v>
      </c>
      <c r="E43" s="91" t="n">
        <f aca="false">$P$4-J42</f>
        <v>-3207.6805710204</v>
      </c>
      <c r="F43" s="91" t="n">
        <f aca="false">IF(ISNUMBER(Übersicht!G18),(D43+E43)*(1+Übersicht!G18),(D43+E43)*(1+$P$5))</f>
        <v>5472356.85597661</v>
      </c>
      <c r="G43" s="91" t="n">
        <f aca="false">F43-(E43+D43)</f>
        <v>405359.767109379</v>
      </c>
      <c r="H43" s="91" t="n">
        <f aca="false">IF(G43&gt;0,(D43+E43)*$P$8*0.7,0)</f>
        <v>90445.8980362801</v>
      </c>
      <c r="I43" s="91" t="n">
        <f aca="false">IF(G43&gt;0,MIN(G43,H43),0)</f>
        <v>90445.8980362801</v>
      </c>
      <c r="J43" s="91" t="n">
        <f aca="false">IF(I43*$P$9&gt;$P$10,(I43*$P$9-$P$10)*$P$7,0)</f>
        <v>16434.8239249482</v>
      </c>
      <c r="K43" s="110" t="n">
        <f aca="false">K42+I43</f>
        <v>1129373.71812467</v>
      </c>
    </row>
    <row r="44" customFormat="false" ht="15" hidden="false" customHeight="false" outlineLevel="0" collapsed="false">
      <c r="A44" s="108" t="n">
        <v>42</v>
      </c>
      <c r="B44" s="109" t="n">
        <f aca="false">IF(Übersicht!$C$13&gt;=A44,-Übersicht!$C$6,IF(A44=Übersicht!$C$13+1,Übersicht!$G$9,0))</f>
        <v>0</v>
      </c>
      <c r="C44" s="91" t="n">
        <f aca="false">C43+E44</f>
        <v>406303.127291233</v>
      </c>
      <c r="D44" s="91" t="n">
        <f aca="false">F43</f>
        <v>5472356.85597661</v>
      </c>
      <c r="E44" s="91" t="n">
        <f aca="false">$P$4-J43</f>
        <v>-4434.82392494821</v>
      </c>
      <c r="F44" s="91" t="n">
        <f aca="false">IF(ISNUMBER(Übersicht!G19),(D44+E44)*(1+Übersicht!G19),(D44+E44)*(1+$P$5))</f>
        <v>5905355.7946158</v>
      </c>
      <c r="G44" s="91" t="n">
        <f aca="false">F44-(E44+D44)</f>
        <v>437433.762564134</v>
      </c>
      <c r="H44" s="91" t="n">
        <f aca="false">IF(G44&gt;0,(D44+E44)*$P$8*0.7,0)</f>
        <v>97602.4082721222</v>
      </c>
      <c r="I44" s="91" t="n">
        <f aca="false">IF(G44&gt;0,MIN(G44,H44),0)</f>
        <v>97602.4082721222</v>
      </c>
      <c r="J44" s="91" t="n">
        <f aca="false">IF(I44*$P$9&gt;$P$10,(I44*$P$9-$P$10)*$P$7,0)</f>
        <v>17756.0946272406</v>
      </c>
      <c r="K44" s="110" t="n">
        <f aca="false">K43+I44</f>
        <v>1226976.12639679</v>
      </c>
    </row>
    <row r="45" customFormat="false" ht="15" hidden="false" customHeight="false" outlineLevel="0" collapsed="false">
      <c r="A45" s="108" t="n">
        <v>43</v>
      </c>
      <c r="B45" s="109" t="n">
        <f aca="false">IF(Übersicht!$C$13&gt;=A45,-Übersicht!$C$6,IF(A45=Übersicht!$C$13+1,Übersicht!$G$9,0))</f>
        <v>0</v>
      </c>
      <c r="C45" s="91" t="n">
        <f aca="false">C44+E45</f>
        <v>400547.032663992</v>
      </c>
      <c r="D45" s="91" t="n">
        <f aca="false">F44</f>
        <v>5905355.7946158</v>
      </c>
      <c r="E45" s="91" t="n">
        <f aca="false">$P$4-J44</f>
        <v>-5756.09462724056</v>
      </c>
      <c r="F45" s="91" t="n">
        <f aca="false">IF(ISNUMBER(Übersicht!G20),(D45+E45)*(1+Übersicht!G20),(D45+E45)*(1+$P$5))</f>
        <v>6371567.67598764</v>
      </c>
      <c r="G45" s="91" t="n">
        <f aca="false">F45-(E45+D45)</f>
        <v>471967.975999085</v>
      </c>
      <c r="H45" s="91" t="n">
        <f aca="false">IF(G45&gt;0,(D45+E45)*$P$8*0.7,0)</f>
        <v>105307.854644796</v>
      </c>
      <c r="I45" s="91" t="n">
        <f aca="false">IF(G45&gt;0,MIN(G45,H45),0)</f>
        <v>105307.854644796</v>
      </c>
      <c r="J45" s="91" t="n">
        <f aca="false">IF(I45*$P$9&gt;$P$10,(I45*$P$9-$P$10)*$P$7,0)</f>
        <v>19178.7126637954</v>
      </c>
      <c r="K45" s="110" t="n">
        <f aca="false">K44+I45</f>
        <v>1332283.98104159</v>
      </c>
    </row>
    <row r="46" customFormat="false" ht="15" hidden="false" customHeight="false" outlineLevel="0" collapsed="false">
      <c r="A46" s="108" t="n">
        <v>44</v>
      </c>
      <c r="B46" s="109" t="n">
        <f aca="false">IF(Übersicht!$C$13&gt;=A46,-Übersicht!$C$6,IF(A46=Übersicht!$C$13+1,Übersicht!$G$9,0))</f>
        <v>0</v>
      </c>
      <c r="C46" s="91" t="n">
        <f aca="false">C45+E46</f>
        <v>393368.320000197</v>
      </c>
      <c r="D46" s="91" t="n">
        <f aca="false">F45</f>
        <v>6371567.67598764</v>
      </c>
      <c r="E46" s="91" t="n">
        <f aca="false">$P$4-J45</f>
        <v>-7178.71266379541</v>
      </c>
      <c r="F46" s="91" t="n">
        <f aca="false">IF(ISNUMBER(Übersicht!G21),(D46+E46)*(1+Übersicht!G21),(D46+E46)*(1+$P$5))</f>
        <v>6873540.08038975</v>
      </c>
      <c r="G46" s="91" t="n">
        <f aca="false">F46-(E46+D46)</f>
        <v>509151.117065908</v>
      </c>
      <c r="H46" s="91" t="n">
        <f aca="false">IF(G46&gt;0,(D46+E46)*$P$8*0.7,0)</f>
        <v>113604.342995331</v>
      </c>
      <c r="I46" s="91" t="n">
        <f aca="false">IF(G46&gt;0,MIN(G46,H46),0)</f>
        <v>113604.342995331</v>
      </c>
      <c r="J46" s="91" t="n">
        <f aca="false">IF(I46*$P$9&gt;$P$10,(I46*$P$9-$P$10)*$P$7,0)</f>
        <v>20710.4518255129</v>
      </c>
      <c r="K46" s="110" t="n">
        <f aca="false">K45+I46</f>
        <v>1445888.32403692</v>
      </c>
    </row>
    <row r="47" customFormat="false" ht="15" hidden="false" customHeight="false" outlineLevel="0" collapsed="false">
      <c r="A47" s="108" t="n">
        <v>45</v>
      </c>
      <c r="B47" s="109" t="n">
        <f aca="false">IF(Übersicht!$C$13&gt;=A47,-Übersicht!$C$6,IF(A47=Übersicht!$C$13+1,Übersicht!$G$9,0))</f>
        <v>0</v>
      </c>
      <c r="C47" s="91" t="n">
        <f aca="false">C46+E47</f>
        <v>384657.868174684</v>
      </c>
      <c r="D47" s="91" t="n">
        <f aca="false">F46</f>
        <v>6873540.08038975</v>
      </c>
      <c r="E47" s="91" t="n">
        <f aca="false">$P$4-J46</f>
        <v>-8710.45182551292</v>
      </c>
      <c r="F47" s="91" t="n">
        <f aca="false">IF(ISNUMBER(Übersicht!G22),(D47+E47)*(1+Übersicht!G22),(D47+E47)*(1+$P$5))</f>
        <v>7414015.99884938</v>
      </c>
      <c r="G47" s="91" t="n">
        <f aca="false">F47-(E47+D47)</f>
        <v>549186.370285139</v>
      </c>
      <c r="H47" s="91" t="n">
        <f aca="false">IF(G47&gt;0,(D47+E47)*$P$8*0.7,0)</f>
        <v>122537.208869872</v>
      </c>
      <c r="I47" s="91" t="n">
        <f aca="false">IF(G47&gt;0,MIN(G47,H47),0)</f>
        <v>122537.208869872</v>
      </c>
      <c r="J47" s="91" t="n">
        <f aca="false">IF(I47*$P$9&gt;$P$10,(I47*$P$9-$P$10)*$P$7,0)</f>
        <v>22359.6821876001</v>
      </c>
      <c r="K47" s="110" t="n">
        <f aca="false">K46+I47</f>
        <v>1568425.53290679</v>
      </c>
    </row>
    <row r="48" customFormat="false" ht="15" hidden="false" customHeight="false" outlineLevel="0" collapsed="false">
      <c r="A48" s="108" t="n">
        <v>46</v>
      </c>
      <c r="B48" s="109" t="n">
        <f aca="false">IF(Übersicht!$C$13&gt;=A48,-Übersicht!$C$6,IF(A48=Übersicht!$C$13+1,Übersicht!$G$9,0))</f>
        <v>0</v>
      </c>
      <c r="C48" s="91" t="n">
        <f aca="false">C47+E48</f>
        <v>374298.185987084</v>
      </c>
      <c r="D48" s="91" t="n">
        <f aca="false">F47</f>
        <v>7414015.99884938</v>
      </c>
      <c r="E48" s="91" t="n">
        <f aca="false">$P$4-J47</f>
        <v>-10359.6821876001</v>
      </c>
      <c r="F48" s="91" t="n">
        <f aca="false">IF(ISNUMBER(Übersicht!G23),(D48+E48)*(1+Übersicht!G23),(D48+E48)*(1+$P$5))</f>
        <v>7995948.82199472</v>
      </c>
      <c r="G48" s="91" t="n">
        <f aca="false">F48-(E48+D48)</f>
        <v>592292.505332943</v>
      </c>
      <c r="H48" s="91" t="n">
        <f aca="false">IF(G48&gt;0,(D48+E48)*$P$8*0.7,0)</f>
        <v>132155.265252413</v>
      </c>
      <c r="I48" s="91" t="n">
        <f aca="false">IF(G48&gt;0,MIN(G48,H48),0)</f>
        <v>132155.265252413</v>
      </c>
      <c r="J48" s="91" t="n">
        <f aca="false">IF(I48*$P$9&gt;$P$10,(I48*$P$9-$P$10)*$P$7,0)</f>
        <v>24135.4158472267</v>
      </c>
      <c r="K48" s="110" t="n">
        <f aca="false">K47+I48</f>
        <v>1700580.7981592</v>
      </c>
    </row>
    <row r="49" customFormat="false" ht="15" hidden="false" customHeight="false" outlineLevel="0" collapsed="false">
      <c r="A49" s="108" t="n">
        <v>47</v>
      </c>
      <c r="B49" s="109" t="n">
        <f aca="false">IF(Übersicht!$C$13&gt;=A49,-Übersicht!$C$6,IF(A49=Übersicht!$C$13+1,Übersicht!$G$9,0))</f>
        <v>0</v>
      </c>
      <c r="C49" s="91" t="n">
        <f aca="false">C48+E49</f>
        <v>362162.770139857</v>
      </c>
      <c r="D49" s="91" t="n">
        <f aca="false">F48</f>
        <v>7995948.82199472</v>
      </c>
      <c r="E49" s="91" t="n">
        <f aca="false">$P$4-J48</f>
        <v>-12135.4158472267</v>
      </c>
      <c r="F49" s="91" t="n">
        <f aca="false">IF(ISNUMBER(Übersicht!G24),(D49+E49)*(1+Übersicht!G24),(D49+E49)*(1+$P$5))</f>
        <v>8622518.4786393</v>
      </c>
      <c r="G49" s="91" t="n">
        <f aca="false">F49-(E49+D49)</f>
        <v>638705.0724918</v>
      </c>
      <c r="H49" s="91" t="n">
        <f aca="false">IF(G49&gt;0,(D49+E49)*$P$8*0.7,0)</f>
        <v>142511.069299733</v>
      </c>
      <c r="I49" s="91" t="n">
        <f aca="false">IF(G49&gt;0,MIN(G49,H49),0)</f>
        <v>142511.069299733</v>
      </c>
      <c r="J49" s="91" t="n">
        <f aca="false">IF(I49*$P$9&gt;$P$10,(I49*$P$9-$P$10)*$P$7,0)</f>
        <v>26047.3561694632</v>
      </c>
      <c r="K49" s="110" t="n">
        <f aca="false">K48+I49</f>
        <v>1843091.86745894</v>
      </c>
    </row>
    <row r="50" customFormat="false" ht="15" hidden="false" customHeight="false" outlineLevel="0" collapsed="false">
      <c r="A50" s="108" t="n">
        <v>48</v>
      </c>
      <c r="B50" s="109" t="n">
        <f aca="false">IF(Übersicht!$C$13&gt;=A50,-Übersicht!$C$6,IF(A50=Übersicht!$C$13+1,Übersicht!$G$9,0))</f>
        <v>0</v>
      </c>
      <c r="C50" s="91" t="n">
        <f aca="false">C49+E50</f>
        <v>348115.413970394</v>
      </c>
      <c r="D50" s="91" t="n">
        <f aca="false">F49</f>
        <v>8622518.4786393</v>
      </c>
      <c r="E50" s="91" t="n">
        <f aca="false">$P$4-J49</f>
        <v>-14047.3561694632</v>
      </c>
      <c r="F50" s="91" t="n">
        <f aca="false">IF(ISNUMBER(Übersicht!G25),(D50+E50)*(1+Übersicht!G25),(D50+E50)*(1+$P$5))</f>
        <v>9297148.81226742</v>
      </c>
      <c r="G50" s="91" t="n">
        <f aca="false">F50-(E50+D50)</f>
        <v>688677.689797588</v>
      </c>
      <c r="H50" s="91" t="n">
        <f aca="false">IF(G50&gt;0,(D50+E50)*$P$8*0.7,0)</f>
        <v>153661.209536087</v>
      </c>
      <c r="I50" s="91" t="n">
        <f aca="false">IF(G50&gt;0,MIN(G50,H50),0)</f>
        <v>153661.209536087</v>
      </c>
      <c r="J50" s="91" t="n">
        <f aca="false">IF(I50*$P$9&gt;$P$10,(I50*$P$9-$P$10)*$P$7,0)</f>
        <v>28105.9508106</v>
      </c>
      <c r="K50" s="110" t="n">
        <f aca="false">K49+I50</f>
        <v>1996753.07699502</v>
      </c>
    </row>
    <row r="51" customFormat="false" ht="15" hidden="false" customHeight="false" outlineLevel="0" collapsed="false">
      <c r="A51" s="108" t="n">
        <v>49</v>
      </c>
      <c r="B51" s="109" t="n">
        <f aca="false">IF(Übersicht!$C$13&gt;=A51,-Übersicht!$C$6,IF(A51=Übersicht!$C$13+1,Übersicht!$G$9,0))</f>
        <v>0</v>
      </c>
      <c r="C51" s="91" t="n">
        <f aca="false">C50+E51</f>
        <v>332009.463159794</v>
      </c>
      <c r="D51" s="91" t="n">
        <f aca="false">F50</f>
        <v>9297148.81226742</v>
      </c>
      <c r="E51" s="91" t="n">
        <f aca="false">$P$4-J50</f>
        <v>-16105.9508106</v>
      </c>
      <c r="F51" s="91" t="n">
        <f aca="false">IF(ISNUMBER(Übersicht!G26),(D51+E51)*(1+Übersicht!G26),(D51+E51)*(1+$P$5))</f>
        <v>10023526.2903734</v>
      </c>
      <c r="G51" s="91" t="n">
        <f aca="false">F51-(E51+D51)</f>
        <v>742483.428916546</v>
      </c>
      <c r="H51" s="91" t="n">
        <f aca="false">IF(G51&gt;0,(D51+E51)*$P$8*0.7,0)</f>
        <v>165666.615077004</v>
      </c>
      <c r="I51" s="91" t="n">
        <f aca="false">IF(G51&gt;0,MIN(G51,H51),0)</f>
        <v>165666.615077004</v>
      </c>
      <c r="J51" s="91" t="n">
        <f aca="false">IF(I51*$P$9&gt;$P$10,(I51*$P$9-$P$10)*$P$7,0)</f>
        <v>30322.4488085919</v>
      </c>
      <c r="K51" s="110" t="n">
        <f aca="false">K50+I51</f>
        <v>2162419.69207203</v>
      </c>
    </row>
    <row r="52" customFormat="false" ht="15" hidden="false" customHeight="false" outlineLevel="0" collapsed="false">
      <c r="A52" s="108" t="n">
        <v>50</v>
      </c>
      <c r="B52" s="109" t="n">
        <f aca="false">IF(Übersicht!$C$13&gt;=A52,-Übersicht!$C$6,IF(A52=Übersicht!$C$13+1,Übersicht!$G$9,0))</f>
        <v>0</v>
      </c>
      <c r="C52" s="91" t="n">
        <f aca="false">C51+E52</f>
        <v>313687.014351202</v>
      </c>
      <c r="D52" s="91" t="n">
        <f aca="false">F51</f>
        <v>10023526.2903734</v>
      </c>
      <c r="E52" s="91" t="n">
        <f aca="false">$P$4-J51</f>
        <v>-18322.4488085919</v>
      </c>
      <c r="F52" s="91" t="n">
        <f aca="false">IF(ISNUMBER(Übersicht!G27),(D52+E52)*(1+Übersicht!G27),(D52+E52)*(1+$P$5))</f>
        <v>10805620.14889</v>
      </c>
      <c r="G52" s="91" t="n">
        <f aca="false">F52-(E52+D52)</f>
        <v>800416.307325182</v>
      </c>
      <c r="H52" s="91" t="n">
        <f aca="false">IF(G52&gt;0,(D52+E52)*$P$8*0.7,0)</f>
        <v>178592.888571931</v>
      </c>
      <c r="I52" s="91" t="n">
        <f aca="false">IF(G52&gt;0,MIN(G52,H52),0)</f>
        <v>178592.888571931</v>
      </c>
      <c r="J52" s="91" t="n">
        <f aca="false">IF(I52*$P$9&gt;$P$10,(I52*$P$9-$P$10)*$P$7,0)</f>
        <v>32708.9620525928</v>
      </c>
      <c r="K52" s="110" t="n">
        <f aca="false">K51+I52</f>
        <v>2341012.58064396</v>
      </c>
    </row>
    <row r="53" customFormat="false" ht="15" hidden="false" customHeight="false" outlineLevel="0" collapsed="false">
      <c r="A53" s="108" t="n">
        <v>51</v>
      </c>
      <c r="B53" s="109" t="n">
        <f aca="false">IF(Übersicht!$C$13&gt;=A53,-Übersicht!$C$6,IF(A53=Übersicht!$C$13+1,Übersicht!$G$9,0))</f>
        <v>0</v>
      </c>
      <c r="C53" s="91" t="n">
        <f aca="false">C52+E53</f>
        <v>292978.052298609</v>
      </c>
      <c r="D53" s="91" t="n">
        <f aca="false">F52</f>
        <v>10805620.14889</v>
      </c>
      <c r="E53" s="91" t="n">
        <f aca="false">$P$4-J52</f>
        <v>-20708.9620525928</v>
      </c>
      <c r="F53" s="91" t="n">
        <f aca="false">IF(ISNUMBER(Übersicht!G28),(D53+E53)*(1+Übersicht!G28),(D53+E53)*(1+$P$5))</f>
        <v>11647704.0817844</v>
      </c>
      <c r="G53" s="91" t="n">
        <f aca="false">F53-(E53+D53)</f>
        <v>862792.894946991</v>
      </c>
      <c r="H53" s="91" t="n">
        <f aca="false">IF(G53&gt;0,(D53+E53)*$P$8*0.7,0)</f>
        <v>192510.664685047</v>
      </c>
      <c r="I53" s="91" t="n">
        <f aca="false">IF(G53&gt;0,MIN(G53,H53),0)</f>
        <v>192510.664685047</v>
      </c>
      <c r="J53" s="91" t="n">
        <f aca="false">IF(I53*$P$9&gt;$P$10,(I53*$P$9-$P$10)*$P$7,0)</f>
        <v>35278.5314674768</v>
      </c>
      <c r="K53" s="110" t="n">
        <f aca="false">K52+I53</f>
        <v>2533523.245329</v>
      </c>
    </row>
    <row r="54" customFormat="false" ht="15" hidden="false" customHeight="false" outlineLevel="0" collapsed="false">
      <c r="A54" s="108" t="n">
        <v>52</v>
      </c>
      <c r="B54" s="109" t="n">
        <f aca="false">IF(Übersicht!$C$13&gt;=A54,-Übersicht!$C$6,IF(A54=Übersicht!$C$13+1,Übersicht!$G$9,0))</f>
        <v>0</v>
      </c>
      <c r="C54" s="91" t="n">
        <f aca="false">C53+E54</f>
        <v>269699.520831133</v>
      </c>
      <c r="D54" s="91" t="n">
        <f aca="false">F53</f>
        <v>11647704.0817844</v>
      </c>
      <c r="E54" s="91" t="n">
        <f aca="false">$P$4-J53</f>
        <v>-23278.5314674768</v>
      </c>
      <c r="F54" s="91" t="n">
        <f aca="false">IF(ISNUMBER(Übersicht!G29),(D54+E54)*(1+Übersicht!G29),(D54+E54)*(1+$P$5))</f>
        <v>12554379.5943422</v>
      </c>
      <c r="G54" s="91" t="n">
        <f aca="false">F54-(E54+D54)</f>
        <v>929954.04402535</v>
      </c>
      <c r="H54" s="91" t="n">
        <f aca="false">IF(G54&gt;0,(D54+E54)*$P$8*0.7,0)</f>
        <v>207495.996073156</v>
      </c>
      <c r="I54" s="91" t="n">
        <f aca="false">IF(G54&gt;0,MIN(G54,H54),0)</f>
        <v>207495.996073156</v>
      </c>
      <c r="J54" s="91" t="n">
        <f aca="false">IF(I54*$P$9&gt;$P$10,(I54*$P$9-$P$10)*$P$7,0)</f>
        <v>38045.1982750065</v>
      </c>
      <c r="K54" s="110" t="n">
        <f aca="false">K53+I54</f>
        <v>2741019.24140216</v>
      </c>
    </row>
    <row r="55" customFormat="false" ht="15" hidden="false" customHeight="false" outlineLevel="0" collapsed="false">
      <c r="A55" s="108" t="n">
        <v>53</v>
      </c>
      <c r="B55" s="109" t="n">
        <f aca="false">IF(Übersicht!$C$13&gt;=A55,-Übersicht!$C$6,IF(A55=Übersicht!$C$13+1,Übersicht!$G$9,0))</f>
        <v>0</v>
      </c>
      <c r="C55" s="91" t="n">
        <f aca="false">C54+E55</f>
        <v>243654.322556126</v>
      </c>
      <c r="D55" s="91" t="n">
        <f aca="false">F54</f>
        <v>12554379.5943422</v>
      </c>
      <c r="E55" s="91" t="n">
        <f aca="false">$P$4-J54</f>
        <v>-26045.1982750065</v>
      </c>
      <c r="F55" s="91" t="n">
        <f aca="false">IF(ISNUMBER(Übersicht!G30),(D55+E55)*(1+Übersicht!G30),(D55+E55)*(1+$P$5))</f>
        <v>13530601.1477526</v>
      </c>
      <c r="G55" s="91" t="n">
        <f aca="false">F55-(E55+D55)</f>
        <v>1002266.75168538</v>
      </c>
      <c r="H55" s="91" t="n">
        <f aca="false">IF(G55&gt;0,(D55+E55)*$P$8*0.7,0)</f>
        <v>223630.7689698</v>
      </c>
      <c r="I55" s="91" t="n">
        <f aca="false">IF(G55&gt;0,MIN(G55,H55),0)</f>
        <v>223630.7689698</v>
      </c>
      <c r="J55" s="91" t="n">
        <f aca="false">IF(I55*$P$9&gt;$P$10,(I55*$P$9-$P$10)*$P$7,0)</f>
        <v>41024.0807210493</v>
      </c>
      <c r="K55" s="110" t="n">
        <f aca="false">K54+I55</f>
        <v>2964650.01037196</v>
      </c>
    </row>
    <row r="56" customFormat="false" ht="15" hidden="false" customHeight="false" outlineLevel="0" collapsed="false">
      <c r="A56" s="108" t="n">
        <v>54</v>
      </c>
      <c r="B56" s="109" t="n">
        <f aca="false">IF(Übersicht!$C$13&gt;=A56,-Übersicht!$C$6,IF(A56=Übersicht!$C$13+1,Übersicht!$G$9,0))</f>
        <v>0</v>
      </c>
      <c r="C56" s="91" t="n">
        <f aca="false">C55+E56</f>
        <v>214630.241835077</v>
      </c>
      <c r="D56" s="91" t="n">
        <f aca="false">F55</f>
        <v>13530601.1477526</v>
      </c>
      <c r="E56" s="91" t="n">
        <f aca="false">$P$4-J55</f>
        <v>-29024.0807210493</v>
      </c>
      <c r="F56" s="91" t="n">
        <f aca="false">IF(ISNUMBER(Übersicht!G31),(D56+E56)*(1+Übersicht!G31),(D56+E56)*(1+$P$5))</f>
        <v>14581703.2323941</v>
      </c>
      <c r="G56" s="91" t="n">
        <f aca="false">F56-(E56+D56)</f>
        <v>1080126.16536253</v>
      </c>
      <c r="H56" s="91" t="n">
        <f aca="false">IF(G56&gt;0,(D56+E56)*$P$8*0.7,0)</f>
        <v>241003.150646513</v>
      </c>
      <c r="I56" s="91" t="n">
        <f aca="false">IF(G56&gt;0,MIN(G56,H56),0)</f>
        <v>241003.150646513</v>
      </c>
      <c r="J56" s="91" t="n">
        <f aca="false">IF(I56*$P$9&gt;$P$10,(I56*$P$9-$P$10)*$P$7,0)</f>
        <v>44231.4566881125</v>
      </c>
      <c r="K56" s="110" t="n">
        <f aca="false">K55+I56</f>
        <v>3205653.16101847</v>
      </c>
    </row>
    <row r="57" customFormat="false" ht="15" hidden="false" customHeight="false" outlineLevel="0" collapsed="false">
      <c r="A57" s="108" t="n">
        <v>55</v>
      </c>
      <c r="B57" s="109" t="n">
        <f aca="false">IF(Übersicht!$C$13&gt;=A57,-Übersicht!$C$6,IF(A57=Übersicht!$C$13+1,Übersicht!$G$9,0))</f>
        <v>0</v>
      </c>
      <c r="C57" s="91" t="n">
        <f aca="false">C56+E57</f>
        <v>182398.785146964</v>
      </c>
      <c r="D57" s="91" t="n">
        <f aca="false">F56</f>
        <v>14581703.2323941</v>
      </c>
      <c r="E57" s="91" t="n">
        <f aca="false">$P$4-J56</f>
        <v>-32231.4566881125</v>
      </c>
      <c r="F57" s="91" t="n">
        <f aca="false">IF(ISNUMBER(Übersicht!G32),(D57+E57)*(1+Übersicht!G32),(D57+E57)*(1+$P$5))</f>
        <v>15713429.5177624</v>
      </c>
      <c r="G57" s="91" t="n">
        <f aca="false">F57-(E57+D57)</f>
        <v>1163957.74205648</v>
      </c>
      <c r="H57" s="91" t="n">
        <f aca="false">IF(G57&gt;0,(D57+E57)*$P$8*0.7,0)</f>
        <v>259708.071196351</v>
      </c>
      <c r="I57" s="91" t="n">
        <f aca="false">IF(G57&gt;0,MIN(G57,H57),0)</f>
        <v>259708.071196351</v>
      </c>
      <c r="J57" s="91" t="n">
        <f aca="false">IF(I57*$P$9&gt;$P$10,(I57*$P$9-$P$10)*$P$7,0)</f>
        <v>47684.8526446264</v>
      </c>
      <c r="K57" s="110" t="n">
        <f aca="false">K56+I57</f>
        <v>3465361.23221483</v>
      </c>
    </row>
    <row r="58" customFormat="false" ht="15" hidden="false" customHeight="false" outlineLevel="0" collapsed="false">
      <c r="A58" s="108" t="n">
        <v>56</v>
      </c>
      <c r="B58" s="109" t="n">
        <f aca="false">IF(Übersicht!$C$13&gt;=A58,-Übersicht!$C$6,IF(A58=Übersicht!$C$13+1,Übersicht!$G$9,0))</f>
        <v>0</v>
      </c>
      <c r="C58" s="91" t="n">
        <f aca="false">C57+E58</f>
        <v>146713.932502338</v>
      </c>
      <c r="D58" s="91" t="n">
        <f aca="false">F57</f>
        <v>15713429.5177624</v>
      </c>
      <c r="E58" s="91" t="n">
        <f aca="false">$P$4-J57</f>
        <v>-35684.8526446264</v>
      </c>
      <c r="F58" s="91" t="n">
        <f aca="false">IF(ISNUMBER(Übersicht!G33),(D58+E58)*(1+Übersicht!G33),(D58+E58)*(1+$P$5))</f>
        <v>16931964.2383272</v>
      </c>
      <c r="G58" s="91" t="n">
        <f aca="false">F58-(E58+D58)</f>
        <v>1254219.57320943</v>
      </c>
      <c r="H58" s="91" t="n">
        <f aca="false">IF(G58&gt;0,(D58+E58)*$P$8*0.7,0)</f>
        <v>279847.742272353</v>
      </c>
      <c r="I58" s="91" t="n">
        <f aca="false">IF(G58&gt;0,MIN(G58,H58),0)</f>
        <v>279847.742272353</v>
      </c>
      <c r="J58" s="91" t="n">
        <f aca="false">IF(I58*$P$9&gt;$P$10,(I58*$P$9-$P$10)*$P$7,0)</f>
        <v>51403.1394170332</v>
      </c>
      <c r="K58" s="110" t="n">
        <f aca="false">K57+I58</f>
        <v>3745208.97448718</v>
      </c>
    </row>
    <row r="59" customFormat="false" ht="15" hidden="false" customHeight="false" outlineLevel="0" collapsed="false">
      <c r="A59" s="108" t="n">
        <v>57</v>
      </c>
      <c r="B59" s="109" t="n">
        <f aca="false">IF(Übersicht!$C$13&gt;=A59,-Übersicht!$C$6,IF(A59=Übersicht!$C$13+1,Übersicht!$G$9,0))</f>
        <v>0</v>
      </c>
      <c r="C59" s="91" t="n">
        <f aca="false">C58+E59</f>
        <v>107310.793085305</v>
      </c>
      <c r="D59" s="91" t="n">
        <f aca="false">F58</f>
        <v>16931964.2383272</v>
      </c>
      <c r="E59" s="91" t="n">
        <f aca="false">$P$4-J58</f>
        <v>-39403.1394170332</v>
      </c>
      <c r="F59" s="91" t="n">
        <f aca="false">IF(ISNUMBER(Übersicht!G34),(D59+E59)*(1+Übersicht!G34),(D59+E59)*(1+$P$5))</f>
        <v>18243965.986823</v>
      </c>
      <c r="G59" s="91" t="n">
        <f aca="false">F59-(E59+D59)</f>
        <v>1351404.88791282</v>
      </c>
      <c r="H59" s="91" t="n">
        <f aca="false">IF(G59&gt;0,(D59+E59)*$P$8*0.7,0)</f>
        <v>301532.215615547</v>
      </c>
      <c r="I59" s="91" t="n">
        <f aca="false">IF(G59&gt;0,MIN(G59,H59),0)</f>
        <v>301532.215615547</v>
      </c>
      <c r="J59" s="91" t="n">
        <f aca="false">IF(I59*$P$9&gt;$P$10,(I59*$P$9-$P$10)*$P$7,0)</f>
        <v>55406.6353080204</v>
      </c>
      <c r="K59" s="110" t="n">
        <f aca="false">K58+I59</f>
        <v>4046741.19010273</v>
      </c>
    </row>
    <row r="60" customFormat="false" ht="15" hidden="false" customHeight="false" outlineLevel="0" collapsed="false">
      <c r="A60" s="108" t="n">
        <v>58</v>
      </c>
      <c r="B60" s="109" t="n">
        <f aca="false">IF(Übersicht!$C$13&gt;=A60,-Übersicht!$C$6,IF(A60=Übersicht!$C$13+1,Übersicht!$G$9,0))</f>
        <v>0</v>
      </c>
      <c r="C60" s="91" t="n">
        <f aca="false">C59+E60</f>
        <v>63904.1577772844</v>
      </c>
      <c r="D60" s="91" t="n">
        <f aca="false">F59</f>
        <v>18243965.986823</v>
      </c>
      <c r="E60" s="91" t="n">
        <f aca="false">$P$4-J59</f>
        <v>-43406.6353080204</v>
      </c>
      <c r="F60" s="91" t="n">
        <f aca="false">IF(ISNUMBER(Übersicht!G35),(D60+E60)*(1+Übersicht!G35),(D60+E60)*(1+$P$5))</f>
        <v>19656604.0996362</v>
      </c>
      <c r="G60" s="91" t="n">
        <f aca="false">F60-(E60+D60)</f>
        <v>1456044.7481212</v>
      </c>
      <c r="H60" s="91" t="n">
        <f aca="false">IF(G60&gt;0,(D60+E60)*$P$8*0.7,0)</f>
        <v>324879.984424543</v>
      </c>
      <c r="I60" s="91" t="n">
        <f aca="false">IF(G60&gt;0,MIN(G60,H60),0)</f>
        <v>324879.984424543</v>
      </c>
      <c r="J60" s="91" t="n">
        <f aca="false">IF(I60*$P$9&gt;$P$10,(I60*$P$9-$P$10)*$P$7,0)</f>
        <v>59717.2171243812</v>
      </c>
      <c r="K60" s="110" t="n">
        <f aca="false">K59+I60</f>
        <v>4371621.17452727</v>
      </c>
    </row>
    <row r="61" customFormat="false" ht="15" hidden="false" customHeight="false" outlineLevel="0" collapsed="false">
      <c r="A61" s="108" t="n">
        <v>59</v>
      </c>
      <c r="B61" s="109" t="n">
        <f aca="false">IF(Übersicht!$C$13&gt;=A61,-Übersicht!$C$6,IF(A61=Übersicht!$C$13+1,Übersicht!$G$9,0))</f>
        <v>0</v>
      </c>
      <c r="C61" s="91" t="n">
        <f aca="false">C60+E61</f>
        <v>16186.9406529032</v>
      </c>
      <c r="D61" s="91" t="n">
        <f aca="false">F60</f>
        <v>19656604.0996362</v>
      </c>
      <c r="E61" s="91" t="n">
        <f aca="false">$P$4-J60</f>
        <v>-47717.2171243812</v>
      </c>
      <c r="F61" s="91" t="n">
        <f aca="false">IF(ISNUMBER(Übersicht!G36),(D61+E61)*(1+Übersicht!G36),(D61+E61)*(1+$P$5))</f>
        <v>21177597.8331128</v>
      </c>
      <c r="G61" s="91" t="n">
        <f aca="false">F61-(E61+D61)</f>
        <v>1568710.95060095</v>
      </c>
      <c r="H61" s="91" t="n">
        <f aca="false">IF(G61&gt;0,(D61+E61)*$P$8*0.7,0)</f>
        <v>350018.630852836</v>
      </c>
      <c r="I61" s="91" t="n">
        <f aca="false">IF(G61&gt;0,MIN(G61,H61),0)</f>
        <v>350018.630852836</v>
      </c>
      <c r="J61" s="91" t="n">
        <f aca="false">IF(I61*$P$9&gt;$P$10,(I61*$P$9-$P$10)*$P$7,0)</f>
        <v>64358.4397212049</v>
      </c>
      <c r="K61" s="110" t="n">
        <f aca="false">K60+I61</f>
        <v>4721639.8053801</v>
      </c>
    </row>
    <row r="62" customFormat="false" ht="15" hidden="false" customHeight="false" outlineLevel="0" collapsed="false">
      <c r="A62" s="108" t="n">
        <v>60</v>
      </c>
      <c r="B62" s="109" t="n">
        <f aca="false">IF(Übersicht!$C$13&gt;=A62,-Übersicht!$C$6,IF(A62=Übersicht!$C$13+1,Übersicht!$G$9,0))</f>
        <v>0</v>
      </c>
      <c r="C62" s="91" t="n">
        <f aca="false">C61+E62</f>
        <v>-36171.4990683017</v>
      </c>
      <c r="D62" s="91" t="n">
        <f aca="false">F61</f>
        <v>21177597.8331128</v>
      </c>
      <c r="E62" s="91" t="n">
        <f aca="false">$P$4-J61</f>
        <v>-52358.4397212048</v>
      </c>
      <c r="F62" s="91" t="n">
        <f aca="false">IF(ISNUMBER(Übersicht!G37),(D62+E62)*(1+Übersicht!G37),(D62+E62)*(1+$P$5))</f>
        <v>22815258.5448629</v>
      </c>
      <c r="G62" s="91" t="n">
        <f aca="false">F62-(E62+D62)</f>
        <v>1690019.15147133</v>
      </c>
      <c r="H62" s="91" t="n">
        <f aca="false">IF(G62&gt;0,(D62+E62)*$P$8*0.7,0)</f>
        <v>377085.523172039</v>
      </c>
      <c r="I62" s="91" t="n">
        <f aca="false">IF(G62&gt;0,MIN(G62,H62),0)</f>
        <v>377085.523172039</v>
      </c>
      <c r="J62" s="91" t="n">
        <f aca="false">IF(I62*$P$9&gt;$P$10,(I62*$P$9-$P$10)*$P$7,0)</f>
        <v>69355.6647156378</v>
      </c>
      <c r="K62" s="110" t="n">
        <f aca="false">K61+I62</f>
        <v>5098725.32855214</v>
      </c>
    </row>
    <row r="63" customFormat="false" ht="15" hidden="false" customHeight="false" outlineLevel="0" collapsed="false">
      <c r="A63" s="108" t="n">
        <v>61</v>
      </c>
      <c r="B63" s="109" t="n">
        <f aca="false">IF(Übersicht!$C$13&gt;=A63,-Übersicht!$C$6,IF(A63=Übersicht!$C$13+1,Übersicht!$G$9,0))</f>
        <v>0</v>
      </c>
      <c r="C63" s="91" t="n">
        <f aca="false">C62+E63</f>
        <v>-93527.1637839394</v>
      </c>
      <c r="D63" s="91" t="n">
        <f aca="false">F62</f>
        <v>22815258.5448629</v>
      </c>
      <c r="E63" s="91" t="n">
        <f aca="false">$P$4-J62</f>
        <v>-57355.6647156378</v>
      </c>
      <c r="F63" s="91" t="n">
        <f aca="false">IF(ISNUMBER(Übersicht!I18),(D63+E63)*(1+Übersicht!I18),(D63+E63)*(1+$P$5))</f>
        <v>24578535.110559</v>
      </c>
      <c r="G63" s="91" t="n">
        <f aca="false">F63-(E63+D63)</f>
        <v>1820632.23041178</v>
      </c>
      <c r="H63" s="91" t="n">
        <f aca="false">IF(G63&gt;0,(D63+E63)*$P$8*0.7,0)</f>
        <v>406228.566410629</v>
      </c>
      <c r="I63" s="91" t="n">
        <f aca="false">IF(G63&gt;0,MIN(G63,H63),0)</f>
        <v>406228.566410629</v>
      </c>
      <c r="J63" s="91" t="n">
        <f aca="false">IF(I63*$P$9&gt;$P$10,(I63*$P$9-$P$10)*$P$7,0)</f>
        <v>74736.1990735623</v>
      </c>
      <c r="K63" s="110" t="n">
        <f aca="false">K62+I63</f>
        <v>5504953.89496277</v>
      </c>
    </row>
    <row r="64" customFormat="false" ht="15" hidden="false" customHeight="false" outlineLevel="0" collapsed="false">
      <c r="A64" s="108" t="n">
        <v>62</v>
      </c>
      <c r="B64" s="109" t="n">
        <f aca="false">IF(Übersicht!$C$13&gt;=A64,-Übersicht!$C$6,IF(A64=Übersicht!$C$13+1,Übersicht!$G$9,0))</f>
        <v>0</v>
      </c>
      <c r="C64" s="91" t="n">
        <f aca="false">C63+E64</f>
        <v>-156263.362857502</v>
      </c>
      <c r="D64" s="91" t="n">
        <f aca="false">F63</f>
        <v>24578535.110559</v>
      </c>
      <c r="E64" s="91" t="n">
        <f aca="false">$P$4-J63</f>
        <v>-62736.1990735623</v>
      </c>
      <c r="F64" s="91" t="n">
        <f aca="false">IF(ISNUMBER(Übersicht!I19),(D64+E64)*(1+Übersicht!I19),(D64+E64)*(1+$P$5))</f>
        <v>26477062.8244043</v>
      </c>
      <c r="G64" s="91" t="n">
        <f aca="false">F64-(E64+D64)</f>
        <v>1961263.91291884</v>
      </c>
      <c r="H64" s="91" t="n">
        <f aca="false">IF(G64&gt;0,(D64+E64)*$P$8*0.7,0)</f>
        <v>437607.010570016</v>
      </c>
      <c r="I64" s="91" t="n">
        <f aca="false">IF(G64&gt;0,MIN(G64,H64),0)</f>
        <v>437607.010570016</v>
      </c>
      <c r="J64" s="91" t="n">
        <f aca="false">IF(I64*$P$9&gt;$P$10,(I64*$P$9-$P$10)*$P$7,0)</f>
        <v>80529.4443264892</v>
      </c>
      <c r="K64" s="110" t="n">
        <f aca="false">K63+I64</f>
        <v>5942560.90553279</v>
      </c>
    </row>
    <row r="65" customFormat="false" ht="15" hidden="false" customHeight="false" outlineLevel="0" collapsed="false">
      <c r="A65" s="108" t="n">
        <v>63</v>
      </c>
      <c r="B65" s="109" t="n">
        <f aca="false">IF(Übersicht!$C$13&gt;=A65,-Übersicht!$C$6,IF(A65=Übersicht!$C$13+1,Übersicht!$G$9,0))</f>
        <v>0</v>
      </c>
      <c r="C65" s="91" t="n">
        <f aca="false">C64+E65</f>
        <v>-224792.807183991</v>
      </c>
      <c r="D65" s="91" t="n">
        <f aca="false">F64</f>
        <v>26477062.8244043</v>
      </c>
      <c r="E65" s="91" t="n">
        <f aca="false">$P$4-J64</f>
        <v>-68529.4443264892</v>
      </c>
      <c r="F65" s="91" t="n">
        <f aca="false">IF(ISNUMBER(Übersicht!I20),(D65+E65)*(1+Übersicht!I20),(D65+E65)*(1+$P$5))</f>
        <v>28521216.0504841</v>
      </c>
      <c r="G65" s="91" t="n">
        <f aca="false">F65-(E65+D65)</f>
        <v>2112682.67040623</v>
      </c>
      <c r="H65" s="91" t="n">
        <f aca="false">IF(G65&gt;0,(D65+E65)*$P$8*0.7,0)</f>
        <v>471392.320834389</v>
      </c>
      <c r="I65" s="91" t="n">
        <f aca="false">IF(G65&gt;0,MIN(G65,H65),0)</f>
        <v>471392.320834389</v>
      </c>
      <c r="J65" s="91" t="n">
        <f aca="false">IF(I65*$P$9&gt;$P$10,(I65*$P$9-$P$10)*$P$7,0)</f>
        <v>86767.0572340491</v>
      </c>
      <c r="K65" s="110" t="n">
        <f aca="false">K64+I65</f>
        <v>6413953.22636718</v>
      </c>
    </row>
    <row r="66" customFormat="false" ht="15" hidden="false" customHeight="false" outlineLevel="0" collapsed="false">
      <c r="A66" s="108" t="n">
        <v>64</v>
      </c>
      <c r="B66" s="109" t="n">
        <f aca="false">IF(Übersicht!$C$13&gt;=A66,-Übersicht!$C$6,IF(A66=Übersicht!$C$13+1,Übersicht!$G$9,0))</f>
        <v>0</v>
      </c>
      <c r="C66" s="91" t="n">
        <f aca="false">C65+E66</f>
        <v>-299559.86441804</v>
      </c>
      <c r="D66" s="91" t="n">
        <f aca="false">F65</f>
        <v>28521216.0504841</v>
      </c>
      <c r="E66" s="91" t="n">
        <f aca="false">$P$4-J65</f>
        <v>-74767.0572340491</v>
      </c>
      <c r="F66" s="91" t="n">
        <f aca="false">IF(ISNUMBER(Übersicht!I21),(D66+E66)*(1+Übersicht!I21),(D66+E66)*(1+$P$5))</f>
        <v>30722164.91271</v>
      </c>
      <c r="G66" s="91" t="n">
        <f aca="false">F66-(E66+D66)</f>
        <v>2275715.91946</v>
      </c>
      <c r="H66" s="91" t="n">
        <f aca="false">IF(G66&gt;0,(D66+E66)*$P$8*0.7,0)</f>
        <v>507769.114529513</v>
      </c>
      <c r="I66" s="91" t="n">
        <f aca="false">IF(G66&gt;0,MIN(G66,H66),0)</f>
        <v>507769.114529513</v>
      </c>
      <c r="J66" s="91" t="n">
        <f aca="false">IF(I66*$P$9&gt;$P$10,(I66*$P$9-$P$10)*$P$7,0)</f>
        <v>93483.1227700113</v>
      </c>
      <c r="K66" s="110" t="n">
        <f aca="false">K65+I66</f>
        <v>6921722.34089669</v>
      </c>
    </row>
    <row r="67" customFormat="false" ht="15" hidden="false" customHeight="false" outlineLevel="0" collapsed="false">
      <c r="A67" s="108" t="n">
        <v>65</v>
      </c>
      <c r="B67" s="109" t="n">
        <f aca="false">IF(Übersicht!$C$13&gt;=A67,-Übersicht!$C$6,IF(A67=Übersicht!$C$13+1,Übersicht!$G$9,0))</f>
        <v>0</v>
      </c>
      <c r="C67" s="91" t="n">
        <f aca="false">C66+E67</f>
        <v>-381042.987188051</v>
      </c>
      <c r="D67" s="91" t="n">
        <f aca="false">F66</f>
        <v>30722164.91271</v>
      </c>
      <c r="E67" s="91" t="n">
        <f aca="false">$P$4-J66</f>
        <v>-81483.1227700113</v>
      </c>
      <c r="F67" s="91" t="n">
        <f aca="false">IF(ISNUMBER(Übersicht!I22),(D67+E67)*(1+Übersicht!I22),(D67+E67)*(1+$P$5))</f>
        <v>33091936.3331352</v>
      </c>
      <c r="G67" s="91" t="n">
        <f aca="false">F67-(E67+D67)</f>
        <v>2451254.5431952</v>
      </c>
      <c r="H67" s="91" t="n">
        <f aca="false">IF(G67&gt;0,(D67+E67)*$P$8*0.7,0)</f>
        <v>546936.169950429</v>
      </c>
      <c r="I67" s="91" t="n">
        <f aca="false">IF(G67&gt;0,MIN(G67,H67),0)</f>
        <v>546936.169950429</v>
      </c>
      <c r="J67" s="91" t="n">
        <f aca="false">IF(I67*$P$9&gt;$P$10,(I67*$P$9-$P$10)*$P$7,0)</f>
        <v>100714.340377098</v>
      </c>
      <c r="K67" s="110" t="n">
        <f aca="false">K66+I67</f>
        <v>7468658.51084712</v>
      </c>
    </row>
    <row r="68" customFormat="false" ht="15" hidden="false" customHeight="false" outlineLevel="0" collapsed="false">
      <c r="A68" s="108" t="n">
        <v>66</v>
      </c>
      <c r="B68" s="109" t="n">
        <f aca="false">IF(Übersicht!$C$13&gt;=A68,-Übersicht!$C$6,IF(A68=Übersicht!$C$13+1,Übersicht!$G$9,0))</f>
        <v>0</v>
      </c>
      <c r="C68" s="91" t="n">
        <f aca="false">C67+E68</f>
        <v>-469757.327565149</v>
      </c>
      <c r="D68" s="91" t="n">
        <f aca="false">F67</f>
        <v>33091936.3331352</v>
      </c>
      <c r="E68" s="91" t="n">
        <f aca="false">$P$4-J67</f>
        <v>-88714.340377098</v>
      </c>
      <c r="F68" s="91" t="n">
        <f aca="false">IF(ISNUMBER(Übersicht!I23),(D68+E68)*(1+Übersicht!I23),(D68+E68)*(1+$P$5))</f>
        <v>35643479.7521788</v>
      </c>
      <c r="G68" s="91" t="n">
        <f aca="false">F68-(E68+D68)</f>
        <v>2640257.75942065</v>
      </c>
      <c r="H68" s="91" t="n">
        <f aca="false">IF(G68&gt;0,(D68+E68)*$P$8*0.7,0)</f>
        <v>589107.512570732</v>
      </c>
      <c r="I68" s="91" t="n">
        <f aca="false">IF(G68&gt;0,MIN(G68,H68),0)</f>
        <v>589107.512570732</v>
      </c>
      <c r="J68" s="91" t="n">
        <f aca="false">IF(I68*$P$9&gt;$P$10,(I68*$P$9-$P$10)*$P$7,0)</f>
        <v>108500.224508371</v>
      </c>
      <c r="K68" s="110" t="n">
        <f aca="false">K67+I68</f>
        <v>8057766.02341785</v>
      </c>
    </row>
    <row r="69" customFormat="false" ht="15" hidden="false" customHeight="false" outlineLevel="0" collapsed="false">
      <c r="A69" s="108" t="n">
        <v>67</v>
      </c>
      <c r="B69" s="109" t="n">
        <f aca="false">IF(Übersicht!$C$13&gt;=A69,-Übersicht!$C$6,IF(A69=Übersicht!$C$13+1,Übersicht!$G$9,0))</f>
        <v>0</v>
      </c>
      <c r="C69" s="91" t="n">
        <f aca="false">C68+E69</f>
        <v>-566257.552073521</v>
      </c>
      <c r="D69" s="91" t="n">
        <f aca="false">F68</f>
        <v>35643479.7521788</v>
      </c>
      <c r="E69" s="91" t="n">
        <f aca="false">$P$4-J68</f>
        <v>-96500.2245083714</v>
      </c>
      <c r="F69" s="91" t="n">
        <f aca="false">IF(ISNUMBER(Übersicht!I24),(D69+E69)*(1+Übersicht!I24),(D69+E69)*(1+$P$5))</f>
        <v>38390737.889884</v>
      </c>
      <c r="G69" s="91" t="n">
        <f aca="false">F69-(E69+D69)</f>
        <v>2843758.36221363</v>
      </c>
      <c r="H69" s="91" t="n">
        <f aca="false">IF(G69&gt;0,(D69+E69)*$P$8*0.7,0)</f>
        <v>634513.584568916</v>
      </c>
      <c r="I69" s="91" t="n">
        <f aca="false">IF(G69&gt;0,MIN(G69,H69),0)</f>
        <v>634513.584568916</v>
      </c>
      <c r="J69" s="91" t="n">
        <f aca="false">IF(I69*$P$9&gt;$P$10,(I69*$P$9-$P$10)*$P$7,0)</f>
        <v>116883.320551036</v>
      </c>
      <c r="K69" s="110" t="n">
        <f aca="false">K68+I69</f>
        <v>8692279.60798677</v>
      </c>
    </row>
    <row r="70" customFormat="false" ht="15" hidden="false" customHeight="false" outlineLevel="0" collapsed="false">
      <c r="A70" s="108" t="n">
        <v>68</v>
      </c>
      <c r="B70" s="109" t="n">
        <f aca="false">IF(Übersicht!$C$13&gt;=A70,-Übersicht!$C$6,IF(A70=Übersicht!$C$13+1,Übersicht!$G$9,0))</f>
        <v>0</v>
      </c>
      <c r="C70" s="91" t="n">
        <f aca="false">C69+E70</f>
        <v>-671140.872624557</v>
      </c>
      <c r="D70" s="91" t="n">
        <f aca="false">F69</f>
        <v>38390737.889884</v>
      </c>
      <c r="E70" s="91" t="n">
        <f aca="false">$P$4-J69</f>
        <v>-104883.320551036</v>
      </c>
      <c r="F70" s="91" t="n">
        <f aca="false">IF(ISNUMBER(Übersicht!I25),(D70+E70)*(1+Übersicht!I25),(D70+E70)*(1+$P$5))</f>
        <v>41348722.9348796</v>
      </c>
      <c r="G70" s="91" t="n">
        <f aca="false">F70-(E70+D70)</f>
        <v>3062868.36554664</v>
      </c>
      <c r="H70" s="91" t="n">
        <f aca="false">IF(G70&gt;0,(D70+E70)*$P$8*0.7,0)</f>
        <v>683402.504062594</v>
      </c>
      <c r="I70" s="91" t="n">
        <f aca="false">IF(G70&gt;0,MIN(G70,H70),0)</f>
        <v>683402.504062594</v>
      </c>
      <c r="J70" s="91" t="n">
        <f aca="false">IF(I70*$P$9&gt;$P$10,(I70*$P$9-$P$10)*$P$7,0)</f>
        <v>125909.437312556</v>
      </c>
      <c r="K70" s="110" t="n">
        <f aca="false">K69+I70</f>
        <v>9375682.11204936</v>
      </c>
    </row>
    <row r="71" customFormat="false" ht="15" hidden="false" customHeight="false" outlineLevel="0" collapsed="false">
      <c r="A71" s="108" t="n">
        <v>69</v>
      </c>
      <c r="B71" s="109" t="n">
        <f aca="false">IF(Übersicht!$C$13&gt;=A71,-Übersicht!$C$6,IF(A71=Übersicht!$C$13+1,Übersicht!$G$9,0))</f>
        <v>0</v>
      </c>
      <c r="C71" s="91" t="n">
        <f aca="false">C70+E71</f>
        <v>-785050.309937113</v>
      </c>
      <c r="D71" s="91" t="n">
        <f aca="false">F70</f>
        <v>41348722.9348796</v>
      </c>
      <c r="E71" s="91" t="n">
        <f aca="false">$P$4-J70</f>
        <v>-113909.437312556</v>
      </c>
      <c r="F71" s="91" t="n">
        <f aca="false">IF(ISNUMBER(Übersicht!I26),(D71+E71)*(1+Übersicht!I26),(D71+E71)*(1+$P$5))</f>
        <v>44533598.5773724</v>
      </c>
      <c r="G71" s="91" t="n">
        <f aca="false">F71-(E71+D71)</f>
        <v>3298785.07980537</v>
      </c>
      <c r="H71" s="91" t="n">
        <f aca="false">IF(G71&gt;0,(D71+E71)*$P$8*0.7,0)</f>
        <v>736041.420931572</v>
      </c>
      <c r="I71" s="91" t="n">
        <f aca="false">IF(G71&gt;0,MIN(G71,H71),0)</f>
        <v>736041.420931572</v>
      </c>
      <c r="J71" s="91" t="n">
        <f aca="false">IF(I71*$P$9&gt;$P$10,(I71*$P$9-$P$10)*$P$7,0)</f>
        <v>135627.897339492</v>
      </c>
      <c r="K71" s="110" t="n">
        <f aca="false">K70+I71</f>
        <v>10111723.5329809</v>
      </c>
    </row>
    <row r="72" customFormat="false" ht="15" hidden="false" customHeight="false" outlineLevel="0" collapsed="false">
      <c r="A72" s="108" t="n">
        <v>70</v>
      </c>
      <c r="B72" s="109" t="n">
        <f aca="false">IF(Übersicht!$C$13&gt;=A72,-Übersicht!$C$6,IF(A72=Übersicht!$C$13+1,Übersicht!$G$9,0))</f>
        <v>0</v>
      </c>
      <c r="C72" s="91" t="n">
        <f aca="false">C71+E72</f>
        <v>-908678.207276605</v>
      </c>
      <c r="D72" s="91" t="n">
        <f aca="false">F71</f>
        <v>44533598.5773724</v>
      </c>
      <c r="E72" s="91" t="n">
        <f aca="false">$P$4-J71</f>
        <v>-123627.897339491</v>
      </c>
      <c r="F72" s="91" t="n">
        <f aca="false">IF(ISNUMBER(Übersicht!I27),(D72+E72)*(1+Übersicht!I27),(D72+E72)*(1+$P$5))</f>
        <v>47962768.3344356</v>
      </c>
      <c r="G72" s="91" t="n">
        <f aca="false">F72-(E72+D72)</f>
        <v>3552797.65440264</v>
      </c>
      <c r="H72" s="91" t="n">
        <f aca="false">IF(G72&gt;0,(D72+E72)*$P$8*0.7,0)</f>
        <v>792717.976638588</v>
      </c>
      <c r="I72" s="91" t="n">
        <f aca="false">IF(G72&gt;0,MIN(G72,H72),0)</f>
        <v>792717.976638588</v>
      </c>
      <c r="J72" s="91" t="n">
        <f aca="false">IF(I72*$P$9&gt;$P$10,(I72*$P$9-$P$10)*$P$7,0)</f>
        <v>146091.806436899</v>
      </c>
      <c r="K72" s="110" t="n">
        <f aca="false">K71+I72</f>
        <v>10904441.5096195</v>
      </c>
    </row>
    <row r="73" customFormat="false" ht="15" hidden="false" customHeight="false" outlineLevel="0" collapsed="false">
      <c r="A73" s="108" t="n">
        <v>71</v>
      </c>
      <c r="B73" s="109" t="n">
        <f aca="false">IF(Übersicht!$C$13&gt;=A73,-Übersicht!$C$6,IF(A73=Übersicht!$C$13+1,Übersicht!$G$9,0))</f>
        <v>0</v>
      </c>
      <c r="C73" s="91" t="n">
        <f aca="false">C72+E73</f>
        <v>-1042770.0137135</v>
      </c>
      <c r="D73" s="91" t="n">
        <f aca="false">F72</f>
        <v>47962768.3344356</v>
      </c>
      <c r="E73" s="91" t="n">
        <f aca="false">$P$4-J72</f>
        <v>-134091.806436899</v>
      </c>
      <c r="F73" s="91" t="n">
        <f aca="false">IF(ISNUMBER(Übersicht!I28),(D73+E73)*(1+Übersicht!I28),(D73+E73)*(1+$P$5))</f>
        <v>51654970.6502386</v>
      </c>
      <c r="G73" s="91" t="n">
        <f aca="false">F73-(E73+D73)</f>
        <v>3826294.12223989</v>
      </c>
      <c r="H73" s="91" t="n">
        <f aca="false">IF(G73&gt;0,(D73+E73)*$P$8*0.7,0)</f>
        <v>853741.876024776</v>
      </c>
      <c r="I73" s="91" t="n">
        <f aca="false">IF(G73&gt;0,MIN(G73,H73),0)</f>
        <v>853741.876024776</v>
      </c>
      <c r="J73" s="91" t="n">
        <f aca="false">IF(I73*$P$9&gt;$P$10,(I73*$P$9-$P$10)*$P$7,0)</f>
        <v>157358.343861074</v>
      </c>
      <c r="K73" s="110" t="n">
        <f aca="false">K72+I73</f>
        <v>11758183.3856443</v>
      </c>
    </row>
    <row r="74" customFormat="false" ht="15" hidden="false" customHeight="false" outlineLevel="0" collapsed="false">
      <c r="A74" s="108" t="n">
        <v>72</v>
      </c>
      <c r="B74" s="109" t="n">
        <f aca="false">IF(Übersicht!$C$13&gt;=A74,-Übersicht!$C$6,IF(A74=Übersicht!$C$13+1,Übersicht!$G$9,0))</f>
        <v>0</v>
      </c>
      <c r="C74" s="91" t="n">
        <f aca="false">C73+E74</f>
        <v>-1188128.35757458</v>
      </c>
      <c r="D74" s="91" t="n">
        <f aca="false">F73</f>
        <v>51654970.6502386</v>
      </c>
      <c r="E74" s="91" t="n">
        <f aca="false">$P$4-J73</f>
        <v>-145358.343861074</v>
      </c>
      <c r="F74" s="91" t="n">
        <f aca="false">IF(ISNUMBER(Übersicht!I29),(D74+E74)*(1+Übersicht!I29),(D74+E74)*(1+$P$5))</f>
        <v>55630381.2908877</v>
      </c>
      <c r="G74" s="91" t="n">
        <f aca="false">F74-(E74+D74)</f>
        <v>4120768.98451021</v>
      </c>
      <c r="H74" s="91" t="n">
        <f aca="false">IF(G74&gt;0,(D74+E74)*$P$8*0.7,0)</f>
        <v>919446.579668838</v>
      </c>
      <c r="I74" s="91" t="n">
        <f aca="false">IF(G74&gt;0,MIN(G74,H74),0)</f>
        <v>919446.579668838</v>
      </c>
      <c r="J74" s="91" t="n">
        <f aca="false">IF(I74*$P$9&gt;$P$10,(I74*$P$9-$P$10)*$P$7,0)</f>
        <v>169489.074771359</v>
      </c>
      <c r="K74" s="110" t="n">
        <f aca="false">K73+I74</f>
        <v>12677629.9653131</v>
      </c>
    </row>
    <row r="75" customFormat="false" ht="15" hidden="false" customHeight="false" outlineLevel="0" collapsed="false">
      <c r="A75" s="108" t="n">
        <v>73</v>
      </c>
      <c r="B75" s="109" t="n">
        <f aca="false">IF(Übersicht!$C$13&gt;=A75,-Übersicht!$C$6,IF(A75=Übersicht!$C$13+1,Übersicht!$G$9,0))</f>
        <v>0</v>
      </c>
      <c r="C75" s="91" t="n">
        <f aca="false">C74+E75</f>
        <v>-1345617.43234594</v>
      </c>
      <c r="D75" s="91" t="n">
        <f aca="false">F74</f>
        <v>55630381.2908877</v>
      </c>
      <c r="E75" s="91" t="n">
        <f aca="false">$P$4-J74</f>
        <v>-157489.074771359</v>
      </c>
      <c r="F75" s="91" t="n">
        <f aca="false">IF(ISNUMBER(Übersicht!I30),(D75+E75)*(1+Übersicht!I30),(D75+E75)*(1+$P$5))</f>
        <v>59910723.5934057</v>
      </c>
      <c r="G75" s="91" t="n">
        <f aca="false">F75-(E75+D75)</f>
        <v>4437831.37728931</v>
      </c>
      <c r="H75" s="91" t="n">
        <f aca="false">IF(G75&gt;0,(D75+E75)*$P$8*0.7,0)</f>
        <v>990191.126057677</v>
      </c>
      <c r="I75" s="91" t="n">
        <f aca="false">IF(G75&gt;0,MIN(G75,H75),0)</f>
        <v>990191.126057677</v>
      </c>
      <c r="J75" s="91" t="n">
        <f aca="false">IF(I75*$P$9&gt;$P$10,(I75*$P$9-$P$10)*$P$7,0)</f>
        <v>182550.286648399</v>
      </c>
      <c r="K75" s="110" t="n">
        <f aca="false">K74+I75</f>
        <v>13667821.0913708</v>
      </c>
    </row>
    <row r="76" customFormat="false" ht="15" hidden="false" customHeight="false" outlineLevel="0" collapsed="false">
      <c r="A76" s="108" t="n">
        <v>74</v>
      </c>
      <c r="B76" s="109" t="n">
        <f aca="false">IF(Übersicht!$C$13&gt;=A76,-Übersicht!$C$6,IF(A76=Übersicht!$C$13+1,Übersicht!$G$9,0))</f>
        <v>0</v>
      </c>
      <c r="C76" s="91" t="n">
        <f aca="false">C75+E76</f>
        <v>-1516167.71899434</v>
      </c>
      <c r="D76" s="91" t="n">
        <f aca="false">F75</f>
        <v>59910723.5934057</v>
      </c>
      <c r="E76" s="91" t="n">
        <f aca="false">$P$4-J75</f>
        <v>-170550.286648399</v>
      </c>
      <c r="F76" s="91" t="n">
        <f aca="false">IF(ISNUMBER(Übersicht!I31),(D76+E76)*(1+Übersicht!I31),(D76+E76)*(1+$P$5))</f>
        <v>64519387.1712978</v>
      </c>
      <c r="G76" s="91" t="n">
        <f aca="false">F76-(E76+D76)</f>
        <v>4779213.86454058</v>
      </c>
      <c r="H76" s="91" t="n">
        <f aca="false">IF(G76&gt;0,(D76+E76)*$P$8*0.7,0)</f>
        <v>1066362.09352562</v>
      </c>
      <c r="I76" s="91" t="n">
        <f aca="false">IF(G76&gt;0,MIN(G76,H76),0)</f>
        <v>1066362.09352562</v>
      </c>
      <c r="J76" s="91" t="n">
        <f aca="false">IF(I76*$P$9&gt;$P$10,(I76*$P$9-$P$10)*$P$7,0)</f>
        <v>196613.351517167</v>
      </c>
      <c r="K76" s="110" t="n">
        <f aca="false">K75+I76</f>
        <v>14734183.1848964</v>
      </c>
    </row>
    <row r="77" customFormat="false" ht="15" hidden="false" customHeight="false" outlineLevel="0" collapsed="false">
      <c r="A77" s="108" t="n">
        <v>75</v>
      </c>
      <c r="B77" s="109" t="n">
        <f aca="false">IF(Übersicht!$C$13&gt;=A77,-Übersicht!$C$6,IF(A77=Übersicht!$C$13+1,Übersicht!$G$9,0))</f>
        <v>0</v>
      </c>
      <c r="C77" s="91" t="n">
        <f aca="false">C76+E77</f>
        <v>-1700781.0705115</v>
      </c>
      <c r="D77" s="91" t="n">
        <f aca="false">F76</f>
        <v>64519387.1712978</v>
      </c>
      <c r="E77" s="91" t="n">
        <f aca="false">$P$4-J76</f>
        <v>-184613.351517167</v>
      </c>
      <c r="F77" s="91" t="n">
        <f aca="false">IF(ISNUMBER(Übersicht!I32),(D77+E77)*(1+Übersicht!I32),(D77+E77)*(1+$P$5))</f>
        <v>69481555.7253631</v>
      </c>
      <c r="G77" s="91" t="n">
        <f aca="false">F77-(E77+D77)</f>
        <v>5146781.90558247</v>
      </c>
      <c r="H77" s="91" t="n">
        <f aca="false">IF(G77&gt;0,(D77+E77)*$P$8*0.7,0)</f>
        <v>1148375.71268308</v>
      </c>
      <c r="I77" s="91" t="n">
        <f aca="false">IF(G77&gt;0,MIN(G77,H77),0)</f>
        <v>1148375.71268308</v>
      </c>
      <c r="J77" s="91" t="n">
        <f aca="false">IF(I77*$P$9&gt;$P$10,(I77*$P$9-$P$10)*$P$7,0)</f>
        <v>211755.115954114</v>
      </c>
      <c r="K77" s="110" t="n">
        <f aca="false">K76+I77</f>
        <v>15882558.8975795</v>
      </c>
    </row>
    <row r="78" customFormat="false" ht="15" hidden="false" customHeight="false" outlineLevel="0" collapsed="false">
      <c r="A78" s="108" t="n">
        <v>76</v>
      </c>
      <c r="B78" s="109" t="n">
        <f aca="false">IF(Übersicht!$C$13&gt;=A78,-Übersicht!$C$6,IF(A78=Übersicht!$C$13+1,Übersicht!$G$9,0))</f>
        <v>0</v>
      </c>
      <c r="C78" s="91" t="n">
        <f aca="false">C77+E78</f>
        <v>-1900536.18646562</v>
      </c>
      <c r="D78" s="91" t="n">
        <f aca="false">F77</f>
        <v>69481555.7253631</v>
      </c>
      <c r="E78" s="91" t="n">
        <f aca="false">$P$4-J77</f>
        <v>-199755.115954114</v>
      </c>
      <c r="F78" s="91" t="n">
        <f aca="false">IF(ISNUMBER(Übersicht!I33),(D78+E78)*(1+Übersicht!I33),(D78+E78)*(1+$P$5))</f>
        <v>74824344.6581617</v>
      </c>
      <c r="G78" s="91" t="n">
        <f aca="false">F78-(E78+D78)</f>
        <v>5542544.04875273</v>
      </c>
      <c r="H78" s="91" t="n">
        <f aca="false">IF(G78&gt;0,(D78+E78)*$P$8*0.7,0)</f>
        <v>1236680.14087795</v>
      </c>
      <c r="I78" s="91" t="n">
        <f aca="false">IF(G78&gt;0,MIN(G78,H78),0)</f>
        <v>1236680.14087795</v>
      </c>
      <c r="J78" s="91" t="n">
        <f aca="false">IF(I78*$P$9&gt;$P$10,(I78*$P$9-$P$10)*$P$7,0)</f>
        <v>228058.321009592</v>
      </c>
      <c r="K78" s="110" t="n">
        <f aca="false">K77+I78</f>
        <v>17119239.0384575</v>
      </c>
    </row>
    <row r="79" customFormat="false" ht="15" hidden="false" customHeight="false" outlineLevel="0" collapsed="false">
      <c r="A79" s="108" t="n">
        <v>77</v>
      </c>
      <c r="B79" s="109" t="n">
        <f aca="false">IF(Übersicht!$C$13&gt;=A79,-Übersicht!$C$6,IF(A79=Übersicht!$C$13+1,Übersicht!$G$9,0))</f>
        <v>0</v>
      </c>
      <c r="C79" s="91" t="n">
        <f aca="false">C78+E79</f>
        <v>-2116594.50747521</v>
      </c>
      <c r="D79" s="91" t="n">
        <f aca="false">F78</f>
        <v>74824344.6581617</v>
      </c>
      <c r="E79" s="91" t="n">
        <f aca="false">$P$4-J78</f>
        <v>-216058.321009592</v>
      </c>
      <c r="F79" s="91" t="n">
        <f aca="false">IF(ISNUMBER(Übersicht!I34),(D79+E79)*(1+Übersicht!I34),(D79+E79)*(1+$P$5))</f>
        <v>80576949.2441243</v>
      </c>
      <c r="G79" s="91" t="n">
        <f aca="false">F79-(E79+D79)</f>
        <v>5968662.90697218</v>
      </c>
      <c r="H79" s="91" t="n">
        <f aca="false">IF(G79&gt;0,(D79+E79)*$P$8*0.7,0)</f>
        <v>1331757.91111817</v>
      </c>
      <c r="I79" s="91" t="n">
        <f aca="false">IF(G79&gt;0,MIN(G79,H79),0)</f>
        <v>1331757.91111817</v>
      </c>
      <c r="J79" s="91" t="n">
        <f aca="false">IF(I79*$P$9&gt;$P$10,(I79*$P$9-$P$10)*$P$7,0)</f>
        <v>245612.054340191</v>
      </c>
      <c r="K79" s="110" t="n">
        <f aca="false">K78+I79</f>
        <v>18450996.9495756</v>
      </c>
    </row>
    <row r="80" customFormat="false" ht="15" hidden="false" customHeight="false" outlineLevel="0" collapsed="false">
      <c r="A80" s="108" t="n">
        <v>78</v>
      </c>
      <c r="B80" s="109" t="n">
        <f aca="false">IF(Übersicht!$C$13&gt;=A80,-Übersicht!$C$6,IF(A80=Übersicht!$C$13+1,Übersicht!$G$9,0))</f>
        <v>0</v>
      </c>
      <c r="C80" s="91" t="n">
        <f aca="false">C79+E80</f>
        <v>-2350206.5618154</v>
      </c>
      <c r="D80" s="91" t="n">
        <f aca="false">F79</f>
        <v>80576949.2441243</v>
      </c>
      <c r="E80" s="91" t="n">
        <f aca="false">$P$4-J79</f>
        <v>-233612.054340191</v>
      </c>
      <c r="F80" s="91" t="n">
        <f aca="false">IF(ISNUMBER(Übersicht!I35),(D80+E80)*(1+Übersicht!I35),(D80+E80)*(1+$P$5))</f>
        <v>86770804.1649669</v>
      </c>
      <c r="G80" s="91" t="n">
        <f aca="false">F80-(E80+D80)</f>
        <v>6427466.97518274</v>
      </c>
      <c r="H80" s="91" t="n">
        <f aca="false">IF(G80&gt;0,(D80+E80)*$P$8*0.7,0)</f>
        <v>1434128.56883765</v>
      </c>
      <c r="I80" s="91" t="n">
        <f aca="false">IF(G80&gt;0,MIN(G80,H80),0)</f>
        <v>1434128.56883765</v>
      </c>
      <c r="J80" s="91" t="n">
        <f aca="false">IF(I80*$P$9&gt;$P$10,(I80*$P$9-$P$10)*$P$7,0)</f>
        <v>264512.237021651</v>
      </c>
      <c r="K80" s="110" t="n">
        <f aca="false">K79+I80</f>
        <v>19885125.5184133</v>
      </c>
    </row>
    <row r="81" customFormat="false" ht="15" hidden="false" customHeight="false" outlineLevel="0" collapsed="false">
      <c r="A81" s="108" t="n">
        <v>79</v>
      </c>
      <c r="B81" s="109" t="n">
        <f aca="false">IF(Übersicht!$C$13&gt;=A81,-Übersicht!$C$6,IF(A81=Übersicht!$C$13+1,Übersicht!$G$9,0))</f>
        <v>0</v>
      </c>
      <c r="C81" s="91" t="n">
        <f aca="false">C80+E81</f>
        <v>-2602718.79883705</v>
      </c>
      <c r="D81" s="91" t="n">
        <f aca="false">F80</f>
        <v>86770804.1649669</v>
      </c>
      <c r="E81" s="91" t="n">
        <f aca="false">$P$4-J80</f>
        <v>-252512.237021651</v>
      </c>
      <c r="F81" s="91" t="n">
        <f aca="false">IF(ISNUMBER(Übersicht!I36),(D81+E81)*(1+Übersicht!I36),(D81+E81)*(1+$P$5))</f>
        <v>93439755.2821809</v>
      </c>
      <c r="G81" s="91" t="n">
        <f aca="false">F81-(E81+D81)</f>
        <v>6921463.35423562</v>
      </c>
      <c r="H81" s="91" t="n">
        <f aca="false">IF(G81&gt;0,(D81+E81)*$P$8*0.7,0)</f>
        <v>1544351.51091382</v>
      </c>
      <c r="I81" s="91" t="n">
        <f aca="false">IF(G81&gt;0,MIN(G81,H81),0)</f>
        <v>1544351.51091382</v>
      </c>
      <c r="J81" s="91" t="n">
        <f aca="false">IF(I81*$P$9&gt;$P$10,(I81*$P$9-$P$10)*$P$7,0)</f>
        <v>284862.147702464</v>
      </c>
      <c r="K81" s="110" t="n">
        <f aca="false">K80+I81</f>
        <v>21429477.0293271</v>
      </c>
    </row>
    <row r="82" customFormat="false" ht="15" hidden="false" customHeight="false" outlineLevel="0" collapsed="false">
      <c r="A82" s="108" t="n">
        <v>80</v>
      </c>
      <c r="B82" s="109" t="n">
        <f aca="false">IF(Übersicht!$C$13&gt;=A82,-Übersicht!$C$6,IF(A82=Übersicht!$C$13+1,Übersicht!$G$9,0))</f>
        <v>0</v>
      </c>
      <c r="C82" s="91" t="n">
        <f aca="false">C81+E82</f>
        <v>-2875580.94653951</v>
      </c>
      <c r="D82" s="91" t="n">
        <f aca="false">F81</f>
        <v>93439755.2821809</v>
      </c>
      <c r="E82" s="91" t="n">
        <f aca="false">$P$4-J81</f>
        <v>-272862.147702464</v>
      </c>
      <c r="F82" s="91" t="n">
        <f aca="false">IF(ISNUMBER(Übersicht!I37),(D82+E82)*(1+Übersicht!I37),(D82+E82)*(1+$P$5))</f>
        <v>100620244.585237</v>
      </c>
      <c r="G82" s="91" t="n">
        <f aca="false">F82-(E82+D82)</f>
        <v>7453351.45075828</v>
      </c>
      <c r="H82" s="91" t="n">
        <f aca="false">IF(G82&gt;0,(D82+E82)*$P$8*0.7,0)</f>
        <v>1663029.04245044</v>
      </c>
      <c r="I82" s="91" t="n">
        <f aca="false">IF(G82&gt;0,MIN(G82,H82),0)</f>
        <v>1663029.04245044</v>
      </c>
      <c r="J82" s="91" t="n">
        <f aca="false">IF(I82*$P$9&gt;$P$10,(I82*$P$9-$P$10)*$P$7,0)</f>
        <v>306772.986962412</v>
      </c>
      <c r="K82" s="110" t="n">
        <f aca="false">K81+I82</f>
        <v>23092506.0717775</v>
      </c>
    </row>
    <row r="83" customFormat="false" ht="15" hidden="false" customHeight="false" outlineLevel="0" collapsed="false">
      <c r="A83" s="108" t="n">
        <v>81</v>
      </c>
      <c r="B83" s="109" t="n">
        <f aca="false">IF(Übersicht!$C$13&gt;=A83,-Übersicht!$C$6,IF(A83=Übersicht!$C$13+1,Übersicht!$G$9,0))</f>
        <v>0</v>
      </c>
      <c r="C83" s="91" t="n">
        <f aca="false">C82+E83</f>
        <v>-3170353.93350193</v>
      </c>
      <c r="D83" s="91" t="n">
        <f aca="false">F82</f>
        <v>100620244.585237</v>
      </c>
      <c r="E83" s="91" t="n">
        <f aca="false">$P$4-J82</f>
        <v>-294772.986962412</v>
      </c>
      <c r="F83" s="91" t="n">
        <f aca="false">IF(ISNUMBER(Übersicht!K18),(D83+E83)*(1+Übersicht!K18),(D83+E83)*(1+$P$5))</f>
        <v>108351509.326136</v>
      </c>
      <c r="G83" s="91" t="n">
        <f aca="false">F83-(E83+D83)</f>
        <v>8026037.72786194</v>
      </c>
      <c r="H83" s="91" t="n">
        <f aca="false">IF(G83&gt;0,(D83+E83)*$P$8*0.7,0)</f>
        <v>1790809.6680292</v>
      </c>
      <c r="I83" s="91" t="n">
        <f aca="false">IF(G83&gt;0,MIN(G83,H83),0)</f>
        <v>1790809.6680292</v>
      </c>
      <c r="J83" s="91" t="n">
        <f aca="false">IF(I83*$P$9&gt;$P$10,(I83*$P$9-$P$10)*$P$7,0)</f>
        <v>330364.48495989</v>
      </c>
      <c r="K83" s="110" t="n">
        <f aca="false">K82+I83</f>
        <v>24883315.7398067</v>
      </c>
    </row>
    <row r="84" customFormat="false" ht="15" hidden="false" customHeight="false" outlineLevel="0" collapsed="false">
      <c r="A84" s="108" t="n">
        <v>82</v>
      </c>
      <c r="B84" s="109" t="n">
        <f aca="false">IF(Übersicht!$C$13&gt;=A84,-Übersicht!$C$6,IF(A84=Übersicht!$C$13+1,Übersicht!$G$9,0))</f>
        <v>0</v>
      </c>
      <c r="C84" s="91" t="n">
        <f aca="false">C83+E84</f>
        <v>-3488718.41846182</v>
      </c>
      <c r="D84" s="91" t="n">
        <f aca="false">F83</f>
        <v>108351509.326136</v>
      </c>
      <c r="E84" s="91" t="n">
        <f aca="false">$P$4-J83</f>
        <v>-318364.48495989</v>
      </c>
      <c r="F84" s="91" t="n">
        <f aca="false">IF(ISNUMBER(Übersicht!K19),(D84+E84)*(1+Übersicht!K19),(D84+E84)*(1+$P$5))</f>
        <v>116675796.42847</v>
      </c>
      <c r="G84" s="91" t="n">
        <f aca="false">F84-(E84+D84)</f>
        <v>8642651.58729412</v>
      </c>
      <c r="H84" s="91" t="n">
        <f aca="false">IF(G84&gt;0,(D84+E84)*$P$8*0.7,0)</f>
        <v>1928391.635415</v>
      </c>
      <c r="I84" s="91" t="n">
        <f aca="false">IF(G84&gt;0,MIN(G84,H84),0)</f>
        <v>1928391.635415</v>
      </c>
      <c r="J84" s="91" t="n">
        <f aca="false">IF(I84*$P$9&gt;$P$10,(I84*$P$9-$P$10)*$P$7,0)</f>
        <v>355765.555688494</v>
      </c>
      <c r="K84" s="110" t="n">
        <f aca="false">K83+I84</f>
        <v>26811707.3752217</v>
      </c>
    </row>
    <row r="85" customFormat="false" ht="15" hidden="false" customHeight="false" outlineLevel="0" collapsed="false">
      <c r="A85" s="108" t="n">
        <v>83</v>
      </c>
      <c r="B85" s="109" t="n">
        <f aca="false">IF(Übersicht!$C$13&gt;=A85,-Übersicht!$C$6,IF(A85=Übersicht!$C$13+1,Übersicht!$G$9,0))</f>
        <v>0</v>
      </c>
      <c r="C85" s="91" t="n">
        <f aca="false">C84+E85</f>
        <v>-3832483.97415031</v>
      </c>
      <c r="D85" s="91" t="n">
        <f aca="false">F84</f>
        <v>116675796.42847</v>
      </c>
      <c r="E85" s="91" t="n">
        <f aca="false">$P$4-J84</f>
        <v>-343765.555688494</v>
      </c>
      <c r="F85" s="91" t="n">
        <f aca="false">IF(ISNUMBER(Übersicht!K20),(D85+E85)*(1+Übersicht!K20),(D85+E85)*(1+$P$5))</f>
        <v>125638593.342604</v>
      </c>
      <c r="G85" s="91" t="n">
        <f aca="false">F85-(E85+D85)</f>
        <v>9306562.46982256</v>
      </c>
      <c r="H85" s="91" t="n">
        <f aca="false">IF(G85&gt;0,(D85+E85)*$P$8*0.7,0)</f>
        <v>2076526.75107916</v>
      </c>
      <c r="I85" s="91" t="n">
        <f aca="false">IF(G85&gt;0,MIN(G85,H85),0)</f>
        <v>2076526.75107916</v>
      </c>
      <c r="J85" s="91" t="n">
        <f aca="false">IF(I85*$P$9&gt;$P$10,(I85*$P$9-$P$10)*$P$7,0)</f>
        <v>383115.001417989</v>
      </c>
      <c r="K85" s="110" t="n">
        <f aca="false">K84+I85</f>
        <v>28888234.1263009</v>
      </c>
    </row>
    <row r="86" customFormat="false" ht="15" hidden="false" customHeight="false" outlineLevel="0" collapsed="false">
      <c r="A86" s="108" t="n">
        <v>84</v>
      </c>
      <c r="B86" s="109" t="n">
        <f aca="false">IF(Übersicht!$C$13&gt;=A86,-Übersicht!$C$6,IF(A86=Übersicht!$C$13+1,Übersicht!$G$9,0))</f>
        <v>0</v>
      </c>
      <c r="C86" s="91" t="n">
        <f aca="false">C85+E86</f>
        <v>-4203598.9755683</v>
      </c>
      <c r="D86" s="91" t="n">
        <f aca="false">F85</f>
        <v>125638593.342604</v>
      </c>
      <c r="E86" s="91" t="n">
        <f aca="false">$P$4-J85</f>
        <v>-371115.001417989</v>
      </c>
      <c r="F86" s="91" t="n">
        <f aca="false">IF(ISNUMBER(Übersicht!K21),(D86+E86)*(1+Übersicht!K21),(D86+E86)*(1+$P$5))</f>
        <v>135288876.608481</v>
      </c>
      <c r="G86" s="91" t="n">
        <f aca="false">F86-(E86+D86)</f>
        <v>10021398.2672949</v>
      </c>
      <c r="H86" s="91" t="n">
        <f aca="false">IF(G86&gt;0,(D86+E86)*$P$8*0.7,0)</f>
        <v>2236024.48839018</v>
      </c>
      <c r="I86" s="91" t="n">
        <f aca="false">IF(G86&gt;0,MIN(G86,H86),0)</f>
        <v>2236024.48839018</v>
      </c>
      <c r="J86" s="91" t="n">
        <f aca="false">IF(I86*$P$9&gt;$P$10,(I86*$P$9-$P$10)*$P$7,0)</f>
        <v>412562.271169037</v>
      </c>
      <c r="K86" s="110" t="n">
        <f aca="false">K85+I86</f>
        <v>31124258.6146911</v>
      </c>
    </row>
    <row r="87" customFormat="false" ht="15" hidden="false" customHeight="false" outlineLevel="0" collapsed="false">
      <c r="A87" s="108" t="n">
        <v>85</v>
      </c>
      <c r="B87" s="109" t="n">
        <f aca="false">IF(Übersicht!$C$13&gt;=A87,-Übersicht!$C$6,IF(A87=Übersicht!$C$13+1,Übersicht!$G$9,0))</f>
        <v>0</v>
      </c>
      <c r="C87" s="91" t="n">
        <f aca="false">C86+E87</f>
        <v>-4604161.24673734</v>
      </c>
      <c r="D87" s="91" t="n">
        <f aca="false">F86</f>
        <v>135288876.608481</v>
      </c>
      <c r="E87" s="91" t="n">
        <f aca="false">$P$4-J86</f>
        <v>-400562.271169037</v>
      </c>
      <c r="F87" s="91" t="n">
        <f aca="false">IF(ISNUMBER(Übersicht!K22),(D87+E87)*(1+Übersicht!K22),(D87+E87)*(1+$P$5))</f>
        <v>145679379.484297</v>
      </c>
      <c r="G87" s="91" t="n">
        <f aca="false">F87-(E87+D87)</f>
        <v>10791065.146985</v>
      </c>
      <c r="H87" s="91" t="n">
        <f aca="false">IF(G87&gt;0,(D87+E87)*$P$8*0.7,0)</f>
        <v>2407756.41092103</v>
      </c>
      <c r="I87" s="91" t="n">
        <f aca="false">IF(G87&gt;0,MIN(G87,H87),0)</f>
        <v>2407756.41092103</v>
      </c>
      <c r="J87" s="91" t="n">
        <f aca="false">IF(I87*$P$9&gt;$P$10,(I87*$P$9-$P$10)*$P$7,0)</f>
        <v>444268.277366294</v>
      </c>
      <c r="K87" s="110" t="n">
        <f aca="false">K86+I87</f>
        <v>33532015.0256121</v>
      </c>
    </row>
    <row r="88" customFormat="false" ht="15" hidden="false" customHeight="false" outlineLevel="0" collapsed="false">
      <c r="A88" s="108" t="n">
        <v>86</v>
      </c>
      <c r="B88" s="109" t="n">
        <f aca="false">IF(Übersicht!$C$13&gt;=A88,-Übersicht!$C$6,IF(A88=Übersicht!$C$13+1,Übersicht!$G$9,0))</f>
        <v>0</v>
      </c>
      <c r="C88" s="91" t="n">
        <f aca="false">C87+E88</f>
        <v>-5036429.52410363</v>
      </c>
      <c r="D88" s="91" t="n">
        <f aca="false">F87</f>
        <v>145679379.484297</v>
      </c>
      <c r="E88" s="91" t="n">
        <f aca="false">$P$4-J87</f>
        <v>-432268.277366294</v>
      </c>
      <c r="F88" s="91" t="n">
        <f aca="false">IF(ISNUMBER(Übersicht!K23),(D88+E88)*(1+Übersicht!K23),(D88+E88)*(1+$P$5))</f>
        <v>156866880.103486</v>
      </c>
      <c r="G88" s="91" t="n">
        <f aca="false">F88-(E88+D88)</f>
        <v>11619768.8965545</v>
      </c>
      <c r="H88" s="91" t="n">
        <f aca="false">IF(G88&gt;0,(D88+E88)*$P$8*0.7,0)</f>
        <v>2592660.93504372</v>
      </c>
      <c r="I88" s="91" t="n">
        <f aca="false">IF(G88&gt;0,MIN(G88,H88),0)</f>
        <v>2592660.93504372</v>
      </c>
      <c r="J88" s="91" t="n">
        <f aca="false">IF(I88*$P$9&gt;$P$10,(I88*$P$9-$P$10)*$P$7,0)</f>
        <v>478406.275132447</v>
      </c>
      <c r="K88" s="110" t="n">
        <f aca="false">K87+I88</f>
        <v>36124675.9606558</v>
      </c>
    </row>
    <row r="89" customFormat="false" ht="15" hidden="false" customHeight="false" outlineLevel="0" collapsed="false">
      <c r="A89" s="108" t="n">
        <v>87</v>
      </c>
      <c r="B89" s="109" t="n">
        <f aca="false">IF(Übersicht!$C$13&gt;=A89,-Übersicht!$C$6,IF(A89=Übersicht!$C$13+1,Übersicht!$G$9,0))</f>
        <v>0</v>
      </c>
      <c r="C89" s="91" t="n">
        <f aca="false">C88+E89</f>
        <v>-5502835.79923608</v>
      </c>
      <c r="D89" s="91" t="n">
        <f aca="false">F88</f>
        <v>156866880.103486</v>
      </c>
      <c r="E89" s="91" t="n">
        <f aca="false">$P$4-J88</f>
        <v>-466406.275132447</v>
      </c>
      <c r="F89" s="91" t="n">
        <f aca="false">IF(ISNUMBER(Übersicht!K24),(D89+E89)*(1+Übersicht!K24),(D89+E89)*(1+$P$5))</f>
        <v>168912511.734621</v>
      </c>
      <c r="G89" s="91" t="n">
        <f aca="false">F89-(E89+D89)</f>
        <v>12512037.9062683</v>
      </c>
      <c r="H89" s="91" t="n">
        <f aca="false">IF(G89&gt;0,(D89+E89)*$P$8*0.7,0)</f>
        <v>2791748.4578361</v>
      </c>
      <c r="I89" s="91" t="n">
        <f aca="false">IF(G89&gt;0,MIN(G89,H89),0)</f>
        <v>2791748.4578361</v>
      </c>
      <c r="J89" s="91" t="n">
        <f aca="false">IF(I89*$P$9&gt;$P$10,(I89*$P$9-$P$10)*$P$7,0)</f>
        <v>515162.809027991</v>
      </c>
      <c r="K89" s="110" t="n">
        <f aca="false">K88+I89</f>
        <v>38916424.4184919</v>
      </c>
    </row>
    <row r="90" customFormat="false" ht="15" hidden="false" customHeight="false" outlineLevel="0" collapsed="false">
      <c r="A90" s="108" t="n">
        <v>88</v>
      </c>
      <c r="B90" s="109" t="n">
        <f aca="false">IF(Übersicht!$C$13&gt;=A90,-Übersicht!$C$6,IF(A90=Übersicht!$C$13+1,Übersicht!$G$9,0))</f>
        <v>0</v>
      </c>
      <c r="C90" s="91" t="n">
        <f aca="false">C89+E90</f>
        <v>-6005998.60826407</v>
      </c>
      <c r="D90" s="91" t="n">
        <f aca="false">F89</f>
        <v>168912511.734621</v>
      </c>
      <c r="E90" s="91" t="n">
        <f aca="false">$P$4-J89</f>
        <v>-503162.809027991</v>
      </c>
      <c r="F90" s="91" t="n">
        <f aca="false">IF(ISNUMBER(Übersicht!K25),(D90+E90)*(1+Übersicht!K25),(D90+E90)*(1+$P$5))</f>
        <v>181882096.839641</v>
      </c>
      <c r="G90" s="91" t="n">
        <f aca="false">F90-(E90+D90)</f>
        <v>13472747.9140475</v>
      </c>
      <c r="H90" s="91" t="n">
        <f aca="false">IF(G90&gt;0,(D90+E90)*$P$8*0.7,0)</f>
        <v>3006106.87832184</v>
      </c>
      <c r="I90" s="91" t="n">
        <f aca="false">IF(G90&gt;0,MIN(G90,H90),0)</f>
        <v>3006106.87832184</v>
      </c>
      <c r="J90" s="91" t="n">
        <f aca="false">IF(I90*$P$9&gt;$P$10,(I90*$P$9-$P$10)*$P$7,0)</f>
        <v>554738.73241017</v>
      </c>
      <c r="K90" s="110" t="n">
        <f aca="false">K89+I90</f>
        <v>41922531.2968138</v>
      </c>
    </row>
    <row r="91" customFormat="false" ht="15" hidden="false" customHeight="false" outlineLevel="0" collapsed="false">
      <c r="A91" s="108" t="n">
        <v>89</v>
      </c>
      <c r="B91" s="109" t="n">
        <f aca="false">IF(Übersicht!$C$13&gt;=A91,-Übersicht!$C$6,IF(A91=Übersicht!$C$13+1,Übersicht!$G$9,0))</f>
        <v>0</v>
      </c>
      <c r="C91" s="91" t="n">
        <f aca="false">C90+E91</f>
        <v>-6548737.34067424</v>
      </c>
      <c r="D91" s="91" t="n">
        <f aca="false">F90</f>
        <v>181882096.839641</v>
      </c>
      <c r="E91" s="91" t="n">
        <f aca="false">$P$4-J90</f>
        <v>-542738.73241017</v>
      </c>
      <c r="F91" s="91" t="n">
        <f aca="false">IF(ISNUMBER(Übersicht!K26),(D91+E91)*(1+Übersicht!K26),(D91+E91)*(1+$P$5))</f>
        <v>195846506.755809</v>
      </c>
      <c r="G91" s="91" t="n">
        <f aca="false">F91-(E91+D91)</f>
        <v>14507148.6485785</v>
      </c>
      <c r="H91" s="91" t="n">
        <f aca="false">IF(G91&gt;0,(D91+E91)*$P$8*0.7,0)</f>
        <v>3236907.54221407</v>
      </c>
      <c r="I91" s="91" t="n">
        <f aca="false">IF(G91&gt;0,MIN(G91,H91),0)</f>
        <v>3236907.54221407</v>
      </c>
      <c r="J91" s="91" t="n">
        <f aca="false">IF(I91*$P$9&gt;$P$10,(I91*$P$9-$P$10)*$P$7,0)</f>
        <v>597350.304981272</v>
      </c>
      <c r="K91" s="110" t="n">
        <f aca="false">K90+I91</f>
        <v>45159438.8390278</v>
      </c>
    </row>
    <row r="92" customFormat="false" ht="15" hidden="false" customHeight="false" outlineLevel="0" collapsed="false">
      <c r="A92" s="108" t="n">
        <v>90</v>
      </c>
      <c r="B92" s="109" t="n">
        <f aca="false">IF(Übersicht!$C$13&gt;=A92,-Übersicht!$C$6,IF(A92=Übersicht!$C$13+1,Übersicht!$G$9,0))</f>
        <v>0</v>
      </c>
      <c r="C92" s="91" t="n">
        <f aca="false">C91+E92</f>
        <v>-7134087.64565551</v>
      </c>
      <c r="D92" s="91" t="n">
        <f aca="false">F91</f>
        <v>195846506.755809</v>
      </c>
      <c r="E92" s="91" t="n">
        <f aca="false">$P$4-J91</f>
        <v>-585350.304981272</v>
      </c>
      <c r="F92" s="91" t="n">
        <f aca="false">IF(ISNUMBER(Übersicht!K27),(D92+E92)*(1+Übersicht!K27),(D92+E92)*(1+$P$5))</f>
        <v>210882048.966894</v>
      </c>
      <c r="G92" s="91" t="n">
        <f aca="false">F92-(E92+D92)</f>
        <v>15620892.5160663</v>
      </c>
      <c r="H92" s="91" t="n">
        <f aca="false">IF(G92&gt;0,(D92+E92)*$P$8*0.7,0)</f>
        <v>3485411.64264728</v>
      </c>
      <c r="I92" s="91" t="n">
        <f aca="false">IF(G92&gt;0,MIN(G92,H92),0)</f>
        <v>3485411.64264728</v>
      </c>
      <c r="J92" s="91" t="n">
        <f aca="false">IF(I92*$P$9&gt;$P$10,(I92*$P$9-$P$10)*$P$7,0)</f>
        <v>643230.374523754</v>
      </c>
      <c r="K92" s="110" t="n">
        <f aca="false">K91+I92</f>
        <v>48644850.4816751</v>
      </c>
    </row>
    <row r="93" customFormat="false" ht="15" hidden="false" customHeight="false" outlineLevel="0" collapsed="false">
      <c r="A93" s="108" t="n">
        <v>91</v>
      </c>
      <c r="B93" s="109" t="n">
        <f aca="false">IF(Übersicht!$C$13&gt;=A93,-Übersicht!$C$6,IF(A93=Übersicht!$C$13+1,Übersicht!$G$9,0))</f>
        <v>0</v>
      </c>
      <c r="C93" s="91" t="n">
        <f aca="false">C92+E93</f>
        <v>-7765318.02017926</v>
      </c>
      <c r="D93" s="91" t="n">
        <f aca="false">F92</f>
        <v>210882048.966894</v>
      </c>
      <c r="E93" s="91" t="n">
        <f aca="false">$P$4-J92</f>
        <v>-631230.374523754</v>
      </c>
      <c r="F93" s="91" t="n">
        <f aca="false">IF(ISNUMBER(Übersicht!K28),(D93+E93)*(1+Übersicht!K28),(D93+E93)*(1+$P$5))</f>
        <v>227070884.07976</v>
      </c>
      <c r="G93" s="91" t="n">
        <f aca="false">F93-(E93+D93)</f>
        <v>16820065.4873897</v>
      </c>
      <c r="H93" s="91" t="n">
        <f aca="false">IF(G93&gt;0,(D93+E93)*$P$8*0.7,0)</f>
        <v>3752977.11187381</v>
      </c>
      <c r="I93" s="91" t="n">
        <f aca="false">IF(G93&gt;0,MIN(G93,H93),0)</f>
        <v>3752977.11187381</v>
      </c>
      <c r="J93" s="91" t="n">
        <f aca="false">IF(I93*$P$9&gt;$P$10,(I93*$P$9-$P$10)*$P$7,0)</f>
        <v>692629.649279702</v>
      </c>
      <c r="K93" s="110" t="n">
        <f aca="false">K92+I93</f>
        <v>52397827.5935489</v>
      </c>
    </row>
    <row r="94" customFormat="false" ht="15" hidden="false" customHeight="false" outlineLevel="0" collapsed="false">
      <c r="A94" s="108" t="n">
        <v>92</v>
      </c>
      <c r="B94" s="109" t="n">
        <f aca="false">IF(Übersicht!$C$13&gt;=A94,-Übersicht!$C$6,IF(A94=Übersicht!$C$13+1,Übersicht!$G$9,0))</f>
        <v>0</v>
      </c>
      <c r="C94" s="91" t="n">
        <f aca="false">C93+E94</f>
        <v>-8445947.66945897</v>
      </c>
      <c r="D94" s="91" t="n">
        <f aca="false">F93</f>
        <v>227070884.07976</v>
      </c>
      <c r="E94" s="91" t="n">
        <f aca="false">$P$4-J93</f>
        <v>-680629.649279702</v>
      </c>
      <c r="F94" s="91" t="n">
        <f aca="false">IF(ISNUMBER(Übersicht!K29),(D94+E94)*(1+Übersicht!K29),(D94+E94)*(1+$P$5))</f>
        <v>244501474.784919</v>
      </c>
      <c r="G94" s="91" t="n">
        <f aca="false">F94-(E94+D94)</f>
        <v>18111220.3544385</v>
      </c>
      <c r="H94" s="91" t="n">
        <f aca="false">IF(G94&gt;0,(D94+E94)*$P$8*0.7,0)</f>
        <v>4041066.04158407</v>
      </c>
      <c r="I94" s="91" t="n">
        <f aca="false">IF(G94&gt;0,MIN(G94,H94),0)</f>
        <v>4041066.04158407</v>
      </c>
      <c r="J94" s="91" t="n">
        <f aca="false">IF(I94*$P$9&gt;$P$10,(I94*$P$9-$P$10)*$P$7,0)</f>
        <v>745818.06792746</v>
      </c>
      <c r="K94" s="110" t="n">
        <f aca="false">K93+I94</f>
        <v>56438893.635133</v>
      </c>
    </row>
    <row r="95" customFormat="false" ht="15" hidden="false" customHeight="false" outlineLevel="0" collapsed="false">
      <c r="A95" s="108" t="n">
        <v>93</v>
      </c>
      <c r="B95" s="109" t="n">
        <f aca="false">IF(Übersicht!$C$13&gt;=A95,-Übersicht!$C$6,IF(A95=Übersicht!$C$13+1,Übersicht!$G$9,0))</f>
        <v>0</v>
      </c>
      <c r="C95" s="91" t="n">
        <f aca="false">C94+E95</f>
        <v>-9179765.73738643</v>
      </c>
      <c r="D95" s="91" t="n">
        <f aca="false">F94</f>
        <v>244501474.784919</v>
      </c>
      <c r="E95" s="91" t="n">
        <f aca="false">$P$4-J94</f>
        <v>-733818.06792746</v>
      </c>
      <c r="F95" s="91" t="n">
        <f aca="false">IF(ISNUMBER(Übersicht!K30),(D95+E95)*(1+Übersicht!K30),(D95+E95)*(1+$P$5))</f>
        <v>263269069.254351</v>
      </c>
      <c r="G95" s="91" t="n">
        <f aca="false">F95-(E95+D95)</f>
        <v>19501412.5373593</v>
      </c>
      <c r="H95" s="91" t="n">
        <f aca="false">IF(G95&gt;0,(D95+E95)*$P$8*0.7,0)</f>
        <v>4351252.6723983</v>
      </c>
      <c r="I95" s="91" t="n">
        <f aca="false">IF(G95&gt;0,MIN(G95,H95),0)</f>
        <v>4351252.6723983</v>
      </c>
      <c r="J95" s="91" t="n">
        <f aca="false">IF(I95*$P$9&gt;$P$10,(I95*$P$9-$P$10)*$P$7,0)</f>
        <v>803086.274641535</v>
      </c>
      <c r="K95" s="110" t="n">
        <f aca="false">K94+I95</f>
        <v>60790146.3075313</v>
      </c>
    </row>
    <row r="96" customFormat="false" ht="15" hidden="false" customHeight="false" outlineLevel="0" collapsed="false">
      <c r="A96" s="108" t="n">
        <v>94</v>
      </c>
      <c r="B96" s="109" t="n">
        <f aca="false">IF(Übersicht!$C$13&gt;=A96,-Übersicht!$C$6,IF(A96=Übersicht!$C$13+1,Übersicht!$G$9,0))</f>
        <v>0</v>
      </c>
      <c r="C96" s="91" t="n">
        <f aca="false">C95+E96</f>
        <v>-9970852.01202796</v>
      </c>
      <c r="D96" s="91" t="n">
        <f aca="false">F95</f>
        <v>263269069.254351</v>
      </c>
      <c r="E96" s="91" t="n">
        <f aca="false">$P$4-J95</f>
        <v>-791086.274641535</v>
      </c>
      <c r="F96" s="91" t="n">
        <f aca="false">IF(ISNUMBER(Übersicht!K31),(D96+E96)*(1+Übersicht!K31),(D96+E96)*(1+$P$5))</f>
        <v>283476221.618086</v>
      </c>
      <c r="G96" s="91" t="n">
        <f aca="false">F96-(E96+D96)</f>
        <v>20998238.6383768</v>
      </c>
      <c r="H96" s="91" t="n">
        <f aca="false">IF(G96&gt;0,(D96+E96)*$P$8*0.7,0)</f>
        <v>4685231.99618781</v>
      </c>
      <c r="I96" s="91" t="n">
        <f aca="false">IF(G96&gt;0,MIN(G96,H96),0)</f>
        <v>4685231.99618781</v>
      </c>
      <c r="J96" s="91" t="n">
        <f aca="false">IF(I96*$P$9&gt;$P$10,(I96*$P$9-$P$10)*$P$7,0)</f>
        <v>864747.207296174</v>
      </c>
      <c r="K96" s="110" t="n">
        <f aca="false">K95+I96</f>
        <v>65475378.3037191</v>
      </c>
    </row>
    <row r="97" customFormat="false" ht="15" hidden="false" customHeight="false" outlineLevel="0" collapsed="false">
      <c r="A97" s="108" t="n">
        <v>95</v>
      </c>
      <c r="B97" s="109" t="n">
        <f aca="false">IF(Übersicht!$C$13&gt;=A97,-Übersicht!$C$6,IF(A97=Übersicht!$C$13+1,Übersicht!$G$9,0))</f>
        <v>0</v>
      </c>
      <c r="C97" s="91" t="n">
        <f aca="false">C96+E97</f>
        <v>-10823599.2193241</v>
      </c>
      <c r="D97" s="91" t="n">
        <f aca="false">F96</f>
        <v>283476221.618086</v>
      </c>
      <c r="E97" s="91" t="n">
        <f aca="false">$P$4-J96</f>
        <v>-852747.207296174</v>
      </c>
      <c r="F97" s="91" t="n">
        <f aca="false">IF(ISNUMBER(Übersicht!K32),(D97+E97)*(1+Übersicht!K32),(D97+E97)*(1+$P$5))</f>
        <v>305233352.363653</v>
      </c>
      <c r="G97" s="91" t="n">
        <f aca="false">F97-(E97+D97)</f>
        <v>22609877.9528632</v>
      </c>
      <c r="H97" s="91" t="n">
        <f aca="false">IF(G97&gt;0,(D97+E97)*$P$8*0.7,0)</f>
        <v>5044829.0182326</v>
      </c>
      <c r="I97" s="91" t="n">
        <f aca="false">IF(G97&gt;0,MIN(G97,H97),0)</f>
        <v>5044829.0182326</v>
      </c>
      <c r="J97" s="91" t="n">
        <f aca="false">IF(I97*$P$9&gt;$P$10,(I97*$P$9-$P$10)*$P$7,0)</f>
        <v>931137.807491193</v>
      </c>
      <c r="K97" s="110" t="n">
        <f aca="false">K96+I97</f>
        <v>70520207.3219517</v>
      </c>
    </row>
    <row r="98" customFormat="false" ht="15" hidden="false" customHeight="false" outlineLevel="0" collapsed="false">
      <c r="A98" s="108" t="n">
        <v>96</v>
      </c>
      <c r="B98" s="109" t="n">
        <f aca="false">IF(Übersicht!$C$13&gt;=A98,-Übersicht!$C$6,IF(A98=Übersicht!$C$13+1,Übersicht!$G$9,0))</f>
        <v>0</v>
      </c>
      <c r="C98" s="91" t="n">
        <f aca="false">C97+E98</f>
        <v>-11742737.0268153</v>
      </c>
      <c r="D98" s="91" t="n">
        <f aca="false">F97</f>
        <v>305233352.363653</v>
      </c>
      <c r="E98" s="91" t="n">
        <f aca="false">$P$4-J97</f>
        <v>-919137.807491193</v>
      </c>
      <c r="F98" s="91" t="n">
        <f aca="false">IF(ISNUMBER(Übersicht!K33),(D98+E98)*(1+Übersicht!K33),(D98+E98)*(1+$P$5))</f>
        <v>328659351.720655</v>
      </c>
      <c r="G98" s="91" t="n">
        <f aca="false">F98-(E98+D98)</f>
        <v>24345137.164493</v>
      </c>
      <c r="H98" s="91" t="n">
        <f aca="false">IF(G98&gt;0,(D98+E98)*$P$8*0.7,0)</f>
        <v>5432008.72982749</v>
      </c>
      <c r="I98" s="91" t="n">
        <f aca="false">IF(G98&gt;0,MIN(G98,H98),0)</f>
        <v>5432008.72982749</v>
      </c>
      <c r="J98" s="91" t="n">
        <f aca="false">IF(I98*$P$9&gt;$P$10,(I98*$P$9-$P$10)*$P$7,0)</f>
        <v>1002620.8617444</v>
      </c>
      <c r="K98" s="110" t="n">
        <f aca="false">K97+I98</f>
        <v>75952216.0517792</v>
      </c>
    </row>
    <row r="99" customFormat="false" ht="15" hidden="false" customHeight="false" outlineLevel="0" collapsed="false">
      <c r="A99" s="108" t="n">
        <v>97</v>
      </c>
      <c r="B99" s="109" t="n">
        <f aca="false">IF(Übersicht!$C$13&gt;=A99,-Übersicht!$C$6,IF(A99=Übersicht!$C$13+1,Übersicht!$G$9,0))</f>
        <v>0</v>
      </c>
      <c r="C99" s="91" t="n">
        <f aca="false">C98+E99</f>
        <v>-12733357.8885597</v>
      </c>
      <c r="D99" s="91" t="n">
        <f aca="false">F98</f>
        <v>328659351.720655</v>
      </c>
      <c r="E99" s="91" t="n">
        <f aca="false">$P$4-J98</f>
        <v>-990620.8617444</v>
      </c>
      <c r="F99" s="91" t="n">
        <f aca="false">IF(ISNUMBER(Übersicht!K34),(D99+E99)*(1+Übersicht!K34),(D99+E99)*(1+$P$5))</f>
        <v>353882229.327623</v>
      </c>
      <c r="G99" s="91" t="n">
        <f aca="false">F99-(E99+D99)</f>
        <v>26213498.4687129</v>
      </c>
      <c r="H99" s="91" t="n">
        <f aca="false">IF(G99&gt;0,(D99+E99)*$P$8*0.7,0)</f>
        <v>5848886.84583155</v>
      </c>
      <c r="I99" s="91" t="n">
        <f aca="false">IF(G99&gt;0,MIN(G99,H99),0)</f>
        <v>5848886.84583155</v>
      </c>
      <c r="J99" s="91" t="n">
        <f aca="false">IF(I99*$P$9&gt;$P$10,(I99*$P$9-$P$10)*$P$7,0)</f>
        <v>1079586.98391165</v>
      </c>
      <c r="K99" s="110" t="n">
        <f aca="false">K98+I99</f>
        <v>81801102.8976108</v>
      </c>
    </row>
    <row r="100" customFormat="false" ht="15" hidden="false" customHeight="false" outlineLevel="0" collapsed="false">
      <c r="A100" s="108" t="n">
        <v>98</v>
      </c>
      <c r="B100" s="109" t="n">
        <f aca="false">IF(Übersicht!$C$13&gt;=A100,-Übersicht!$C$6,IF(A100=Übersicht!$C$13+1,Übersicht!$G$9,0))</f>
        <v>0</v>
      </c>
      <c r="C100" s="91" t="n">
        <f aca="false">C99+E100</f>
        <v>-13800944.8724714</v>
      </c>
      <c r="D100" s="91" t="n">
        <f aca="false">F99</f>
        <v>353882229.327623</v>
      </c>
      <c r="E100" s="91" t="n">
        <f aca="false">$P$4-J99</f>
        <v>-1067586.98391165</v>
      </c>
      <c r="F100" s="91" t="n">
        <f aca="false">IF(ISNUMBER(Übersicht!K35),(D100+E100)*(1+Übersicht!K35),(D100+E100)*(1+$P$5))</f>
        <v>381039813.731208</v>
      </c>
      <c r="G100" s="91" t="n">
        <f aca="false">F100-(E100+D100)</f>
        <v>28225171.3874969</v>
      </c>
      <c r="H100" s="91" t="n">
        <f aca="false">IF(G100&gt;0,(D100+E100)*$P$8*0.7,0)</f>
        <v>6297741.36583525</v>
      </c>
      <c r="I100" s="91" t="n">
        <f aca="false">IF(G100&gt;0,MIN(G100,H100),0)</f>
        <v>6297741.36583525</v>
      </c>
      <c r="J100" s="91" t="n">
        <f aca="false">IF(I100*$P$9&gt;$P$10,(I100*$P$9-$P$10)*$P$7,0)</f>
        <v>1162456.74966733</v>
      </c>
      <c r="K100" s="110" t="n">
        <f aca="false">K99+I100</f>
        <v>88098844.263446</v>
      </c>
    </row>
    <row r="101" customFormat="false" ht="15" hidden="false" customHeight="false" outlineLevel="0" collapsed="false">
      <c r="A101" s="108" t="n">
        <v>99</v>
      </c>
      <c r="B101" s="109" t="n">
        <f aca="false">IF(Übersicht!$C$13&gt;=A101,-Übersicht!$C$6,IF(A101=Übersicht!$C$13+1,Übersicht!$G$9,0))</f>
        <v>0</v>
      </c>
      <c r="C101" s="91" t="n">
        <f aca="false">C100+E101</f>
        <v>-14951401.6221387</v>
      </c>
      <c r="D101" s="91" t="n">
        <f aca="false">F100</f>
        <v>381039813.731208</v>
      </c>
      <c r="E101" s="91" t="n">
        <f aca="false">$P$4-J100</f>
        <v>-1150456.74966733</v>
      </c>
      <c r="F101" s="91" t="n">
        <f aca="false">IF(ISNUMBER(Übersicht!K36),(D101+E101)*(1+Übersicht!K36),(D101+E101)*(1+$P$5))</f>
        <v>410280505.540064</v>
      </c>
      <c r="G101" s="91" t="n">
        <f aca="false">F101-(E101+D101)</f>
        <v>30391148.5585233</v>
      </c>
      <c r="H101" s="91" t="n">
        <f aca="false">IF(G101&gt;0,(D101+E101)*$P$8*0.7,0)</f>
        <v>6781025.02212051</v>
      </c>
      <c r="I101" s="91" t="n">
        <f aca="false">IF(G101&gt;0,MIN(G101,H101),0)</f>
        <v>6781025.02212051</v>
      </c>
      <c r="J101" s="91" t="n">
        <f aca="false">IF(I101*$P$9&gt;$P$10,(I101*$P$9-$P$10)*$P$7,0)</f>
        <v>1251682.994709</v>
      </c>
      <c r="K101" s="110" t="n">
        <f aca="false">K100+I101</f>
        <v>94879869.2855665</v>
      </c>
    </row>
    <row r="102" customFormat="false" ht="15.75" hidden="false" customHeight="false" outlineLevel="0" collapsed="false">
      <c r="A102" s="115" t="n">
        <v>100</v>
      </c>
      <c r="B102" s="101" t="n">
        <f aca="false">IF(Übersicht!$C$13&gt;=A102,-Übersicht!$C$6,IF(A102=Übersicht!$C$13+1,Übersicht!$G$9,0))</f>
        <v>0</v>
      </c>
      <c r="C102" s="101" t="n">
        <f aca="false">C101+E102</f>
        <v>-16191084.6168477</v>
      </c>
      <c r="D102" s="101" t="n">
        <f aca="false">F101</f>
        <v>410280505.540064</v>
      </c>
      <c r="E102" s="101" t="n">
        <f aca="false">$P$4-J101</f>
        <v>-1239682.994709</v>
      </c>
      <c r="F102" s="101" t="n">
        <f aca="false">IF(ISNUMBER(Übersicht!K37),(D102+E102)*(1+Übersicht!K37),(D102+E102)*(1+$P$5))</f>
        <v>441764088.348984</v>
      </c>
      <c r="G102" s="101" t="n">
        <f aca="false">F102-(E102+D102)</f>
        <v>32723265.8036284</v>
      </c>
      <c r="H102" s="101" t="n">
        <f aca="false">IF(G102&gt;0,(D102+E102)*$P$8*0.7,0)</f>
        <v>7301378.68243459</v>
      </c>
      <c r="I102" s="101" t="n">
        <f aca="false">IF(G102&gt;0,MIN(G102,H102),0)</f>
        <v>7301378.68243459</v>
      </c>
      <c r="J102" s="101" t="n">
        <f aca="false">IF(I102*$P$9&gt;$P$10,(I102*$P$9-$P$10)*$P$7,0)</f>
        <v>1347753.28924449</v>
      </c>
      <c r="K102" s="102" t="n">
        <f aca="false">K101+I102</f>
        <v>102181247.968001</v>
      </c>
    </row>
  </sheetData>
  <sheetProtection sheet="true" objects="true" scenarios="true"/>
  <conditionalFormatting sqref="E3:E102">
    <cfRule type="cellIs" priority="2" operator="lessThan" aboveAverage="0" equalAverage="0" bottom="0" percent="0" rank="0" text="" dxfId="21">
      <formula>0</formula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2019-01-17T09:49:03Z</dcterms:created>
  <dc:creator/>
  <dc:description/>
  <dc:language>de-DE</dc:language>
  <cp:lastModifiedBy/>
  <dcterms:modified xsi:type="dcterms:W3CDTF">2023-12-10T07:18:46Z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