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_rels/sheet10.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13.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comments13.xml" ContentType="application/vnd.openxmlformats-officedocument.spreadsheetml.comments+xml"/>
  <Override PartName="/xl/_rels/workbook.xml.rels" ContentType="application/vnd.openxmlformats-package.relationships+xml"/>
  <Override PartName="/xl/sharedStrings.xml" ContentType="application/vnd.openxmlformats-officedocument.spreadsheetml.sharedStrings+xml"/>
  <Override PartName="/xl/media/image4.png" ContentType="image/png"/>
  <Override PartName="/xl/comments1.xml" ContentType="application/vnd.openxmlformats-officedocument.spreadsheetml.comments+xml"/>
  <Override PartName="/xl/drawings/_rels/drawing1.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5.vml" ContentType="application/vnd.openxmlformats-officedocument.vmlDrawing"/>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true"/>
  <workbookProtection/>
  <bookViews>
    <workbookView showHorizontalScroll="true" showVerticalScroll="true" showSheetTabs="true" xWindow="0" yWindow="0" windowWidth="16384" windowHeight="8192" tabRatio="500" firstSheet="0" activeTab="1"/>
  </bookViews>
  <sheets>
    <sheet name="Input sheet" sheetId="1" state="visible" r:id="rId2"/>
    <sheet name="Valuation output" sheetId="2" state="visible" r:id="rId3"/>
    <sheet name="Stories to Numbers" sheetId="3" state="visible" r:id="rId4"/>
    <sheet name="Valuation as picture" sheetId="4" state="visible" r:id="rId5"/>
    <sheet name="Diagnostics" sheetId="5" state="visible" r:id="rId6"/>
    <sheet name="Option value" sheetId="6" state="visible" r:id="rId7"/>
    <sheet name="Operating lease converter" sheetId="7" state="visible" r:id="rId8"/>
    <sheet name="Synthetic rating" sheetId="8" state="visible" r:id="rId9"/>
    <sheet name="R&amp; D converter" sheetId="9" state="visible" r:id="rId10"/>
    <sheet name="Cost of capital worksheet" sheetId="10" state="visible" r:id="rId11"/>
    <sheet name="Failure Rate worksheet" sheetId="11" state="visible" r:id="rId12"/>
    <sheet name="Summary Sheet" sheetId="12" state="visible" r:id="rId13"/>
    <sheet name="Country equity risk premiums" sheetId="13" state="visible" r:id="rId14"/>
    <sheet name="Industry Averages(US)" sheetId="14" state="visible" r:id="rId15"/>
    <sheet name="Input Stat Distributioons" sheetId="15" state="visible" r:id="rId16"/>
    <sheet name="Industry Average Beta (Global)" sheetId="16" state="visible" r:id="rId17"/>
    <sheet name="Trailing 12 month" sheetId="17" state="visible" r:id="rId18"/>
    <sheet name="Answer keys" sheetId="18" state="visible" r:id="rId19"/>
  </sheets>
  <calcPr iterateCount="100" refMode="A1" iterate="true" iterateDelta="0.000999999999999944"/>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B8" authorId="0">
      <text>
        <r>
          <rPr>
            <sz val="9"/>
            <rFont val="Geneva"/>
            <family val="2"/>
            <charset val="1"/>
          </rPr>
          <t xml:space="preserve">Aswath Damodaran:
</t>
        </r>
        <r>
          <rPr>
            <sz val="9"/>
            <color rgb="FF000000"/>
            <rFont val="Geneva"/>
            <family val="2"/>
            <charset val="1"/>
          </rPr>
          <t xml:space="preserve">If you are in multiple businesses, you can construct your own weighted averages using the industry average table from this spreadsheet and your company's business breakdown.</t>
        </r>
      </text>
    </comment>
    <comment ref="B10" authorId="0">
      <text>
        <r>
          <rPr>
            <sz val="9"/>
            <rFont val="Geneva"/>
            <family val="2"/>
            <charset val="1"/>
          </rPr>
          <t xml:space="preserve">Aswath Damodaran:
</t>
        </r>
        <r>
          <rPr>
            <sz val="9"/>
            <color rgb="FF000000"/>
            <rFont val="Geneva"/>
            <family val="2"/>
            <charset val="1"/>
          </rPr>
          <t xml:space="preserve">Enter the revenues from the most recent period (you can either use annual or the trailing 12 months). If your company had no revenues, enter a very small positive number. (You need a base for your growth rate)</t>
        </r>
      </text>
    </comment>
    <comment ref="B11" authorId="0">
      <text>
        <r>
          <rPr>
            <sz val="9"/>
            <rFont val="Geneva"/>
            <family val="2"/>
            <charset val="1"/>
          </rPr>
          <t xml:space="preserve">Aswath Damodaran:
</t>
        </r>
        <r>
          <rPr>
            <sz val="9"/>
            <color rgb="FF000000"/>
            <rFont val="Geneva"/>
            <family val="2"/>
            <charset val="1"/>
          </rPr>
          <t xml:space="preserve">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B13" authorId="0">
      <text>
        <r>
          <rPr>
            <sz val="9"/>
            <rFont val="Geneva"/>
            <family val="2"/>
            <charset val="1"/>
          </rPr>
          <t xml:space="preserve">Aswath Damodaran:
</t>
        </r>
        <r>
          <rPr>
            <sz val="9"/>
            <color rgb="FF000000"/>
            <rFont val="Geneva"/>
            <family val="2"/>
            <charset val="1"/>
          </rPr>
          <t xml:space="preserve">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B14" authorId="0">
      <text>
        <r>
          <rPr>
            <sz val="9"/>
            <rFont val="Geneva"/>
            <family val="2"/>
            <charset val="1"/>
          </rPr>
          <t xml:space="preserve">Aswath Damodaran:
</t>
        </r>
        <r>
          <rPr>
            <sz val="9"/>
            <color rgb="FF000000"/>
            <rFont val="Geneva"/>
            <family val="2"/>
            <charset val="1"/>
          </rPr>
          <t xml:space="preserve">Enter the book value of interest bearing debt (short and long term) at your company from the most recent balance sheet. (Do not include accounts payable, supplier credit or other non-interest bearing liabilities.) </t>
        </r>
      </text>
    </comment>
    <comment ref="B15" authorId="0">
      <text>
        <r>
          <rPr>
            <sz val="9"/>
            <rFont val="Geneva"/>
            <family val="2"/>
            <charset val="1"/>
          </rPr>
          <t xml:space="preserve">[Threaded comment]
Your version of Excel allows you to read this threaded comment; however, any edits to it will get removed if the file is opened in a newer version of Excel. Learn more: https://go.microsoft.com/fwlink/?linkid=870924
Comment:
    If you have R&amp;D or R&amp;D-like expenses (customer acquisitions, exploration costs, brand advertising), say yes, and input data into the R&amp;D page.</t>
        </r>
      </text>
    </comment>
    <comment ref="B16" authorId="0">
      <text>
        <r>
          <rPr>
            <sz val="9"/>
            <rFont val="Geneva"/>
            <family val="2"/>
            <charset val="1"/>
          </rPr>
          <t xml:space="preserve">[Threaded comment]
Your version of Excel allows you to read this threaded comment; however, any edits to it will get removed if the file is opened in a newer version of Excel. Learn more: https://go.microsoft.com/fwlink/?linkid=870924
Comment:
    If accountants have already converted leases to debt, and you included that debt is cell B12, answer no to this question. Do not double count.</t>
        </r>
      </text>
    </comment>
    <comment ref="B17" authorId="0">
      <text>
        <r>
          <rPr>
            <sz val="9"/>
            <rFont val="Geneva"/>
            <family val="2"/>
            <charset val="1"/>
          </rPr>
          <t xml:space="preserve">Aswath Damodaran:
</t>
        </r>
        <r>
          <rPr>
            <sz val="9"/>
            <color rgb="FF000000"/>
            <rFont val="Geneva"/>
            <family val="2"/>
            <charset val="1"/>
          </rPr>
          <t xml:space="preserve">Enter the cash balance from the most recent balance sheet. This should include marketable securities.</t>
        </r>
      </text>
    </comment>
    <comment ref="B18" authorId="0">
      <text>
        <r>
          <rPr>
            <sz val="9"/>
            <rFont val="Geneva"/>
            <family val="2"/>
            <charset val="1"/>
          </rPr>
          <t xml:space="preserve">Aswath Damodaran:
</t>
        </r>
        <r>
          <rPr>
            <sz val="9"/>
            <color rgb="FF000000"/>
            <rFont val="Geneva"/>
            <family val="2"/>
            <charset val="1"/>
          </rPr>
          <t xml:space="preserve">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r>
      </text>
    </comment>
    <comment ref="B19" authorId="0">
      <text>
        <r>
          <rPr>
            <sz val="9"/>
            <rFont val="Geneva"/>
            <family val="2"/>
            <charset val="1"/>
          </rPr>
          <t xml:space="preserve">Aswath Damodaran:
</t>
        </r>
        <r>
          <rPr>
            <sz val="9"/>
            <color rgb="FF000000"/>
            <rFont val="Geneva"/>
            <family val="2"/>
            <charset val="1"/>
          </rPr>
          <t xml:space="preserve">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r>
      </text>
    </comment>
    <comment ref="B20" authorId="0">
      <text>
        <r>
          <rPr>
            <sz val="9"/>
            <rFont val="Geneva"/>
            <family val="2"/>
            <charset val="1"/>
          </rPr>
          <t xml:space="preserve">Aswath Damodaran:
</t>
        </r>
        <r>
          <rPr>
            <sz val="9"/>
            <color rgb="FF000000"/>
            <rFont val="Geneva"/>
            <family val="2"/>
            <charset val="1"/>
          </rPr>
          <t xml:space="preserve">Enter the most recent update you have on the number of shares. If you have different classes of shares, aggregate them all and enter one number. Count restricted stock units (RSUs) as shares but don't count shares underlying employee options.</t>
        </r>
      </text>
    </comment>
    <comment ref="B21" authorId="0">
      <text>
        <r>
          <rPr>
            <sz val="9"/>
            <rFont val="Geneva"/>
            <family val="2"/>
            <charset val="1"/>
          </rPr>
          <t xml:space="preserve">Aswath Damodaran:
</t>
        </r>
        <r>
          <rPr>
            <sz val="9"/>
            <color rgb="FF000000"/>
            <rFont val="Geneva"/>
            <family val="2"/>
            <charset val="1"/>
          </rPr>
          <t xml:space="preserve">Enter the most recent stock price (how about today's?) in here. </t>
        </r>
      </text>
    </comment>
    <comment ref="B22" authorId="0">
      <text>
        <r>
          <rPr>
            <sz val="9"/>
            <rFont val="Geneva"/>
            <family val="2"/>
            <charset val="1"/>
          </rPr>
          <t xml:space="preserve">Aswath Damodaran:
</t>
        </r>
        <r>
          <rPr>
            <sz val="9"/>
            <color rgb="FF000000"/>
            <rFont val="Geneva"/>
            <family val="2"/>
            <charset val="1"/>
          </rPr>
          <t xml:space="preserve">Enter your effective (not marginal) tax rate for your firm. You will find this in your company's annual report. If you cannot, you can compute it as follows, from the income statement:
Effective tax rate = Taxes paid/ Taxable income
If your effective tax rate varies across years, you can use an average. If the effective tax rate is less than zero, enter zero.
If you have a money losing company, don't enter zero but enter the tax rate that you will have when you start making money.</t>
        </r>
      </text>
    </comment>
    <comment ref="B23" authorId="0">
      <text>
        <r>
          <rPr>
            <sz val="9"/>
            <rFont val="Geneva"/>
            <family val="2"/>
            <charset val="1"/>
          </rPr>
          <t xml:space="preserve">Aswath Damodaran:
</t>
        </r>
        <r>
          <rPr>
            <sz val="9"/>
            <color rgb="FF000000"/>
            <rFont val="Geneva"/>
            <family val="2"/>
            <charset val="1"/>
          </rPr>
          <t xml:space="preserve">This is a statutory tax rate. I use the tax rate of the country the company is domiciled in. See worksheet embedded in this spreadshseet for country tax rates.</t>
        </r>
      </text>
    </comment>
    <comment ref="B25" authorId="0">
      <text>
        <r>
          <rPr>
            <sz val="9"/>
            <rFont val="Geneva"/>
            <family val="2"/>
            <charset val="1"/>
          </rPr>
          <t xml:space="preserve">[Threaded comment]
Your version of Excel allows you to read this threaded comment; however, any edits to it will get removed if the file is opened in a newer version of Excel. Learn more: https://go.microsoft.com/fwlink/?linkid=870924
Comment:
    If you want to adjust for something specific (an aberrant base year, an unusual upcoming year, you can use your year 1 revenue growth rate to do that.</t>
        </r>
      </text>
    </comment>
    <comment ref="B27" authorId="0">
      <text>
        <r>
          <rPr>
            <sz val="9"/>
            <rFont val="Geneva"/>
            <family val="2"/>
            <charset val="1"/>
          </rPr>
          <t xml:space="preserve">Aswath Damodaran:
</t>
        </r>
        <r>
          <rPr>
            <sz val="9"/>
            <color rgb="FF000000"/>
            <rFont val="Geneva"/>
            <family val="2"/>
            <charset val="1"/>
          </rPr>
          <t xml:space="preserve">I don't have a crystal ball but you should look at 
a. Revenue growth in your company in recent years
b. Your company's revenues, relative to the overall market size and larger players in the sector. 
Suggestion: Check your revenues in year 10 against the overall market and see what market share are you giving your company. Check your company's revenues against other companies in the sector.
Note that this number can be negative for a declining firm.</t>
        </r>
      </text>
    </comment>
    <comment ref="B28" authorId="0">
      <text>
        <r>
          <rPr>
            <sz val="9"/>
            <rFont val="Geneva"/>
            <family val="2"/>
            <charset val="1"/>
          </rPr>
          <t xml:space="preserve">Aswath Damodaran:
</t>
        </r>
        <r>
          <rPr>
            <sz val="9"/>
            <color rgb="FF000000"/>
            <rFont val="Geneva"/>
            <family val="2"/>
            <charset val="1"/>
          </rPr>
          <t xml:space="preserve">You should start by looking at your company's current pre-tax operating margin  but also look at the average for your industry. (You can check my estimates of industry averages in the last worksheet on this spreadsheet.) </t>
        </r>
      </text>
    </comment>
    <comment ref="B29" authorId="0">
      <text>
        <r>
          <rPr>
            <sz val="9"/>
            <rFont val="Geneva"/>
            <family val="2"/>
            <charset val="1"/>
          </rPr>
          <t xml:space="preserve">Aswath Damodaran:
</t>
        </r>
        <r>
          <rPr>
            <sz val="10"/>
            <color rgb="FF000000"/>
            <rFont val="Calibri"/>
            <family val="2"/>
            <charset val="1"/>
          </rPr>
          <t xml:space="preserve">This is the forecast year in which your current margin will converge on target.</t>
        </r>
      </text>
    </comment>
    <comment ref="B30" authorId="0">
      <text>
        <r>
          <rPr>
            <sz val="9"/>
            <rFont val="Geneva"/>
            <family val="2"/>
            <charset val="1"/>
          </rPr>
          <t xml:space="preserve">Aswath Damodaran:
</t>
        </r>
        <r>
          <rPr>
            <sz val="9"/>
            <color rgb="FF000000"/>
            <rFont val="Geneva"/>
            <family val="2"/>
            <charset val="1"/>
          </rPr>
          <t xml:space="preserve">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B33" authorId="0">
      <text>
        <r>
          <rPr>
            <sz val="9"/>
            <rFont val="Geneva"/>
            <family val="2"/>
            <charset val="1"/>
          </rPr>
          <t xml:space="preserve">Aswath Damodaran:
</t>
        </r>
        <r>
          <rPr>
            <sz val="9"/>
            <color rgb="FF000000"/>
            <rFont val="Geneva"/>
            <family val="2"/>
            <charset val="1"/>
          </rPr>
          <t xml:space="preserve">This should be today's long term riskfree rate. If you are working with a currency where the government has default risk, clean up the government bond rate to make it riskfree (by subtracting the default spread for the government).</t>
        </r>
      </text>
    </comment>
    <comment ref="B34" authorId="0">
      <text>
        <r>
          <rPr>
            <sz val="9"/>
            <rFont val="Geneva"/>
            <family val="2"/>
            <charset val="1"/>
          </rPr>
          <t xml:space="preserve">Aswath Damodaran:
</t>
        </r>
        <r>
          <rPr>
            <sz val="9"/>
            <color rgb="FF000000"/>
            <rFont val="Geneva"/>
            <family val="2"/>
            <charset val="1"/>
          </rPr>
          <t xml:space="preserve">Enter the current cost of capital for your firm. If you don't know what it is, you can use the built-in worksheet to compute it. </t>
        </r>
      </text>
    </comment>
    <comment ref="B37" authorId="0">
      <text>
        <r>
          <rPr>
            <sz val="9"/>
            <rFont val="Geneva"/>
            <family val="2"/>
            <charset val="1"/>
          </rPr>
          <t xml:space="preserve">Aswath Damodaran:
</t>
        </r>
        <r>
          <rPr>
            <sz val="9"/>
            <color rgb="FF000000"/>
            <rFont val="Geneva"/>
            <family val="2"/>
            <charset val="1"/>
          </rPr>
          <t xml:space="preserve">Check your company's annual report or 10K. If it does have options outstanding, enter the total number here (vested and non vested, in the money and out…)</t>
        </r>
      </text>
    </comment>
    <comment ref="B38" authorId="0">
      <text>
        <r>
          <rPr>
            <sz val="9"/>
            <rFont val="Geneva"/>
            <family val="2"/>
            <charset val="1"/>
          </rPr>
          <t xml:space="preserve">Aswath Damodaran:
</t>
        </r>
        <r>
          <rPr>
            <sz val="9"/>
            <color rgb="FF000000"/>
            <rFont val="Geneva"/>
            <family val="2"/>
            <charset val="1"/>
          </rPr>
          <t xml:space="preserve">Enter the weighted average strike price of your options. (Should be in your 10K or annual report.)</t>
        </r>
      </text>
    </comment>
    <comment ref="B39" authorId="0">
      <text>
        <r>
          <rPr>
            <sz val="9"/>
            <rFont val="Geneva"/>
            <family val="2"/>
            <charset val="1"/>
          </rPr>
          <t xml:space="preserve">Aswath Damodaran:
</t>
        </r>
        <r>
          <rPr>
            <sz val="9"/>
            <color rgb="FF000000"/>
            <rFont val="Geneva"/>
            <family val="2"/>
            <charset val="1"/>
          </rPr>
          <t xml:space="preserve">The weighted average maturity of your options should be reported in your financial statements.</t>
        </r>
      </text>
    </comment>
    <comment ref="B40" authorId="0">
      <text>
        <r>
          <rPr>
            <sz val="9"/>
            <rFont val="Geneva"/>
            <family val="2"/>
            <charset val="1"/>
          </rPr>
          <t xml:space="preserve">Aswath Damodaran:
</t>
        </r>
        <r>
          <rPr>
            <sz val="9"/>
            <color rgb="FF000000"/>
            <rFont val="Geneva"/>
            <family val="2"/>
            <charset val="1"/>
          </rPr>
          <t xml:space="preserve">If you have a standard deviation for your stock, enter that number. If not, use the industry average standard deviation from the worksheet.</t>
        </r>
      </text>
    </comment>
    <comment ref="B56" authorId="0">
      <text>
        <r>
          <rPr>
            <sz val="9"/>
            <rFont val="Geneva"/>
            <family val="2"/>
            <charset val="1"/>
          </rPr>
          <t xml:space="preserve">Aswath Damodaran:
</t>
        </r>
        <r>
          <rPr>
            <sz val="9"/>
            <color rgb="FF000000"/>
            <rFont val="Geneva"/>
            <family val="2"/>
            <charset val="1"/>
          </rPr>
          <t xml:space="preserve">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r>
      </text>
    </comment>
    <comment ref="B59" authorId="0">
      <text>
        <r>
          <rPr>
            <sz val="9"/>
            <rFont val="Geneva"/>
            <family val="2"/>
            <charset val="1"/>
          </rPr>
          <t xml:space="preserve">Aswath Damodaran:
</t>
        </r>
        <r>
          <rPr>
            <sz val="9"/>
            <color rgb="FF000000"/>
            <rFont val="Geneva"/>
            <family val="2"/>
            <charset val="1"/>
          </rPr>
          <t xml:space="preserve">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r>
      </text>
    </comment>
    <comment ref="B60" authorId="0">
      <text>
        <r>
          <rPr>
            <sz val="9"/>
            <rFont val="Geneva"/>
            <family val="2"/>
            <charset val="1"/>
          </rPr>
          <t xml:space="preserve">Aswath Damodaran:
</t>
        </r>
        <r>
          <rPr>
            <sz val="9"/>
            <color rgb="FF000000"/>
            <rFont val="Geneva"/>
            <family val="2"/>
            <charset val="1"/>
          </rPr>
          <t xml:space="preserve">Even if you believe your firm has significant competitive advantages, don't set this number to more than 5% more than your cost of capital. </t>
        </r>
      </text>
    </comment>
    <comment ref="B62" authorId="0">
      <text>
        <r>
          <rPr>
            <sz val="9"/>
            <rFont val="Geneva"/>
            <family val="2"/>
            <charset val="1"/>
          </rPr>
          <t xml:space="preserve">Aswath Damodaran:
</t>
        </r>
        <r>
          <rPr>
            <sz val="9"/>
            <color rgb="FF000000"/>
            <rFont val="Geneva"/>
            <family val="2"/>
            <charset val="1"/>
          </rPr>
          <t xml:space="preserve">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63" authorId="0">
      <text>
        <r>
          <rPr>
            <sz val="9"/>
            <rFont val="Geneva"/>
            <family val="2"/>
            <charset val="1"/>
          </rPr>
          <t xml:space="preserve">Aswath Damodaran
</t>
        </r>
        <r>
          <rPr>
            <sz val="9"/>
            <color rgb="FF000000"/>
            <rFont val="Geneva"/>
            <family val="2"/>
            <charset val="1"/>
          </rPr>
          <t xml:space="preserve">If you want to look at ways of estimating this probability, try these papers I have on the topic:
For young growth companies: http://papers.ssrn.com/sol3/papers.cfm?abstract_id=1418687  
For declining, distressed companies: http://papers.ssrn.com/sol3/papers.cfm?abstract_id=1428022 </t>
        </r>
      </text>
    </comment>
    <comment ref="B64" authorId="0">
      <text>
        <r>
          <rPr>
            <sz val="9"/>
            <rFont val="Geneva"/>
            <family val="2"/>
            <charset val="1"/>
          </rPr>
          <t xml:space="preserve">Aswath Damodaran:
</t>
        </r>
        <r>
          <rPr>
            <sz val="9"/>
            <color rgb="FF000000"/>
            <rFont val="Geneva"/>
            <family val="2"/>
            <charset val="1"/>
          </rPr>
          <t xml:space="preserve">If the firm fail and has to liquidate its assets, you need to specify what the liquidation proceeds will be tied to. For young growth companies, I would tie it to value and with distressed firms (especially ones with significant assets in place), I would use book value.</t>
        </r>
      </text>
    </comment>
    <comment ref="B65" authorId="0">
      <text>
        <r>
          <rPr>
            <sz val="9"/>
            <rFont val="Geneva"/>
            <family val="2"/>
            <charset val="1"/>
          </rPr>
          <t xml:space="preserve">Aswath Damodaran:
</t>
        </r>
        <r>
          <rPr>
            <sz val="9"/>
            <color rgb="FF000000"/>
            <rFont val="Geneva"/>
            <family val="2"/>
            <charset val="1"/>
          </rPr>
          <t xml:space="preserve">You will generally not get 100% of fair value. How much less than 100% you get will depend on whether there are lots of potential buyers for your assets and how much of a hurry you are in to liquidate. It may well be zero for a young growth company with no tangible assets.</t>
        </r>
      </text>
    </comment>
    <comment ref="B67" authorId="0">
      <text>
        <r>
          <rPr>
            <sz val="9"/>
            <rFont val="Geneva"/>
            <family val="2"/>
            <charset val="1"/>
          </rPr>
          <t xml:space="preserve">Aswath Damodaran:
</t>
        </r>
        <r>
          <rPr>
            <sz val="9"/>
            <color rgb="FF000000"/>
            <rFont val="Geneva"/>
            <family val="2"/>
            <charset val="1"/>
          </rPr>
          <t xml:space="preserve">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70" authorId="0">
      <text>
        <r>
          <rPr>
            <sz val="9"/>
            <rFont val="Geneva"/>
            <family val="2"/>
            <charset val="1"/>
          </rPr>
          <t xml:space="preserve">Aswath Damodaran:
</t>
        </r>
        <r>
          <rPr>
            <sz val="9"/>
            <color rgb="FF000000"/>
            <rFont val="Geneva"/>
            <family val="2"/>
            <charset val="1"/>
          </rPr>
          <t xml:space="preserve">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r>
      </text>
    </comment>
    <comment ref="B72" authorId="0">
      <text>
        <r>
          <rPr>
            <sz val="9"/>
            <rFont val="Geneva"/>
            <family val="2"/>
            <charset val="1"/>
          </rPr>
          <t xml:space="preserve">Aswath Damodaran:
</t>
        </r>
        <r>
          <rPr>
            <sz val="9"/>
            <color rgb="FF000000"/>
            <rFont val="Geneva"/>
            <family val="2"/>
            <charset val="1"/>
          </rPr>
          <t xml:space="preserve">If your company has been losing money for a while, there will be accumulated losses from prior periods. Check your financial statements.</t>
        </r>
      </text>
    </comment>
    <comment ref="B73" authorId="0">
      <text>
        <r>
          <rPr>
            <sz val="9"/>
            <rFont val="Geneva"/>
            <family val="2"/>
            <charset val="1"/>
          </rPr>
          <t xml:space="preserve">Aswath Damodaran:
</t>
        </r>
        <r>
          <rPr>
            <sz val="9"/>
            <color rgb="FF000000"/>
            <rFont val="Geneva"/>
            <family val="2"/>
            <charset val="1"/>
          </rPr>
          <t xml:space="preserve">This is the NOL from prior years carried forward into this year.</t>
        </r>
      </text>
    </comment>
    <comment ref="B79" authorId="0">
      <text>
        <r>
          <rPr>
            <sz val="9"/>
            <rFont val="Geneva"/>
            <family val="2"/>
            <charset val="1"/>
          </rPr>
          <t xml:space="preserve">Aswath Damodaran:
</t>
        </r>
        <r>
          <rPr>
            <sz val="10"/>
            <color rgb="FF000000"/>
            <rFont val="Calibri"/>
            <family val="2"/>
            <charset val="1"/>
          </rPr>
          <t xml:space="preserve">Be VERY, VERY careful. This is a growth rate in perpetuity, after year 10. Entering numbers significantly (more than 1%) higher than the risk free rate will render your valuation close to useless.
</t>
        </r>
      </text>
    </comment>
    <comment ref="B82" authorId="0">
      <text>
        <r>
          <rPr>
            <sz val="9"/>
            <rFont val="Geneva"/>
            <family val="2"/>
            <charset val="1"/>
          </rPr>
          <t xml:space="preserve">Aswath Damodaran:
</t>
        </r>
        <r>
          <rPr>
            <sz val="10"/>
            <color rgb="FF000000"/>
            <rFont val="Calibri"/>
            <family val="2"/>
            <charset val="1"/>
          </rPr>
          <t xml:space="preserve">If your concern is that a portion of the cash is trapped in foreign markets and will be subject to tax, when returned, enter the trapped cash balance. If you feel that the entire cash balance is being discounted because markets don't trust managers, enter the entire cash balance.</t>
        </r>
      </text>
    </comment>
    <comment ref="B83" authorId="0">
      <text>
        <r>
          <rPr>
            <sz val="9"/>
            <rFont val="Geneva"/>
            <family val="2"/>
            <charset val="1"/>
          </rPr>
          <t xml:space="preserve">Aswath Damodaran:
</t>
        </r>
        <r>
          <rPr>
            <sz val="10"/>
            <color rgb="FF000000"/>
            <rFont val="Calibri"/>
            <family val="2"/>
            <charset val="1"/>
          </rPr>
          <t xml:space="preserve">This is the additional tax due, if the cash is trapped cash. If your concern is that all cash is being discounted by the market because of management mistrust, enter the percentage discount to apply to cash.</t>
        </r>
      </text>
    </comment>
    <comment ref="C6" authorId="0">
      <text>
        <r>
          <rPr>
            <sz val="9"/>
            <rFont val="Geneva"/>
            <family val="2"/>
            <charset val="1"/>
          </rPr>
          <t xml:space="preserve">Aswath Damodaran:
</t>
        </r>
        <r>
          <rPr>
            <sz val="9"/>
            <color rgb="FF000000"/>
            <rFont val="Geneva"/>
            <family val="2"/>
            <charset val="1"/>
          </rPr>
          <t xml:space="preserve">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r>
      </text>
    </comment>
    <comment ref="C10" authorId="0">
      <text>
        <r>
          <rPr>
            <sz val="9"/>
            <rFont val="Geneva"/>
            <family val="2"/>
            <charset val="1"/>
          </rPr>
          <t xml:space="preserve">Aswath Damodaran:
</t>
        </r>
        <r>
          <rPr>
            <sz val="9"/>
            <color rgb="FF000000"/>
            <rFont val="Geneva"/>
            <family val="2"/>
            <charset val="1"/>
          </rPr>
          <t xml:space="preserve">Enter the revenues from the most recent period (you can either use annual or the trailing 12 months). If your company had no revenues, enter a very small positive number. (You need a base for your growth rate)</t>
        </r>
      </text>
    </comment>
    <comment ref="C11" authorId="0">
      <text>
        <r>
          <rPr>
            <sz val="9"/>
            <rFont val="Geneva"/>
            <family val="2"/>
            <charset val="1"/>
          </rPr>
          <t xml:space="preserve">Aswath Damodaran:
</t>
        </r>
        <r>
          <rPr>
            <sz val="9"/>
            <color rgb="FF000000"/>
            <rFont val="Geneva"/>
            <family val="2"/>
            <charset val="1"/>
          </rPr>
          <t xml:space="preserve">Enter the operating income or EBIT from the most recent time period, even if that number is negative. If you have operating leases, enter the adjusted operating income (see the operating lease worksheet for the amount you have to adjust operating income by).</t>
        </r>
      </text>
    </comment>
    <comment ref="C13" authorId="0">
      <text>
        <r>
          <rPr>
            <sz val="9"/>
            <rFont val="Geneva"/>
            <family val="2"/>
            <charset val="1"/>
          </rPr>
          <t xml:space="preserve">Aswath Damodaran:
</t>
        </r>
        <r>
          <rPr>
            <sz val="9"/>
            <color rgb="FF000000"/>
            <rFont val="Geneva"/>
            <family val="2"/>
            <charset val="1"/>
          </rPr>
          <t xml:space="preserve">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C14" authorId="0">
      <text>
        <r>
          <rPr>
            <sz val="9"/>
            <rFont val="Geneva"/>
            <family val="2"/>
            <charset val="1"/>
          </rPr>
          <t xml:space="preserve">Aswath Damodaran:
</t>
        </r>
        <r>
          <rPr>
            <sz val="9"/>
            <color rgb="FF000000"/>
            <rFont val="Geneva"/>
            <family val="2"/>
            <charset val="1"/>
          </rPr>
          <t xml:space="preserve">Enter the book value of interest bearing debt (short and long term) at your company from the most recent balance sheet. (Do not include accounts payable, supplier credit or other non-interest bearing liabilities.) </t>
        </r>
      </text>
    </comment>
    <comment ref="C17" authorId="0">
      <text>
        <r>
          <rPr>
            <sz val="9"/>
            <rFont val="Geneva"/>
            <family val="2"/>
            <charset val="1"/>
          </rPr>
          <t xml:space="preserve">Aswath Damodaran:
</t>
        </r>
        <r>
          <rPr>
            <sz val="9"/>
            <color rgb="FF000000"/>
            <rFont val="Geneva"/>
            <family val="2"/>
            <charset val="1"/>
          </rPr>
          <t xml:space="preserve">Enter the cash balance from the most recent balance sheet. This should include marketable securities.</t>
        </r>
      </text>
    </comment>
    <comment ref="D9" authorId="0">
      <text>
        <r>
          <rPr>
            <sz val="9"/>
            <rFont val="Geneva"/>
            <family val="2"/>
            <charset val="1"/>
          </rPr>
          <t xml:space="preserve">Aswath Damodaran:
</t>
        </r>
        <r>
          <rPr>
            <sz val="10"/>
            <color rgb="FF000000"/>
            <rFont val="Calibri"/>
            <family val="2"/>
            <charset val="1"/>
          </rPr>
          <t xml:space="preserve">If you have trailing 12 month numbers, the last year's numbers may be only 3 months, 6 months or 9 months ago.</t>
        </r>
      </text>
    </comment>
    <comment ref="J34" authorId="0">
      <text>
        <r>
          <rPr>
            <sz val="9"/>
            <rFont val="Geneva"/>
            <family val="2"/>
            <charset val="1"/>
          </rPr>
          <t xml:space="preserve">Aswath Damodaran:
</t>
        </r>
        <r>
          <rPr>
            <sz val="10"/>
            <color rgb="FF000000"/>
            <rFont val="Calibri"/>
            <family val="2"/>
            <charset val="1"/>
          </rPr>
          <t xml:space="preserve">Compare to your total market and check your market share.</t>
        </r>
      </text>
    </comment>
    <comment ref="J35" authorId="0">
      <text>
        <r>
          <rPr>
            <sz val="9"/>
            <rFont val="Geneva"/>
            <family val="2"/>
            <charset val="1"/>
          </rPr>
          <t xml:space="preserve">Aswath Damodaran:
</t>
        </r>
        <r>
          <rPr>
            <sz val="10"/>
            <color rgb="FF000000"/>
            <rFont val="Calibri"/>
            <family val="2"/>
            <charset val="1"/>
          </rPr>
          <t xml:space="preserve">Determined by your target margin. </t>
        </r>
      </text>
    </comment>
    <comment ref="J36" authorId="0">
      <text>
        <r>
          <rPr>
            <sz val="9"/>
            <rFont val="Geneva"/>
            <family val="2"/>
            <charset val="1"/>
          </rPr>
          <t xml:space="preserve">Aswath Damodaran:
</t>
        </r>
        <r>
          <rPr>
            <sz val="10"/>
            <color rgb="FF000000"/>
            <rFont val="Calibri"/>
            <family val="2"/>
            <charset val="1"/>
          </rPr>
          <t xml:space="preserve">Function of both your target margin and your sales to capital ratio.</t>
        </r>
      </text>
    </comment>
  </commentList>
</comments>
</file>

<file path=xl/comments10.xml><?xml version="1.0" encoding="utf-8"?>
<comments xmlns="http://schemas.openxmlformats.org/spreadsheetml/2006/main" xmlns:xdr="http://schemas.openxmlformats.org/drawingml/2006/spreadsheetDrawing">
  <authors>
    <author> </author>
  </authors>
  <commentList>
    <comment ref="B23" authorId="0">
      <text>
        <r>
          <rPr>
            <sz val="9"/>
            <rFont val="Geneva"/>
            <family val="2"/>
            <charset val="1"/>
          </rPr>
          <t xml:space="preserve">Aswath Damodaran:
</t>
        </r>
        <r>
          <rPr>
            <sz val="9"/>
            <color rgb="FF000000"/>
            <rFont val="Geneva"/>
            <family val="2"/>
            <charset val="1"/>
          </rPr>
          <t xml:space="preserve">Use a sector average beta, if need be.</t>
        </r>
      </text>
    </comment>
    <comment ref="B25" authorId="0">
      <text>
        <r>
          <rPr>
            <sz val="9"/>
            <rFont val="Geneva"/>
            <family val="2"/>
            <charset val="1"/>
          </rPr>
          <t xml:space="preserve">Aswath Damodaran:
</t>
        </r>
        <r>
          <rPr>
            <sz val="9"/>
            <color rgb="FF000000"/>
            <rFont val="Geneva"/>
            <family val="2"/>
            <charset val="1"/>
          </rPr>
          <t xml:space="preserve">If you pick operating regions or countries, please input the revenues by country or region in the table to the right.</t>
        </r>
      </text>
    </comment>
    <comment ref="B27" authorId="0">
      <text>
        <r>
          <rPr>
            <sz val="9"/>
            <rFont val="Geneva"/>
            <family val="2"/>
            <charset val="1"/>
          </rPr>
          <t xml:space="preserve">Aswath Damodaran:
</t>
        </r>
        <r>
          <rPr>
            <sz val="9"/>
            <color rgb="FF000000"/>
            <rFont val="Geneva"/>
            <family val="2"/>
            <charset val="1"/>
          </rPr>
          <t xml:space="preserve">If your company has risk exposure in emergiing markets, incorporate that risk premiums here. See worksheet on country risk premiums.</t>
        </r>
      </text>
    </comment>
    <comment ref="B31" authorId="0">
      <text>
        <r>
          <rPr>
            <sz val="9"/>
            <rFont val="Geneva"/>
            <family val="2"/>
            <charset val="1"/>
          </rPr>
          <t xml:space="preserve">Aswath Damodaran:
</t>
        </r>
        <r>
          <rPr>
            <sz val="9"/>
            <color rgb="FF000000"/>
            <rFont val="Geneva"/>
            <family val="2"/>
            <charset val="1"/>
          </rPr>
          <t xml:space="preserve">Interest expense (gross) from most recent financial statement.</t>
        </r>
      </text>
    </comment>
    <comment ref="B32" authorId="0">
      <text>
        <r>
          <rPr>
            <sz val="9"/>
            <rFont val="Geneva"/>
            <family val="2"/>
            <charset val="1"/>
          </rPr>
          <t xml:space="preserve">Aswath Damodaran:
</t>
        </r>
        <r>
          <rPr>
            <sz val="9"/>
            <color rgb="FF000000"/>
            <rFont val="Geneva"/>
            <family val="2"/>
            <charset val="1"/>
          </rPr>
          <t xml:space="preserve">Generally found in footnotes to financial statements.</t>
        </r>
      </text>
    </comment>
    <comment ref="B36" authorId="0">
      <text>
        <r>
          <rPr>
            <sz val="9"/>
            <rFont val="Geneva"/>
            <family val="2"/>
            <charset val="1"/>
          </rPr>
          <t xml:space="preserve">Aswath Damodaran:
</t>
        </r>
        <r>
          <rPr>
            <sz val="9"/>
            <color rgb="FF000000"/>
            <rFont val="Geneva"/>
            <family val="2"/>
            <charset val="1"/>
          </rPr>
          <t xml:space="preserve">1: Large market cap (&gt;$5 billion) and safe.
2: Small market cap (&lt;$5 billion) or risky.
If company has volatile earnings or is in risky business, use 2, even if large market cap.</t>
        </r>
      </text>
    </comment>
    <comment ref="B37" authorId="0">
      <text>
        <r>
          <rPr>
            <sz val="9"/>
            <rFont val="Geneva"/>
            <family val="2"/>
            <charset val="1"/>
          </rPr>
          <t xml:space="preserve">Aswath Damodaran:
</t>
        </r>
        <r>
          <rPr>
            <sz val="9"/>
            <color rgb="FF000000"/>
            <rFont val="Geneva"/>
            <family val="2"/>
            <charset val="1"/>
          </rPr>
          <t xml:space="preserve">Current, long term cost of borrowing money. If you have a rating use it, if not use a synthetic rating. See the worksheet attached.</t>
        </r>
      </text>
    </comment>
  </commentList>
</comments>
</file>

<file path=xl/comments13.xml><?xml version="1.0" encoding="utf-8"?>
<comments xmlns="http://schemas.openxmlformats.org/spreadsheetml/2006/main" xmlns:xdr="http://schemas.openxmlformats.org/drawingml/2006/spreadsheetDrawing">
  <authors>
    <author> </author>
  </authors>
  <commentList>
    <comment ref="B1" authorId="0">
      <text>
        <r>
          <rPr>
            <sz val="9"/>
            <rFont val="Geneva"/>
            <family val="2"/>
            <charset val="1"/>
          </rPr>
          <t xml:space="preserve">Microsoft Office User:
</t>
        </r>
        <r>
          <rPr>
            <sz val="10"/>
            <color rgb="FF000000"/>
            <rFont val="Tahoma"/>
            <family val="2"/>
            <charset val="1"/>
          </rPr>
          <t xml:space="preserve">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r>
      </text>
    </comment>
  </commentList>
</comments>
</file>

<file path=xl/comments8.xml><?xml version="1.0" encoding="utf-8"?>
<comments xmlns="http://schemas.openxmlformats.org/spreadsheetml/2006/main" xmlns:xdr="http://schemas.openxmlformats.org/drawingml/2006/spreadsheetDrawing">
  <authors>
    <author> </author>
  </authors>
  <commentList>
    <comment ref="F8" authorId="0">
      <text>
        <r>
          <rPr>
            <sz val="9"/>
            <rFont val="Geneva"/>
            <family val="2"/>
            <charset val="1"/>
          </rPr>
          <t xml:space="preserve">Aswath Damodaran:
</t>
        </r>
        <r>
          <rPr>
            <sz val="9"/>
            <color rgb="FF000000"/>
            <rFont val="Geneva"/>
            <family val="2"/>
            <charset val="1"/>
          </rPr>
          <t xml:space="preserve">If your most recent year's operating income is unusually low or high, you can use the average operating income from the last few years. </t>
        </r>
      </text>
    </comment>
    <comment ref="F9" authorId="0">
      <text>
        <r>
          <rPr>
            <sz val="9"/>
            <rFont val="Geneva"/>
            <family val="2"/>
            <charset val="1"/>
          </rPr>
          <t xml:space="preserve">Aswath Damodaran:
</t>
        </r>
        <r>
          <rPr>
            <sz val="9"/>
            <color rgb="FF000000"/>
            <rFont val="Geneva"/>
            <family val="2"/>
            <charset val="1"/>
          </rPr>
          <t xml:space="preserve">Enter the interest expense from the most recent income statement.</t>
        </r>
      </text>
    </comment>
    <comment ref="F10" authorId="0">
      <text>
        <r>
          <rPr>
            <sz val="9"/>
            <rFont val="Geneva"/>
            <family val="2"/>
            <charset val="1"/>
          </rPr>
          <t xml:space="preserve">Aswath Damodaran:
</t>
        </r>
        <r>
          <rPr>
            <sz val="9"/>
            <color rgb="FF000000"/>
            <rFont val="Geneva"/>
            <family val="2"/>
            <charset val="1"/>
          </rPr>
          <t xml:space="preserve">I use a 10 year government bond rate.</t>
        </r>
      </text>
    </comment>
  </commentList>
</comments>
</file>

<file path=xl/comments9.xml><?xml version="1.0" encoding="utf-8"?>
<comments xmlns="http://schemas.openxmlformats.org/spreadsheetml/2006/main" xmlns:xdr="http://schemas.openxmlformats.org/drawingml/2006/spreadsheetDrawing">
  <authors>
    <author> </author>
  </authors>
  <commentList>
    <comment ref="D40" authorId="0">
      <text>
        <r>
          <rPr>
            <sz val="9"/>
            <rFont val="Geneva"/>
            <family val="2"/>
            <charset val="1"/>
          </rPr>
          <t xml:space="preserve">Aswath Damodaran:
</t>
        </r>
        <r>
          <rPr>
            <sz val="9"/>
            <color rgb="FF000000"/>
            <rFont val="Geneva"/>
            <family val="2"/>
            <charset val="1"/>
          </rPr>
          <t xml:space="preserve">By expensing R&amp;D rather than capitalizing it, the firm gets a tax benefit. This is the dollar value of that tax benefit.</t>
        </r>
      </text>
    </comment>
  </commentList>
</comments>
</file>

<file path=xl/sharedStrings.xml><?xml version="1.0" encoding="utf-8"?>
<sst xmlns="http://schemas.openxmlformats.org/spreadsheetml/2006/main" count="1603" uniqueCount="929">
  <si>
    <t xml:space="preserve">Input cell</t>
  </si>
  <si>
    <t xml:space="preserve">Calculated cell</t>
  </si>
  <si>
    <t xml:space="preserve">Date of valuation</t>
  </si>
  <si>
    <r>
      <rPr>
        <b val="true"/>
        <sz val="12"/>
        <rFont val="Arial"/>
        <family val="0"/>
        <charset val="1"/>
      </rPr>
      <t xml:space="preserve">Important:</t>
    </r>
    <r>
      <rPr>
        <sz val="12"/>
        <rFont val="Arial"/>
        <family val="0"/>
        <charset val="1"/>
      </rPr>
      <t xml:space="preserve"> Before you run this spreadsheet, go into preferences in Excel and check under Calculation options</t>
    </r>
  </si>
  <si>
    <t xml:space="preserve">Company name</t>
  </si>
  <si>
    <t xml:space="preserve">Nvidia</t>
  </si>
  <si>
    <t xml:space="preserve">There should be a check against the iteration box. If there is not, you will get circular reasoning errors.</t>
  </si>
  <si>
    <t xml:space="preserve">Numbers from your base year below ( in consistent units)</t>
  </si>
  <si>
    <t xml:space="preserve">This year</t>
  </si>
  <si>
    <t xml:space="preserve">Last year</t>
  </si>
  <si>
    <t xml:space="preserve">Updated on January 2023 with updated Industry averages and risk premiums</t>
  </si>
  <si>
    <t xml:space="preserve">Country of incorporation</t>
  </si>
  <si>
    <t xml:space="preserve">United States</t>
  </si>
  <si>
    <t xml:space="preserve">Industry (US)</t>
  </si>
  <si>
    <t xml:space="preserve">Semiconductor</t>
  </si>
  <si>
    <t xml:space="preserve">Industry (Global)</t>
  </si>
  <si>
    <t xml:space="preserve">Last 10K</t>
  </si>
  <si>
    <t xml:space="preserve">Years since last 10K</t>
  </si>
  <si>
    <t xml:space="preserve">Revenues</t>
  </si>
  <si>
    <t xml:space="preserve">Operating income or EBIT</t>
  </si>
  <si>
    <t xml:space="preserve">Interest expense</t>
  </si>
  <si>
    <t xml:space="preserve">Book value of equity</t>
  </si>
  <si>
    <t xml:space="preserve">Book value of debt</t>
  </si>
  <si>
    <t xml:space="preserve">Do you have R&amp;D expenses to capitalize?</t>
  </si>
  <si>
    <t xml:space="preserve">Yes</t>
  </si>
  <si>
    <t xml:space="preserve">If you want to capitalize R&amp;D, you have to input the numbers into the R&amp;D worksheet. </t>
  </si>
  <si>
    <t xml:space="preserve">Do you have operating lease commitments?</t>
  </si>
  <si>
    <t xml:space="preserve">No</t>
  </si>
  <si>
    <t xml:space="preserve">If you lease or other contractual commitments that have not been converteed to debt already, say yes to this option and do the conversion.</t>
  </si>
  <si>
    <t xml:space="preserve">Cash and Marketable Securities</t>
  </si>
  <si>
    <t xml:space="preserve">Cross holdings and other non-operating assets</t>
  </si>
  <si>
    <t xml:space="preserve">Minority interests</t>
  </si>
  <si>
    <t xml:space="preserve">Number of shares outstanding =</t>
  </si>
  <si>
    <t xml:space="preserve">Current stock price =</t>
  </si>
  <si>
    <t xml:space="preserve">Computed numbers: Here is what your company's numbers look like, relative to industry.</t>
  </si>
  <si>
    <t xml:space="preserve">Effective tax rate =</t>
  </si>
  <si>
    <t xml:space="preserve">If you are not working in US dollars, you should add the inflation differential to the industry averages.</t>
  </si>
  <si>
    <t xml:space="preserve">Marginal tax rate =</t>
  </si>
  <si>
    <t xml:space="preserve">Global Distribution Stats</t>
  </si>
  <si>
    <t xml:space="preserve">The value drivers below (non-AI)</t>
  </si>
  <si>
    <t xml:space="preserve">Company</t>
  </si>
  <si>
    <t xml:space="preserve">Average</t>
  </si>
  <si>
    <t xml:space="preserve">1st Quartile</t>
  </si>
  <si>
    <t xml:space="preserve">Median</t>
  </si>
  <si>
    <t xml:space="preserve">3rd Quartile</t>
  </si>
  <si>
    <t xml:space="preserve">Revenue growth rate for next year </t>
  </si>
  <si>
    <t xml:space="preserve">Revenue growth in the most recent year =</t>
  </si>
  <si>
    <t xml:space="preserve">Operating Margin for next year</t>
  </si>
  <si>
    <t xml:space="preserve">Pre-tax operating margin in the most recent year =</t>
  </si>
  <si>
    <t xml:space="preserve">Compounded annual revenue growth rate - years 2-5 =</t>
  </si>
  <si>
    <t xml:space="preserve">Growth Lever</t>
  </si>
  <si>
    <t xml:space="preserve">Sales to capital ratio in most recent year =</t>
  </si>
  <si>
    <t xml:space="preserve">Target pre-tax operating margin =</t>
  </si>
  <si>
    <t xml:space="preserve">Profitability Lever</t>
  </si>
  <si>
    <t xml:space="preserve">Marginal sales to capital ratio  =</t>
  </si>
  <si>
    <t xml:space="preserve">Year of convergence for margin</t>
  </si>
  <si>
    <t xml:space="preserve">Speed of convergence level</t>
  </si>
  <si>
    <t xml:space="preserve">Return on invested capital in most recent year=</t>
  </si>
  <si>
    <t xml:space="preserve">Sales to capital ratio  (for years 1-5)</t>
  </si>
  <si>
    <t xml:space="preserve">Efficency of Growth Lever</t>
  </si>
  <si>
    <t xml:space="preserve">Standard deviation in stock prices =</t>
  </si>
  <si>
    <t xml:space="preserve">Sales to capital ratio (for years 6-10)</t>
  </si>
  <si>
    <t xml:space="preserve">Cost of capital =</t>
  </si>
  <si>
    <t xml:space="preserve">Market numbers </t>
  </si>
  <si>
    <t xml:space="preserve">Riskfree rate</t>
  </si>
  <si>
    <t xml:space="preserve">Valuation Output Feedback (for you to use to fine tune your inputs, if you want)</t>
  </si>
  <si>
    <t xml:space="preserve">Initial cost of capital =</t>
  </si>
  <si>
    <t xml:space="preserve">Do not input. Go to cost of capital sheet.</t>
  </si>
  <si>
    <t xml:space="preserve">Revenues in year 10, based on your revenue growth =</t>
  </si>
  <si>
    <t xml:space="preserve">Other inputs</t>
  </si>
  <si>
    <t xml:space="preserve">Pre-tax Operating Income in year 10, based on your operating margin =</t>
  </si>
  <si>
    <t xml:space="preserve">Do you have employee options outstanding?</t>
  </si>
  <si>
    <t xml:space="preserve">Return on invested capital in year 10, based on your sales/capital ratio =</t>
  </si>
  <si>
    <t xml:space="preserve">Number of options outstanding =</t>
  </si>
  <si>
    <t xml:space="preserve">Check the Diagnostics worksheet for more details.</t>
  </si>
  <si>
    <t xml:space="preserve">Average strike price =</t>
  </si>
  <si>
    <t xml:space="preserve">Average maturity =</t>
  </si>
  <si>
    <t xml:space="preserve">Standard deviation on stock price =</t>
  </si>
  <si>
    <t xml:space="preserve">Value Drivers for AI Chip business</t>
  </si>
  <si>
    <t xml:space="preserve">Current</t>
  </si>
  <si>
    <t xml:space="preserve">Year 10</t>
  </si>
  <si>
    <t xml:space="preserve">Total Market</t>
  </si>
  <si>
    <t xml:space="preserve">NVIDIA's Market Share</t>
  </si>
  <si>
    <t xml:space="preserve">Operating margin</t>
  </si>
  <si>
    <t xml:space="preserve">Value Drivers for Auto Chip business</t>
  </si>
  <si>
    <t xml:space="preserve">Default assumptions. </t>
  </si>
  <si>
    <t xml:space="preserve">In stable growth, I will assume that your firm will have a cost of capital similar to that of typical mature companies (riskfree rate + 4.5%)</t>
  </si>
  <si>
    <t xml:space="preserve">Do you want to override this assumption =</t>
  </si>
  <si>
    <t xml:space="preserve">Mature companies generally see their risk levels approach the average</t>
  </si>
  <si>
    <t xml:space="preserve">If yes, enter the cost of capital after year 10 =</t>
  </si>
  <si>
    <t xml:space="preserve">Though some sectors, even in stable growth, may have higher risk. If you change your risk free rate after year 10 (see cell B57 &amp; 58), you should incorporate the change into your stable cost of capital estimate.</t>
  </si>
  <si>
    <t xml:space="preserve">I will assume that your firm will earn a return on capital equal to its cost of capital after year 10. I am assuming that whatever competitive advantages you have today will fade over time.</t>
  </si>
  <si>
    <t xml:space="preserve">Mature companies find it difficult to generate returns that exceed the cost of capital</t>
  </si>
  <si>
    <t xml:space="preserve">If yes, enter the return on capital you expect after year 10</t>
  </si>
  <si>
    <t xml:space="preserve">But there are significant exceptions among companies with long-lasting competitive advantages.</t>
  </si>
  <si>
    <t xml:space="preserve">I will assume that your firm has no chance of failure over the foreseeable future.</t>
  </si>
  <si>
    <t xml:space="preserve">Many young, growth companies fail, especially if they have trouble raising cash. Many distressed companies fail, because they have trouble making debt payments.</t>
  </si>
  <si>
    <t xml:space="preserve">If yes, enter the probability of failure =</t>
  </si>
  <si>
    <t xml:space="preserve">Tough to estimate but a key input. Use the failure rate worksheet, if necessary.</t>
  </si>
  <si>
    <t xml:space="preserve">What do you want to tie your proceeds in failure to?</t>
  </si>
  <si>
    <t xml:space="preserve">V</t>
  </si>
  <si>
    <t xml:space="preserve">B: Book value of capital, V= Estimated fair value for the company</t>
  </si>
  <si>
    <t xml:space="preserve">Enter the distress proceeds as percentage of book or fair value</t>
  </si>
  <si>
    <t xml:space="preserve">This can be zero, if the assets will be worth nothing if the firm fails.</t>
  </si>
  <si>
    <t xml:space="preserve">I assume that reinvestment in a year translates into growth in the next year, i.e., there is a one year lag between reinvesting and generating growth from that reinvestment.</t>
  </si>
  <si>
    <t xml:space="preserve">Do you want override this assumption =</t>
  </si>
  <si>
    <t xml:space="preserve">If yes, enter a different lag (0 = no lag to 3 = lag of 3 years)</t>
  </si>
  <si>
    <t xml:space="preserve">I will assume that your effective tax rate will adjust to your marginal tax rate by your terminal year. If you override this assumption, I will leave the tax rate at your effective tax rate.</t>
  </si>
  <si>
    <t xml:space="preserve">I will assume that you have no losses carried forward from prior years ( NOL) coming into the valuation. If you have a money losing company, you may want to override tis.</t>
  </si>
  <si>
    <t xml:space="preserve">Check the financial statements.</t>
  </si>
  <si>
    <t xml:space="preserve">If yes, enter the NOL that you are carrying over into year 1</t>
  </si>
  <si>
    <t xml:space="preserve">An NOL will shield your income from taxes, even after you start making money.</t>
  </si>
  <si>
    <t xml:space="preserve">I will asssume that today's risk free rate will prevail in perpetuity. If you override this assumption, I will change the riskfree rate after year 10.</t>
  </si>
  <si>
    <t xml:space="preserve">If yes, you will be asked to enter a normal risk free rate and your growth in perpetuity will be adjusted accordingly.</t>
  </si>
  <si>
    <t xml:space="preserve">If yes, enter the riskfree rate after year 10</t>
  </si>
  <si>
    <t xml:space="preserve">Enter your estimate of what the riskfree rate (in your currency of choice) will be after year 10</t>
  </si>
  <si>
    <t xml:space="preserve">I will assume that the growth rate in perpetuity will be equal to the risk free rate. This allows for both valuation consistency and prevents "impossible" growth rates.</t>
  </si>
  <si>
    <t xml:space="preserve">This is an option to let you use a negative growth rate in perpetuity or to even liquidate the firm.</t>
  </si>
  <si>
    <t xml:space="preserve">If yes, enter the growth rate in perpetuity</t>
  </si>
  <si>
    <t xml:space="preserve">This can be negative, if you feel the company will decline (and disappear) after growth is done. If you let it exceed the risk free rate, you are on your own in uncharted territory.</t>
  </si>
  <si>
    <t xml:space="preserve">I have assumed that none of the cash is trapped (in foreign countries) and that there is no additional tax liability coming due and that cash is a neutral asset.</t>
  </si>
  <si>
    <t xml:space="preserve">Do you want to override this assumption</t>
  </si>
  <si>
    <t xml:space="preserve">If yes, enter trapped cash (if taxes) or entire balance (if mistrust)</t>
  </si>
  <si>
    <t xml:space="preserve">Cash that is trapped in foreign markets (and subject to additoinal tax) or cash that is being discounted by the market (because of management mistrust)</t>
  </si>
  <si>
    <t xml:space="preserve">&amp; Average tax rate of the foreign markets where the cash is trapped</t>
  </si>
  <si>
    <t xml:space="preserve">Additional tax rate due on trapped cash or discount being applied to cash balance because of mistrust.</t>
  </si>
  <si>
    <t xml:space="preserve">Base year</t>
  </si>
  <si>
    <t xml:space="preserve">Terminal year</t>
  </si>
  <si>
    <t xml:space="preserve">Terminal Value</t>
  </si>
  <si>
    <t xml:space="preserve">Rest Revenue growth rate</t>
  </si>
  <si>
    <t xml:space="preserve">Rest Revenues</t>
  </si>
  <si>
    <t xml:space="preserve">EBIT (Operating) margin</t>
  </si>
  <si>
    <t xml:space="preserve">EBIT (Operating income)</t>
  </si>
  <si>
    <t xml:space="preserve">Tax rate</t>
  </si>
  <si>
    <t xml:space="preserve">EBIT(1-t)</t>
  </si>
  <si>
    <t xml:space="preserve"> - Reinvestment</t>
  </si>
  <si>
    <t xml:space="preserve">FCFF</t>
  </si>
  <si>
    <t xml:space="preserve">NOL</t>
  </si>
  <si>
    <t xml:space="preserve">Total Market (AI)</t>
  </si>
  <si>
    <t xml:space="preserve">Nvidia Market share (AI)</t>
  </si>
  <si>
    <t xml:space="preserve">Revenues from AI</t>
  </si>
  <si>
    <t xml:space="preserve">Operating Margin</t>
  </si>
  <si>
    <t xml:space="preserve">Operating Income</t>
  </si>
  <si>
    <t xml:space="preserve">EBIT (1-t)</t>
  </si>
  <si>
    <t xml:space="preserve">FCFF (AI)</t>
  </si>
  <si>
    <t xml:space="preserve">Total Market (Auto)</t>
  </si>
  <si>
    <t xml:space="preserve">Nvidia Market share (Auto)</t>
  </si>
  <si>
    <t xml:space="preserve">Revenues from Auto</t>
  </si>
  <si>
    <t xml:space="preserve">Cost of capital</t>
  </si>
  <si>
    <t xml:space="preserve">Cumulated discount factor</t>
  </si>
  <si>
    <t xml:space="preserve">PV(FCFF from rest)</t>
  </si>
  <si>
    <t xml:space="preserve">PV (FCFF frrom AI)</t>
  </si>
  <si>
    <t xml:space="preserve">PV(FCFF from Auto)</t>
  </si>
  <si>
    <t xml:space="preserve">Value of Rest</t>
  </si>
  <si>
    <t xml:space="preserve">Value of AI</t>
  </si>
  <si>
    <t xml:space="preserve">Value of Auto</t>
  </si>
  <si>
    <t xml:space="preserve">Value as Going Concern =</t>
  </si>
  <si>
    <t xml:space="preserve">Probability of failure =</t>
  </si>
  <si>
    <t xml:space="preserve">Proceeds if firm fails =</t>
  </si>
  <si>
    <t xml:space="preserve">Value of operating assets =</t>
  </si>
  <si>
    <t xml:space="preserve"> - Debt</t>
  </si>
  <si>
    <t xml:space="preserve"> - Minority interests</t>
  </si>
  <si>
    <t xml:space="preserve"> +  Cash</t>
  </si>
  <si>
    <t xml:space="preserve"> + Non-operating assets</t>
  </si>
  <si>
    <t xml:space="preserve">Value of equity</t>
  </si>
  <si>
    <t xml:space="preserve"> - Value of options</t>
  </si>
  <si>
    <t xml:space="preserve">Value of equity in common stock</t>
  </si>
  <si>
    <t xml:space="preserve">Number of shares</t>
  </si>
  <si>
    <t xml:space="preserve">Estimated value /share</t>
  </si>
  <si>
    <t xml:space="preserve">Price</t>
  </si>
  <si>
    <t xml:space="preserve">Price as % of value</t>
  </si>
  <si>
    <t xml:space="preserve">Implied variables</t>
  </si>
  <si>
    <t xml:space="preserve">After year 10</t>
  </si>
  <si>
    <t xml:space="preserve">Sales to capital ratio</t>
  </si>
  <si>
    <t xml:space="preserve">Invested capital</t>
  </si>
  <si>
    <t xml:space="preserve">ROIC</t>
  </si>
  <si>
    <t xml:space="preserve">The Opportunistic Chip Maker</t>
  </si>
  <si>
    <t xml:space="preserve">NVIDIA has a history of innovation and opportunism in the chip business, often investing ahead of large trends in demand in crypto and gaming and now in AI and auto. Its early entry into the AI chip business will allow it to dominate this business, as it grows over the decade, though competition will eat into its market share. In the auto chip business, NVidia will grow to gain a significant, albeit not dominant, market share as that market grows. Across all of its busineses, NVIDIA will see improvement in operating margins, while reinvesting in R&amp;D and acquisitions at industry-levels.</t>
  </si>
  <si>
    <t xml:space="preserve">Tell your story about the company. Keep it focuses on the company's businesses and tie it into the three key levers of value: cash flows, growth and risk</t>
  </si>
  <si>
    <t xml:space="preserve">The Assumptions</t>
  </si>
  <si>
    <t xml:space="preserve">Next year</t>
  </si>
  <si>
    <t xml:space="preserve">Years 2-5</t>
  </si>
  <si>
    <t xml:space="preserve">Years 6-10</t>
  </si>
  <si>
    <t xml:space="preserve">Link to story</t>
  </si>
  <si>
    <t xml:space="preserve">Revenues (a)</t>
  </si>
  <si>
    <t xml:space="preserve">Even as gaming and other chip businesses mature, NVIDIA''s investments in the AI and Auto chip businesses will deliver healthy growth over the next decade.</t>
  </si>
  <si>
    <t xml:space="preserve">Tie each assumption to the part of your story that relates to it.</t>
  </si>
  <si>
    <t xml:space="preserve">Operating margin (b)</t>
  </si>
  <si>
    <t xml:space="preserve">Margins improve, first as NVIDIA rebounds from a down-year and then  long term,  because of competitive advantages, especially in their growth businesses  and economies of scale. </t>
  </si>
  <si>
    <t xml:space="preserve">Global/US marginal tax rate over time</t>
  </si>
  <si>
    <t xml:space="preserve">Reinvestment (c )</t>
  </si>
  <si>
    <t xml:space="preserve">Sales to capital moves to industry median, as company is able to slow its investment pace, and see payoffs from past investments in AI &amp; Auto.</t>
  </si>
  <si>
    <t xml:space="preserve">Return on capital</t>
  </si>
  <si>
    <t xml:space="preserve">Marginal ROIC =</t>
  </si>
  <si>
    <t xml:space="preserve">Strong competitive edges allow NVIDIA to earn well above its cost of capital for the next decade and beyond.</t>
  </si>
  <si>
    <t xml:space="preserve">Cost of capital (d)</t>
  </si>
  <si>
    <t xml:space="preserve">Initial cost of capital set equal to semiconductor industry average, for first 5 years, moving towards average for entire market over time. Dependence on TSMC for chip production creates risk exposures to Taiwan and China.</t>
  </si>
  <si>
    <t xml:space="preserve">The Cash Flows</t>
  </si>
  <si>
    <t xml:space="preserve">EBIT</t>
  </si>
  <si>
    <t xml:space="preserve">Reinvestment </t>
  </si>
  <si>
    <t xml:space="preserve">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</si>
  <si>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 xml:space="preserve">The Value</t>
  </si>
  <si>
    <t xml:space="preserve">Value of Gaming &amp; Other</t>
  </si>
  <si>
    <t xml:space="preserve">Adjustment for distress</t>
  </si>
  <si>
    <t xml:space="preserve"> - Debt &amp; Minority Interests</t>
  </si>
  <si>
    <t xml:space="preserve"> + Cash &amp; Other Non-operating assets</t>
  </si>
  <si>
    <t xml:space="preserve"> - Value of equity options</t>
  </si>
  <si>
    <t xml:space="preserve">Value per share</t>
  </si>
  <si>
    <t xml:space="preserve">Stock was trading at =</t>
  </si>
  <si>
    <t xml:space="preserve">You can modify this picture and bring in relevant details to back up your cost of capital and other details that you think flesh out your company's valuation story.</t>
  </si>
  <si>
    <t xml:space="preserve">Base Year and Comparison</t>
  </si>
  <si>
    <t xml:space="preserve">Growth Story (Revenue)</t>
  </si>
  <si>
    <t xml:space="preserve">Profitability Story (Margin)</t>
  </si>
  <si>
    <t xml:space="preserve">Growth Efficiency Story</t>
  </si>
  <si>
    <t xml:space="preserve">Industry</t>
  </si>
  <si>
    <t xml:space="preserve">Revenue Growth</t>
  </si>
  <si>
    <t xml:space="preserve">Growth Rate</t>
  </si>
  <si>
    <t xml:space="preserve">Revenue</t>
  </si>
  <si>
    <t xml:space="preserve">Reinvestment Rate</t>
  </si>
  <si>
    <t xml:space="preserve">Revenue (Gaming/Other)</t>
  </si>
  <si>
    <t xml:space="preserve">Revenue (AI)</t>
  </si>
  <si>
    <t xml:space="preserve">Revenue (Auto)</t>
  </si>
  <si>
    <t xml:space="preserve">Revenues (Total)</t>
  </si>
  <si>
    <t xml:space="preserve">R&amp;D Adj Operating Margin</t>
  </si>
  <si>
    <t xml:space="preserve">Reinvestment</t>
  </si>
  <si>
    <t xml:space="preserve">Cost of Capital</t>
  </si>
  <si>
    <t xml:space="preserve">Cumulated WACC</t>
  </si>
  <si>
    <t xml:space="preserve">Price per share</t>
  </si>
  <si>
    <t xml:space="preserve">Sales to Capital</t>
  </si>
  <si>
    <t xml:space="preserve">% Under or Over Valued</t>
  </si>
  <si>
    <t xml:space="preserve">Risk Story</t>
  </si>
  <si>
    <t xml:space="preserve">Competitive Advantages</t>
  </si>
  <si>
    <t xml:space="preserve">AI and Auto Business: Market Size and Market Share</t>
  </si>
  <si>
    <t xml:space="preserve">AI</t>
  </si>
  <si>
    <t xml:space="preserve">Auto</t>
  </si>
  <si>
    <t xml:space="preserve">In 2033</t>
  </si>
  <si>
    <t xml:space="preserve">Total Market ($ M)</t>
  </si>
  <si>
    <t xml:space="preserve">Market Share</t>
  </si>
  <si>
    <t xml:space="preserve">NVIDIA revenues</t>
  </si>
  <si>
    <t xml:space="preserve">Step 1: Check revenue growth rate</t>
  </si>
  <si>
    <t xml:space="preserve">Your forecasts</t>
  </si>
  <si>
    <t xml:space="preserve">Questions to ask</t>
  </si>
  <si>
    <t xml:space="preserve">Industry Average</t>
  </si>
  <si>
    <t xml:space="preserve">Most Recent year</t>
  </si>
  <si>
    <t xml:space="preserve">1. If you are forecasting a revenue growth rate &gt; industry average, is your company small?</t>
  </si>
  <si>
    <t xml:space="preserve">Annual Revenue Growth Rate</t>
  </si>
  <si>
    <t xml:space="preserve">2. If your forecasted revenue growth rate is very different from your company's most recent year of growth, what is the reason?</t>
  </si>
  <si>
    <t xml:space="preserve">Step 2: Check dollar revenues</t>
  </si>
  <si>
    <t xml:space="preserve">Year 5</t>
  </si>
  <si>
    <t xml:space="preserve">1. How big is the total market today?</t>
  </si>
  <si>
    <t xml:space="preserve">2. How much revenues do the biggest companies in that market make today?</t>
  </si>
  <si>
    <t xml:space="preserve">3. How much growth is there in the total market?</t>
  </si>
  <si>
    <t xml:space="preserve">4. What type of market share are you forecasting for your company in year 10?</t>
  </si>
  <si>
    <t xml:space="preserve">Step 3: Check your margins</t>
  </si>
  <si>
    <t xml:space="preserve">1. What are the margins of the industry that the company is in?</t>
  </si>
  <si>
    <t xml:space="preserve">2. What are the unit economics of the business? (How much does it cost you to make the extra unit that you sell?</t>
  </si>
  <si>
    <t xml:space="preserve">3. What does the competition in this business look like?</t>
  </si>
  <si>
    <t xml:space="preserve">Step 4: Check how much you are reinvesting</t>
  </si>
  <si>
    <t xml:space="preserve">1. is the growth that you are forecasting bounce-back growth or new growth?</t>
  </si>
  <si>
    <t xml:space="preserve">2. How much excess capacity do you have to service near term growth?</t>
  </si>
  <si>
    <t xml:space="preserve">3. Does investment efficiency in this business change as companies get bigger?</t>
  </si>
  <si>
    <t xml:space="preserve">Reinvestment effect on cash flows</t>
  </si>
  <si>
    <t xml:space="preserve">$ Value</t>
  </si>
  <si>
    <t xml:space="preserve">As % of value</t>
  </si>
  <si>
    <t xml:space="preserve">PV of after-tax operating income for next 10 years</t>
  </si>
  <si>
    <t xml:space="preserve">1. Is your reinvestment consitent with your revenue growth forecast?</t>
  </si>
  <si>
    <t xml:space="preserve">Value effect of reinvestment for next 10 years</t>
  </si>
  <si>
    <t xml:space="preserve">2. Are you comfortable with your return on capital in year 10?</t>
  </si>
  <si>
    <t xml:space="preserve">PV of FCFF for next ten years</t>
  </si>
  <si>
    <t xml:space="preserve">Return on capital effects</t>
  </si>
  <si>
    <t xml:space="preserve">Most recent year</t>
  </si>
  <si>
    <t xml:space="preserve">Marginal (1-10)</t>
  </si>
  <si>
    <t xml:space="preserve">ROC in year 10</t>
  </si>
  <si>
    <t xml:space="preserve">Stable ROC</t>
  </si>
  <si>
    <t xml:space="preserve">Step 5: Risk Metrics</t>
  </si>
  <si>
    <t xml:space="preserve">Compounded</t>
  </si>
  <si>
    <t xml:space="preserve">Year 1-5</t>
  </si>
  <si>
    <t xml:space="preserve">Stable Growth</t>
  </si>
  <si>
    <t xml:space="preserve">1. How does your cost of capital compare to the industry average?</t>
  </si>
  <si>
    <t xml:space="preserve">2. What is happenign to your cost of capital over time? Why?</t>
  </si>
  <si>
    <t xml:space="preserve">3. Is your failure rate consistent with your company's characteristics?</t>
  </si>
  <si>
    <t xml:space="preserve">Failure Rate</t>
  </si>
  <si>
    <t xml:space="preserve">Step 6: Price versus Value</t>
  </si>
  <si>
    <t xml:space="preserve">Your calculated value as a percent of current price</t>
  </si>
  <si>
    <t xml:space="preserve">Inputs</t>
  </si>
  <si>
    <t xml:space="preserve">If calculated value is negative or looks too low</t>
  </si>
  <si>
    <t xml:space="preserve">If calculated value looks too high</t>
  </si>
  <si>
    <t xml:space="preserve">Revenue growth rate (input cell B25, B27)</t>
  </si>
  <si>
    <t xml:space="preserve">Increase revenue growth rate</t>
  </si>
  <si>
    <t xml:space="preserve">Decrease revenue growth rate</t>
  </si>
  <si>
    <t xml:space="preserve">Operating margin (B26, B28)</t>
  </si>
  <si>
    <t xml:space="preserve">Increase the target pre-tax operating margin</t>
  </si>
  <si>
    <t xml:space="preserve">Decrease the target pre-tax operating margin</t>
  </si>
  <si>
    <t xml:space="preserve"> </t>
  </si>
  <si>
    <t xml:space="preserve">Sales to Capital (B30-B32)</t>
  </si>
  <si>
    <t xml:space="preserve">Increase the sales/capital ratio</t>
  </si>
  <si>
    <t xml:space="preserve">Decrease the sales/capital ratio</t>
  </si>
  <si>
    <t xml:space="preserve">Return on capital in perpetuity (B48, B49)</t>
  </si>
  <si>
    <t xml:space="preserve">Increase relative to your cost of capital</t>
  </si>
  <si>
    <t xml:space="preserve">If higher than your cost of capital, lower towards your cost of capital</t>
  </si>
  <si>
    <t xml:space="preserve">Note: This worksheet is the most finicky of all of the worksheets in this spreadsheet. If you start to get errors, here is a quick fix. Go into cell B12 and replace the contents with a number (say 5), and then undo your action. The spreadsheet will fix itself magically.</t>
  </si>
  <si>
    <t xml:space="preserve">Valuing Options or Warrants</t>
  </si>
  <si>
    <t xml:space="preserve">Enter the current stock price =</t>
  </si>
  <si>
    <t xml:space="preserve">Enter the strike price on the option =</t>
  </si>
  <si>
    <t xml:space="preserve">Enter the expiration of the option =</t>
  </si>
  <si>
    <t xml:space="preserve">Enter the standard deviation in stock prices =</t>
  </si>
  <si>
    <t xml:space="preserve">(volatility)</t>
  </si>
  <si>
    <t xml:space="preserve">Enter the annualized dividend yield on stock =</t>
  </si>
  <si>
    <t xml:space="preserve">Enter the treasury bond rate =</t>
  </si>
  <si>
    <t xml:space="preserve">Enter the number of warrants (options) outstanding =</t>
  </si>
  <si>
    <t xml:space="preserve">Enter the number of shares outstanding =</t>
  </si>
  <si>
    <t xml:space="preserve">Do not input any numbers below this line</t>
  </si>
  <si>
    <t xml:space="preserve">Dilution-adjusted Black-Scholes</t>
  </si>
  <si>
    <t xml:space="preserve">Stock Price=</t>
  </si>
  <si>
    <t xml:space="preserve"># Warrants issued=</t>
  </si>
  <si>
    <t xml:space="preserve">Strike Price=</t>
  </si>
  <si>
    <t xml:space="preserve"># Shares outstanding=</t>
  </si>
  <si>
    <t xml:space="preserve">Adjusted S =</t>
  </si>
  <si>
    <t xml:space="preserve">T.Bond rate=</t>
  </si>
  <si>
    <t xml:space="preserve">Adjusted K =</t>
  </si>
  <si>
    <t xml:space="preserve">Variance=</t>
  </si>
  <si>
    <t xml:space="preserve">Expiration (in years) =</t>
  </si>
  <si>
    <t xml:space="preserve">Annualized dividend yield=</t>
  </si>
  <si>
    <t xml:space="preserve">Div. Adj. interest rate=</t>
  </si>
  <si>
    <t xml:space="preserve">d1 = </t>
  </si>
  <si>
    <t xml:space="preserve">N (d1) =</t>
  </si>
  <si>
    <t xml:space="preserve">d2 = </t>
  </si>
  <si>
    <t xml:space="preserve">N (d2) =</t>
  </si>
  <si>
    <t xml:space="preserve">Value per option = </t>
  </si>
  <si>
    <t xml:space="preserve">Value of all options outstanding =</t>
  </si>
  <si>
    <t xml:space="preserve">Operating Lease Converter</t>
  </si>
  <si>
    <t xml:space="preserve">The yellow cells are input cells. Please enter them.</t>
  </si>
  <si>
    <t xml:space="preserve">Until 2019, this worksheet had to be used for every firm with operating lease commitments, since accountants treated operating lease expenses as operating expenses. In 2019, IFRS and GAAP made the long-overdue change to treat leases as debt, and for firms that follow these standards, the conversion that I am doing on this spreadsheet is being done by accountants, with lease debt and operating income already adjusted. If that is the case, and you showed the lease debt as part of debt in the input page, please do not use this spreadsheet, since you will be double counting.</t>
  </si>
  <si>
    <t xml:space="preserve">Operating lease expense in current year =</t>
  </si>
  <si>
    <t xml:space="preserve">Operating Lease Commitments (From footnote to financials)</t>
  </si>
  <si>
    <t xml:space="preserve">Year</t>
  </si>
  <si>
    <t xml:space="preserve">Commitment</t>
  </si>
  <si>
    <t xml:space="preserve">! Year 1 is next year, ….</t>
  </si>
  <si>
    <t xml:space="preserve">6 and beyond</t>
  </si>
  <si>
    <t xml:space="preserve">Output</t>
  </si>
  <si>
    <t xml:space="preserve">Pre-tax Cost of Debt =</t>
  </si>
  <si>
    <t xml:space="preserve">! If you do not have a cost of debt, use the synthetic rating estimator</t>
  </si>
  <si>
    <t xml:space="preserve">Number of years embedded in yr 6 estimate =</t>
  </si>
  <si>
    <t xml:space="preserve">! I use the average lease expense over the first five years</t>
  </si>
  <si>
    <t xml:space="preserve">to estimate the number of years of expenses in yr 6</t>
  </si>
  <si>
    <t xml:space="preserve">Converting Operating Leases into debt</t>
  </si>
  <si>
    <t xml:space="preserve">Present Value</t>
  </si>
  <si>
    <t xml:space="preserve">! Commitment beyond year 6 converted into an annuity for ten years</t>
  </si>
  <si>
    <t xml:space="preserve">Debt Value of leases =</t>
  </si>
  <si>
    <t xml:space="preserve">Restated Financials</t>
  </si>
  <si>
    <t xml:space="preserve">Depreciation on Operating Lease Asset =</t>
  </si>
  <si>
    <t xml:space="preserve">! I use straight line depreciation</t>
  </si>
  <si>
    <t xml:space="preserve">Adjustment to Operating Earnings =</t>
  </si>
  <si>
    <t xml:space="preserve">! Add this amount to pre-tax operating income</t>
  </si>
  <si>
    <t xml:space="preserve">Adjustment to Total Debt outstanding =</t>
  </si>
  <si>
    <t xml:space="preserve">! Add this amount to debt</t>
  </si>
  <si>
    <t xml:space="preserve">Adjustment to Depreciation =</t>
  </si>
  <si>
    <t xml:space="preserve">If you have negative operating income, this spreadsheet will offer you a D rating. Do not use that rating as your cost of debt for a going concern. Insread give your company a low, but going concern rating like BB and use that cost of debt.</t>
  </si>
  <si>
    <t xml:space="preserve">Inputs for synthetic rating estimation</t>
  </si>
  <si>
    <t xml:space="preserve">Please read the special cases worksheet (see below) before you use this spreadsheet.</t>
  </si>
  <si>
    <t xml:space="preserve">Before you use this spreadsheet, make sure that the iteration box (under calculation options in excel) is checked.</t>
  </si>
  <si>
    <t xml:space="preserve">Enter the type of firm =</t>
  </si>
  <si>
    <t xml:space="preserve">Enter current Earnings before interest and taxes (EBIT) =</t>
  </si>
  <si>
    <t xml:space="preserve">(Add back only long term interest expense for financial firms)</t>
  </si>
  <si>
    <t xml:space="preserve">Enter current interest expenses =</t>
  </si>
  <si>
    <t xml:space="preserve">(Use only long term interest expense for financial firms)</t>
  </si>
  <si>
    <t xml:space="preserve">Enter long term risk free rate  =</t>
  </si>
  <si>
    <t xml:space="preserve">Interest  coverage ratio =</t>
  </si>
  <si>
    <t xml:space="preserve">Estimated Bond Rating =</t>
  </si>
  <si>
    <t xml:space="preserve">Note: If you get REF! All over the place, set the operating lease commitment question in cell F5</t>
  </si>
  <si>
    <t xml:space="preserve">Estimated Company Default Spread =</t>
  </si>
  <si>
    <t xml:space="preserve">to No, and then reset it to Yes. It should work.</t>
  </si>
  <si>
    <t xml:space="preserve">Estimated County Default Spread (if any) =</t>
  </si>
  <si>
    <t xml:space="preserve">Estimated Cost of Debt =</t>
  </si>
  <si>
    <t xml:space="preserve"> If you want to update the spreads listed below, please visit http://www.bondsonline.com</t>
  </si>
  <si>
    <t xml:space="preserve">For large manufacturing firms</t>
  </si>
  <si>
    <t xml:space="preserve">Default Probabilities over time (1 - 10 year time horizons)</t>
  </si>
  <si>
    <t xml:space="preserve">If interest coverage ratio is</t>
  </si>
  <si>
    <t xml:space="preserve">Rating</t>
  </si>
  <si>
    <t xml:space="preserve">&gt;</t>
  </si>
  <si>
    <t xml:space="preserve">≤ to</t>
  </si>
  <si>
    <t xml:space="preserve">Rating is</t>
  </si>
  <si>
    <t xml:space="preserve">Spread is</t>
  </si>
  <si>
    <t xml:space="preserve">AAA</t>
  </si>
  <si>
    <t xml:space="preserve">D2/D</t>
  </si>
  <si>
    <t xml:space="preserve">AA</t>
  </si>
  <si>
    <t xml:space="preserve">C2/C</t>
  </si>
  <si>
    <t xml:space="preserve">A</t>
  </si>
  <si>
    <t xml:space="preserve">Ca2/CC</t>
  </si>
  <si>
    <t xml:space="preserve">BBB</t>
  </si>
  <si>
    <t xml:space="preserve">Caa/CCC</t>
  </si>
  <si>
    <t xml:space="preserve">BB</t>
  </si>
  <si>
    <t xml:space="preserve">B3/B-</t>
  </si>
  <si>
    <t xml:space="preserve">B</t>
  </si>
  <si>
    <t xml:space="preserve">B2/B</t>
  </si>
  <si>
    <t xml:space="preserve">CCC/C</t>
  </si>
  <si>
    <t xml:space="preserve">B1/B+</t>
  </si>
  <si>
    <t xml:space="preserve">Ba2/BB</t>
  </si>
  <si>
    <t xml:space="preserve">Ba1/BB+</t>
  </si>
  <si>
    <t xml:space="preserve">Baa2/BBB</t>
  </si>
  <si>
    <t xml:space="preserve">A3/A-</t>
  </si>
  <si>
    <t xml:space="preserve">A2/A</t>
  </si>
  <si>
    <t xml:space="preserve">A1/A+</t>
  </si>
  <si>
    <t xml:space="preserve">Aa2/AA</t>
  </si>
  <si>
    <t xml:space="preserve">Aaa/AAA</t>
  </si>
  <si>
    <t xml:space="preserve">For smaller and riskier firms</t>
  </si>
  <si>
    <t xml:space="preserve">greater than</t>
  </si>
  <si>
    <t xml:space="preserve">R &amp; D Converter</t>
  </si>
  <si>
    <t xml:space="preserve">This spreadsheet converts R&amp;D expenses from operating to capital expenses. It makes the appropriate adjustments to operating income, net</t>
  </si>
  <si>
    <t xml:space="preserve">income, the book value of assets and the book value of equity.</t>
  </si>
  <si>
    <t xml:space="preserve">Over how many years do you want to amortize R&amp;D expenses</t>
  </si>
  <si>
    <t xml:space="preserve">! If in doubt, use the lookup table below</t>
  </si>
  <si>
    <t xml:space="preserve">Enter the current year's R&amp;D expense =</t>
  </si>
  <si>
    <t xml:space="preserve">The maximum allowed is ten years</t>
  </si>
  <si>
    <t xml:space="preserve">Enter R&amp; D expenses for past years: the number of years that you will need to enter will be determined by the amortization period</t>
  </si>
  <si>
    <t xml:space="preserve">Do not input numbers in the first column (Year). It will get automatically updated  based on the input above.</t>
  </si>
  <si>
    <t xml:space="preserve">R&amp; D Expenses</t>
  </si>
  <si>
    <t xml:space="preserve">! Year -1 is the year prior to the current year</t>
  </si>
  <si>
    <t xml:space="preserve">! Year -2 is the two years prior to the current year</t>
  </si>
  <si>
    <t xml:space="preserve">R&amp;D Expense</t>
  </si>
  <si>
    <t xml:space="preserve">Unamortized portion</t>
  </si>
  <si>
    <t xml:space="preserve">Amortization this year</t>
  </si>
  <si>
    <t xml:space="preserve">Value of Research Asset =</t>
  </si>
  <si>
    <t xml:space="preserve">Amortization of asset for current year =</t>
  </si>
  <si>
    <t xml:space="preserve">Adjustment to Operating Income =</t>
  </si>
  <si>
    <t xml:space="preserve">! A positive number indicates an increase in operating income (add to reported EBIT)</t>
  </si>
  <si>
    <t xml:space="preserve">Tax Effect of R&amp;D Expensing</t>
  </si>
  <si>
    <t xml:space="preserve">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</si>
  <si>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 xml:space="preserve">Estimation of Current Cost of Capital</t>
  </si>
  <si>
    <t xml:space="preserve">Operating Countries ERP calculator</t>
  </si>
  <si>
    <r>
      <rPr>
        <sz val="12"/>
        <rFont val="Times New Roman"/>
        <family val="0"/>
        <charset val="1"/>
      </rPr>
      <t xml:space="preserve">There are four ways in whch you can estimate your cost of capital. In the first, you can </t>
    </r>
    <r>
      <rPr>
        <b val="true"/>
        <sz val="12"/>
        <rFont val="Times New Roman"/>
        <family val="0"/>
        <charset val="1"/>
      </rPr>
      <t xml:space="preserve">directly input</t>
    </r>
    <r>
      <rPr>
        <sz val="12"/>
        <rFont val="Times New Roman"/>
        <family val="0"/>
        <charset val="1"/>
      </rPr>
      <t xml:space="preserve"> a cost of captial. In the second, you can </t>
    </r>
    <r>
      <rPr>
        <b val="true"/>
        <sz val="12"/>
        <rFont val="Times New Roman"/>
        <family val="0"/>
        <charset val="1"/>
      </rPr>
      <t xml:space="preserve">work through your company's cost of capital inputs in detail</t>
    </r>
    <r>
      <rPr>
        <sz val="12"/>
        <rFont val="Times New Roman"/>
        <family val="0"/>
        <charset val="1"/>
      </rPr>
      <t xml:space="preserve">, entering business, geogaphical mix and debt, and I will help you estimate a cost of capital. In the third, you can look up the </t>
    </r>
    <r>
      <rPr>
        <b val="true"/>
        <sz val="12"/>
        <rFont val="Times New Roman"/>
        <family val="0"/>
        <charset val="1"/>
      </rPr>
      <t xml:space="preserve">cost of capital for the industry</t>
    </r>
    <r>
      <rPr>
        <sz val="12"/>
        <rFont val="Times New Roman"/>
        <family val="0"/>
        <charset val="1"/>
      </rPr>
      <t xml:space="preserve"> your firm belongs to and in the fourth, you can use a </t>
    </r>
    <r>
      <rPr>
        <b val="true"/>
        <sz val="12"/>
        <rFont val="Times New Roman"/>
        <family val="0"/>
        <charset val="1"/>
      </rPr>
      <t xml:space="preserve">crosssectoinal distribution</t>
    </r>
    <r>
      <rPr>
        <sz val="12"/>
        <rFont val="Times New Roman"/>
        <family val="0"/>
        <charset val="1"/>
      </rPr>
      <t xml:space="preserve">  of costs of capital for companies at the start of the year to make your estimate.</t>
    </r>
  </si>
  <si>
    <t xml:space="preserve">Country</t>
  </si>
  <si>
    <t xml:space="preserve">ERP</t>
  </si>
  <si>
    <t xml:space="preserve">Weight</t>
  </si>
  <si>
    <t xml:space="preserve">Weighted ERP</t>
  </si>
  <si>
    <t xml:space="preserve">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</si>
  <si>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 xml:space="preserve">China</t>
  </si>
  <si>
    <t xml:space="preserve">Taiwan</t>
  </si>
  <si>
    <t xml:space="preserve">Which approach will you be using?</t>
  </si>
  <si>
    <t xml:space="preserve">If direct input, enter cost of capital to use</t>
  </si>
  <si>
    <t xml:space="preserve">Cost of capital based upon approach =</t>
  </si>
  <si>
    <t xml:space="preserve">Approach 1: Detailed Cost of Capital</t>
  </si>
  <si>
    <t xml:space="preserve">Rest of the World</t>
  </si>
  <si>
    <t xml:space="preserve">Equity</t>
  </si>
  <si>
    <t xml:space="preserve">Number of Shares outstanding =</t>
  </si>
  <si>
    <t xml:space="preserve">Total</t>
  </si>
  <si>
    <t xml:space="preserve">Current Market Price per share =</t>
  </si>
  <si>
    <t xml:space="preserve">Operating Regions ERP calculator</t>
  </si>
  <si>
    <t xml:space="preserve">Region</t>
  </si>
  <si>
    <t xml:space="preserve">Approach for estimating beta</t>
  </si>
  <si>
    <t xml:space="preserve">Single Business(US)</t>
  </si>
  <si>
    <t xml:space="preserve">If direct input, enter levered beta (or regression beta)</t>
  </si>
  <si>
    <t xml:space="preserve">Unlevered beta =</t>
  </si>
  <si>
    <t xml:space="preserve">Riskfree Rate =</t>
  </si>
  <si>
    <t xml:space="preserve">What approach do you want to use to input ERP?</t>
  </si>
  <si>
    <t xml:space="preserve">Operating countries</t>
  </si>
  <si>
    <t xml:space="preserve">Direct input for ERP (if you choose "will input"</t>
  </si>
  <si>
    <t xml:space="preserve">Equity Risk Premium used in cost of equity =</t>
  </si>
  <si>
    <t xml:space="preserve">Debt</t>
  </si>
  <si>
    <t xml:space="preserve">Book Value of Straight Debt =</t>
  </si>
  <si>
    <t xml:space="preserve">Interest Expense on Debt =</t>
  </si>
  <si>
    <t xml:space="preserve">South Korea</t>
  </si>
  <si>
    <t xml:space="preserve">Average Maturity =</t>
  </si>
  <si>
    <t xml:space="preserve">Approach for estimating pre-tax cost of debt</t>
  </si>
  <si>
    <t xml:space="preserve">Actual rating</t>
  </si>
  <si>
    <t xml:space="preserve">If direct input, input the pre-tax cost of debt</t>
  </si>
  <si>
    <t xml:space="preserve">Multi Business (US Industry Averages)</t>
  </si>
  <si>
    <t xml:space="preserve">If actual rating, input the rating</t>
  </si>
  <si>
    <t xml:space="preserve">Business</t>
  </si>
  <si>
    <t xml:space="preserve">EV/Sales</t>
  </si>
  <si>
    <t xml:space="preserve">Estimated Value</t>
  </si>
  <si>
    <t xml:space="preserve">Unlevered Beta</t>
  </si>
  <si>
    <t xml:space="preserve">If synethetic rating, input the type of company</t>
  </si>
  <si>
    <t xml:space="preserve">Tax Rate =</t>
  </si>
  <si>
    <t xml:space="preserve">Book Value of Convertible Debt =</t>
  </si>
  <si>
    <t xml:space="preserve">Interest Expense on Convertible =</t>
  </si>
  <si>
    <t xml:space="preserve">Maturity of Convertible Bond =</t>
  </si>
  <si>
    <t xml:space="preserve">Market Value of Convertible =</t>
  </si>
  <si>
    <t xml:space="preserve">The cost of capital  is in US dollars, using the riskfree rate at the start of the year. It will be adjusted for the difference in riskfree rates to make it more current and to change currencies.</t>
  </si>
  <si>
    <t xml:space="preserve">Debt value of operating leases =</t>
  </si>
  <si>
    <t xml:space="preserve">Preferred Stock</t>
  </si>
  <si>
    <t xml:space="preserve">Number of Preferred Shares =</t>
  </si>
  <si>
    <t xml:space="preserve">Current Market Price per Share=</t>
  </si>
  <si>
    <t xml:space="preserve">Annual Dividend per Share =</t>
  </si>
  <si>
    <t xml:space="preserve">Multi Business (Global Industry Averages)</t>
  </si>
  <si>
    <t xml:space="preserve">Estimating Market Value of Straight Debt =</t>
  </si>
  <si>
    <t xml:space="preserve">Estimated Value of Straight Debt in Convertible =</t>
  </si>
  <si>
    <t xml:space="preserve">Value of Debt in Operating leases =</t>
  </si>
  <si>
    <t xml:space="preserve">Estimated Value of Equity in Convertible =</t>
  </si>
  <si>
    <t xml:space="preserve">Levered Beta for equity =</t>
  </si>
  <si>
    <t xml:space="preserve">Debt </t>
  </si>
  <si>
    <t xml:space="preserve">Capital</t>
  </si>
  <si>
    <t xml:space="preserve">Market Value</t>
  </si>
  <si>
    <t xml:space="preserve">Weight in Cost of Capital</t>
  </si>
  <si>
    <t xml:space="preserve">Cost of Component</t>
  </si>
  <si>
    <t xml:space="preserve">Approach 2: industry average cost of capital, adjusted for riskfre rate differences</t>
  </si>
  <si>
    <t xml:space="preserve">Industry </t>
  </si>
  <si>
    <t xml:space="preserve">Multibusiness(US)</t>
  </si>
  <si>
    <t xml:space="preserve">Cost of capital, adjusted for riskfree rate difference</t>
  </si>
  <si>
    <t xml:space="preserve">Approach 3: Uae histogram of costs of capital of all publicly traded firms</t>
  </si>
  <si>
    <t xml:space="preserve">What risk  decile does your company fall in?</t>
  </si>
  <si>
    <t xml:space="preserve">Ninth Decile (Highest Risk)</t>
  </si>
  <si>
    <t xml:space="preserve">Which grouping (US, Emerging Markets, Global)</t>
  </si>
  <si>
    <t xml:space="preserve">Emerging Markets</t>
  </si>
  <si>
    <t xml:space="preserve">Cost of capital based upon decile/group chosen</t>
  </si>
  <si>
    <t xml:space="preserve">Decile/Quartile</t>
  </si>
  <si>
    <t xml:space="preserve">US</t>
  </si>
  <si>
    <t xml:space="preserve">Emerging</t>
  </si>
  <si>
    <t xml:space="preserve">Eruope</t>
  </si>
  <si>
    <t xml:space="preserve">Japan</t>
  </si>
  <si>
    <t xml:space="preserve">Global</t>
  </si>
  <si>
    <t xml:space="preserve">First Decile (lowest Risk)</t>
  </si>
  <si>
    <t xml:space="preserve">First Quartile </t>
  </si>
  <si>
    <t xml:space="preserve">Third Quartile</t>
  </si>
  <si>
    <t xml:space="preserve">These costs of capital are all in US dollars and reflect the US dollar  riskfree rate at the start of the year. Once you make your choice, though, I will adjust the rate by the difference in riskfree rates, effectively converting currency and bringing it up to date. </t>
  </si>
  <si>
    <t xml:space="preserve">Estimating the likelihood of failure</t>
  </si>
  <si>
    <t xml:space="preserve">Approach 1: Using a corporate bond rating</t>
  </si>
  <si>
    <t xml:space="preserve">Thus, if you use the 10-year likelihood of failure, the chance of failure for a BB rated firm is 11.78%.</t>
  </si>
  <si>
    <t xml:space="preserve">Approach 2: Using corporate age (for young companies)</t>
  </si>
  <si>
    <t xml:space="preserve">Survial Rate Data from Bureau of Labor Statistics (2022)</t>
  </si>
  <si>
    <t xml:space="preserve">Agriculture</t>
  </si>
  <si>
    <t xml:space="preserve">Mining</t>
  </si>
  <si>
    <t xml:space="preserve">Utilities</t>
  </si>
  <si>
    <t xml:space="preserve">Construction</t>
  </si>
  <si>
    <t xml:space="preserve">Manufacturing</t>
  </si>
  <si>
    <t xml:space="preserve">Retail</t>
  </si>
  <si>
    <t xml:space="preserve">Transportation</t>
  </si>
  <si>
    <t xml:space="preserve">Information</t>
  </si>
  <si>
    <t xml:space="preserve">Health Care</t>
  </si>
  <si>
    <t xml:space="preserve">All Sectors</t>
  </si>
  <si>
    <t xml:space="preserve">Failure Rate given age</t>
  </si>
  <si>
    <t xml:space="preserve">Source; Bureau of Labor Statistics</t>
  </si>
  <si>
    <t xml:space="preserve">Thus, if you are valuing a technology firm that is 6 years old, the chance of failure is 11.70%.</t>
  </si>
  <si>
    <t xml:space="preserve">Factors to consider</t>
  </si>
  <si>
    <t xml:space="preserve">1. The likelihood of failure decreases for larger firms. </t>
  </si>
  <si>
    <t xml:space="preserve">2. The likelihood of failure decreases with access to capital, and is thus lower for publicly traded firms or firms with multiple high profile VCs</t>
  </si>
  <si>
    <t xml:space="preserve">3. The likelihood of failure decreases as revenue growth increases, since hope for future growth will sustain the firm.</t>
  </si>
  <si>
    <t xml:space="preserve">4. The likelihood of failure decreases with better unit economics, higher gross margins on the additional units sold</t>
  </si>
  <si>
    <t xml:space="preserve">Revenue Growth Rate</t>
  </si>
  <si>
    <t xml:space="preserve">Pre-Tax Operating Margin</t>
  </si>
  <si>
    <t xml:space="preserve">Pre-Tax Operating Income</t>
  </si>
  <si>
    <t xml:space="preserve">Taxes</t>
  </si>
  <si>
    <t xml:space="preserve">After-Tax Operating Income</t>
  </si>
  <si>
    <t xml:space="preserve">Traling 12 month</t>
  </si>
  <si>
    <t xml:space="preserve">Change in Revenues</t>
  </si>
  <si>
    <t xml:space="preserve">Capital Invested</t>
  </si>
  <si>
    <t xml:space="preserve">Implied ROC</t>
  </si>
  <si>
    <t xml:space="preserve">Beta</t>
  </si>
  <si>
    <t xml:space="preserve">Cost of Equity</t>
  </si>
  <si>
    <t xml:space="preserve">Pre-Tax Cost of Debt</t>
  </si>
  <si>
    <t xml:space="preserve">Tax Savings</t>
  </si>
  <si>
    <t xml:space="preserve">After-Tax Cost of Debt</t>
  </si>
  <si>
    <t xml:space="preserve">Debt Ratio</t>
  </si>
  <si>
    <t xml:space="preserve">Cumulated Cost of Capital</t>
  </si>
  <si>
    <t xml:space="preserve">Mature Market ERP +</t>
  </si>
  <si>
    <t xml:space="preserve">Updated June 1, 2023</t>
  </si>
  <si>
    <t xml:space="preserve">Changing this number will update all your country equity risk premiums.</t>
  </si>
  <si>
    <t xml:space="preserve">Moody's rating</t>
  </si>
  <si>
    <t xml:space="preserve">Adj. Default Spread</t>
  </si>
  <si>
    <t xml:space="preserve">Equity Risk Premium</t>
  </si>
  <si>
    <t xml:space="preserve">Country Risk Premium</t>
  </si>
  <si>
    <t xml:space="preserve">Corporate Tax Rate</t>
  </si>
  <si>
    <t xml:space="preserve">Abu Dhabi</t>
  </si>
  <si>
    <t xml:space="preserve">Aa2</t>
  </si>
  <si>
    <t xml:space="preserve">Albania</t>
  </si>
  <si>
    <t xml:space="preserve">B1</t>
  </si>
  <si>
    <t xml:space="preserve">Algeria</t>
  </si>
  <si>
    <t xml:space="preserve">NR</t>
  </si>
  <si>
    <t xml:space="preserve">Andorra (Principality of)</t>
  </si>
  <si>
    <t xml:space="preserve">Baa2</t>
  </si>
  <si>
    <t xml:space="preserve">Angola</t>
  </si>
  <si>
    <t xml:space="preserve">B3</t>
  </si>
  <si>
    <t xml:space="preserve">Argentina</t>
  </si>
  <si>
    <t xml:space="preserve">Ca</t>
  </si>
  <si>
    <t xml:space="preserve">Armenia</t>
  </si>
  <si>
    <t xml:space="preserve">Ba3</t>
  </si>
  <si>
    <t xml:space="preserve">Aruba</t>
  </si>
  <si>
    <t xml:space="preserve">Australia</t>
  </si>
  <si>
    <t xml:space="preserve">Aaa</t>
  </si>
  <si>
    <t xml:space="preserve">Austria</t>
  </si>
  <si>
    <t xml:space="preserve">Aa1</t>
  </si>
  <si>
    <t xml:space="preserve">Azerbaijan</t>
  </si>
  <si>
    <t xml:space="preserve">Ba1</t>
  </si>
  <si>
    <t xml:space="preserve">Bahamas</t>
  </si>
  <si>
    <t xml:space="preserve">Bahrain</t>
  </si>
  <si>
    <t xml:space="preserve">B2</t>
  </si>
  <si>
    <t xml:space="preserve">Bangladesh</t>
  </si>
  <si>
    <t xml:space="preserve">Barbados</t>
  </si>
  <si>
    <t xml:space="preserve">Caa1</t>
  </si>
  <si>
    <t xml:space="preserve">Belarus</t>
  </si>
  <si>
    <t xml:space="preserve">Belgium</t>
  </si>
  <si>
    <t xml:space="preserve">Aa3</t>
  </si>
  <si>
    <t xml:space="preserve">Belize</t>
  </si>
  <si>
    <t xml:space="preserve">Caa2</t>
  </si>
  <si>
    <t xml:space="preserve">Benin</t>
  </si>
  <si>
    <t xml:space="preserve">Bermuda</t>
  </si>
  <si>
    <t xml:space="preserve">A2</t>
  </si>
  <si>
    <t xml:space="preserve">Bolivia</t>
  </si>
  <si>
    <t xml:space="preserve">Bosnia and Herzegovina</t>
  </si>
  <si>
    <t xml:space="preserve">Botswana</t>
  </si>
  <si>
    <t xml:space="preserve">A3</t>
  </si>
  <si>
    <t xml:space="preserve">Brazil</t>
  </si>
  <si>
    <t xml:space="preserve">Ba2</t>
  </si>
  <si>
    <t xml:space="preserve">Brunei</t>
  </si>
  <si>
    <t xml:space="preserve">Bulgaria</t>
  </si>
  <si>
    <t xml:space="preserve">Baa1</t>
  </si>
  <si>
    <t xml:space="preserve">Burkina Faso</t>
  </si>
  <si>
    <t xml:space="preserve">Cambodia</t>
  </si>
  <si>
    <t xml:space="preserve">Cameroon</t>
  </si>
  <si>
    <t xml:space="preserve">Canada</t>
  </si>
  <si>
    <t xml:space="preserve">Cape Verde</t>
  </si>
  <si>
    <t xml:space="preserve">Cayman Islands</t>
  </si>
  <si>
    <t xml:space="preserve">Chile</t>
  </si>
  <si>
    <t xml:space="preserve">A1</t>
  </si>
  <si>
    <t xml:space="preserve">Colombia</t>
  </si>
  <si>
    <t xml:space="preserve">Congo (Democratic Republic of)</t>
  </si>
  <si>
    <t xml:space="preserve">Congo (Republic of)</t>
  </si>
  <si>
    <t xml:space="preserve">Cook Islands</t>
  </si>
  <si>
    <t xml:space="preserve">Costa Rica</t>
  </si>
  <si>
    <t xml:space="preserve">Côte d'Ivoire</t>
  </si>
  <si>
    <t xml:space="preserve">Croatia</t>
  </si>
  <si>
    <t xml:space="preserve">Cuba</t>
  </si>
  <si>
    <t xml:space="preserve">Curacao</t>
  </si>
  <si>
    <t xml:space="preserve">Cyprus</t>
  </si>
  <si>
    <t xml:space="preserve">Czech Republic</t>
  </si>
  <si>
    <t xml:space="preserve">Denmark</t>
  </si>
  <si>
    <t xml:space="preserve">Dominican Republic</t>
  </si>
  <si>
    <t xml:space="preserve">Ecuador</t>
  </si>
  <si>
    <t xml:space="preserve">Caa3</t>
  </si>
  <si>
    <t xml:space="preserve">Egypt</t>
  </si>
  <si>
    <t xml:space="preserve">El Salvador</t>
  </si>
  <si>
    <t xml:space="preserve">Estonia</t>
  </si>
  <si>
    <t xml:space="preserve">Ethiopia</t>
  </si>
  <si>
    <t xml:space="preserve">Fiji</t>
  </si>
  <si>
    <t xml:space="preserve">Finland</t>
  </si>
  <si>
    <t xml:space="preserve">France</t>
  </si>
  <si>
    <t xml:space="preserve">Gabon</t>
  </si>
  <si>
    <t xml:space="preserve">Gambia</t>
  </si>
  <si>
    <t xml:space="preserve">Georgia</t>
  </si>
  <si>
    <t xml:space="preserve">Germany</t>
  </si>
  <si>
    <t xml:space="preserve">Ghana</t>
  </si>
  <si>
    <t xml:space="preserve">Greece</t>
  </si>
  <si>
    <t xml:space="preserve">Guatemala</t>
  </si>
  <si>
    <t xml:space="preserve">Guernsey (States of)</t>
  </si>
  <si>
    <t xml:space="preserve">Guinea</t>
  </si>
  <si>
    <t xml:space="preserve">Guinea-Bissau</t>
  </si>
  <si>
    <t xml:space="preserve">Guyana</t>
  </si>
  <si>
    <t xml:space="preserve">Haiti</t>
  </si>
  <si>
    <t xml:space="preserve">Honduras</t>
  </si>
  <si>
    <t xml:space="preserve">Hong Kong</t>
  </si>
  <si>
    <t xml:space="preserve">Hungary</t>
  </si>
  <si>
    <t xml:space="preserve">Iceland</t>
  </si>
  <si>
    <t xml:space="preserve">India</t>
  </si>
  <si>
    <t xml:space="preserve">Baa3</t>
  </si>
  <si>
    <t xml:space="preserve">Indonesia</t>
  </si>
  <si>
    <t xml:space="preserve">Iran</t>
  </si>
  <si>
    <t xml:space="preserve">Iraq</t>
  </si>
  <si>
    <t xml:space="preserve">Ireland</t>
  </si>
  <si>
    <t xml:space="preserve">Isle of Man</t>
  </si>
  <si>
    <t xml:space="preserve">Israel</t>
  </si>
  <si>
    <t xml:space="preserve">Italy</t>
  </si>
  <si>
    <t xml:space="preserve">Jamaica</t>
  </si>
  <si>
    <t xml:space="preserve">Jersey (States of)</t>
  </si>
  <si>
    <t xml:space="preserve">Jordan</t>
  </si>
  <si>
    <t xml:space="preserve">Kazakhstan</t>
  </si>
  <si>
    <t xml:space="preserve">Kenya</t>
  </si>
  <si>
    <t xml:space="preserve">Korea</t>
  </si>
  <si>
    <t xml:space="preserve">Korea, D.P.R.</t>
  </si>
  <si>
    <t xml:space="preserve">Kuwait</t>
  </si>
  <si>
    <t xml:space="preserve">Kyrgyzstan</t>
  </si>
  <si>
    <t xml:space="preserve">Laos</t>
  </si>
  <si>
    <t xml:space="preserve">Latvia</t>
  </si>
  <si>
    <t xml:space="preserve">Lebanon</t>
  </si>
  <si>
    <t xml:space="preserve">C</t>
  </si>
  <si>
    <t xml:space="preserve">Liberia</t>
  </si>
  <si>
    <t xml:space="preserve">Libya</t>
  </si>
  <si>
    <t xml:space="preserve">Liechtenstein</t>
  </si>
  <si>
    <t xml:space="preserve">Lithuania</t>
  </si>
  <si>
    <t xml:space="preserve">Luxembourg</t>
  </si>
  <si>
    <t xml:space="preserve">Macao</t>
  </si>
  <si>
    <t xml:space="preserve">Macedonia</t>
  </si>
  <si>
    <t xml:space="preserve">Madagascar</t>
  </si>
  <si>
    <t xml:space="preserve">Malawi</t>
  </si>
  <si>
    <t xml:space="preserve">Malaysia</t>
  </si>
  <si>
    <t xml:space="preserve">Maldives</t>
  </si>
  <si>
    <t xml:space="preserve">Mali</t>
  </si>
  <si>
    <t xml:space="preserve">Malta</t>
  </si>
  <si>
    <t xml:space="preserve">Mauritius</t>
  </si>
  <si>
    <t xml:space="preserve">Mexico</t>
  </si>
  <si>
    <t xml:space="preserve">Moldova</t>
  </si>
  <si>
    <t xml:space="preserve">Mongolia</t>
  </si>
  <si>
    <t xml:space="preserve">Montenegro</t>
  </si>
  <si>
    <t xml:space="preserve">Montserrat</t>
  </si>
  <si>
    <t xml:space="preserve">Morocco</t>
  </si>
  <si>
    <t xml:space="preserve">Mozambique</t>
  </si>
  <si>
    <t xml:space="preserve">Myanmar</t>
  </si>
  <si>
    <t xml:space="preserve">Namibia</t>
  </si>
  <si>
    <t xml:space="preserve">Netherlands</t>
  </si>
  <si>
    <t xml:space="preserve">New Zealand</t>
  </si>
  <si>
    <t xml:space="preserve">Nicaragua</t>
  </si>
  <si>
    <t xml:space="preserve">Niger</t>
  </si>
  <si>
    <t xml:space="preserve">Nigeria</t>
  </si>
  <si>
    <t xml:space="preserve">Norway</t>
  </si>
  <si>
    <t xml:space="preserve">Oman</t>
  </si>
  <si>
    <t xml:space="preserve">Pakistan</t>
  </si>
  <si>
    <t xml:space="preserve">Panama</t>
  </si>
  <si>
    <t xml:space="preserve">Papua New Guinea</t>
  </si>
  <si>
    <t xml:space="preserve">Paraguay</t>
  </si>
  <si>
    <t xml:space="preserve">Peru</t>
  </si>
  <si>
    <t xml:space="preserve">Philippines</t>
  </si>
  <si>
    <t xml:space="preserve">Poland</t>
  </si>
  <si>
    <t xml:space="preserve">Portugal</t>
  </si>
  <si>
    <t xml:space="preserve">Qatar</t>
  </si>
  <si>
    <t xml:space="preserve">Ras Al Khaimah (Emirate of)</t>
  </si>
  <si>
    <t xml:space="preserve">Romania</t>
  </si>
  <si>
    <t xml:space="preserve">Russia</t>
  </si>
  <si>
    <t xml:space="preserve">Rwanda</t>
  </si>
  <si>
    <t xml:space="preserve">Saudi Arabia</t>
  </si>
  <si>
    <t xml:space="preserve">Senegal</t>
  </si>
  <si>
    <t xml:space="preserve">Serbia</t>
  </si>
  <si>
    <t xml:space="preserve">Sharjah</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</si>
  <si>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</si>
  <si>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</si>
  <si>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</si>
  <si>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</si>
  <si>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</si>
  <si>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</si>
  <si>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</si>
  <si>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</si>
  <si>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</si>
  <si>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St. Maarten</t>
  </si>
  <si>
    <t xml:space="preserve">St. Vincent &amp; the Grenadines</t>
  </si>
  <si>
    <t xml:space="preserve">Sudan</t>
  </si>
  <si>
    <t xml:space="preserve">Suriname</t>
  </si>
  <si>
    <t xml:space="preserve">Swaziland</t>
  </si>
  <si>
    <t xml:space="preserve">Sweden</t>
  </si>
  <si>
    <t xml:space="preserve">Switzerland</t>
  </si>
  <si>
    <t xml:space="preserve">Syria</t>
  </si>
  <si>
    <t xml:space="preserve">Tajikistan</t>
  </si>
  <si>
    <t xml:space="preserve">Tanzania</t>
  </si>
  <si>
    <t xml:space="preserve">Thailand</t>
  </si>
  <si>
    <t xml:space="preserve">Togo</t>
  </si>
  <si>
    <t xml:space="preserve">Trinidad and Tobago</t>
  </si>
  <si>
    <t xml:space="preserve">Tunisia</t>
  </si>
  <si>
    <t xml:space="preserve">Turkey</t>
  </si>
  <si>
    <t xml:space="preserve">Turks and Caicos Islands</t>
  </si>
  <si>
    <t xml:space="preserve">Uganda</t>
  </si>
  <si>
    <t xml:space="preserve">Ukraine</t>
  </si>
  <si>
    <t xml:space="preserve">United Arab Emirates</t>
  </si>
  <si>
    <t xml:space="preserve">United Kingdom</t>
  </si>
  <si>
    <t xml:space="preserve">Uruguay</t>
  </si>
  <si>
    <t xml:space="preserve">Uzbekistan</t>
  </si>
  <si>
    <t xml:space="preserve">Venezuela</t>
  </si>
  <si>
    <t xml:space="preserve">Vietnam</t>
  </si>
  <si>
    <t xml:space="preserve">Yemen, Republic</t>
  </si>
  <si>
    <t xml:space="preserve">Zambia</t>
  </si>
  <si>
    <t xml:space="preserve">Zimbabwe</t>
  </si>
  <si>
    <t xml:space="preserve">Weighted Average: ERP</t>
  </si>
  <si>
    <t xml:space="preserve">Weighted Average: Default Spreads</t>
  </si>
  <si>
    <t xml:space="preserve">Tax Rate</t>
  </si>
  <si>
    <t xml:space="preserve">Weighted Average: CRP</t>
  </si>
  <si>
    <t xml:space="preserve">Africa</t>
  </si>
  <si>
    <t xml:space="preserve">Asia</t>
  </si>
  <si>
    <t xml:space="preserve">Australia &amp; New Zealand</t>
  </si>
  <si>
    <t xml:space="preserve">Caribbean</t>
  </si>
  <si>
    <t xml:space="preserve">Central and South America</t>
  </si>
  <si>
    <t xml:space="preserve">Eastern Europe &amp; Russia</t>
  </si>
  <si>
    <t xml:space="preserve">Middle East</t>
  </si>
  <si>
    <t xml:space="preserve">North America</t>
  </si>
  <si>
    <t xml:space="preserve">Western Europe</t>
  </si>
  <si>
    <t xml:space="preserve">Industry Name</t>
  </si>
  <si>
    <t xml:space="preserve">Number of firms</t>
  </si>
  <si>
    <t xml:space="preserve">Annual Average Revenue growth - Last 5 years</t>
  </si>
  <si>
    <t xml:space="preserve">Pre-tax Operating Margin (Unadjusted)</t>
  </si>
  <si>
    <t xml:space="preserve">After-tax ROC</t>
  </si>
  <si>
    <t xml:space="preserve">Average effective tax rate</t>
  </si>
  <si>
    <t xml:space="preserve">Equity (Levered) Beta</t>
  </si>
  <si>
    <t xml:space="preserve">Cost of equity</t>
  </si>
  <si>
    <t xml:space="preserve">Std deviation in stock prices</t>
  </si>
  <si>
    <t xml:space="preserve">Pre-tax cost of debt</t>
  </si>
  <si>
    <t xml:space="preserve">Market Debt/Capital</t>
  </si>
  <si>
    <t xml:space="preserve">Sales/Capital</t>
  </si>
  <si>
    <t xml:space="preserve">EV/EBITDA</t>
  </si>
  <si>
    <t xml:space="preserve">EV/EBIT</t>
  </si>
  <si>
    <t xml:space="preserve">Price/Book</t>
  </si>
  <si>
    <t xml:space="preserve">Trailing PE</t>
  </si>
  <si>
    <t xml:space="preserve">Non-cash WC as % of Revenues</t>
  </si>
  <si>
    <t xml:space="preserve">Cap Ex as % of Revenues</t>
  </si>
  <si>
    <t xml:space="preserve">Net Cap Ex as % of Revenues</t>
  </si>
  <si>
    <t xml:space="preserve">ROE</t>
  </si>
  <si>
    <t xml:space="preserve">Dividend Payout Ratio</t>
  </si>
  <si>
    <t xml:space="preserve">Equity Reinvestment Rate</t>
  </si>
  <si>
    <t xml:space="preserve">Pre-tax Operating Margin (Lease &amp; R&amp;D adjusted)</t>
  </si>
  <si>
    <t xml:space="preserve">Advertising</t>
  </si>
  <si>
    <t xml:space="preserve">Aerospace/Defense</t>
  </si>
  <si>
    <t xml:space="preserve">Air Transport</t>
  </si>
  <si>
    <t xml:space="preserve">Apparel</t>
  </si>
  <si>
    <t xml:space="preserve">Auto &amp; Truck</t>
  </si>
  <si>
    <t xml:space="preserve">Auto Parts</t>
  </si>
  <si>
    <t xml:space="preserve">Bank (Money Center)</t>
  </si>
  <si>
    <t xml:space="preserve">NA</t>
  </si>
  <si>
    <t xml:space="preserve">Banks (Regional)</t>
  </si>
  <si>
    <t xml:space="preserve">Beverage (Alcoholic)</t>
  </si>
  <si>
    <t xml:space="preserve">Beverage (Soft)</t>
  </si>
  <si>
    <t xml:space="preserve">Broadcasting</t>
  </si>
  <si>
    <t xml:space="preserve">Brokerage &amp; Investment Banking</t>
  </si>
  <si>
    <t xml:space="preserve">Building Materials</t>
  </si>
  <si>
    <t xml:space="preserve">Business &amp; Consumer Services</t>
  </si>
  <si>
    <t xml:space="preserve">Cable TV</t>
  </si>
  <si>
    <t xml:space="preserve">Chemical (Basic)</t>
  </si>
  <si>
    <t xml:space="preserve">Chemical (Diversified)</t>
  </si>
  <si>
    <t xml:space="preserve">Chemical (Specialty)</t>
  </si>
  <si>
    <t xml:space="preserve">Coal &amp; Related Energy</t>
  </si>
  <si>
    <t xml:space="preserve">Computer Services</t>
  </si>
  <si>
    <t xml:space="preserve">Computers/Peripherals</t>
  </si>
  <si>
    <t xml:space="preserve">Construction Supplies</t>
  </si>
  <si>
    <t xml:space="preserve">Diversified</t>
  </si>
  <si>
    <t xml:space="preserve">Drugs (Biotechnology)</t>
  </si>
  <si>
    <t xml:space="preserve">Drugs (Pharmaceutical)</t>
  </si>
  <si>
    <t xml:space="preserve">Education</t>
  </si>
  <si>
    <t xml:space="preserve">Electrical Equipment</t>
  </si>
  <si>
    <t xml:space="preserve">Electronics (Consumer &amp; Office)</t>
  </si>
  <si>
    <t xml:space="preserve">Electronics (General)</t>
  </si>
  <si>
    <t xml:space="preserve">Engineering/Construction</t>
  </si>
  <si>
    <t xml:space="preserve">Entertainment</t>
  </si>
  <si>
    <t xml:space="preserve">Environmental &amp; Waste Services</t>
  </si>
  <si>
    <t xml:space="preserve">Farming/Agriculture</t>
  </si>
  <si>
    <t xml:space="preserve">Financial Svcs. (Non-bank &amp; Insurance)</t>
  </si>
  <si>
    <t xml:space="preserve">Food Processing</t>
  </si>
  <si>
    <t xml:space="preserve">Food Wholesalers</t>
  </si>
  <si>
    <t xml:space="preserve">Furn/Home Furnishings</t>
  </si>
  <si>
    <t xml:space="preserve">Green &amp; Renewable Energy</t>
  </si>
  <si>
    <t xml:space="preserve">Healthcare Products</t>
  </si>
  <si>
    <t xml:space="preserve">Healthcare Support Services</t>
  </si>
  <si>
    <t xml:space="preserve">Heathcare Information and Technology</t>
  </si>
  <si>
    <t xml:space="preserve">Homebuilding</t>
  </si>
  <si>
    <t xml:space="preserve">Hospitals/Healthcare Facilities</t>
  </si>
  <si>
    <t xml:space="preserve">Hotel/Gaming</t>
  </si>
  <si>
    <t xml:space="preserve">Household Products</t>
  </si>
  <si>
    <t xml:space="preserve">Information Services</t>
  </si>
  <si>
    <t xml:space="preserve">Insurance (General)</t>
  </si>
  <si>
    <t xml:space="preserve">Insurance (Life)</t>
  </si>
  <si>
    <t xml:space="preserve">Insurance (Prop/Cas.)</t>
  </si>
  <si>
    <t xml:space="preserve">Investments &amp; Asset Management</t>
  </si>
  <si>
    <t xml:space="preserve">Machinery</t>
  </si>
  <si>
    <t xml:space="preserve">Metals &amp; Mining</t>
  </si>
  <si>
    <t xml:space="preserve">Office Equipment &amp; Services</t>
  </si>
  <si>
    <t xml:space="preserve">Oil/Gas (Integrated)</t>
  </si>
  <si>
    <t xml:space="preserve">Oil/Gas (Production and Exploration)</t>
  </si>
  <si>
    <t xml:space="preserve">Oil/Gas Distribution</t>
  </si>
  <si>
    <t xml:space="preserve">Oilfield Svcs/Equip.</t>
  </si>
  <si>
    <t xml:space="preserve">Packaging &amp; Container</t>
  </si>
  <si>
    <t xml:space="preserve">Paper/Forest Products</t>
  </si>
  <si>
    <t xml:space="preserve">Power</t>
  </si>
  <si>
    <t xml:space="preserve">Precious Metals</t>
  </si>
  <si>
    <t xml:space="preserve">Publishing &amp; Newspapers</t>
  </si>
  <si>
    <t xml:space="preserve">R.E.I.T.</t>
  </si>
  <si>
    <t xml:space="preserve">Real Estate (Development)</t>
  </si>
  <si>
    <t xml:space="preserve">Real Estate (General/Diversified)</t>
  </si>
  <si>
    <t xml:space="preserve">Real Estate (Operations &amp; Services)</t>
  </si>
  <si>
    <t xml:space="preserve">Recreation</t>
  </si>
  <si>
    <t xml:space="preserve">Reinsurance</t>
  </si>
  <si>
    <t xml:space="preserve">Restaurant/Dining</t>
  </si>
  <si>
    <t xml:space="preserve">Retail (Automotive)</t>
  </si>
  <si>
    <t xml:space="preserve">Retail (Building Supply)</t>
  </si>
  <si>
    <t xml:space="preserve">Retail (Distributors)</t>
  </si>
  <si>
    <t xml:space="preserve">Retail (General)</t>
  </si>
  <si>
    <t xml:space="preserve">Retail (Grocery and Food)</t>
  </si>
  <si>
    <t xml:space="preserve">Retail (Online)</t>
  </si>
  <si>
    <t xml:space="preserve">Retail (Special Lines)</t>
  </si>
  <si>
    <t xml:space="preserve">Rubber&amp; Tires</t>
  </si>
  <si>
    <t xml:space="preserve">Semiconductor Equip</t>
  </si>
  <si>
    <t xml:space="preserve">Shipbuilding &amp; Marine</t>
  </si>
  <si>
    <t xml:space="preserve">Shoe</t>
  </si>
  <si>
    <t xml:space="preserve">Software (Entertainment)</t>
  </si>
  <si>
    <t xml:space="preserve">Software (Internet)</t>
  </si>
  <si>
    <t xml:space="preserve">Software (System &amp; Application)</t>
  </si>
  <si>
    <t xml:space="preserve">Steel</t>
  </si>
  <si>
    <t xml:space="preserve">Telecom (Wireless)</t>
  </si>
  <si>
    <t xml:space="preserve">Telecom. Equipment</t>
  </si>
  <si>
    <t xml:space="preserve">Telecom. Services</t>
  </si>
  <si>
    <t xml:space="preserve">Tobacco</t>
  </si>
  <si>
    <t xml:space="preserve">Transportation (Railroads)</t>
  </si>
  <si>
    <t xml:space="preserve">Trucking</t>
  </si>
  <si>
    <t xml:space="preserve">Utility (General)</t>
  </si>
  <si>
    <t xml:space="preserve">Utility (Water)</t>
  </si>
  <si>
    <t xml:space="preserve">Revenue Growth Rate = Last 3 years</t>
  </si>
  <si>
    <t xml:space="preserve">Pre-tax Operating Margin</t>
  </si>
  <si>
    <t xml:space="preserve">Sales to Invested Capital</t>
  </si>
  <si>
    <t xml:space="preserve">Debt to Capital Ratio</t>
  </si>
  <si>
    <t xml:space="preserve">Industry Group</t>
  </si>
  <si>
    <t xml:space="preserve">count</t>
  </si>
  <si>
    <t xml:space="preserve">First Quartlie</t>
  </si>
  <si>
    <t xml:space="preserve">median(Beta)</t>
  </si>
  <si>
    <t xml:space="preserve">First X months: Last year</t>
  </si>
  <si>
    <t xml:space="preserve">First X months: Current year</t>
  </si>
  <si>
    <t xml:space="preserve">Trailing 12 month</t>
  </si>
  <si>
    <t xml:space="preserve">Technology &amp; Content</t>
  </si>
  <si>
    <t xml:space="preserve">Interest expenses</t>
  </si>
  <si>
    <t xml:space="preserve">Cash and cross holdings</t>
  </si>
  <si>
    <t xml:space="preserve">Non-operating assets </t>
  </si>
  <si>
    <t xml:space="preserve">Lease commitments</t>
  </si>
  <si>
    <t xml:space="preserve">Year 1</t>
  </si>
  <si>
    <t xml:space="preserve">Year 2</t>
  </si>
  <si>
    <t xml:space="preserve">Copy into operating lease worksheet</t>
  </si>
  <si>
    <t xml:space="preserve">Year 3</t>
  </si>
  <si>
    <t xml:space="preserve">Year 4</t>
  </si>
  <si>
    <t xml:space="preserve">Beyond year 5</t>
  </si>
  <si>
    <t xml:space="preserve">Current year's lease expense</t>
  </si>
  <si>
    <t xml:space="preserve">G&amp;A</t>
  </si>
  <si>
    <t xml:space="preserve">Marketing Costs</t>
  </si>
  <si>
    <t xml:space="preserve">Content Costs</t>
  </si>
  <si>
    <t xml:space="preserve">Content Costs (Cash Flows)</t>
  </si>
  <si>
    <t xml:space="preserve">Yes/No</t>
  </si>
  <si>
    <t xml:space="preserve">Book or Market Value</t>
  </si>
  <si>
    <t xml:space="preserve">ERP choices</t>
  </si>
  <si>
    <t xml:space="preserve">Cost of debt</t>
  </si>
  <si>
    <t xml:space="preserve">Synthetic rating</t>
  </si>
  <si>
    <t xml:space="preserve">Cost of Capital Approach</t>
  </si>
  <si>
    <t xml:space="preserve">Reinvestment lag</t>
  </si>
  <si>
    <t xml:space="preserve">Will input</t>
  </si>
  <si>
    <t xml:space="preserve">Direct input</t>
  </si>
  <si>
    <t xml:space="preserve">I will input</t>
  </si>
  <si>
    <t xml:space="preserve">Detailed</t>
  </si>
  <si>
    <t xml:space="preserve">Single Business(Global)</t>
  </si>
  <si>
    <t xml:space="preserve">Europe</t>
  </si>
  <si>
    <t xml:space="preserve">Operating regions</t>
  </si>
  <si>
    <t xml:space="preserve">Distribution</t>
  </si>
  <si>
    <t xml:space="preserve">Multibusiness(Global)</t>
  </si>
</sst>
</file>

<file path=xl/styles.xml><?xml version="1.0" encoding="utf-8"?>
<styleSheet xmlns="http://schemas.openxmlformats.org/spreadsheetml/2006/main">
  <numFmts count="26">
    <numFmt numFmtId="164" formatCode="General"/>
    <numFmt numFmtId="165" formatCode="mmm\ yy"/>
    <numFmt numFmtId="166" formatCode="_(\$* #,##0.00_);_(\$* \(#,##0.00\);_(\$* \-??_);_(@_)"/>
    <numFmt numFmtId="167" formatCode="0.00"/>
    <numFmt numFmtId="168" formatCode="0.00\ %"/>
    <numFmt numFmtId="169" formatCode="0\ %"/>
    <numFmt numFmtId="170" formatCode="_(\$* #,##0_);_(\$* \(#,##0\);_(\$* \-??_);_(@_)"/>
    <numFmt numFmtId="171" formatCode="\$#,##0.00"/>
    <numFmt numFmtId="172" formatCode="0"/>
    <numFmt numFmtId="173" formatCode="0.0000"/>
    <numFmt numFmtId="174" formatCode="\$#,##0.00_);[RED]&quot;($&quot;#,##0.00\)"/>
    <numFmt numFmtId="175" formatCode="_(* #,##0.00_);_(* \(#,##0.00\);_(* \-??_);_(@_)"/>
    <numFmt numFmtId="176" formatCode="General"/>
    <numFmt numFmtId="177" formatCode="dd/\ mmm"/>
    <numFmt numFmtId="178" formatCode="0.0%"/>
    <numFmt numFmtId="179" formatCode="[$₩-412]#,##0.00"/>
    <numFmt numFmtId="180" formatCode="\$#,##0"/>
    <numFmt numFmtId="181" formatCode="#,##0.00"/>
    <numFmt numFmtId="182" formatCode="#,##0"/>
    <numFmt numFmtId="183" formatCode="#,##0.0000"/>
    <numFmt numFmtId="184" formatCode="_(* #,##0.0_);_(* \(#,##0.0\)_)\ ;_(* 0_)"/>
    <numFmt numFmtId="185" formatCode="\$#,##0_);[RED]&quot;($&quot;#,##0\)"/>
    <numFmt numFmtId="186" formatCode="0.0000%"/>
    <numFmt numFmtId="187" formatCode="0.000%"/>
    <numFmt numFmtId="188" formatCode="_([$$-409]* #,##0.00_);_([$$-409]* \(#,##0.00\);_([$$-409]* \-??_);_(@_)"/>
    <numFmt numFmtId="189" formatCode="#,##0.00%"/>
  </numFmts>
  <fonts count="76">
    <font>
      <sz val="9"/>
      <name val="Geneva"/>
      <family val="2"/>
      <charset val="1"/>
    </font>
    <font>
      <sz val="10"/>
      <name val="Arial"/>
      <family val="0"/>
    </font>
    <font>
      <sz val="10"/>
      <name val="Arial"/>
      <family val="0"/>
    </font>
    <font>
      <sz val="10"/>
      <name val="Arial"/>
      <family val="0"/>
    </font>
    <font>
      <sz val="9"/>
      <name val="Arial"/>
      <family val="0"/>
      <charset val="1"/>
    </font>
    <font>
      <sz val="12"/>
      <name val="Arial"/>
      <family val="2"/>
      <charset val="1"/>
    </font>
    <font>
      <sz val="12"/>
      <name val="Arial"/>
      <family val="0"/>
      <charset val="1"/>
    </font>
    <font>
      <b val="true"/>
      <sz val="12"/>
      <name val="Arial"/>
      <family val="0"/>
      <charset val="1"/>
    </font>
    <font>
      <b val="true"/>
      <sz val="12"/>
      <color rgb="FF000000"/>
      <name val="Arial"/>
      <family val="0"/>
      <charset val="1"/>
    </font>
    <font>
      <i val="true"/>
      <sz val="12"/>
      <color rgb="FF000000"/>
      <name val="Arial"/>
      <family val="0"/>
      <charset val="1"/>
    </font>
    <font>
      <i val="true"/>
      <sz val="12"/>
      <color rgb="FF00B050"/>
      <name val="Arial"/>
      <family val="0"/>
      <charset val="1"/>
    </font>
    <font>
      <i val="true"/>
      <sz val="12"/>
      <name val="Arial"/>
      <family val="0"/>
      <charset val="1"/>
    </font>
    <font>
      <i val="true"/>
      <sz val="12"/>
      <color rgb="FFFF0000"/>
      <name val="Arial"/>
      <family val="0"/>
      <charset val="1"/>
    </font>
    <font>
      <sz val="12"/>
      <color rgb="FF000000"/>
      <name val="Arial"/>
      <family val="0"/>
      <charset val="1"/>
    </font>
    <font>
      <sz val="12"/>
      <name val="Geneva"/>
      <family val="2"/>
      <charset val="1"/>
    </font>
    <font>
      <b val="true"/>
      <i val="true"/>
      <sz val="12"/>
      <name val="Arial"/>
      <family val="0"/>
      <charset val="1"/>
    </font>
    <font>
      <sz val="9"/>
      <color rgb="FF000000"/>
      <name val="Geneva"/>
      <family val="2"/>
      <charset val="1"/>
    </font>
    <font>
      <sz val="10"/>
      <color rgb="FF000000"/>
      <name val="Calibri"/>
      <family val="2"/>
      <charset val="1"/>
    </font>
    <font>
      <sz val="10"/>
      <name val="Arial"/>
      <family val="2"/>
      <charset val="1"/>
    </font>
    <font>
      <i val="true"/>
      <sz val="10"/>
      <name val="Arial"/>
      <family val="2"/>
      <charset val="1"/>
    </font>
    <font>
      <b val="true"/>
      <sz val="10"/>
      <name val="Arial"/>
      <family val="2"/>
      <charset val="1"/>
    </font>
    <font>
      <sz val="10"/>
      <color rgb="FFFFFFFF"/>
      <name val="Arial"/>
      <family val="2"/>
      <charset val="1"/>
    </font>
    <font>
      <sz val="10"/>
      <color rgb="FFFF0000"/>
      <name val="Arial"/>
      <family val="2"/>
      <charset val="1"/>
    </font>
    <font>
      <b val="true"/>
      <i val="true"/>
      <u val="single"/>
      <sz val="10"/>
      <name val="Arial"/>
      <family val="2"/>
      <charset val="1"/>
    </font>
    <font>
      <sz val="12"/>
      <name val="Calibri"/>
      <family val="2"/>
      <charset val="1"/>
    </font>
    <font>
      <b val="true"/>
      <sz val="12"/>
      <color rgb="FF000000"/>
      <name val="Calibri"/>
      <family val="2"/>
      <charset val="1"/>
    </font>
    <font>
      <b val="true"/>
      <i val="true"/>
      <sz val="12"/>
      <color rgb="FF000000"/>
      <name val="Calibri"/>
      <family val="2"/>
      <charset val="1"/>
    </font>
    <font>
      <sz val="12"/>
      <color rgb="FF000000"/>
      <name val="Calibri"/>
      <family val="2"/>
      <charset val="1"/>
    </font>
    <font>
      <i val="true"/>
      <sz val="12"/>
      <color rgb="FFFF0000"/>
      <name val="Calibri (Body)"/>
      <family val="0"/>
      <charset val="1"/>
    </font>
    <font>
      <i val="true"/>
      <sz val="12"/>
      <color rgb="FF000000"/>
      <name val="Calibri"/>
      <family val="2"/>
      <charset val="1"/>
    </font>
    <font>
      <sz val="12"/>
      <color rgb="FFFF0000"/>
      <name val="Calibri"/>
      <family val="2"/>
      <charset val="1"/>
    </font>
    <font>
      <sz val="12"/>
      <color rgb="FFFF0000"/>
      <name val="Calibri (Body)"/>
      <family val="0"/>
      <charset val="1"/>
    </font>
    <font>
      <i val="true"/>
      <sz val="12"/>
      <color rgb="FF000000"/>
      <name val="Arial"/>
      <family val="2"/>
      <charset val="1"/>
    </font>
    <font>
      <i val="true"/>
      <sz val="12"/>
      <name val="Arial"/>
      <family val="2"/>
      <charset val="1"/>
    </font>
    <font>
      <i val="true"/>
      <sz val="9"/>
      <name val="Geneva"/>
      <family val="2"/>
      <charset val="1"/>
    </font>
    <font>
      <b val="true"/>
      <sz val="12"/>
      <name val="Arial"/>
      <family val="2"/>
      <charset val="1"/>
    </font>
    <font>
      <sz val="12"/>
      <color rgb="FFFF0000"/>
      <name val="Arial"/>
      <family val="2"/>
      <charset val="1"/>
    </font>
    <font>
      <sz val="12"/>
      <color rgb="FF000000"/>
      <name val="Arial"/>
      <family val="2"/>
      <charset val="1"/>
    </font>
    <font>
      <sz val="10"/>
      <name val="Times New Roman"/>
      <family val="1"/>
      <charset val="1"/>
    </font>
    <font>
      <b val="true"/>
      <i val="true"/>
      <sz val="10"/>
      <name val="Arial"/>
      <family val="2"/>
      <charset val="1"/>
    </font>
    <font>
      <b val="true"/>
      <sz val="14"/>
      <name val="Arial"/>
      <family val="2"/>
      <charset val="1"/>
    </font>
    <font>
      <sz val="9"/>
      <name val="Arial"/>
      <family val="2"/>
      <charset val="1"/>
    </font>
    <font>
      <b val="true"/>
      <i val="true"/>
      <sz val="12"/>
      <name val="Arial"/>
      <family val="2"/>
      <charset val="1"/>
    </font>
    <font>
      <b val="true"/>
      <sz val="14"/>
      <name val="Times New Roman"/>
      <family val="1"/>
      <charset val="1"/>
    </font>
    <font>
      <b val="true"/>
      <sz val="10"/>
      <name val="Times New Roman"/>
      <family val="1"/>
      <charset val="1"/>
    </font>
    <font>
      <sz val="10"/>
      <name val="Times New Roman"/>
      <family val="0"/>
      <charset val="1"/>
    </font>
    <font>
      <i val="true"/>
      <sz val="10"/>
      <name val="Times New Roman"/>
      <family val="1"/>
      <charset val="1"/>
    </font>
    <font>
      <sz val="8"/>
      <name val="Arial"/>
      <family val="2"/>
      <charset val="1"/>
    </font>
    <font>
      <sz val="10"/>
      <name val="Calibri"/>
      <family val="2"/>
      <charset val="1"/>
    </font>
    <font>
      <b val="true"/>
      <sz val="12"/>
      <name val="Times New Roman"/>
      <family val="1"/>
      <charset val="1"/>
    </font>
    <font>
      <i val="true"/>
      <sz val="12"/>
      <name val="Geneva"/>
      <family val="2"/>
      <charset val="1"/>
    </font>
    <font>
      <sz val="10"/>
      <name val="Geneva"/>
      <family val="2"/>
      <charset val="1"/>
    </font>
    <font>
      <b val="true"/>
      <sz val="12"/>
      <color rgb="FF0A0A0A"/>
      <name val="Arial"/>
      <family val="2"/>
      <charset val="1"/>
    </font>
    <font>
      <sz val="12"/>
      <color rgb="FF0A0A0A"/>
      <name val="Arial"/>
      <family val="2"/>
      <charset val="1"/>
    </font>
    <font>
      <b val="true"/>
      <sz val="9"/>
      <name val="Arial"/>
      <family val="2"/>
      <charset val="1"/>
    </font>
    <font>
      <b val="true"/>
      <i val="true"/>
      <sz val="14"/>
      <name val="Times New Roman"/>
      <family val="1"/>
      <charset val="1"/>
    </font>
    <font>
      <b val="true"/>
      <i val="true"/>
      <sz val="12"/>
      <name val="Times New Roman"/>
      <family val="1"/>
      <charset val="1"/>
    </font>
    <font>
      <sz val="12"/>
      <name val="Times New Roman"/>
      <family val="0"/>
      <charset val="1"/>
    </font>
    <font>
      <b val="true"/>
      <sz val="12"/>
      <name val="Times New Roman"/>
      <family val="0"/>
      <charset val="1"/>
    </font>
    <font>
      <b val="true"/>
      <i val="true"/>
      <sz val="10"/>
      <name val="Times New Roman"/>
      <family val="1"/>
      <charset val="1"/>
    </font>
    <font>
      <i val="true"/>
      <sz val="14"/>
      <name val="Times New Roman"/>
      <family val="0"/>
      <charset val="1"/>
    </font>
    <font>
      <i val="true"/>
      <sz val="14"/>
      <name val="Times New Roman"/>
      <family val="1"/>
      <charset val="1"/>
    </font>
    <font>
      <b val="true"/>
      <i val="true"/>
      <sz val="18"/>
      <name val="Arial"/>
      <family val="2"/>
      <charset val="1"/>
    </font>
    <font>
      <b val="true"/>
      <i val="true"/>
      <sz val="14"/>
      <name val="Arial"/>
      <family val="2"/>
      <charset val="1"/>
    </font>
    <font>
      <b val="true"/>
      <sz val="10"/>
      <name val="Geneva"/>
      <family val="2"/>
      <charset val="1"/>
    </font>
    <font>
      <sz val="12"/>
      <color rgb="FF000000"/>
      <name val="Times New Roman"/>
      <family val="0"/>
      <charset val="1"/>
    </font>
    <font>
      <i val="true"/>
      <sz val="12"/>
      <color rgb="FF000000"/>
      <name val="Times New Roman"/>
      <family val="0"/>
      <charset val="1"/>
    </font>
    <font>
      <b val="true"/>
      <sz val="14"/>
      <color rgb="FF000000"/>
      <name val="Times New Roman"/>
      <family val="0"/>
      <charset val="1"/>
    </font>
    <font>
      <sz val="9"/>
      <name val="Calibri"/>
      <family val="2"/>
      <charset val="1"/>
    </font>
    <font>
      <i val="true"/>
      <sz val="10"/>
      <name val="Geneva"/>
      <family val="2"/>
      <charset val="1"/>
    </font>
    <font>
      <i val="true"/>
      <sz val="12"/>
      <name val="Times New Roman"/>
      <family val="1"/>
      <charset val="1"/>
    </font>
    <font>
      <sz val="12"/>
      <name val="Times New Roman"/>
      <family val="1"/>
      <charset val="1"/>
    </font>
    <font>
      <sz val="10"/>
      <color rgb="FF000000"/>
      <name val="Tahoma"/>
      <family val="2"/>
      <charset val="1"/>
    </font>
    <font>
      <sz val="10"/>
      <name val="Arial"/>
      <family val="0"/>
      <charset val="1"/>
    </font>
    <font>
      <i val="true"/>
      <sz val="10"/>
      <name val="Arial"/>
      <family val="0"/>
      <charset val="1"/>
    </font>
    <font>
      <b val="true"/>
      <sz val="9"/>
      <name val="Geneva"/>
      <family val="2"/>
      <charset val="1"/>
    </font>
  </fonts>
  <fills count="9">
    <fill>
      <patternFill patternType="none"/>
    </fill>
    <fill>
      <patternFill patternType="gray125"/>
    </fill>
    <fill>
      <patternFill patternType="solid">
        <fgColor rgb="FFFFFF00"/>
        <bgColor rgb="FFFCF305"/>
      </patternFill>
    </fill>
    <fill>
      <patternFill patternType="solid">
        <fgColor rgb="FFCCFFCC"/>
        <bgColor rgb="FFCCFFFF"/>
      </patternFill>
    </fill>
    <fill>
      <patternFill patternType="solid">
        <fgColor rgb="FFFFFFFF"/>
        <bgColor rgb="FFEEECE1"/>
      </patternFill>
    </fill>
    <fill>
      <patternFill patternType="solid">
        <fgColor rgb="FFEEECE1"/>
        <bgColor rgb="FFD9D9D9"/>
      </patternFill>
    </fill>
    <fill>
      <patternFill patternType="solid">
        <fgColor rgb="FF000000"/>
        <bgColor rgb="FF0A0A0A"/>
      </patternFill>
    </fill>
    <fill>
      <patternFill patternType="solid">
        <fgColor rgb="FFFCF305"/>
        <bgColor rgb="FFFFFF00"/>
      </patternFill>
    </fill>
    <fill>
      <patternFill patternType="solid">
        <fgColor rgb="FFD9D9D9"/>
        <bgColor rgb="FFEEECE1"/>
      </patternFill>
    </fill>
  </fills>
  <borders count="51">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medium"/>
      <right style="medium"/>
      <top style="medium"/>
      <bottom style="mediu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medium"/>
      <right style="medium"/>
      <top style="medium"/>
      <bottom/>
      <diagonal/>
    </border>
    <border diagonalUp="false" diagonalDown="false">
      <left style="thin"/>
      <right style="medium"/>
      <top/>
      <bottom/>
      <diagonal/>
    </border>
    <border diagonalUp="false" diagonalDown="false">
      <left style="medium"/>
      <right/>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right/>
      <top style="thin"/>
      <bottom style="thin"/>
      <diagonal/>
    </border>
    <border diagonalUp="false" diagonalDown="false">
      <left style="thin"/>
      <right/>
      <top style="thin"/>
      <bottom style="thin"/>
      <diagonal/>
    </border>
    <border diagonalUp="false" diagonalDown="false">
      <left style="medium"/>
      <right style="medium"/>
      <top/>
      <bottom/>
      <diagonal/>
    </border>
    <border diagonalUp="false" diagonalDown="false">
      <left style="medium"/>
      <right style="medium"/>
      <top style="thin"/>
      <bottom style="thin"/>
      <diagonal/>
    </border>
    <border diagonalUp="false" diagonalDown="false">
      <left style="medium"/>
      <right style="medium"/>
      <top style="thin"/>
      <bottom style="medium"/>
      <diagonal/>
    </border>
    <border diagonalUp="false" diagonalDown="false">
      <left style="thin"/>
      <right style="thin"/>
      <top style="thin"/>
      <bottom/>
      <diagonal/>
    </border>
    <border diagonalUp="false" diagonalDown="false">
      <left style="medium"/>
      <right style="thin"/>
      <top/>
      <bottom style="thin"/>
      <diagonal/>
    </border>
    <border diagonalUp="false" diagonalDown="false">
      <left/>
      <right style="medium"/>
      <top/>
      <bottom style="thin"/>
      <diagonal/>
    </border>
    <border diagonalUp="false" diagonalDown="false">
      <left style="medium"/>
      <right style="thin"/>
      <top style="thin"/>
      <bottom style="thin"/>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style="thin"/>
      <right/>
      <top style="thin"/>
      <bottom style="medium"/>
      <diagonal/>
    </border>
    <border diagonalUp="false" diagonalDown="false">
      <left style="thin"/>
      <right style="thin"/>
      <top style="thin"/>
      <bottom style="medium"/>
      <diagonal/>
    </border>
    <border diagonalUp="false" diagonalDown="false">
      <left/>
      <right/>
      <top style="thin"/>
      <bottom style="medium"/>
      <diagonal/>
    </border>
    <border diagonalUp="false" diagonalDown="false">
      <left style="thin"/>
      <right style="thin"/>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thin"/>
      <right style="medium"/>
      <top style="thin"/>
      <bottom style="thin"/>
      <diagonal/>
    </border>
    <border diagonalUp="false" diagonalDown="false">
      <left style="thin"/>
      <right style="medium"/>
      <top style="thin"/>
      <bottom style="medium"/>
      <diagonal/>
    </border>
    <border diagonalUp="false" diagonalDown="false">
      <left/>
      <right style="medium"/>
      <top/>
      <botto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thin"/>
      <right style="medium"/>
      <top style="thin"/>
      <bottom/>
      <diagonal/>
    </border>
    <border diagonalUp="false" diagonalDown="false">
      <left style="thin"/>
      <right style="medium"/>
      <top/>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style="thin"/>
      <bottom style="thin"/>
      <diagonal/>
    </border>
    <border diagonalUp="false" diagonalDown="false">
      <left style="medium"/>
      <right/>
      <top/>
      <bottom style="thin"/>
      <diagonal/>
    </border>
    <border diagonalUp="false" diagonalDown="false">
      <left style="medium"/>
      <right/>
      <top style="thin"/>
      <bottom style="medium"/>
      <diagonal/>
    </border>
    <border diagonalUp="false" diagonalDown="false">
      <left style="medium"/>
      <right style="medium"/>
      <top/>
      <bottom style="medium"/>
      <diagonal/>
    </border>
    <border diagonalUp="false" diagonalDown="false">
      <left/>
      <right style="thin"/>
      <top/>
      <bottom style="thin"/>
      <diagonal/>
    </border>
    <border diagonalUp="false" diagonalDown="false">
      <left/>
      <right/>
      <top/>
      <bottom style="thin"/>
      <diagonal/>
    </border>
    <border diagonalUp="false" diagonalDown="false">
      <left/>
      <right/>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cellStyleXfs>
  <cellXfs count="5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false" applyProtection="false">
      <alignment horizontal="general" vertical="bottom" textRotation="0" wrapText="fals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7" fillId="2" borderId="1"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6" fillId="0" borderId="3" xfId="0" applyFont="true" applyBorder="true" applyAlignment="false" applyProtection="false">
      <alignment horizontal="general" vertical="bottom" textRotation="0" wrapText="false" indent="0" shrinkToFit="false"/>
      <protection locked="true" hidden="false"/>
    </xf>
    <xf numFmtId="164" fontId="6" fillId="0" borderId="4"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bottom" textRotation="0" wrapText="false" indent="0" shrinkToFit="false"/>
      <protection locked="true" hidden="false"/>
    </xf>
    <xf numFmtId="164" fontId="6" fillId="0" borderId="5" xfId="0" applyFont="true" applyBorder="true" applyAlignment="false" applyProtection="false">
      <alignment horizontal="general" vertical="bottom" textRotation="0" wrapText="false" indent="0" shrinkToFit="false"/>
      <protection locked="true" hidden="false"/>
    </xf>
    <xf numFmtId="164" fontId="6" fillId="0" borderId="6" xfId="0" applyFont="true" applyBorder="true" applyAlignment="false" applyProtection="false">
      <alignment horizontal="general" vertical="bottom" textRotation="0" wrapText="false" indent="0" shrinkToFit="false"/>
      <protection locked="true" hidden="false"/>
    </xf>
    <xf numFmtId="164" fontId="7" fillId="0" borderId="7" xfId="0" applyFont="true" applyBorder="true" applyAlignment="true" applyProtection="false">
      <alignment horizontal="center"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6" fillId="2"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6" fontId="6" fillId="2" borderId="1" xfId="17" applyFont="true" applyBorder="true" applyAlignment="true" applyProtection="true">
      <alignment horizontal="center"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6" fontId="6" fillId="2" borderId="8" xfId="0" applyFont="true" applyBorder="true" applyAlignment="true" applyProtection="false">
      <alignment horizontal="center" vertical="bottom" textRotation="0" wrapText="false" indent="0" shrinkToFit="false"/>
      <protection locked="true" hidden="false"/>
    </xf>
    <xf numFmtId="166" fontId="12" fillId="4" borderId="8" xfId="0" applyFont="true" applyBorder="true" applyAlignment="false" applyProtection="false">
      <alignment horizontal="general" vertical="bottom" textRotation="0" wrapText="false" indent="0" shrinkToFit="false"/>
      <protection locked="true" hidden="false"/>
    </xf>
    <xf numFmtId="166" fontId="6" fillId="2" borderId="9" xfId="17" applyFont="true" applyBorder="true" applyAlignment="true" applyProtection="true">
      <alignment horizontal="center" vertical="bottom" textRotation="0" wrapText="false" indent="0" shrinkToFit="false"/>
      <protection locked="true" hidden="false"/>
    </xf>
    <xf numFmtId="167" fontId="6" fillId="2" borderId="9" xfId="17" applyFont="true" applyBorder="true" applyAlignment="true" applyProtection="true">
      <alignment horizontal="center" vertical="bottom" textRotation="0" wrapText="false" indent="0" shrinkToFit="false"/>
      <protection locked="true" hidden="false"/>
    </xf>
    <xf numFmtId="164" fontId="7" fillId="0" borderId="0" xfId="0" applyFont="true" applyBorder="true" applyAlignment="true" applyProtection="false">
      <alignment horizontal="center" vertical="bottom" textRotation="0" wrapText="false" indent="0" shrinkToFit="false"/>
      <protection locked="true" hidden="false"/>
    </xf>
    <xf numFmtId="168" fontId="6" fillId="2" borderId="1" xfId="17" applyFont="true" applyBorder="true" applyAlignment="true" applyProtection="tru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center" vertical="bottom" textRotation="0" wrapText="false" indent="0" shrinkToFit="false"/>
      <protection locked="true" hidden="false"/>
    </xf>
    <xf numFmtId="166" fontId="6" fillId="0" borderId="0" xfId="17" applyFont="true" applyBorder="true" applyAlignment="true" applyProtection="true">
      <alignment horizontal="center"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8" fontId="13" fillId="2" borderId="1" xfId="17" applyFont="true" applyBorder="true" applyAlignment="true" applyProtection="true">
      <alignment horizontal="center" vertical="bottom" textRotation="0" wrapText="false" indent="0" shrinkToFit="false"/>
      <protection locked="true" hidden="false"/>
    </xf>
    <xf numFmtId="168" fontId="6" fillId="3" borderId="1" xfId="0" applyFont="true" applyBorder="true" applyAlignment="true" applyProtection="false">
      <alignment horizontal="center" vertical="bottom" textRotation="0" wrapText="false" indent="0" shrinkToFit="false"/>
      <protection locked="true" hidden="false"/>
    </xf>
    <xf numFmtId="168" fontId="6" fillId="3" borderId="1" xfId="19" applyFont="true" applyBorder="true" applyAlignment="true" applyProtection="true">
      <alignment horizontal="center" vertical="bottom" textRotation="0" wrapText="false" indent="0" shrinkToFit="false"/>
      <protection locked="true" hidden="false"/>
    </xf>
    <xf numFmtId="168" fontId="6" fillId="3" borderId="9" xfId="19" applyFont="true" applyBorder="true" applyAlignment="true" applyProtection="true">
      <alignment horizontal="center" vertical="bottom" textRotation="0" wrapText="false" indent="0" shrinkToFit="false"/>
      <protection locked="true" hidden="false"/>
    </xf>
    <xf numFmtId="168" fontId="6" fillId="2" borderId="1" xfId="0" applyFont="true" applyBorder="true" applyAlignment="true" applyProtection="false">
      <alignment horizontal="center" vertical="bottom" textRotation="0" wrapText="false" indent="0" shrinkToFit="false"/>
      <protection locked="true" hidden="false"/>
    </xf>
    <xf numFmtId="167" fontId="6" fillId="3" borderId="1" xfId="0" applyFont="true" applyBorder="true" applyAlignment="true" applyProtection="false">
      <alignment horizontal="center" vertical="bottom" textRotation="0" wrapText="false" indent="0" shrinkToFit="false"/>
      <protection locked="true" hidden="false"/>
    </xf>
    <xf numFmtId="167" fontId="6" fillId="3" borderId="0" xfId="0" applyFont="true" applyBorder="false" applyAlignment="true" applyProtection="false">
      <alignment horizontal="center" vertical="bottom" textRotation="0" wrapText="false" indent="0" shrinkToFit="false"/>
      <protection locked="true" hidden="false"/>
    </xf>
    <xf numFmtId="167" fontId="6" fillId="2" borderId="1" xfId="0" applyFont="true" applyBorder="true" applyAlignment="true" applyProtection="false">
      <alignment horizontal="center" vertical="bottom" textRotation="0" wrapText="false" indent="0" shrinkToFit="false"/>
      <protection locked="true" hidden="false"/>
    </xf>
    <xf numFmtId="168" fontId="6" fillId="4" borderId="0" xfId="19" applyFont="true" applyBorder="true" applyAlignment="true" applyProtection="true">
      <alignment horizontal="general" vertical="bottom" textRotation="0" wrapText="false" indent="0" shrinkToFit="false"/>
      <protection locked="true" hidden="false"/>
    </xf>
    <xf numFmtId="168" fontId="6" fillId="0" borderId="0" xfId="0" applyFont="true" applyBorder="false" applyAlignment="false" applyProtection="false">
      <alignment horizontal="general" vertical="bottom" textRotation="0" wrapText="false" indent="0" shrinkToFit="false"/>
      <protection locked="true" hidden="false"/>
    </xf>
    <xf numFmtId="164" fontId="7" fillId="0" borderId="10" xfId="0" applyFont="true" applyBorder="true" applyAlignment="true" applyProtection="false">
      <alignment horizontal="left" vertical="bottom" textRotation="0" wrapText="false" indent="0" shrinkToFit="false"/>
      <protection locked="true" hidden="false"/>
    </xf>
    <xf numFmtId="164" fontId="6" fillId="0" borderId="1" xfId="0" applyFont="true" applyBorder="true" applyAlignment="true" applyProtection="false">
      <alignment horizontal="general" vertical="center" textRotation="0" wrapText="false" indent="0" shrinkToFit="false"/>
      <protection locked="true" hidden="false"/>
    </xf>
    <xf numFmtId="168" fontId="6" fillId="3" borderId="1" xfId="0" applyFont="true" applyBorder="true" applyAlignment="true" applyProtection="false">
      <alignment horizontal="center" vertical="center" textRotation="0" wrapText="false" indent="0" shrinkToFit="false"/>
      <protection locked="true" hidden="false"/>
    </xf>
    <xf numFmtId="164" fontId="12" fillId="0" borderId="11" xfId="0" applyFont="true" applyBorder="true" applyAlignment="true" applyProtection="false">
      <alignment horizontal="center" vertical="bottom" textRotation="0" wrapText="true" indent="0" shrinkToFit="false"/>
      <protection locked="true" hidden="false"/>
    </xf>
    <xf numFmtId="164" fontId="6" fillId="0" borderId="12" xfId="0" applyFont="true" applyBorder="true" applyAlignment="false" applyProtection="false">
      <alignment horizontal="general" vertical="bottom" textRotation="0" wrapText="false" indent="0" shrinkToFit="false"/>
      <protection locked="true" hidden="false"/>
    </xf>
    <xf numFmtId="170" fontId="6" fillId="3" borderId="1" xfId="0" applyFont="true" applyBorder="true" applyAlignment="false" applyProtection="false">
      <alignment horizontal="general" vertical="bottom" textRotation="0" wrapText="false" indent="0" shrinkToFit="false"/>
      <protection locked="true" hidden="false"/>
    </xf>
    <xf numFmtId="168" fontId="6" fillId="4" borderId="0" xfId="0" applyFont="true" applyBorder="false" applyAlignment="true" applyProtection="false">
      <alignment horizontal="center"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8" fontId="6" fillId="3" borderId="1" xfId="0" applyFont="true" applyBorder="true" applyAlignment="fals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center" vertical="bottom" textRotation="0" wrapText="false" indent="0" shrinkToFit="false"/>
      <protection locked="true" hidden="false"/>
    </xf>
    <xf numFmtId="164" fontId="15" fillId="0" borderId="13" xfId="0" applyFont="true" applyBorder="true" applyAlignment="false" applyProtection="false">
      <alignment horizontal="general" vertical="bottom" textRotation="0" wrapText="false" indent="0" shrinkToFit="false"/>
      <protection locked="true" hidden="false"/>
    </xf>
    <xf numFmtId="164" fontId="6" fillId="0" borderId="14" xfId="0" applyFont="true" applyBorder="true" applyAlignment="false" applyProtection="false">
      <alignment horizontal="general" vertical="bottom" textRotation="0" wrapText="false" indent="0" shrinkToFit="false"/>
      <protection locked="true" hidden="false"/>
    </xf>
    <xf numFmtId="164" fontId="6" fillId="0" borderId="15" xfId="0" applyFont="true" applyBorder="true" applyAlignment="false" applyProtection="false">
      <alignment horizontal="general" vertical="bottom" textRotation="0" wrapText="false" indent="0" shrinkToFit="false"/>
      <protection locked="true" hidden="false"/>
    </xf>
    <xf numFmtId="171" fontId="6" fillId="2" borderId="1" xfId="0" applyFont="true" applyBorder="true" applyAlignment="true" applyProtection="false">
      <alignment horizontal="center" vertical="bottom" textRotation="0" wrapText="false" indent="0" shrinkToFit="false"/>
      <protection locked="true" hidden="false"/>
    </xf>
    <xf numFmtId="171" fontId="6" fillId="0" borderId="0" xfId="0" applyFont="true" applyBorder="false" applyAlignment="true" applyProtection="false">
      <alignment horizontal="center" vertical="bottom" textRotation="0" wrapText="false" indent="0" shrinkToFit="false"/>
      <protection locked="true" hidden="false"/>
    </xf>
    <xf numFmtId="168" fontId="6" fillId="0" borderId="0" xfId="0" applyFont="true" applyBorder="false" applyAlignment="true" applyProtection="false">
      <alignment horizontal="center" vertical="bottom" textRotation="0" wrapText="false" indent="0" shrinkToFit="false"/>
      <protection locked="true" hidden="false"/>
    </xf>
    <xf numFmtId="164" fontId="13" fillId="2" borderId="1" xfId="0" applyFont="true" applyBorder="true" applyAlignment="true" applyProtection="false">
      <alignment horizontal="center" vertical="bottom" textRotation="0" wrapText="false" indent="0" shrinkToFit="false"/>
      <protection locked="true" hidden="false"/>
    </xf>
    <xf numFmtId="171" fontId="13" fillId="2" borderId="1" xfId="0" applyFont="true" applyBorder="true" applyAlignment="true" applyProtection="false">
      <alignment horizontal="center" vertical="bottom" textRotation="0" wrapText="false" indent="0" shrinkToFit="false"/>
      <protection locked="true" hidden="false"/>
    </xf>
    <xf numFmtId="171" fontId="13" fillId="2" borderId="1" xfId="0" applyFont="true" applyBorder="true" applyAlignment="false" applyProtection="false">
      <alignment horizontal="general" vertical="bottom" textRotation="0" wrapText="false" indent="0" shrinkToFit="false"/>
      <protection locked="true" hidden="false"/>
    </xf>
    <xf numFmtId="168" fontId="13" fillId="2" borderId="1" xfId="19" applyFont="true" applyBorder="true" applyAlignment="true" applyProtection="true">
      <alignment horizontal="center" vertical="bottom" textRotation="0" wrapText="false" indent="0" shrinkToFit="false"/>
      <protection locked="true" hidden="false"/>
    </xf>
    <xf numFmtId="168" fontId="13" fillId="2" borderId="1" xfId="19" applyFont="true" applyBorder="true" applyAlignment="true" applyProtection="true">
      <alignment horizontal="general" vertical="bottom" textRotation="0" wrapText="fals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15" fillId="4" borderId="0" xfId="0" applyFont="true" applyBorder="false" applyAlignment="false" applyProtection="false">
      <alignment horizontal="general" vertical="bottom" textRotation="0" wrapText="false" indent="0" shrinkToFit="false"/>
      <protection locked="true" hidden="false"/>
    </xf>
    <xf numFmtId="164" fontId="11" fillId="4"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9" fontId="6" fillId="2" borderId="1" xfId="0" applyFont="true" applyBorder="true" applyAlignment="true" applyProtection="false">
      <alignment horizontal="center" vertical="bottom" textRotation="0" wrapText="false" indent="0" shrinkToFit="false"/>
      <protection locked="true" hidden="false"/>
    </xf>
    <xf numFmtId="169" fontId="6" fillId="0" borderId="0" xfId="0" applyFont="true" applyBorder="false" applyAlignment="true" applyProtection="false">
      <alignment horizontal="center" vertical="bottom" textRotation="0" wrapText="false" indent="0" shrinkToFit="false"/>
      <protection locked="true" hidden="false"/>
    </xf>
    <xf numFmtId="172" fontId="6" fillId="2" borderId="1" xfId="0" applyFont="true" applyBorder="true" applyAlignment="true" applyProtection="false">
      <alignment horizontal="center" vertical="bottom" textRotation="0" wrapText="false" indent="0" shrinkToFit="false"/>
      <protection locked="true" hidden="false"/>
    </xf>
    <xf numFmtId="169" fontId="6" fillId="4" borderId="0" xfId="0" applyFont="true" applyBorder="false" applyAlignment="true" applyProtection="false">
      <alignment horizontal="center" vertical="bottom" textRotation="0" wrapText="false" indent="0" shrinkToFit="false"/>
      <protection locked="true" hidden="false"/>
    </xf>
    <xf numFmtId="171" fontId="6" fillId="5" borderId="0" xfId="0" applyFont="true" applyBorder="false" applyAlignment="true" applyProtection="false">
      <alignment horizontal="center" vertical="bottom" textRotation="0" wrapText="false" indent="0" shrinkToFit="false"/>
      <protection locked="true" hidden="false"/>
    </xf>
    <xf numFmtId="168" fontId="6" fillId="2" borderId="1" xfId="19" applyFont="true" applyBorder="true" applyAlignment="true" applyProtection="true">
      <alignment horizontal="center" vertical="bottom" textRotation="0" wrapText="false" indent="0" shrinkToFit="false"/>
      <protection locked="true" hidden="false"/>
    </xf>
    <xf numFmtId="171" fontId="14" fillId="2" borderId="1" xfId="0" applyFont="true" applyBorder="true" applyAlignment="true" applyProtection="false">
      <alignment horizontal="center"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false" indent="0" shrinkToFit="false"/>
      <protection locked="true" hidden="false"/>
    </xf>
    <xf numFmtId="164" fontId="19" fillId="0" borderId="16" xfId="0" applyFont="true" applyBorder="true" applyAlignment="true" applyProtection="false">
      <alignment horizontal="center" vertical="bottom" textRotation="0" wrapText="false" indent="0" shrinkToFit="false"/>
      <protection locked="true" hidden="false"/>
    </xf>
    <xf numFmtId="164" fontId="19" fillId="0" borderId="1" xfId="0" applyFont="true" applyBorder="true" applyAlignment="true" applyProtection="false">
      <alignment horizontal="center" vertical="bottom" textRotation="0" wrapText="false" indent="0" shrinkToFit="false"/>
      <protection locked="true" hidden="false"/>
    </xf>
    <xf numFmtId="164" fontId="18" fillId="0" borderId="17" xfId="0" applyFont="true" applyBorder="true" applyAlignment="true" applyProtection="false">
      <alignment horizontal="center" vertical="bottom" textRotation="0" wrapText="false" indent="0" shrinkToFit="false"/>
      <protection locked="true" hidden="false"/>
    </xf>
    <xf numFmtId="164" fontId="20" fillId="0" borderId="10" xfId="0" applyFont="true" applyBorder="true" applyAlignment="true" applyProtection="false">
      <alignment horizontal="center" vertical="bottom" textRotation="0" wrapText="false" indent="0" shrinkToFit="false"/>
      <protection locked="true" hidden="false"/>
    </xf>
    <xf numFmtId="164" fontId="18" fillId="3" borderId="1" xfId="0" applyFont="true" applyBorder="true" applyAlignment="false" applyProtection="false">
      <alignment horizontal="general" vertical="bottom" textRotation="0" wrapText="false" indent="0" shrinkToFit="false"/>
      <protection locked="true" hidden="false"/>
    </xf>
    <xf numFmtId="168" fontId="18" fillId="3" borderId="1" xfId="19" applyFont="true" applyBorder="true" applyAlignment="true" applyProtection="true">
      <alignment horizontal="center" vertical="bottom" textRotation="0" wrapText="false" indent="0" shrinkToFit="false"/>
      <protection locked="true" hidden="false"/>
    </xf>
    <xf numFmtId="168" fontId="18" fillId="3" borderId="17" xfId="0" applyFont="true" applyBorder="true" applyAlignment="true" applyProtection="false">
      <alignment horizontal="center" vertical="bottom" textRotation="0" wrapText="false" indent="0" shrinkToFit="false"/>
      <protection locked="true" hidden="false"/>
    </xf>
    <xf numFmtId="164" fontId="18" fillId="0" borderId="18" xfId="0" applyFont="true" applyBorder="true" applyAlignment="false" applyProtection="false">
      <alignment horizontal="general" vertical="bottom" textRotation="0" wrapText="false" indent="0" shrinkToFit="false"/>
      <protection locked="true" hidden="false"/>
    </xf>
    <xf numFmtId="166" fontId="18" fillId="3" borderId="1" xfId="17" applyFont="true" applyBorder="true" applyAlignment="true" applyProtection="true">
      <alignment horizontal="general" vertical="bottom" textRotation="0" wrapText="false" indent="0" shrinkToFit="false"/>
      <protection locked="true" hidden="false"/>
    </xf>
    <xf numFmtId="166" fontId="18" fillId="3" borderId="1" xfId="17" applyFont="true" applyBorder="true" applyAlignment="true" applyProtection="true">
      <alignment horizontal="center" vertical="bottom" textRotation="0" wrapText="false" indent="0" shrinkToFit="false"/>
      <protection locked="true" hidden="false"/>
    </xf>
    <xf numFmtId="166" fontId="21" fillId="6" borderId="17" xfId="17" applyFont="true" applyBorder="true" applyAlignment="true" applyProtection="true">
      <alignment horizontal="center" vertical="bottom" textRotation="0" wrapText="false" indent="0" shrinkToFit="false"/>
      <protection locked="true" hidden="false"/>
    </xf>
    <xf numFmtId="168" fontId="18" fillId="3" borderId="1" xfId="19" applyFont="true" applyBorder="true" applyAlignment="true" applyProtection="true">
      <alignment horizontal="general" vertical="bottom" textRotation="0" wrapText="false" indent="0" shrinkToFit="false"/>
      <protection locked="true" hidden="false"/>
    </xf>
    <xf numFmtId="168" fontId="18" fillId="3" borderId="1" xfId="17" applyFont="true" applyBorder="true" applyAlignment="true" applyProtection="true">
      <alignment horizontal="general" vertical="bottom" textRotation="0" wrapText="false" indent="0" shrinkToFit="false"/>
      <protection locked="true" hidden="false"/>
    </xf>
    <xf numFmtId="168" fontId="18" fillId="3" borderId="1" xfId="17" applyFont="true" applyBorder="true" applyAlignment="true" applyProtection="true">
      <alignment horizontal="center" vertical="bottom" textRotation="0" wrapText="false" indent="0" shrinkToFit="false"/>
      <protection locked="true" hidden="false"/>
    </xf>
    <xf numFmtId="168" fontId="18" fillId="3" borderId="17" xfId="17" applyFont="true" applyBorder="true" applyAlignment="true" applyProtection="true">
      <alignment horizontal="center" vertical="bottom" textRotation="0" wrapText="false" indent="0" shrinkToFit="false"/>
      <protection locked="true" hidden="false"/>
    </xf>
    <xf numFmtId="166" fontId="18" fillId="3" borderId="17" xfId="17" applyFont="true" applyBorder="true" applyAlignment="true" applyProtection="true">
      <alignment horizontal="center" vertical="bottom" textRotation="0" wrapText="false" indent="0" shrinkToFit="false"/>
      <protection locked="true" hidden="false"/>
    </xf>
    <xf numFmtId="166" fontId="18" fillId="3" borderId="17" xfId="0" applyFont="true" applyBorder="true" applyAlignment="true" applyProtection="false">
      <alignment horizontal="center" vertical="bottom" textRotation="0" wrapText="false" indent="0" shrinkToFit="false"/>
      <protection locked="true" hidden="false"/>
    </xf>
    <xf numFmtId="166" fontId="20" fillId="3" borderId="19" xfId="0" applyFont="true" applyBorder="true" applyAlignment="false" applyProtection="false">
      <alignment horizontal="general" vertical="bottom" textRotation="0" wrapText="false" indent="0" shrinkToFit="false"/>
      <protection locked="true" hidden="false"/>
    </xf>
    <xf numFmtId="164" fontId="20" fillId="0" borderId="18" xfId="0" applyFont="true" applyBorder="true" applyAlignment="false" applyProtection="false">
      <alignment horizontal="general" vertical="bottom" textRotation="0" wrapText="false" indent="0" shrinkToFit="false"/>
      <protection locked="true" hidden="false"/>
    </xf>
    <xf numFmtId="166" fontId="18" fillId="3" borderId="17" xfId="17" applyFont="true" applyBorder="true" applyAlignment="true" applyProtection="true">
      <alignment horizontal="general" vertical="bottom" textRotation="0" wrapText="false" indent="0" shrinkToFit="false"/>
      <protection locked="true" hidden="false"/>
    </xf>
    <xf numFmtId="166" fontId="18" fillId="3" borderId="1" xfId="0" applyFont="true" applyBorder="true" applyAlignment="true" applyProtection="false">
      <alignment horizontal="center" vertical="bottom" textRotation="0" wrapText="false" indent="0" shrinkToFit="false"/>
      <protection locked="true" hidden="false"/>
    </xf>
    <xf numFmtId="166" fontId="20" fillId="3" borderId="20" xfId="0" applyFont="true" applyBorder="true" applyAlignment="false" applyProtection="false">
      <alignment horizontal="general" vertical="bottom" textRotation="0" wrapText="false" indent="0" shrinkToFit="false"/>
      <protection locked="true" hidden="false"/>
    </xf>
    <xf numFmtId="168" fontId="18" fillId="3" borderId="1" xfId="0" applyFont="true" applyBorder="true" applyAlignment="true" applyProtection="false">
      <alignment horizontal="center" vertical="bottom" textRotation="0" wrapText="false" indent="0" shrinkToFit="false"/>
      <protection locked="true" hidden="false"/>
    </xf>
    <xf numFmtId="164" fontId="18" fillId="3" borderId="21" xfId="0" applyFont="true" applyBorder="true" applyAlignment="false" applyProtection="false">
      <alignment horizontal="general" vertical="bottom" textRotation="0" wrapText="false" indent="0" shrinkToFit="false"/>
      <protection locked="true" hidden="false"/>
    </xf>
    <xf numFmtId="173" fontId="18" fillId="3" borderId="21" xfId="0" applyFont="true" applyBorder="true" applyAlignment="true" applyProtection="false">
      <alignment horizontal="center" vertical="bottom" textRotation="0" wrapText="false" indent="0" shrinkToFit="false"/>
      <protection locked="true" hidden="false"/>
    </xf>
    <xf numFmtId="164" fontId="18" fillId="3" borderId="21" xfId="0" applyFont="true" applyBorder="true" applyAlignment="true" applyProtection="false">
      <alignment horizontal="center" vertical="bottom" textRotation="0" wrapText="false" indent="0" shrinkToFit="false"/>
      <protection locked="true" hidden="false"/>
    </xf>
    <xf numFmtId="164" fontId="18" fillId="3" borderId="1" xfId="0" applyFont="true" applyBorder="true" applyAlignment="true" applyProtection="false">
      <alignment horizontal="center" vertical="bottom" textRotation="0" wrapText="fals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xf numFmtId="166" fontId="18" fillId="3" borderId="1" xfId="19" applyFont="true" applyBorder="true" applyAlignment="true" applyProtection="true">
      <alignment horizontal="general" vertical="bottom" textRotation="0" wrapText="false" indent="0" shrinkToFit="false"/>
      <protection locked="true" hidden="false"/>
    </xf>
    <xf numFmtId="166" fontId="18" fillId="0" borderId="0" xfId="0" applyFont="true" applyBorder="false" applyAlignment="true" applyProtection="false">
      <alignment horizontal="center" vertical="bottom" textRotation="0" wrapText="false" indent="0" shrinkToFit="false"/>
      <protection locked="true" hidden="false"/>
    </xf>
    <xf numFmtId="166" fontId="18" fillId="0" borderId="0" xfId="0" applyFont="true" applyBorder="false" applyAlignment="true" applyProtection="false">
      <alignment horizontal="left" vertical="bottom" textRotation="0" wrapText="false" indent="0" shrinkToFit="false"/>
      <protection locked="true" hidden="false"/>
    </xf>
    <xf numFmtId="166" fontId="18" fillId="3" borderId="1" xfId="0" applyFont="true" applyBorder="true" applyAlignment="false" applyProtection="false">
      <alignment horizontal="general" vertical="bottom" textRotation="0" wrapText="false" indent="0" shrinkToFit="false"/>
      <protection locked="true" hidden="false"/>
    </xf>
    <xf numFmtId="168" fontId="18" fillId="3" borderId="1" xfId="0" applyFont="true" applyBorder="true" applyAlignment="false" applyProtection="false">
      <alignment horizontal="general" vertical="bottom" textRotation="0" wrapText="false" indent="0" shrinkToFit="false"/>
      <protection locked="true" hidden="false"/>
    </xf>
    <xf numFmtId="171" fontId="18" fillId="3" borderId="1" xfId="0" applyFont="true" applyBorder="true" applyAlignment="false" applyProtection="false">
      <alignment horizontal="general" vertical="bottom" textRotation="0" wrapText="false" indent="0" shrinkToFit="false"/>
      <protection locked="true" hidden="false"/>
    </xf>
    <xf numFmtId="174" fontId="18" fillId="3" borderId="1" xfId="0" applyFont="true" applyBorder="true" applyAlignment="false" applyProtection="false">
      <alignment horizontal="general" vertical="bottom" textRotation="0" wrapText="false" indent="0" shrinkToFit="false"/>
      <protection locked="true" hidden="false"/>
    </xf>
    <xf numFmtId="175" fontId="18" fillId="3" borderId="1" xfId="15" applyFont="true" applyBorder="true" applyAlignment="true" applyProtection="true">
      <alignment horizontal="general" vertical="bottom" textRotation="0" wrapText="false" indent="0" shrinkToFit="false"/>
      <protection locked="true" hidden="false"/>
    </xf>
    <xf numFmtId="166" fontId="22" fillId="3" borderId="1" xfId="17" applyFont="true" applyBorder="true" applyAlignment="true" applyProtection="true">
      <alignment horizontal="general" vertical="bottom" textRotation="0" wrapText="fals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7" fontId="18" fillId="3" borderId="1" xfId="0" applyFont="true" applyBorder="true" applyAlignment="true" applyProtection="false">
      <alignment horizontal="center" vertical="bottom" textRotation="0" wrapText="false" indent="0" shrinkToFit="false"/>
      <protection locked="true" hidden="false"/>
    </xf>
    <xf numFmtId="170" fontId="18" fillId="3" borderId="1" xfId="0" applyFont="true" applyBorder="true" applyAlignment="false" applyProtection="false">
      <alignment horizontal="general" vertical="bottom" textRotation="0" wrapText="false" indent="0" shrinkToFit="false"/>
      <protection locked="true" hidden="false"/>
    </xf>
    <xf numFmtId="170" fontId="18" fillId="3" borderId="1" xfId="0" applyFont="true" applyBorder="true" applyAlignment="true" applyProtection="false">
      <alignment horizontal="center" vertical="bottom" textRotation="0" wrapText="false" indent="0" shrinkToFit="false"/>
      <protection locked="true" hidden="false"/>
    </xf>
    <xf numFmtId="166" fontId="18"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left" vertical="bottom" textRotation="0" wrapText="false" indent="0" shrinkToFit="false"/>
      <protection locked="true" hidden="false"/>
    </xf>
    <xf numFmtId="176" fontId="25" fillId="0" borderId="1" xfId="0" applyFont="true" applyBorder="true" applyAlignment="true" applyProtection="false">
      <alignment horizontal="center" vertical="bottom" textRotation="0" wrapText="false" indent="0" shrinkToFit="false"/>
      <protection locked="true" hidden="false"/>
    </xf>
    <xf numFmtId="165" fontId="25" fillId="0" borderId="1" xfId="0" applyFont="true" applyBorder="true" applyAlignment="false" applyProtection="false">
      <alignment horizontal="general" vertical="bottom" textRotation="0" wrapText="false" indent="0" shrinkToFit="false"/>
      <protection locked="true" hidden="false"/>
    </xf>
    <xf numFmtId="164" fontId="26" fillId="5" borderId="1" xfId="0" applyFont="true" applyBorder="true" applyAlignment="true" applyProtection="false">
      <alignment horizontal="center" vertical="bottom" textRotation="0" wrapText="false" indent="0" shrinkToFit="false"/>
      <protection locked="true" hidden="false"/>
    </xf>
    <xf numFmtId="164" fontId="27" fillId="5" borderId="1" xfId="0" applyFont="true" applyBorder="true" applyAlignment="true" applyProtection="false">
      <alignment horizontal="left" vertical="top" textRotation="0" wrapText="true" indent="0" shrinkToFit="false"/>
      <protection locked="true" hidden="false"/>
    </xf>
    <xf numFmtId="164" fontId="28" fillId="0" borderId="1" xfId="0" applyFont="true" applyBorder="true" applyAlignment="true" applyProtection="false">
      <alignment horizontal="left" vertical="bottom" textRotation="0" wrapText="true" indent="0" shrinkToFit="false"/>
      <protection locked="true" hidden="false"/>
    </xf>
    <xf numFmtId="164" fontId="26" fillId="0" borderId="1" xfId="0" applyFont="true" applyBorder="true" applyAlignment="true" applyProtection="false">
      <alignment horizontal="center" vertical="bottom" textRotation="0" wrapText="false" indent="0" shrinkToFit="false"/>
      <protection locked="true" hidden="false"/>
    </xf>
    <xf numFmtId="164" fontId="24" fillId="0" borderId="22" xfId="0" applyFont="true" applyBorder="true" applyAlignment="false" applyProtection="false">
      <alignment horizontal="general" vertical="bottom" textRotation="0" wrapText="false" indent="0" shrinkToFit="false"/>
      <protection locked="true" hidden="false"/>
    </xf>
    <xf numFmtId="164" fontId="29" fillId="0" borderId="9" xfId="0" applyFont="true" applyBorder="true" applyAlignment="true" applyProtection="false">
      <alignment horizontal="center" vertical="bottom" textRotation="0" wrapText="false" indent="0" shrinkToFit="false"/>
      <protection locked="true" hidden="false"/>
    </xf>
    <xf numFmtId="164" fontId="29" fillId="0" borderId="1" xfId="0" applyFont="true" applyBorder="true" applyAlignment="true" applyProtection="false">
      <alignment horizontal="center" vertical="bottom" textRotation="0" wrapText="false" indent="0" shrinkToFit="false"/>
      <protection locked="true" hidden="false"/>
    </xf>
    <xf numFmtId="177" fontId="29" fillId="0" borderId="9" xfId="0" applyFont="true" applyBorder="true" applyAlignment="true" applyProtection="false">
      <alignment horizontal="center" vertical="bottom" textRotation="0" wrapText="false" indent="0" shrinkToFit="false"/>
      <protection locked="true" hidden="false"/>
    </xf>
    <xf numFmtId="164" fontId="29" fillId="0" borderId="23" xfId="0" applyFont="true" applyBorder="true" applyAlignment="true" applyProtection="false">
      <alignment horizontal="center" vertical="bottom" textRotation="0" wrapText="false" indent="0" shrinkToFit="false"/>
      <protection locked="true" hidden="false"/>
    </xf>
    <xf numFmtId="164" fontId="24" fillId="0" borderId="24" xfId="0" applyFont="true" applyBorder="true" applyAlignment="false" applyProtection="false">
      <alignment horizontal="general" vertical="bottom" textRotation="0" wrapText="false" indent="0" shrinkToFit="false"/>
      <protection locked="true" hidden="false"/>
    </xf>
    <xf numFmtId="171" fontId="24" fillId="0" borderId="1" xfId="17" applyFont="true" applyBorder="true" applyAlignment="true" applyProtection="true">
      <alignment horizontal="center" vertical="bottom" textRotation="0" wrapText="false" indent="0" shrinkToFit="false"/>
      <protection locked="true" hidden="false"/>
    </xf>
    <xf numFmtId="178" fontId="27" fillId="0" borderId="1" xfId="19" applyFont="true" applyBorder="true" applyAlignment="true" applyProtection="true">
      <alignment horizontal="center" vertical="bottom" textRotation="0" wrapText="false" indent="0" shrinkToFit="false"/>
      <protection locked="true" hidden="false"/>
    </xf>
    <xf numFmtId="168" fontId="24" fillId="5" borderId="1" xfId="0" applyFont="true" applyBorder="true" applyAlignment="true" applyProtection="false">
      <alignment horizontal="center" vertical="bottom" textRotation="0" wrapText="false" indent="0" shrinkToFit="false"/>
      <protection locked="true" hidden="false"/>
    </xf>
    <xf numFmtId="168" fontId="24" fillId="0" borderId="1" xfId="0" applyFont="true" applyBorder="true" applyAlignment="true" applyProtection="false">
      <alignment horizontal="center" vertical="bottom" textRotation="0" wrapText="false" indent="0" shrinkToFit="false"/>
      <protection locked="true" hidden="false"/>
    </xf>
    <xf numFmtId="164" fontId="24" fillId="5" borderId="16" xfId="0" applyFont="true" applyBorder="true" applyAlignment="true" applyProtection="false">
      <alignment horizontal="left" vertical="bottom" textRotation="0" wrapText="true" indent="0" shrinkToFit="false"/>
      <protection locked="true" hidden="false"/>
    </xf>
    <xf numFmtId="164" fontId="30" fillId="0" borderId="1" xfId="0" applyFont="true" applyBorder="true" applyAlignment="true" applyProtection="false">
      <alignment horizontal="left" vertical="center" textRotation="0" wrapText="true" indent="0" shrinkToFit="false"/>
      <protection locked="true" hidden="false"/>
    </xf>
    <xf numFmtId="168" fontId="24" fillId="5" borderId="17" xfId="0" applyFont="true" applyBorder="true" applyAlignment="true" applyProtection="false">
      <alignment horizontal="center" vertical="bottom" textRotation="0" wrapText="false" indent="0" shrinkToFit="false"/>
      <protection locked="true" hidden="false"/>
    </xf>
    <xf numFmtId="168" fontId="24" fillId="5" borderId="8" xfId="0" applyFont="true" applyBorder="true" applyAlignment="true" applyProtection="false">
      <alignment horizontal="center" vertical="bottom" textRotation="0" wrapText="false" indent="0" shrinkToFit="false"/>
      <protection locked="true" hidden="false"/>
    </xf>
    <xf numFmtId="164" fontId="24" fillId="5" borderId="16" xfId="0" applyFont="true" applyBorder="true" applyAlignment="true" applyProtection="false">
      <alignment horizontal="general" vertical="center" textRotation="0" wrapText="true" indent="0" shrinkToFit="false"/>
      <protection locked="true" hidden="false"/>
    </xf>
    <xf numFmtId="168" fontId="27" fillId="0" borderId="1" xfId="0" applyFont="true" applyBorder="true" applyAlignment="true" applyProtection="false">
      <alignment horizontal="center" vertical="bottom" textRotation="0" wrapText="false" indent="0" shrinkToFit="false"/>
      <protection locked="true" hidden="false"/>
    </xf>
    <xf numFmtId="164" fontId="24" fillId="5" borderId="16" xfId="0" applyFont="true" applyBorder="true" applyAlignment="false" applyProtection="false">
      <alignment horizontal="general" vertical="bottom" textRotation="0" wrapText="false" indent="0" shrinkToFit="false"/>
      <protection locked="true" hidden="false"/>
    </xf>
    <xf numFmtId="164" fontId="24" fillId="0" borderId="1" xfId="0" applyFont="true" applyBorder="true" applyAlignment="true" applyProtection="false">
      <alignment horizontal="center" vertical="bottom" textRotation="0" wrapText="false" indent="0" shrinkToFit="false"/>
      <protection locked="true" hidden="false"/>
    </xf>
    <xf numFmtId="167" fontId="27" fillId="0" borderId="1" xfId="0" applyFont="true" applyBorder="true" applyAlignment="true" applyProtection="false">
      <alignment horizontal="center" vertical="bottom" textRotation="0" wrapText="false" indent="0" shrinkToFit="false"/>
      <protection locked="true" hidden="false"/>
    </xf>
    <xf numFmtId="167" fontId="24" fillId="5" borderId="1" xfId="0" applyFont="true" applyBorder="true" applyAlignment="true" applyProtection="false">
      <alignment horizontal="center" vertical="bottom" textRotation="0" wrapText="false" indent="0" shrinkToFit="false"/>
      <protection locked="true" hidden="false"/>
    </xf>
    <xf numFmtId="167" fontId="24" fillId="5" borderId="8" xfId="0" applyFont="true" applyBorder="true" applyAlignment="true" applyProtection="false">
      <alignment horizontal="center" vertical="bottom" textRotation="0" wrapText="false" indent="0" shrinkToFit="false"/>
      <protection locked="true" hidden="false"/>
    </xf>
    <xf numFmtId="168" fontId="24" fillId="0" borderId="8" xfId="19" applyFont="true" applyBorder="true" applyAlignment="true" applyProtection="true">
      <alignment horizontal="center" vertical="bottom" textRotation="0" wrapText="false" indent="0" shrinkToFit="false"/>
      <protection locked="true" hidden="false"/>
    </xf>
    <xf numFmtId="164" fontId="24" fillId="5" borderId="16" xfId="0" applyFont="true" applyBorder="true" applyAlignment="true" applyProtection="false">
      <alignment horizontal="general" vertical="bottom" textRotation="0" wrapText="true" indent="0" shrinkToFit="false"/>
      <protection locked="true" hidden="false"/>
    </xf>
    <xf numFmtId="164" fontId="24" fillId="0" borderId="25" xfId="0" applyFont="true" applyBorder="true" applyAlignment="false" applyProtection="false">
      <alignment horizontal="general" vertical="bottom" textRotation="0" wrapText="false" indent="0" shrinkToFit="false"/>
      <protection locked="true" hidden="false"/>
    </xf>
    <xf numFmtId="168" fontId="24" fillId="0" borderId="21" xfId="0" applyFont="true" applyBorder="true" applyAlignment="true" applyProtection="false">
      <alignment horizontal="center" vertical="bottom" textRotation="0" wrapText="false" indent="0" shrinkToFit="false"/>
      <protection locked="true" hidden="false"/>
    </xf>
    <xf numFmtId="168" fontId="24" fillId="5" borderId="1" xfId="19" applyFont="true" applyBorder="true" applyAlignment="true" applyProtection="true">
      <alignment horizontal="center" vertical="bottom" textRotation="0" wrapText="false" indent="0" shrinkToFit="false"/>
      <protection locked="true" hidden="false"/>
    </xf>
    <xf numFmtId="168" fontId="24" fillId="0" borderId="4" xfId="19" applyFont="true" applyBorder="true" applyAlignment="true" applyProtection="true">
      <alignment horizontal="center" vertical="bottom" textRotation="0" wrapText="false" indent="0" shrinkToFit="false"/>
      <protection locked="true" hidden="false"/>
    </xf>
    <xf numFmtId="164" fontId="24" fillId="5" borderId="3" xfId="0" applyFont="true" applyBorder="true" applyAlignment="true" applyProtection="false">
      <alignment horizontal="general" vertical="bottom" textRotation="0" wrapText="true" indent="0" shrinkToFit="false"/>
      <protection locked="true" hidden="false"/>
    </xf>
    <xf numFmtId="164" fontId="24" fillId="0" borderId="26" xfId="0" applyFont="true" applyBorder="true" applyAlignment="false" applyProtection="false">
      <alignment horizontal="general" vertical="bottom" textRotation="0" wrapText="false" indent="0" shrinkToFit="false"/>
      <protection locked="true" hidden="false"/>
    </xf>
    <xf numFmtId="164" fontId="24" fillId="0" borderId="27" xfId="0" applyFont="true" applyBorder="true" applyAlignment="true" applyProtection="false">
      <alignment horizontal="center" vertical="bottom" textRotation="0" wrapText="false" indent="0" shrinkToFit="false"/>
      <protection locked="true" hidden="false"/>
    </xf>
    <xf numFmtId="168" fontId="24" fillId="0" borderId="28" xfId="0" applyFont="true" applyBorder="true" applyAlignment="true" applyProtection="false">
      <alignment horizontal="center" vertical="bottom" textRotation="0" wrapText="false" indent="0" shrinkToFit="false"/>
      <protection locked="true" hidden="false"/>
    </xf>
    <xf numFmtId="164" fontId="24" fillId="5" borderId="29" xfId="0" applyFont="true" applyBorder="true" applyAlignment="true" applyProtection="false">
      <alignment horizontal="general" vertical="bottom" textRotation="0" wrapText="true" indent="0" shrinkToFit="false"/>
      <protection locked="true" hidden="false"/>
    </xf>
    <xf numFmtId="164" fontId="26" fillId="0" borderId="30" xfId="0" applyFont="true" applyBorder="true" applyAlignment="true" applyProtection="false">
      <alignment horizontal="center" vertical="bottom" textRotation="0" wrapText="false" indent="0" shrinkToFit="false"/>
      <protection locked="true" hidden="false"/>
    </xf>
    <xf numFmtId="164" fontId="29" fillId="0" borderId="31" xfId="0" applyFont="true" applyBorder="true" applyAlignment="true" applyProtection="false">
      <alignment horizontal="center" vertical="bottom" textRotation="0" wrapText="false" indent="0" shrinkToFit="false"/>
      <protection locked="true" hidden="false"/>
    </xf>
    <xf numFmtId="164" fontId="29" fillId="0" borderId="32" xfId="0" applyFont="true" applyBorder="true" applyAlignment="true" applyProtection="false">
      <alignment horizontal="center" vertical="bottom" textRotation="0" wrapText="false" indent="0" shrinkToFit="false"/>
      <protection locked="true" hidden="false"/>
    </xf>
    <xf numFmtId="179" fontId="29" fillId="0" borderId="32" xfId="0" applyFont="true" applyBorder="true" applyAlignment="true" applyProtection="false">
      <alignment horizontal="center" vertical="bottom" textRotation="0" wrapText="false" indent="0" shrinkToFit="false"/>
      <protection locked="true" hidden="false"/>
    </xf>
    <xf numFmtId="179" fontId="29" fillId="0" borderId="33" xfId="0" applyFont="true" applyBorder="true" applyAlignment="true" applyProtection="false">
      <alignment horizontal="center" vertical="bottom" textRotation="0" wrapText="false" indent="0" shrinkToFit="false"/>
      <protection locked="true" hidden="false"/>
    </xf>
    <xf numFmtId="164" fontId="31" fillId="0" borderId="8" xfId="0" applyFont="true" applyBorder="true" applyAlignment="true" applyProtection="false">
      <alignment horizontal="left" vertical="center" textRotation="0" wrapText="true" indent="0" shrinkToFit="false"/>
      <protection locked="true" hidden="false"/>
    </xf>
    <xf numFmtId="164" fontId="24" fillId="0" borderId="24" xfId="0" applyFont="true" applyBorder="true" applyAlignment="true" applyProtection="false">
      <alignment horizontal="center" vertical="bottom" textRotation="0" wrapText="false" indent="0" shrinkToFit="false"/>
      <protection locked="true" hidden="false"/>
    </xf>
    <xf numFmtId="168" fontId="24" fillId="0" borderId="1" xfId="19" applyFont="true" applyBorder="true" applyAlignment="true" applyProtection="true">
      <alignment horizontal="center" vertical="bottom" textRotation="0" wrapText="false" indent="0" shrinkToFit="false"/>
      <protection locked="true" hidden="false"/>
    </xf>
    <xf numFmtId="171" fontId="24" fillId="0" borderId="34" xfId="17" applyFont="true" applyBorder="true" applyAlignment="true" applyProtection="true">
      <alignment horizontal="center" vertical="bottom" textRotation="0" wrapText="false" indent="0" shrinkToFit="false"/>
      <protection locked="true" hidden="false"/>
    </xf>
    <xf numFmtId="164" fontId="24" fillId="0" borderId="26" xfId="0" applyFont="true" applyBorder="true" applyAlignment="true" applyProtection="false">
      <alignment horizontal="center" vertical="bottom" textRotation="0" wrapText="false" indent="0" shrinkToFit="false"/>
      <protection locked="true" hidden="false"/>
    </xf>
    <xf numFmtId="171" fontId="24" fillId="0" borderId="28" xfId="17" applyFont="true" applyBorder="true" applyAlignment="true" applyProtection="true">
      <alignment horizontal="center" vertical="bottom" textRotation="0" wrapText="false" indent="0" shrinkToFit="false"/>
      <protection locked="true" hidden="false"/>
    </xf>
    <xf numFmtId="168" fontId="24" fillId="0" borderId="28" xfId="19" applyFont="true" applyBorder="true" applyAlignment="true" applyProtection="true">
      <alignment horizontal="center" vertical="bottom" textRotation="0" wrapText="false" indent="0" shrinkToFit="false"/>
      <protection locked="true" hidden="false"/>
    </xf>
    <xf numFmtId="171" fontId="24" fillId="0" borderId="35" xfId="17" applyFont="true" applyBorder="true" applyAlignment="true" applyProtection="true">
      <alignment horizontal="center" vertical="bottom" textRotation="0" wrapText="false" indent="0" shrinkToFit="false"/>
      <protection locked="true" hidden="false"/>
    </xf>
    <xf numFmtId="164" fontId="27" fillId="0" borderId="1" xfId="0" applyFont="true" applyBorder="true" applyAlignment="true" applyProtection="false">
      <alignment horizontal="left" vertical="bottom" textRotation="0" wrapText="false" indent="0" shrinkToFit="false"/>
      <protection locked="true" hidden="false"/>
    </xf>
    <xf numFmtId="166" fontId="27" fillId="5" borderId="1" xfId="0" applyFont="true" applyBorder="true" applyAlignment="true" applyProtection="false">
      <alignment horizontal="center" vertical="bottom" textRotation="0" wrapText="false" indent="0" shrinkToFit="false"/>
      <protection locked="true" hidden="false"/>
    </xf>
    <xf numFmtId="164" fontId="26" fillId="0" borderId="0" xfId="0" applyFont="true" applyBorder="false" applyAlignment="true" applyProtection="false">
      <alignment horizontal="center" vertical="bottom" textRotation="0" wrapText="false" indent="0" shrinkToFit="false"/>
      <protection locked="true" hidden="false"/>
    </xf>
    <xf numFmtId="164" fontId="24" fillId="0" borderId="24" xfId="0" applyFont="true" applyBorder="true" applyAlignment="true" applyProtection="false">
      <alignment horizontal="left" vertical="bottom" textRotation="0" wrapText="false" indent="0" shrinkToFit="false"/>
      <protection locked="true" hidden="false"/>
    </xf>
    <xf numFmtId="171" fontId="24" fillId="5" borderId="1" xfId="17" applyFont="true" applyBorder="true" applyAlignment="true" applyProtection="true">
      <alignment horizontal="general" vertical="bottom" textRotation="0" wrapText="false" indent="0" shrinkToFit="false"/>
      <protection locked="true" hidden="false"/>
    </xf>
    <xf numFmtId="170" fontId="24" fillId="0" borderId="0" xfId="17" applyFont="true" applyBorder="true" applyAlignment="true" applyProtection="true">
      <alignment horizontal="general" vertical="bottom" textRotation="0" wrapText="false" indent="0" shrinkToFit="false"/>
      <protection locked="true" hidden="false"/>
    </xf>
    <xf numFmtId="164" fontId="24" fillId="0" borderId="36" xfId="0" applyFont="true" applyBorder="true" applyAlignment="false" applyProtection="false">
      <alignment horizontal="general" vertical="bottom" textRotation="0" wrapText="false" indent="0" shrinkToFit="false"/>
      <protection locked="true" hidden="false"/>
    </xf>
    <xf numFmtId="164" fontId="30" fillId="0" borderId="12" xfId="0" applyFont="true" applyBorder="true" applyAlignment="true" applyProtection="false">
      <alignment horizontal="left" vertical="center" textRotation="0" wrapText="true" indent="0" shrinkToFit="false"/>
      <protection locked="true" hidden="false"/>
    </xf>
    <xf numFmtId="171" fontId="24" fillId="5" borderId="17" xfId="17" applyFont="true" applyBorder="true" applyAlignment="true" applyProtection="true">
      <alignment horizontal="general" vertical="bottom" textRotation="0" wrapText="false" indent="0" shrinkToFit="false"/>
      <protection locked="true" hidden="false"/>
    </xf>
    <xf numFmtId="170" fontId="24" fillId="0" borderId="17" xfId="17" applyFont="true" applyBorder="true" applyAlignment="true" applyProtection="true">
      <alignment horizontal="right" vertical="bottom" textRotation="0" wrapText="false" indent="0" shrinkToFit="false"/>
      <protection locked="true" hidden="false"/>
    </xf>
    <xf numFmtId="168" fontId="24" fillId="0" borderId="8" xfId="0" applyFont="true" applyBorder="true" applyAlignment="true" applyProtection="false">
      <alignment horizontal="left" vertical="bottom" textRotation="0" wrapText="false" indent="0" shrinkToFit="false"/>
      <protection locked="true" hidden="false"/>
    </xf>
    <xf numFmtId="175" fontId="24" fillId="5" borderId="1" xfId="0" applyFont="true" applyBorder="true" applyAlignment="false" applyProtection="false">
      <alignment horizontal="general" vertical="bottom" textRotation="0" wrapText="false" indent="0" shrinkToFit="false"/>
      <protection locked="true" hidden="false"/>
    </xf>
    <xf numFmtId="164" fontId="24" fillId="0" borderId="26" xfId="0" applyFont="true" applyBorder="true" applyAlignment="true" applyProtection="false">
      <alignment horizontal="left" vertical="bottom" textRotation="0" wrapText="false" indent="0" shrinkToFit="false"/>
      <protection locked="true" hidden="false"/>
    </xf>
    <xf numFmtId="171" fontId="30" fillId="5" borderId="27" xfId="17" applyFont="true" applyBorder="true" applyAlignment="true" applyProtection="true">
      <alignment horizontal="general" vertical="bottom" textRotation="0" wrapText="false" indent="0" shrinkToFit="false"/>
      <protection locked="true" hidden="false"/>
    </xf>
    <xf numFmtId="164" fontId="24" fillId="0" borderId="37" xfId="0" applyFont="true" applyBorder="true" applyAlignment="true" applyProtection="false">
      <alignment horizontal="right" vertical="bottom" textRotation="0" wrapText="false" indent="0" shrinkToFit="false"/>
      <protection locked="true" hidden="false"/>
    </xf>
    <xf numFmtId="171" fontId="24" fillId="0" borderId="38" xfId="0" applyFont="true" applyBorder="true" applyAlignment="true" applyProtection="false">
      <alignment horizontal="left" vertical="bottom" textRotation="0" wrapText="fals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64" fontId="34" fillId="0" borderId="0" xfId="0" applyFont="true" applyBorder="false" applyAlignment="false" applyProtection="false">
      <alignment horizontal="general" vertical="bottom" textRotation="0" wrapText="false" indent="0" shrinkToFit="false"/>
      <protection locked="true" hidden="false"/>
    </xf>
    <xf numFmtId="176" fontId="35" fillId="0" borderId="7" xfId="0" applyFont="true" applyBorder="true" applyAlignment="true" applyProtection="false">
      <alignment horizontal="center" vertical="bottom" textRotation="0" wrapText="false" indent="0" shrinkToFit="false"/>
      <protection locked="true" hidden="false"/>
    </xf>
    <xf numFmtId="165" fontId="35" fillId="0" borderId="7" xfId="0" applyFont="true" applyBorder="true" applyAlignment="true" applyProtection="false">
      <alignment horizontal="center" vertical="bottom" textRotation="0" wrapText="false" indent="0" shrinkToFit="false"/>
      <protection locked="true" hidden="false"/>
    </xf>
    <xf numFmtId="164" fontId="5" fillId="0" borderId="12" xfId="0" applyFont="true" applyBorder="true" applyAlignment="false" applyProtection="false">
      <alignment horizontal="general" vertical="bottom" textRotation="0" wrapText="false" indent="0" shrinkToFit="false"/>
      <protection locked="true" hidden="false"/>
    </xf>
    <xf numFmtId="164" fontId="5" fillId="0" borderId="36" xfId="0" applyFont="true" applyBorder="true" applyAlignment="false" applyProtection="false">
      <alignment horizontal="general" vertical="bottom" textRotation="0" wrapText="false" indent="0" shrinkToFit="false"/>
      <protection locked="true" hidden="false"/>
    </xf>
    <xf numFmtId="164" fontId="35" fillId="0" borderId="7" xfId="0" applyFont="true" applyBorder="true" applyAlignment="true" applyProtection="false">
      <alignment horizontal="center" vertical="bottom" textRotation="0" wrapText="false" indent="0" shrinkToFit="false"/>
      <protection locked="true" hidden="false"/>
    </xf>
    <xf numFmtId="164" fontId="35" fillId="0" borderId="10" xfId="0" applyFont="true" applyBorder="true" applyAlignment="true" applyProtection="false">
      <alignment horizontal="center" vertical="bottom" textRotation="0" wrapText="false" indent="0" shrinkToFit="false"/>
      <protection locked="true" hidden="false"/>
    </xf>
    <xf numFmtId="164" fontId="5" fillId="0" borderId="9" xfId="0" applyFont="true" applyBorder="true" applyAlignment="false" applyProtection="false">
      <alignment horizontal="general" vertical="bottom" textRotation="0" wrapText="false" indent="0" shrinkToFit="false"/>
      <protection locked="true" hidden="false"/>
    </xf>
    <xf numFmtId="176" fontId="5" fillId="5" borderId="7" xfId="0" applyFont="true" applyBorder="true" applyAlignment="true" applyProtection="false">
      <alignment horizontal="left" vertical="top" textRotation="0" wrapText="true" indent="0" shrinkToFit="false"/>
      <protection locked="true" hidden="false"/>
    </xf>
    <xf numFmtId="164" fontId="33" fillId="0" borderId="34" xfId="0" applyFont="true" applyBorder="true" applyAlignment="true" applyProtection="false">
      <alignment horizontal="center" vertical="bottom" textRotation="0" wrapText="false" indent="0" shrinkToFit="false"/>
      <protection locked="true" hidden="false"/>
    </xf>
    <xf numFmtId="164" fontId="5" fillId="0" borderId="24" xfId="0" applyFont="true" applyBorder="true" applyAlignment="false" applyProtection="false">
      <alignment horizontal="general" vertical="bottom" textRotation="0" wrapText="false" indent="0" shrinkToFit="false"/>
      <protection locked="true" hidden="false"/>
    </xf>
    <xf numFmtId="168" fontId="5" fillId="0"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8" fontId="5" fillId="5" borderId="34" xfId="0" applyFont="true" applyBorder="true" applyAlignment="false" applyProtection="false">
      <alignment horizontal="general" vertical="bottom" textRotation="0" wrapText="false" indent="0" shrinkToFit="false"/>
      <protection locked="true" hidden="false"/>
    </xf>
    <xf numFmtId="180" fontId="5" fillId="0" borderId="1" xfId="0" applyFont="true" applyBorder="true" applyAlignment="false" applyProtection="false">
      <alignment horizontal="general" vertical="bottom" textRotation="0" wrapText="false" indent="0" shrinkToFit="false"/>
      <protection locked="true" hidden="false"/>
    </xf>
    <xf numFmtId="168" fontId="5" fillId="0" borderId="36" xfId="0" applyFont="true" applyBorder="true" applyAlignment="false" applyProtection="false">
      <alignment horizontal="general" vertical="bottom" textRotation="0" wrapText="false" indent="0" shrinkToFit="false"/>
      <protection locked="true" hidden="false"/>
    </xf>
    <xf numFmtId="166" fontId="5" fillId="5" borderId="31" xfId="0" applyFont="true" applyBorder="true" applyAlignment="false" applyProtection="false">
      <alignment horizontal="general" vertical="bottom" textRotation="0" wrapText="false" indent="0" shrinkToFit="false"/>
      <protection locked="true" hidden="false"/>
    </xf>
    <xf numFmtId="180" fontId="5" fillId="5" borderId="31" xfId="0" applyFont="true" applyBorder="true" applyAlignment="false" applyProtection="false">
      <alignment horizontal="general" vertical="bottom" textRotation="0" wrapText="false" indent="0" shrinkToFit="false"/>
      <protection locked="true" hidden="false"/>
    </xf>
    <xf numFmtId="176" fontId="5" fillId="0" borderId="1" xfId="0" applyFont="true" applyBorder="true" applyAlignment="true" applyProtection="false">
      <alignment horizontal="center" vertical="bottom" textRotation="0" wrapText="false" indent="0" shrinkToFit="false"/>
      <protection locked="true" hidden="false"/>
    </xf>
    <xf numFmtId="176" fontId="5" fillId="5" borderId="1" xfId="0" applyFont="true" applyBorder="true" applyAlignment="true" applyProtection="false">
      <alignment horizontal="center" vertical="bottom" textRotation="0" wrapText="false" indent="0" shrinkToFit="false"/>
      <protection locked="true" hidden="false"/>
    </xf>
    <xf numFmtId="164" fontId="5" fillId="0" borderId="36" xfId="0" applyFont="true" applyBorder="true" applyAlignment="true" applyProtection="false">
      <alignment horizontal="center" vertical="bottom" textRotation="0" wrapText="false" indent="0" shrinkToFit="false"/>
      <protection locked="true" hidden="false"/>
    </xf>
    <xf numFmtId="176" fontId="5" fillId="5" borderId="24" xfId="0" applyFont="true" applyBorder="true" applyAlignment="false" applyProtection="false">
      <alignment horizontal="general" vertical="bottom" textRotation="0" wrapText="false" indent="0" shrinkToFit="false"/>
      <protection locked="true" hidden="false"/>
    </xf>
    <xf numFmtId="180" fontId="5" fillId="5" borderId="24" xfId="0" applyFont="true" applyBorder="true" applyAlignment="false" applyProtection="false">
      <alignment horizontal="general" vertical="bottom" textRotation="0" wrapText="false" indent="0" shrinkToFit="false"/>
      <protection locked="true" hidden="false"/>
    </xf>
    <xf numFmtId="170" fontId="5" fillId="0" borderId="1" xfId="0" applyFont="true" applyBorder="true" applyAlignment="false" applyProtection="false">
      <alignment horizontal="general" vertical="bottom" textRotation="0" wrapText="false" indent="0" shrinkToFit="false"/>
      <protection locked="true" hidden="false"/>
    </xf>
    <xf numFmtId="170" fontId="5" fillId="5" borderId="1" xfId="0" applyFont="true" applyBorder="true" applyAlignment="false" applyProtection="false">
      <alignment horizontal="general" vertical="bottom" textRotation="0" wrapText="false" indent="0" shrinkToFit="false"/>
      <protection locked="true" hidden="false"/>
    </xf>
    <xf numFmtId="168" fontId="5" fillId="5" borderId="24" xfId="0" applyFont="true" applyBorder="true" applyAlignment="false" applyProtection="false">
      <alignment horizontal="general" vertical="bottom" textRotation="0" wrapText="false" indent="0" shrinkToFit="false"/>
      <protection locked="true" hidden="false"/>
    </xf>
    <xf numFmtId="180" fontId="5" fillId="5" borderId="34" xfId="0" applyFont="true" applyBorder="true" applyAlignment="false" applyProtection="false">
      <alignment horizontal="general" vertical="bottom" textRotation="0" wrapText="false" indent="0" shrinkToFit="false"/>
      <protection locked="true" hidden="false"/>
    </xf>
    <xf numFmtId="168" fontId="5" fillId="5" borderId="1" xfId="0" applyFont="true" applyBorder="true" applyAlignment="false" applyProtection="false">
      <alignment horizontal="general" vertical="bottom" textRotation="0" wrapText="false" indent="0" shrinkToFit="false"/>
      <protection locked="true" hidden="false"/>
    </xf>
    <xf numFmtId="164" fontId="5" fillId="5" borderId="1" xfId="0" applyFont="true" applyBorder="true" applyAlignment="false" applyProtection="false">
      <alignment horizontal="general" vertical="bottom" textRotation="0" wrapText="false" indent="0" shrinkToFit="false"/>
      <protection locked="true" hidden="false"/>
    </xf>
    <xf numFmtId="166" fontId="5" fillId="5" borderId="1" xfId="0" applyFont="true" applyBorder="true" applyAlignment="false" applyProtection="false">
      <alignment horizontal="general" vertical="bottom" textRotation="0" wrapText="false" indent="0" shrinkToFit="false"/>
      <protection locked="true" hidden="false"/>
    </xf>
    <xf numFmtId="175" fontId="5" fillId="5" borderId="24" xfId="0" applyFont="true" applyBorder="true" applyAlignment="false" applyProtection="false">
      <alignment horizontal="general" vertical="bottom" textRotation="0" wrapText="false" indent="0" shrinkToFit="false"/>
      <protection locked="true" hidden="false"/>
    </xf>
    <xf numFmtId="175" fontId="5" fillId="5" borderId="34" xfId="0" applyFont="true" applyBorder="tru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76" fontId="35" fillId="5" borderId="25" xfId="0" applyFont="true" applyBorder="true" applyAlignment="false" applyProtection="false">
      <alignment horizontal="general" vertical="bottom" textRotation="0" wrapText="false" indent="0" shrinkToFit="false"/>
      <protection locked="true" hidden="false"/>
    </xf>
    <xf numFmtId="171" fontId="35" fillId="5" borderId="39" xfId="0" applyFont="true" applyBorder="true" applyAlignment="false" applyProtection="false">
      <alignment horizontal="general" vertical="bottom" textRotation="0" wrapText="false" indent="0" shrinkToFit="false"/>
      <protection locked="true" hidden="false"/>
    </xf>
    <xf numFmtId="173" fontId="5" fillId="0" borderId="1" xfId="0" applyFont="true" applyBorder="true" applyAlignment="false" applyProtection="false">
      <alignment horizontal="general" vertical="bottom" textRotation="0" wrapText="false" indent="0" shrinkToFit="false"/>
      <protection locked="true" hidden="false"/>
    </xf>
    <xf numFmtId="164" fontId="5" fillId="0" borderId="25" xfId="0" applyFont="true" applyBorder="true" applyAlignment="false" applyProtection="false">
      <alignment horizontal="general" vertical="bottom" textRotation="0" wrapText="false" indent="0" shrinkToFit="false"/>
      <protection locked="true" hidden="false"/>
    </xf>
    <xf numFmtId="171" fontId="5" fillId="0" borderId="2" xfId="0" applyFont="true" applyBorder="true" applyAlignment="false" applyProtection="false">
      <alignment horizontal="general" vertical="bottom" textRotation="0" wrapText="false" indent="0" shrinkToFit="false"/>
      <protection locked="true" hidden="false"/>
    </xf>
    <xf numFmtId="164" fontId="36" fillId="5" borderId="24" xfId="0" applyFont="true" applyBorder="true" applyAlignment="false" applyProtection="false">
      <alignment horizontal="general" vertical="bottom" textRotation="0" wrapText="false" indent="0" shrinkToFit="false"/>
      <protection locked="true" hidden="false"/>
    </xf>
    <xf numFmtId="171" fontId="36" fillId="5" borderId="1" xfId="0" applyFont="true" applyBorder="true" applyAlignment="false" applyProtection="false">
      <alignment horizontal="general" vertical="bottom" textRotation="0" wrapText="false" indent="0" shrinkToFit="false"/>
      <protection locked="true" hidden="false"/>
    </xf>
    <xf numFmtId="167" fontId="5" fillId="5" borderId="1" xfId="0" applyFont="true" applyBorder="true" applyAlignment="false" applyProtection="false">
      <alignment horizontal="general" vertical="bottom" textRotation="0" wrapText="false" indent="0" shrinkToFit="false"/>
      <protection locked="true" hidden="false"/>
    </xf>
    <xf numFmtId="168" fontId="5" fillId="5" borderId="1" xfId="19" applyFont="true" applyBorder="true" applyAlignment="true" applyProtection="true">
      <alignment horizontal="general" vertical="bottom" textRotation="0" wrapText="false" indent="0" shrinkToFit="false"/>
      <protection locked="true" hidden="false"/>
    </xf>
    <xf numFmtId="176" fontId="5" fillId="5" borderId="28" xfId="0" applyFont="true" applyBorder="true" applyAlignment="true" applyProtection="false">
      <alignment horizontal="left" vertical="top" textRotation="0" wrapText="true" indent="0" shrinkToFit="false"/>
      <protection locked="true" hidden="false"/>
    </xf>
    <xf numFmtId="164" fontId="37" fillId="0" borderId="5" xfId="0" applyFont="true" applyBorder="true" applyAlignment="false" applyProtection="false">
      <alignment horizontal="general" vertical="bottom" textRotation="0" wrapText="false" indent="0" shrinkToFit="false"/>
      <protection locked="true" hidden="false"/>
    </xf>
    <xf numFmtId="164" fontId="32" fillId="0" borderId="9" xfId="0" applyFont="true" applyBorder="true" applyAlignment="true" applyProtection="false">
      <alignment horizontal="center" vertical="bottom" textRotation="0" wrapText="false" indent="0" shrinkToFit="false"/>
      <protection locked="true" hidden="false"/>
    </xf>
    <xf numFmtId="164" fontId="32" fillId="0" borderId="40" xfId="0" applyFont="true" applyBorder="true" applyAlignment="true" applyProtection="false">
      <alignment horizontal="center" vertical="bottom" textRotation="0" wrapText="false" indent="0" shrinkToFit="false"/>
      <protection locked="true" hidden="false"/>
    </xf>
    <xf numFmtId="164" fontId="32" fillId="0" borderId="21" xfId="0" applyFont="true" applyBorder="true" applyAlignment="true" applyProtection="false">
      <alignment horizontal="center" vertical="bottom" textRotation="0" wrapText="false" indent="0" shrinkToFit="false"/>
      <protection locked="true" hidden="false"/>
    </xf>
    <xf numFmtId="164" fontId="32" fillId="5" borderId="21" xfId="0" applyFont="true" applyBorder="true" applyAlignment="true" applyProtection="false">
      <alignment horizontal="center" vertical="bottom" textRotation="0" wrapText="false" indent="0" shrinkToFit="false"/>
      <protection locked="true" hidden="false"/>
    </xf>
    <xf numFmtId="164" fontId="32" fillId="5" borderId="39" xfId="0" applyFont="true" applyBorder="true" applyAlignment="true" applyProtection="false">
      <alignment horizontal="center" vertical="bottom" textRotation="0" wrapText="false" indent="0" shrinkToFit="false"/>
      <protection locked="true" hidden="false"/>
    </xf>
    <xf numFmtId="164" fontId="37" fillId="0" borderId="1" xfId="0" applyFont="true" applyBorder="true" applyAlignment="false" applyProtection="false">
      <alignment horizontal="general" vertical="bottom" textRotation="0" wrapText="false" indent="0" shrinkToFit="false"/>
      <protection locked="true" hidden="false"/>
    </xf>
    <xf numFmtId="180" fontId="37" fillId="0" borderId="1" xfId="0" applyFont="true" applyBorder="true" applyAlignment="true" applyProtection="false">
      <alignment horizontal="center" vertical="bottom" textRotation="0" wrapText="false" indent="0" shrinkToFit="false"/>
      <protection locked="true" hidden="false"/>
    </xf>
    <xf numFmtId="180" fontId="37" fillId="5" borderId="1" xfId="0" applyFont="true" applyBorder="true" applyAlignment="true" applyProtection="false">
      <alignment horizontal="center" vertical="bottom" textRotation="0" wrapText="false" indent="0" shrinkToFit="false"/>
      <protection locked="true" hidden="false"/>
    </xf>
    <xf numFmtId="180" fontId="37" fillId="5" borderId="34" xfId="0" applyFont="true" applyBorder="true" applyAlignment="true" applyProtection="false">
      <alignment horizontal="center" vertical="bottom" textRotation="0" wrapText="false" indent="0" shrinkToFit="false"/>
      <protection locked="true" hidden="false"/>
    </xf>
    <xf numFmtId="164" fontId="37" fillId="0" borderId="1" xfId="0" applyFont="true" applyBorder="true" applyAlignment="true" applyProtection="false">
      <alignment horizontal="general" vertical="center" textRotation="0" wrapText="false" indent="0" shrinkToFit="false"/>
      <protection locked="true" hidden="false"/>
    </xf>
    <xf numFmtId="169" fontId="37" fillId="0" borderId="1" xfId="0" applyFont="true" applyBorder="true" applyAlignment="true" applyProtection="false">
      <alignment horizontal="center" vertical="center" textRotation="0" wrapText="false" indent="0" shrinkToFit="false"/>
      <protection locked="true" hidden="false"/>
    </xf>
    <xf numFmtId="169" fontId="37" fillId="5" borderId="1" xfId="0" applyFont="true" applyBorder="true" applyAlignment="true" applyProtection="false">
      <alignment horizontal="center" vertical="center" textRotation="0" wrapText="false" indent="0" shrinkToFit="false"/>
      <protection locked="true" hidden="false"/>
    </xf>
    <xf numFmtId="168" fontId="37" fillId="0" borderId="1" xfId="0" applyFont="true" applyBorder="true" applyAlignment="true" applyProtection="false">
      <alignment horizontal="center" vertical="center" textRotation="0" wrapText="false" indent="0" shrinkToFit="false"/>
      <protection locked="true" hidden="false"/>
    </xf>
    <xf numFmtId="169" fontId="37" fillId="5" borderId="34" xfId="0" applyFont="true" applyBorder="true" applyAlignment="true" applyProtection="false">
      <alignment horizontal="center" vertical="center" textRotation="0" wrapText="false" indent="0" shrinkToFit="false"/>
      <protection locked="true" hidden="false"/>
    </xf>
    <xf numFmtId="164" fontId="5" fillId="0" borderId="13" xfId="0" applyFont="true" applyBorder="true" applyAlignment="false" applyProtection="false">
      <alignment horizontal="general" vertical="bottom" textRotation="0" wrapText="false" indent="0" shrinkToFit="false"/>
      <protection locked="true" hidden="false"/>
    </xf>
    <xf numFmtId="164" fontId="5" fillId="0" borderId="14" xfId="0" applyFont="true" applyBorder="true" applyAlignment="false" applyProtection="false">
      <alignment horizontal="general" vertical="bottom" textRotation="0" wrapText="false" indent="0" shrinkToFit="false"/>
      <protection locked="true" hidden="false"/>
    </xf>
    <xf numFmtId="164" fontId="5" fillId="0" borderId="15"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35" fillId="0" borderId="41" xfId="0" applyFont="true" applyBorder="true" applyAlignment="false" applyProtection="false">
      <alignment horizontal="general" vertical="bottom" textRotation="0" wrapText="false" indent="0" shrinkToFit="false"/>
      <protection locked="true" hidden="false"/>
    </xf>
    <xf numFmtId="164" fontId="35" fillId="0" borderId="42" xfId="0" applyFont="true" applyBorder="true" applyAlignment="true" applyProtection="false">
      <alignment horizontal="center" vertical="bottom" textRotation="0" wrapText="false" indent="0" shrinkToFit="false"/>
      <protection locked="true" hidden="false"/>
    </xf>
    <xf numFmtId="164" fontId="5" fillId="0" borderId="42" xfId="0" applyFont="true" applyBorder="true" applyAlignment="true" applyProtection="false">
      <alignment horizontal="center" vertical="bottom" textRotation="0" wrapText="false" indent="0" shrinkToFit="false"/>
      <protection locked="true" hidden="false"/>
    </xf>
    <xf numFmtId="164" fontId="35" fillId="0" borderId="43" xfId="0" applyFont="true" applyBorder="true" applyAlignment="true" applyProtection="false">
      <alignment horizontal="center" vertical="bottom" textRotation="0" wrapText="false" indent="0" shrinkToFit="false"/>
      <protection locked="true" hidden="false"/>
    </xf>
    <xf numFmtId="164" fontId="35" fillId="0" borderId="0" xfId="0" applyFont="true" applyBorder="false" applyAlignment="true" applyProtection="false">
      <alignment horizontal="center" vertical="bottom" textRotation="0" wrapText="false" indent="0" shrinkToFit="false"/>
      <protection locked="true" hidden="false"/>
    </xf>
    <xf numFmtId="164" fontId="33" fillId="0" borderId="0" xfId="0" applyFont="true" applyBorder="false" applyAlignment="true" applyProtection="false">
      <alignment horizontal="center" vertical="bottom" textRotation="0" wrapText="false" indent="0" shrinkToFit="false"/>
      <protection locked="true" hidden="false"/>
    </xf>
    <xf numFmtId="164" fontId="33" fillId="0" borderId="36"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8" fontId="5" fillId="0" borderId="1" xfId="0" applyFont="true" applyBorder="true" applyAlignment="true" applyProtection="false">
      <alignment horizontal="center" vertical="bottom" textRotation="0" wrapText="false" indent="0" shrinkToFit="false"/>
      <protection locked="true" hidden="false"/>
    </xf>
    <xf numFmtId="164" fontId="5" fillId="0" borderId="43" xfId="0" applyFont="true" applyBorder="true" applyAlignment="true" applyProtection="false">
      <alignment horizontal="center" vertical="bottom" textRotation="0" wrapText="false" indent="0" shrinkToFit="false"/>
      <protection locked="true" hidden="false"/>
    </xf>
    <xf numFmtId="166" fontId="5" fillId="5" borderId="1" xfId="0" applyFont="true" applyBorder="true" applyAlignment="true" applyProtection="false">
      <alignment horizontal="center" vertical="bottom" textRotation="0" wrapText="false" indent="0" shrinkToFit="false"/>
      <protection locked="true" hidden="false"/>
    </xf>
    <xf numFmtId="164" fontId="33" fillId="0" borderId="42" xfId="0" applyFont="true" applyBorder="true" applyAlignment="true" applyProtection="false">
      <alignment horizontal="center" vertical="bottom" textRotation="0" wrapText="false" indent="0" shrinkToFit="false"/>
      <protection locked="true" hidden="false"/>
    </xf>
    <xf numFmtId="164" fontId="33" fillId="0" borderId="43" xfId="0" applyFont="true" applyBorder="true" applyAlignment="true" applyProtection="false">
      <alignment horizontal="center" vertical="bottom" textRotation="0" wrapText="false" indent="0" shrinkToFit="false"/>
      <protection locked="true" hidden="false"/>
    </xf>
    <xf numFmtId="168" fontId="5" fillId="5" borderId="1" xfId="0" applyFont="true" applyBorder="true" applyAlignment="true" applyProtection="false">
      <alignment horizontal="center" vertical="bottom" textRotation="0" wrapText="false" indent="0" shrinkToFit="false"/>
      <protection locked="true" hidden="false"/>
    </xf>
    <xf numFmtId="167" fontId="5" fillId="5" borderId="1" xfId="0" applyFont="true" applyBorder="true" applyAlignment="true" applyProtection="false">
      <alignment horizontal="center" vertical="bottom" textRotation="0" wrapText="false" indent="0" shrinkToFit="false"/>
      <protection locked="true" hidden="false"/>
    </xf>
    <xf numFmtId="164" fontId="33" fillId="0" borderId="12" xfId="0" applyFont="true" applyBorder="true" applyAlignment="false" applyProtection="false">
      <alignment horizontal="general" vertical="bottom" textRotation="0" wrapText="false" indent="0" shrinkToFit="false"/>
      <protection locked="true" hidden="false"/>
    </xf>
    <xf numFmtId="164" fontId="33" fillId="0" borderId="1" xfId="0" applyFont="true" applyBorder="true" applyAlignment="true" applyProtection="false">
      <alignment horizontal="center" vertical="bottom" textRotation="0" wrapText="false" indent="0" shrinkToFit="false"/>
      <protection locked="true" hidden="false"/>
    </xf>
    <xf numFmtId="171" fontId="5" fillId="0" borderId="1" xfId="0" applyFont="true" applyBorder="true" applyAlignment="true" applyProtection="false">
      <alignment horizontal="center" vertical="bottom" textRotation="0" wrapText="false" indent="0" shrinkToFit="false"/>
      <protection locked="true" hidden="false"/>
    </xf>
    <xf numFmtId="168" fontId="5" fillId="0" borderId="1" xfId="19" applyFont="true" applyBorder="true" applyAlignment="true" applyProtection="true">
      <alignment horizontal="center" vertical="bottom" textRotation="0" wrapText="false" indent="0" shrinkToFit="false"/>
      <protection locked="true" hidden="false"/>
    </xf>
    <xf numFmtId="164" fontId="5" fillId="5" borderId="12" xfId="0" applyFont="true" applyBorder="true" applyAlignment="false" applyProtection="false">
      <alignment horizontal="general" vertical="bottom" textRotation="0" wrapText="false" indent="0" shrinkToFit="false"/>
      <protection locked="true" hidden="false"/>
    </xf>
    <xf numFmtId="171" fontId="5" fillId="5" borderId="1" xfId="0" applyFont="true" applyBorder="true" applyAlignment="true" applyProtection="false">
      <alignment horizontal="center" vertical="bottom" textRotation="0" wrapText="false" indent="0" shrinkToFit="false"/>
      <protection locked="true" hidden="false"/>
    </xf>
    <xf numFmtId="168" fontId="5" fillId="5" borderId="1" xfId="19" applyFont="true" applyBorder="true" applyAlignment="true" applyProtection="true">
      <alignment horizontal="center" vertical="bottom" textRotation="0" wrapText="false" indent="0" shrinkToFit="false"/>
      <protection locked="true" hidden="false"/>
    </xf>
    <xf numFmtId="164" fontId="5" fillId="5" borderId="26" xfId="0" applyFont="true" applyBorder="true" applyAlignment="false" applyProtection="false">
      <alignment horizontal="general" vertical="bottom" textRotation="0" wrapText="false" indent="0" shrinkToFit="false"/>
      <protection locked="true" hidden="false"/>
    </xf>
    <xf numFmtId="168" fontId="5" fillId="5" borderId="28" xfId="0" applyFont="true" applyBorder="true" applyAlignment="true" applyProtection="false">
      <alignment horizontal="center" vertical="bottom" textRotation="0" wrapText="false" indent="0" shrinkToFit="false"/>
      <protection locked="true" hidden="false"/>
    </xf>
    <xf numFmtId="168" fontId="5" fillId="5" borderId="28" xfId="19" applyFont="true" applyBorder="true" applyAlignment="true" applyProtection="true">
      <alignment horizontal="center" vertical="bottom" textRotation="0" wrapText="false" indent="0" shrinkToFit="false"/>
      <protection locked="true" hidden="false"/>
    </xf>
    <xf numFmtId="168" fontId="5" fillId="5" borderId="35" xfId="0" applyFont="true" applyBorder="true" applyAlignment="true" applyProtection="false">
      <alignment horizontal="center" vertical="bottom" textRotation="0" wrapText="false" indent="0" shrinkToFit="false"/>
      <protection locked="true" hidden="false"/>
    </xf>
    <xf numFmtId="164" fontId="5" fillId="5" borderId="24" xfId="0" applyFont="true" applyBorder="true" applyAlignment="false" applyProtection="false">
      <alignment horizontal="general" vertical="bottom" textRotation="0" wrapText="false" indent="0" shrinkToFit="false"/>
      <protection locked="true" hidden="false"/>
    </xf>
    <xf numFmtId="168" fontId="5" fillId="5" borderId="34" xfId="19" applyFont="true" applyBorder="true" applyAlignment="true" applyProtection="true">
      <alignment horizontal="center" vertical="bottom" textRotation="0" wrapText="false" indent="0" shrinkToFit="false"/>
      <protection locked="true" hidden="false"/>
    </xf>
    <xf numFmtId="164" fontId="5" fillId="0" borderId="14" xfId="0" applyFont="true" applyBorder="true" applyAlignment="true" applyProtection="false">
      <alignment horizontal="center" vertical="bottom" textRotation="0" wrapText="false" indent="0" shrinkToFit="false"/>
      <protection locked="true" hidden="false"/>
    </xf>
    <xf numFmtId="164" fontId="5" fillId="0" borderId="15" xfId="0" applyFont="true" applyBorder="true" applyAlignment="true" applyProtection="false">
      <alignment horizontal="center" vertical="bottom" textRotation="0" wrapText="false" indent="0" shrinkToFit="false"/>
      <protection locked="true" hidden="false"/>
    </xf>
    <xf numFmtId="164" fontId="18" fillId="5" borderId="25" xfId="0" applyFont="true" applyBorder="true" applyAlignment="false" applyProtection="false">
      <alignment horizontal="general" vertical="bottom" textRotation="0" wrapText="false" indent="0" shrinkToFit="false"/>
      <protection locked="true" hidden="false"/>
    </xf>
    <xf numFmtId="168" fontId="18" fillId="5" borderId="21" xfId="0" applyFont="true" applyBorder="true" applyAlignment="true" applyProtection="false">
      <alignment horizontal="center" vertical="bottom" textRotation="0" wrapText="false" indent="0" shrinkToFit="false"/>
      <protection locked="true" hidden="false"/>
    </xf>
    <xf numFmtId="164" fontId="18" fillId="0" borderId="36" xfId="0" applyFont="true" applyBorder="true" applyAlignment="false" applyProtection="false">
      <alignment horizontal="general" vertical="bottom" textRotation="0" wrapText="false" indent="0" shrinkToFit="false"/>
      <protection locked="true" hidden="false"/>
    </xf>
    <xf numFmtId="164" fontId="18" fillId="0" borderId="41" xfId="0" applyFont="true" applyBorder="true" applyAlignment="false" applyProtection="false">
      <alignment horizontal="general" vertical="bottom" textRotation="0" wrapText="false" indent="0" shrinkToFit="false"/>
      <protection locked="true" hidden="false"/>
    </xf>
    <xf numFmtId="168" fontId="36" fillId="0" borderId="7" xfId="0" applyFont="true" applyBorder="true" applyAlignment="true" applyProtection="false">
      <alignment horizontal="center" vertical="bottom" textRotation="0" wrapText="fals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4" fontId="20" fillId="4" borderId="44" xfId="0" applyFont="true" applyBorder="true" applyAlignment="true" applyProtection="false">
      <alignment horizontal="center" vertical="center" textRotation="0" wrapText="true" indent="0" shrinkToFit="false"/>
      <protection locked="true" hidden="false"/>
    </xf>
    <xf numFmtId="164" fontId="39" fillId="4" borderId="9" xfId="0" applyFont="true" applyBorder="true" applyAlignment="true" applyProtection="false">
      <alignment horizontal="center" vertical="center" textRotation="0" wrapText="true" indent="0" shrinkToFit="false"/>
      <protection locked="true" hidden="false"/>
    </xf>
    <xf numFmtId="164" fontId="39" fillId="4" borderId="40" xfId="0" applyFont="true" applyBorder="true" applyAlignment="true" applyProtection="false">
      <alignment horizontal="center" vertical="center" textRotation="0" wrapText="true" indent="0" shrinkToFit="false"/>
      <protection locked="true" hidden="false"/>
    </xf>
    <xf numFmtId="164" fontId="38" fillId="0" borderId="0" xfId="0" applyFont="true" applyBorder="false" applyAlignment="true" applyProtection="false">
      <alignment horizontal="center" vertical="bottom" textRotation="0" wrapText="false" indent="0" shrinkToFit="false"/>
      <protection locked="true" hidden="false"/>
    </xf>
    <xf numFmtId="164" fontId="38" fillId="0" borderId="36" xfId="0" applyFont="true" applyBorder="true" applyAlignment="false" applyProtection="false">
      <alignment horizontal="general" vertical="bottom" textRotation="0" wrapText="false" indent="0" shrinkToFit="false"/>
      <protection locked="true" hidden="false"/>
    </xf>
    <xf numFmtId="164" fontId="18" fillId="4" borderId="44" xfId="0" applyFont="true" applyBorder="true" applyAlignment="true" applyProtection="false">
      <alignment horizontal="general" vertical="center" textRotation="0" wrapText="false" indent="0" shrinkToFit="false"/>
      <protection locked="true" hidden="false"/>
    </xf>
    <xf numFmtId="164" fontId="18" fillId="5" borderId="1" xfId="0" applyFont="true" applyBorder="true" applyAlignment="true" applyProtection="false">
      <alignment horizontal="left" vertical="top" textRotation="0" wrapText="true" indent="0" shrinkToFit="false"/>
      <protection locked="true" hidden="false"/>
    </xf>
    <xf numFmtId="164" fontId="18" fillId="5" borderId="34" xfId="0" applyFont="true" applyBorder="true" applyAlignment="true" applyProtection="false">
      <alignment horizontal="left" vertical="top" textRotation="0" wrapText="true" indent="0" shrinkToFit="false"/>
      <protection locked="true" hidden="false"/>
    </xf>
    <xf numFmtId="169" fontId="18" fillId="5" borderId="1" xfId="19" applyFont="true" applyBorder="true" applyAlignment="true" applyProtection="true">
      <alignment horizontal="left" vertical="top" textRotation="0" wrapText="true" indent="0" shrinkToFit="false"/>
      <protection locked="true" hidden="false"/>
    </xf>
    <xf numFmtId="164" fontId="18" fillId="4" borderId="45" xfId="0" applyFont="true" applyBorder="true" applyAlignment="false" applyProtection="false">
      <alignment horizontal="general" vertical="bottom" textRotation="0" wrapText="false" indent="0" shrinkToFit="false"/>
      <protection locked="true" hidden="false"/>
    </xf>
    <xf numFmtId="164" fontId="18" fillId="4" borderId="46" xfId="0" applyFont="true" applyBorder="true" applyAlignment="false" applyProtection="false">
      <alignment horizontal="general" vertical="bottom" textRotation="0" wrapText="false" indent="0" shrinkToFit="false"/>
      <protection locked="true" hidden="false"/>
    </xf>
    <xf numFmtId="168" fontId="18" fillId="5" borderId="28" xfId="19" applyFont="true" applyBorder="true" applyAlignment="true" applyProtection="true">
      <alignment horizontal="left" vertical="top" textRotation="0" wrapText="true" indent="0" shrinkToFit="false"/>
      <protection locked="true" hidden="false"/>
    </xf>
    <xf numFmtId="164" fontId="18" fillId="5" borderId="35" xfId="0" applyFont="true" applyBorder="true" applyAlignment="true" applyProtection="false">
      <alignment horizontal="left" vertical="top" textRotation="0" wrapText="true" indent="0" shrinkToFit="false"/>
      <protection locked="true" hidden="false"/>
    </xf>
    <xf numFmtId="164" fontId="38" fillId="0" borderId="14" xfId="0" applyFont="true" applyBorder="true" applyAlignment="true" applyProtection="false">
      <alignment horizontal="center" vertical="bottom" textRotation="0" wrapText="false" indent="0" shrinkToFit="false"/>
      <protection locked="true" hidden="false"/>
    </xf>
    <xf numFmtId="164" fontId="38" fillId="0" borderId="15" xfId="0" applyFont="true" applyBorder="true" applyAlignment="false" applyProtection="false">
      <alignment horizontal="general" vertical="bottom" textRotation="0" wrapText="false" indent="0" shrinkToFit="false"/>
      <protection locked="true" hidden="false"/>
    </xf>
    <xf numFmtId="164" fontId="40" fillId="5" borderId="12" xfId="0" applyFont="true" applyBorder="true" applyAlignment="true" applyProtection="false">
      <alignment horizontal="left" vertical="top" textRotation="0" wrapText="true" indent="0" shrinkToFit="false"/>
      <protection locked="true" hidden="false"/>
    </xf>
    <xf numFmtId="164" fontId="35" fillId="0" borderId="0" xfId="0" applyFont="true" applyBorder="false" applyAlignment="false" applyProtection="false">
      <alignment horizontal="general"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6" fontId="5" fillId="3" borderId="1" xfId="0" applyFont="true" applyBorder="true" applyAlignment="false" applyProtection="false">
      <alignment horizontal="general" vertical="bottom" textRotation="0" wrapText="false" indent="0" shrinkToFit="false"/>
      <protection locked="true" hidden="false"/>
    </xf>
    <xf numFmtId="164" fontId="41" fillId="0" borderId="0" xfId="0" applyFont="true" applyBorder="false" applyAlignment="false" applyProtection="false">
      <alignment horizontal="general" vertical="bottom" textRotation="0" wrapText="false" indent="0" shrinkToFit="false"/>
      <protection locked="true" hidden="false"/>
    </xf>
    <xf numFmtId="166" fontId="5" fillId="3" borderId="1" xfId="17" applyFont="true" applyBorder="true" applyAlignment="true" applyProtection="true">
      <alignment horizontal="general" vertical="bottom" textRotation="0" wrapText="false" indent="0" shrinkToFit="false"/>
      <protection locked="true" hidden="false"/>
    </xf>
    <xf numFmtId="167" fontId="5" fillId="3" borderId="1" xfId="0" applyFont="true" applyBorder="true" applyAlignment="false" applyProtection="false">
      <alignment horizontal="general" vertical="bottom" textRotation="0" wrapText="false" indent="0" shrinkToFit="false"/>
      <protection locked="true" hidden="false"/>
    </xf>
    <xf numFmtId="168" fontId="5" fillId="3" borderId="1" xfId="19" applyFont="true" applyBorder="true" applyAlignment="true" applyProtection="true">
      <alignment horizontal="general" vertical="bottom" textRotation="0" wrapText="false" indent="0" shrinkToFit="false"/>
      <protection locked="true" hidden="false"/>
    </xf>
    <xf numFmtId="168" fontId="5" fillId="3" borderId="1" xfId="0" applyFont="true" applyBorder="true" applyAlignment="false" applyProtection="false">
      <alignment horizontal="general" vertical="bottom" textRotation="0" wrapText="false" indent="0" shrinkToFit="false"/>
      <protection locked="true" hidden="false"/>
    </xf>
    <xf numFmtId="181" fontId="5" fillId="3" borderId="1" xfId="0" applyFont="true" applyBorder="true" applyAlignment="false" applyProtection="false">
      <alignment horizontal="general" vertical="bottom" textRotation="0" wrapText="false" indent="0" shrinkToFit="false"/>
      <protection locked="true" hidden="false"/>
    </xf>
    <xf numFmtId="164" fontId="42"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71" fontId="35" fillId="0" borderId="17" xfId="0" applyFont="true" applyBorder="true" applyAlignment="true" applyProtection="false">
      <alignment horizontal="center" vertical="bottom" textRotation="0" wrapText="false" indent="0" shrinkToFit="false"/>
      <protection locked="true" hidden="false"/>
    </xf>
    <xf numFmtId="168" fontId="35" fillId="0" borderId="0" xfId="0" applyFont="true" applyBorder="false" applyAlignment="false" applyProtection="false">
      <alignment horizontal="general" vertical="bottom" textRotation="0" wrapText="false" indent="0" shrinkToFit="false"/>
      <protection locked="true" hidden="false"/>
    </xf>
    <xf numFmtId="176" fontId="35" fillId="0" borderId="17" xfId="0" applyFont="true" applyBorder="true" applyAlignment="true" applyProtection="false">
      <alignment horizontal="center" vertical="bottom" textRotation="0" wrapText="false" indent="0" shrinkToFit="false"/>
      <protection locked="true" hidden="false"/>
    </xf>
    <xf numFmtId="182" fontId="5" fillId="0" borderId="1" xfId="0" applyFont="true" applyBorder="true" applyAlignment="true" applyProtection="false">
      <alignment horizontal="center" vertical="bottom" textRotation="0" wrapText="false" indent="0" shrinkToFit="false"/>
      <protection locked="true" hidden="false"/>
    </xf>
    <xf numFmtId="168" fontId="35" fillId="0" borderId="1" xfId="0" applyFont="true" applyBorder="true" applyAlignment="true" applyProtection="false">
      <alignment horizontal="center" vertical="bottom" textRotation="0" wrapText="false" indent="0" shrinkToFit="false"/>
      <protection locked="true" hidden="false"/>
    </xf>
    <xf numFmtId="183" fontId="35" fillId="0" borderId="1" xfId="15" applyFont="true" applyBorder="true" applyAlignment="true" applyProtection="true">
      <alignment horizontal="center" vertical="bottom" textRotation="0" wrapText="false" indent="0" shrinkToFit="false"/>
      <protection locked="true" hidden="false"/>
    </xf>
    <xf numFmtId="173" fontId="5" fillId="0" borderId="1" xfId="0" applyFont="true" applyBorder="true" applyAlignment="true" applyProtection="false">
      <alignment horizontal="center" vertical="bottom" textRotation="0" wrapText="false" indent="0" shrinkToFit="false"/>
      <protection locked="true" hidden="false"/>
    </xf>
    <xf numFmtId="166" fontId="5" fillId="3" borderId="7" xfId="17" applyFont="true" applyBorder="true" applyAlignment="true" applyProtection="true">
      <alignment horizontal="general" vertical="bottom" textRotation="0" wrapText="false" indent="0" shrinkToFit="false"/>
      <protection locked="true" hidden="false"/>
    </xf>
    <xf numFmtId="166" fontId="5" fillId="0" borderId="0" xfId="17" applyFont="true" applyBorder="true" applyAlignment="true" applyProtection="true">
      <alignment horizontal="general" vertical="bottom" textRotation="0" wrapText="false" indent="0" shrinkToFit="false"/>
      <protection locked="true" hidden="false"/>
    </xf>
    <xf numFmtId="174" fontId="5" fillId="3" borderId="7" xfId="0" applyFont="true" applyBorder="true" applyAlignment="false" applyProtection="false">
      <alignment horizontal="general" vertical="bottom" textRotation="0" wrapText="false" indent="0" shrinkToFit="false"/>
      <protection locked="true" hidden="false"/>
    </xf>
    <xf numFmtId="164" fontId="43" fillId="0" borderId="0" xfId="0" applyFont="true" applyBorder="true" applyAlignment="true" applyProtection="false">
      <alignment horizontal="center" vertical="bottom" textRotation="0" wrapText="false" indent="0" shrinkToFit="false"/>
      <protection locked="true" hidden="false"/>
    </xf>
    <xf numFmtId="164" fontId="43" fillId="0" borderId="0" xfId="0" applyFont="true" applyBorder="false" applyAlignment="false" applyProtection="false">
      <alignment horizontal="general" vertical="bottom" textRotation="0" wrapText="false" indent="0" shrinkToFit="false"/>
      <protection locked="true" hidden="false"/>
    </xf>
    <xf numFmtId="164" fontId="44" fillId="0" borderId="0" xfId="0" applyFont="true" applyBorder="false" applyAlignment="false" applyProtection="false">
      <alignment horizontal="general" vertical="bottom" textRotation="0" wrapText="false" indent="0" shrinkToFit="false"/>
      <protection locked="true" hidden="false"/>
    </xf>
    <xf numFmtId="164" fontId="45" fillId="5" borderId="7" xfId="0" applyFont="true" applyBorder="true" applyAlignment="true" applyProtection="false">
      <alignment horizontal="left" vertical="top" textRotation="0" wrapText="true" indent="0" shrinkToFit="false"/>
      <protection locked="true" hidden="false"/>
    </xf>
    <xf numFmtId="166" fontId="38" fillId="7" borderId="1" xfId="17" applyFont="true" applyBorder="true" applyAlignment="true" applyProtection="true">
      <alignment horizontal="general" vertical="bottom" textRotation="0" wrapText="false" indent="0" shrinkToFit="false"/>
      <protection locked="true" hidden="false"/>
    </xf>
    <xf numFmtId="164" fontId="46" fillId="0" borderId="0" xfId="0" applyFont="true" applyBorder="false" applyAlignment="false" applyProtection="false">
      <alignment horizontal="general" vertical="bottom" textRotation="0" wrapText="false" indent="0" shrinkToFit="false"/>
      <protection locked="true" hidden="false"/>
    </xf>
    <xf numFmtId="164" fontId="38" fillId="0" borderId="1" xfId="0" applyFont="true" applyBorder="true" applyAlignment="true" applyProtection="false">
      <alignment horizontal="center" vertical="bottom" textRotation="0" wrapText="false" indent="0" shrinkToFit="false"/>
      <protection locked="true" hidden="false"/>
    </xf>
    <xf numFmtId="184" fontId="47" fillId="2" borderId="1" xfId="0" applyFont="true" applyBorder="true" applyAlignment="true" applyProtection="false">
      <alignment horizontal="right" vertical="bottom" textRotation="0" wrapText="false" indent="0" shrinkToFit="false"/>
      <protection locked="true" hidden="false"/>
    </xf>
    <xf numFmtId="164" fontId="48" fillId="2" borderId="1" xfId="0" applyFont="true" applyBorder="true" applyAlignment="false" applyProtection="false">
      <alignment horizontal="general" vertical="bottom" textRotation="0" wrapText="false" indent="0" shrinkToFit="false"/>
      <protection locked="true" hidden="false"/>
    </xf>
    <xf numFmtId="164" fontId="49" fillId="0" borderId="0" xfId="0" applyFont="true" applyBorder="false" applyAlignment="false" applyProtection="false">
      <alignment horizontal="general" vertical="bottom" textRotation="0" wrapText="false" indent="0" shrinkToFit="false"/>
      <protection locked="true" hidden="false"/>
    </xf>
    <xf numFmtId="168" fontId="38" fillId="2" borderId="7" xfId="0" applyFont="true" applyBorder="true" applyAlignment="true" applyProtection="false">
      <alignment horizontal="center" vertical="bottom" textRotation="0" wrapText="false" indent="0" shrinkToFit="false"/>
      <protection locked="true" hidden="false"/>
    </xf>
    <xf numFmtId="166" fontId="38" fillId="0" borderId="0" xfId="17" applyFont="true" applyBorder="true" applyAlignment="true" applyProtection="true">
      <alignment horizontal="general" vertical="bottom" textRotation="0" wrapText="false" indent="0" shrinkToFit="false"/>
      <protection locked="true" hidden="false"/>
    </xf>
    <xf numFmtId="176" fontId="38" fillId="3" borderId="1" xfId="0" applyFont="true" applyBorder="true" applyAlignment="true" applyProtection="false">
      <alignment horizontal="center" vertical="bottom" textRotation="0" wrapText="false" indent="0" shrinkToFit="false"/>
      <protection locked="true" hidden="false"/>
    </xf>
    <xf numFmtId="176" fontId="38" fillId="0" borderId="1" xfId="0" applyFont="true" applyBorder="true" applyAlignment="false" applyProtection="false">
      <alignment horizontal="general" vertical="bottom" textRotation="0" wrapText="false" indent="0" shrinkToFit="false"/>
      <protection locked="true" hidden="false"/>
    </xf>
    <xf numFmtId="166" fontId="38" fillId="3" borderId="1" xfId="0" applyFont="true" applyBorder="true" applyAlignment="false" applyProtection="false">
      <alignment horizontal="general" vertical="bottom" textRotation="0" wrapText="false" indent="0" shrinkToFit="false"/>
      <protection locked="true" hidden="false"/>
    </xf>
    <xf numFmtId="166" fontId="38" fillId="3" borderId="1" xfId="17" applyFont="true" applyBorder="true" applyAlignment="true" applyProtection="true">
      <alignment horizontal="general" vertical="bottom" textRotation="0" wrapText="false" indent="0" shrinkToFit="false"/>
      <protection locked="true" hidden="false"/>
    </xf>
    <xf numFmtId="176" fontId="38" fillId="0" borderId="21" xfId="0" applyFont="true" applyBorder="true" applyAlignment="false" applyProtection="false">
      <alignment horizontal="general" vertical="bottom" textRotation="0" wrapText="false" indent="0" shrinkToFit="false"/>
      <protection locked="true" hidden="false"/>
    </xf>
    <xf numFmtId="166" fontId="38" fillId="3" borderId="21" xfId="0" applyFont="true" applyBorder="true" applyAlignment="false" applyProtection="false">
      <alignment horizontal="general" vertical="bottom" textRotation="0" wrapText="false" indent="0" shrinkToFit="false"/>
      <protection locked="true" hidden="false"/>
    </xf>
    <xf numFmtId="166" fontId="38" fillId="3" borderId="21" xfId="17" applyFont="true" applyBorder="true" applyAlignment="true" applyProtection="true">
      <alignment horizontal="general" vertical="bottom" textRotation="0" wrapText="false" indent="0" shrinkToFit="false"/>
      <protection locked="true" hidden="false"/>
    </xf>
    <xf numFmtId="164" fontId="38" fillId="0" borderId="7" xfId="0" applyFont="true" applyBorder="true" applyAlignment="false" applyProtection="false">
      <alignment horizontal="general" vertical="bottom" textRotation="0" wrapText="false" indent="0" shrinkToFit="false"/>
      <protection locked="true" hidden="false"/>
    </xf>
    <xf numFmtId="164" fontId="38" fillId="3" borderId="7" xfId="0" applyFont="true" applyBorder="true" applyAlignment="false" applyProtection="false">
      <alignment horizontal="general" vertical="bottom" textRotation="0" wrapText="false" indent="0" shrinkToFit="false"/>
      <protection locked="true" hidden="false"/>
    </xf>
    <xf numFmtId="166" fontId="38" fillId="3" borderId="7" xfId="0" applyFont="true" applyBorder="true" applyAlignment="false" applyProtection="false">
      <alignment horizontal="general" vertical="bottom" textRotation="0" wrapText="false" indent="0" shrinkToFit="false"/>
      <protection locked="true" hidden="false"/>
    </xf>
    <xf numFmtId="174" fontId="38" fillId="3" borderId="7" xfId="0" applyFont="true" applyBorder="true" applyAlignment="false" applyProtection="false">
      <alignment horizontal="general" vertical="bottom" textRotation="0" wrapText="false" indent="0" shrinkToFit="false"/>
      <protection locked="true" hidden="false"/>
    </xf>
    <xf numFmtId="166" fontId="38" fillId="3" borderId="47" xfId="0" applyFont="true" applyBorder="true" applyAlignment="false" applyProtection="false">
      <alignment horizontal="general" vertical="bottom" textRotation="0" wrapText="false" indent="0" shrinkToFit="false"/>
      <protection locked="true" hidden="false"/>
    </xf>
    <xf numFmtId="171" fontId="0" fillId="3" borderId="1" xfId="0" applyFont="false" applyBorder="true" applyAlignment="false" applyProtection="false">
      <alignment horizontal="general" vertical="bottom" textRotation="0" wrapText="false" indent="0" shrinkToFit="false"/>
      <protection locked="true" hidden="false"/>
    </xf>
    <xf numFmtId="164" fontId="5" fillId="5" borderId="7" xfId="0" applyFont="true" applyBorder="true" applyAlignment="true" applyProtection="false">
      <alignment horizontal="left" vertical="bottom" textRotation="0" wrapText="true" indent="0" shrinkToFit="false"/>
      <protection locked="true" hidden="false"/>
    </xf>
    <xf numFmtId="164" fontId="50" fillId="0" borderId="0" xfId="0" applyFont="true" applyBorder="false" applyAlignment="false" applyProtection="false">
      <alignment horizontal="general" vertical="bottom" textRotation="0" wrapText="false" indent="0" shrinkToFit="false"/>
      <protection locked="true" hidden="false"/>
    </xf>
    <xf numFmtId="176" fontId="5" fillId="3" borderId="7" xfId="0" applyFont="true" applyBorder="true" applyAlignment="true" applyProtection="false">
      <alignment horizontal="center" vertical="bottom" textRotation="0" wrapText="false" indent="0" shrinkToFit="false"/>
      <protection locked="true" hidden="false"/>
    </xf>
    <xf numFmtId="164" fontId="51" fillId="0" borderId="0" xfId="0" applyFont="true" applyBorder="false" applyAlignment="false" applyProtection="false">
      <alignment horizontal="general" vertical="bottom" textRotation="0" wrapText="false" indent="0" shrinkToFit="false"/>
      <protection locked="true" hidden="false"/>
    </xf>
    <xf numFmtId="171" fontId="5" fillId="3" borderId="7" xfId="0" applyFont="true" applyBorder="true" applyAlignment="false" applyProtection="false">
      <alignment horizontal="general" vertical="bottom" textRotation="0" wrapText="false" indent="0" shrinkToFit="false"/>
      <protection locked="true" hidden="false"/>
    </xf>
    <xf numFmtId="168" fontId="5" fillId="3" borderId="7" xfId="0" applyFont="true" applyBorder="true" applyAlignment="false" applyProtection="false">
      <alignment horizontal="general" vertical="bottom" textRotation="0" wrapText="false" indent="0" shrinkToFit="false"/>
      <protection locked="true" hidden="false"/>
    </xf>
    <xf numFmtId="167" fontId="35" fillId="3" borderId="7" xfId="0" applyFont="true" applyBorder="true" applyAlignment="true" applyProtection="false">
      <alignment horizontal="center" vertical="bottom" textRotation="0" wrapText="false" indent="0" shrinkToFit="false"/>
      <protection locked="true" hidden="false"/>
    </xf>
    <xf numFmtId="176" fontId="35" fillId="3" borderId="47" xfId="0" applyFont="true" applyBorder="true" applyAlignment="true" applyProtection="false">
      <alignment horizontal="center" vertical="bottom" textRotation="0" wrapText="false" indent="0" shrinkToFit="false"/>
      <protection locked="true" hidden="false"/>
    </xf>
    <xf numFmtId="168" fontId="35" fillId="3" borderId="7" xfId="19" applyFont="true" applyBorder="true" applyAlignment="true" applyProtection="true">
      <alignment horizontal="center" vertical="bottom" textRotation="0" wrapText="false" indent="0" shrinkToFit="false"/>
      <protection locked="true" hidden="false"/>
    </xf>
    <xf numFmtId="168" fontId="35" fillId="3" borderId="7" xfId="0" applyFont="true" applyBorder="true" applyAlignment="true" applyProtection="false">
      <alignment horizontal="center" vertical="bottom" textRotation="0" wrapText="false" indent="0" shrinkToFit="false"/>
      <protection locked="true" hidden="false"/>
    </xf>
    <xf numFmtId="168" fontId="35" fillId="0" borderId="0" xfId="0" applyFont="true" applyBorder="false" applyAlignment="true" applyProtection="false">
      <alignment horizontal="center" vertical="bottom" textRotation="0" wrapText="false" indent="0" shrinkToFit="false"/>
      <protection locked="true" hidden="false"/>
    </xf>
    <xf numFmtId="168" fontId="42" fillId="0" borderId="0" xfId="0" applyFont="true" applyBorder="false" applyAlignment="true" applyProtection="false">
      <alignment horizontal="center" vertical="bottom" textRotation="0" wrapText="false" indent="0" shrinkToFit="false"/>
      <protection locked="true" hidden="false"/>
    </xf>
    <xf numFmtId="164" fontId="35" fillId="5" borderId="7" xfId="0" applyFont="true" applyBorder="true" applyAlignment="true" applyProtection="false">
      <alignment horizontal="center" vertical="bottom" textRotation="0" wrapText="false" indent="0" shrinkToFit="false"/>
      <protection locked="true" hidden="false"/>
    </xf>
    <xf numFmtId="164" fontId="33" fillId="0" borderId="1" xfId="0" applyFont="true" applyBorder="true" applyAlignment="false" applyProtection="false">
      <alignment horizontal="general" vertical="bottom" textRotation="0" wrapText="false" indent="0" shrinkToFit="false"/>
      <protection locked="true" hidden="false"/>
    </xf>
    <xf numFmtId="164" fontId="52" fillId="5" borderId="9" xfId="0" applyFont="true" applyBorder="true" applyAlignment="false" applyProtection="false">
      <alignment horizontal="general" vertical="bottom" textRotation="0" wrapText="false" indent="0" shrinkToFit="false"/>
      <protection locked="true" hidden="false"/>
    </xf>
    <xf numFmtId="164" fontId="53" fillId="5" borderId="9" xfId="0" applyFont="true" applyBorder="true" applyAlignment="false" applyProtection="false">
      <alignment horizontal="general" vertical="bottom" textRotation="0" wrapText="false" indent="0" shrinkToFit="false"/>
      <protection locked="true" hidden="false"/>
    </xf>
    <xf numFmtId="164" fontId="53" fillId="5" borderId="1" xfId="0" applyFont="true" applyBorder="true" applyAlignment="false" applyProtection="false">
      <alignment horizontal="general" vertical="bottom" textRotation="0" wrapText="false" indent="0" shrinkToFit="false"/>
      <protection locked="true" hidden="false"/>
    </xf>
    <xf numFmtId="168" fontId="53" fillId="5" borderId="1" xfId="19" applyFont="true" applyBorder="true" applyAlignment="true" applyProtection="true">
      <alignment horizontal="general" vertical="bottom" textRotation="0" wrapText="false" indent="0" shrinkToFit="false"/>
      <protection locked="true" hidden="false"/>
    </xf>
    <xf numFmtId="168" fontId="5" fillId="0" borderId="48" xfId="19" applyFont="true" applyBorder="true" applyAlignment="true" applyProtection="true">
      <alignment horizontal="center" vertical="bottom" textRotation="0" wrapText="false" indent="0" shrinkToFit="false"/>
      <protection locked="true" hidden="false"/>
    </xf>
    <xf numFmtId="167" fontId="5" fillId="0" borderId="1" xfId="0" applyFont="true" applyBorder="true" applyAlignment="true" applyProtection="false">
      <alignment horizontal="center" vertical="bottom" textRotation="0" wrapText="false" indent="0" shrinkToFit="false"/>
      <protection locked="true" hidden="false"/>
    </xf>
    <xf numFmtId="164" fontId="40" fillId="0" borderId="0" xfId="0" applyFont="true" applyBorder="true" applyAlignment="true" applyProtection="false">
      <alignment horizontal="center"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18" fillId="7" borderId="1" xfId="0" applyFont="true" applyBorder="true" applyAlignment="true" applyProtection="false">
      <alignment horizontal="center" vertical="bottom" textRotation="0" wrapText="false" indent="0" shrinkToFit="false"/>
      <protection locked="true" hidden="false"/>
    </xf>
    <xf numFmtId="166" fontId="18" fillId="7" borderId="1" xfId="17" applyFont="true" applyBorder="true" applyAlignment="true" applyProtection="true">
      <alignment horizontal="general" vertical="bottom" textRotation="0" wrapText="false" indent="0" shrinkToFit="false"/>
      <protection locked="true" hidden="false"/>
    </xf>
    <xf numFmtId="167" fontId="41" fillId="0" borderId="1" xfId="0" applyFont="true" applyBorder="true" applyAlignment="true" applyProtection="false">
      <alignment horizontal="center" vertical="bottom" textRotation="0" wrapText="false" indent="0" shrinkToFit="false"/>
      <protection locked="true" hidden="false"/>
    </xf>
    <xf numFmtId="167" fontId="41" fillId="0" borderId="0" xfId="0" applyFont="true" applyBorder="false" applyAlignment="false" applyProtection="false">
      <alignment horizontal="general" vertical="bottom" textRotation="0" wrapText="false" indent="0" shrinkToFit="false"/>
      <protection locked="true" hidden="false"/>
    </xf>
    <xf numFmtId="167" fontId="18" fillId="0" borderId="0" xfId="0" applyFont="true" applyBorder="false" applyAlignment="false" applyProtection="false">
      <alignment horizontal="general" vertical="bottom" textRotation="0" wrapText="false" indent="0" shrinkToFit="false"/>
      <protection locked="true" hidden="false"/>
    </xf>
    <xf numFmtId="167" fontId="38" fillId="0" borderId="0" xfId="0" applyFont="true" applyBorder="false" applyAlignment="false" applyProtection="false">
      <alignment horizontal="general" vertical="bottom" textRotation="0" wrapText="false" indent="0" shrinkToFit="false"/>
      <protection locked="true" hidden="false"/>
    </xf>
    <xf numFmtId="172" fontId="41" fillId="0" borderId="1" xfId="0" applyFont="true" applyBorder="true" applyAlignment="true" applyProtection="false">
      <alignment horizontal="center" vertical="bottom" textRotation="0" wrapText="false" indent="0" shrinkToFit="false"/>
      <protection locked="true" hidden="false"/>
    </xf>
    <xf numFmtId="167" fontId="41" fillId="7" borderId="1" xfId="0" applyFont="true" applyBorder="true" applyAlignment="true" applyProtection="false">
      <alignment horizontal="center" vertical="bottom" textRotation="0" wrapText="false" indent="0" shrinkToFit="false"/>
      <protection locked="true" hidden="false"/>
    </xf>
    <xf numFmtId="167" fontId="54" fillId="0" borderId="0" xfId="0" applyFont="true" applyBorder="false" applyAlignment="false" applyProtection="false">
      <alignment horizontal="general" vertical="bottom" textRotation="0" wrapText="false" indent="0" shrinkToFit="false"/>
      <protection locked="true" hidden="false"/>
    </xf>
    <xf numFmtId="166" fontId="41" fillId="0" borderId="1" xfId="17" applyFont="true" applyBorder="true" applyAlignment="true" applyProtection="true">
      <alignment horizontal="general" vertical="bottom" textRotation="0" wrapText="false" indent="0" shrinkToFit="false"/>
      <protection locked="true" hidden="false"/>
    </xf>
    <xf numFmtId="167" fontId="41" fillId="0" borderId="21" xfId="0" applyFont="true" applyBorder="true" applyAlignment="true" applyProtection="false">
      <alignment horizontal="center" vertical="bottom" textRotation="0" wrapText="false" indent="0" shrinkToFit="false"/>
      <protection locked="true" hidden="false"/>
    </xf>
    <xf numFmtId="166" fontId="41" fillId="0" borderId="21" xfId="17" applyFont="true" applyBorder="true" applyAlignment="true" applyProtection="true">
      <alignment horizontal="general" vertical="bottom" textRotation="0" wrapText="false" indent="0" shrinkToFit="false"/>
      <protection locked="true" hidden="false"/>
    </xf>
    <xf numFmtId="166" fontId="18" fillId="0" borderId="7" xfId="17" applyFont="true" applyBorder="true" applyAlignment="true" applyProtection="true">
      <alignment horizontal="general" vertical="bottom" textRotation="0" wrapText="false" indent="0" shrinkToFit="false"/>
      <protection locked="true" hidden="false"/>
    </xf>
    <xf numFmtId="166" fontId="41" fillId="0" borderId="0" xfId="17" applyFont="true" applyBorder="true" applyAlignment="true" applyProtection="true">
      <alignment horizontal="general" vertical="bottom" textRotation="0" wrapText="false" indent="0" shrinkToFit="false"/>
      <protection locked="true" hidden="false"/>
    </xf>
    <xf numFmtId="166" fontId="18" fillId="0" borderId="0" xfId="17" applyFont="true" applyBorder="true" applyAlignment="true" applyProtection="true">
      <alignment horizontal="general" vertical="bottom" textRotation="0" wrapText="false" indent="0" shrinkToFit="false"/>
      <protection locked="true" hidden="false"/>
    </xf>
    <xf numFmtId="171" fontId="18" fillId="0" borderId="10" xfId="0" applyFont="true" applyBorder="true" applyAlignment="false" applyProtection="false">
      <alignment horizontal="general" vertical="bottom" textRotation="0" wrapText="false" indent="0" shrinkToFit="false"/>
      <protection locked="true" hidden="false"/>
    </xf>
    <xf numFmtId="185" fontId="18" fillId="0" borderId="1" xfId="17" applyFont="true" applyBorder="true" applyAlignment="true" applyProtection="true">
      <alignment horizontal="general" vertical="bottom" textRotation="0" wrapText="false" indent="0" shrinkToFit="false"/>
      <protection locked="true" hidden="false"/>
    </xf>
    <xf numFmtId="164" fontId="34" fillId="5" borderId="1" xfId="0" applyFont="true" applyBorder="true" applyAlignment="true" applyProtection="false">
      <alignment horizontal="left" vertical="top" textRotation="0" wrapText="true" indent="0" shrinkToFit="false"/>
      <protection locked="true" hidden="false"/>
    </xf>
    <xf numFmtId="164" fontId="55" fillId="0" borderId="3" xfId="0" applyFont="true" applyBorder="true" applyAlignment="true" applyProtection="false">
      <alignment horizontal="center" vertical="bottom" textRotation="0" wrapText="fals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64" fontId="56" fillId="0" borderId="0" xfId="0" applyFont="true" applyBorder="false" applyAlignment="false" applyProtection="false">
      <alignment horizontal="general" vertical="bottom" textRotation="0" wrapText="false" indent="0" shrinkToFit="false"/>
      <protection locked="true" hidden="false"/>
    </xf>
    <xf numFmtId="164" fontId="57" fillId="3" borderId="7" xfId="0" applyFont="true" applyBorder="true" applyAlignment="true" applyProtection="false">
      <alignment horizontal="left" vertical="top" textRotation="0" wrapText="true" indent="0" shrinkToFit="false"/>
      <protection locked="true" hidden="false"/>
    </xf>
    <xf numFmtId="164" fontId="59" fillId="0" borderId="1" xfId="0" applyFont="true" applyBorder="true" applyAlignment="false" applyProtection="false">
      <alignment horizontal="general" vertical="bottom" textRotation="0" wrapText="false" indent="0" shrinkToFit="false"/>
      <protection locked="true" hidden="false"/>
    </xf>
    <xf numFmtId="164" fontId="59" fillId="0" borderId="0" xfId="0" applyFont="true" applyBorder="false" applyAlignment="false" applyProtection="false">
      <alignment horizontal="general" vertical="bottom" textRotation="0" wrapText="false" indent="0" shrinkToFit="false"/>
      <protection locked="true" hidden="false"/>
    </xf>
    <xf numFmtId="164" fontId="38" fillId="2" borderId="1" xfId="0" applyFont="true" applyBorder="true" applyAlignment="false" applyProtection="false">
      <alignment horizontal="general" vertical="bottom" textRotation="0" wrapText="false" indent="0" shrinkToFit="false"/>
      <protection locked="true" hidden="false"/>
    </xf>
    <xf numFmtId="168" fontId="38" fillId="3" borderId="1" xfId="19" applyFont="true" applyBorder="true" applyAlignment="true" applyProtection="true">
      <alignment horizontal="general" vertical="bottom" textRotation="0" wrapText="false" indent="0" shrinkToFit="false"/>
      <protection locked="true" hidden="false"/>
    </xf>
    <xf numFmtId="164" fontId="38" fillId="8" borderId="0" xfId="0" applyFont="true" applyBorder="true" applyAlignment="true" applyProtection="false">
      <alignment horizontal="center" vertical="center" textRotation="0" wrapText="true" indent="0" shrinkToFit="false"/>
      <protection locked="true" hidden="false"/>
    </xf>
    <xf numFmtId="164" fontId="38" fillId="2" borderId="8" xfId="0" applyFont="true" applyBorder="true" applyAlignment="false" applyProtection="false">
      <alignment horizontal="general" vertical="bottom" textRotation="0" wrapText="false" indent="0" shrinkToFit="false"/>
      <protection locked="true" hidden="false"/>
    </xf>
    <xf numFmtId="164" fontId="57" fillId="0" borderId="0" xfId="0" applyFont="true" applyBorder="false" applyAlignment="true" applyProtection="false">
      <alignment horizontal="left" vertical="top" textRotation="0" wrapText="true" indent="0" shrinkToFit="false"/>
      <protection locked="true" hidden="false"/>
    </xf>
    <xf numFmtId="164" fontId="57" fillId="2" borderId="1" xfId="0" applyFont="true" applyBorder="true" applyAlignment="true" applyProtection="false">
      <alignment horizontal="center" vertical="top" textRotation="0" wrapText="true" indent="0" shrinkToFit="false"/>
      <protection locked="true" hidden="false"/>
    </xf>
    <xf numFmtId="168" fontId="0" fillId="2" borderId="1" xfId="0" applyFont="false" applyBorder="true" applyAlignment="true" applyProtection="false">
      <alignment horizontal="center" vertical="bottom" textRotation="0" wrapText="false" indent="0" shrinkToFit="false"/>
      <protection locked="true" hidden="false"/>
    </xf>
    <xf numFmtId="168" fontId="57" fillId="3" borderId="1" xfId="19" applyFont="true" applyBorder="true" applyAlignment="true" applyProtection="true">
      <alignment horizontal="center" vertical="top" textRotation="0" wrapText="true" indent="0" shrinkToFit="false"/>
      <protection locked="true" hidden="false"/>
    </xf>
    <xf numFmtId="164" fontId="60" fillId="0" borderId="7" xfId="0" applyFont="true" applyBorder="true" applyAlignment="true" applyProtection="false">
      <alignment horizontal="center" vertical="bottom" textRotation="0" wrapText="false" indent="0" shrinkToFit="false"/>
      <protection locked="true" hidden="false"/>
    </xf>
    <xf numFmtId="164" fontId="61" fillId="4" borderId="0" xfId="0" applyFont="true" applyBorder="false" applyAlignment="false" applyProtection="false">
      <alignment horizontal="general" vertical="bottom" textRotation="0" wrapText="false" indent="0" shrinkToFit="false"/>
      <protection locked="true" hidden="false"/>
    </xf>
    <xf numFmtId="164" fontId="61" fillId="0" borderId="0" xfId="0" applyFont="true" applyBorder="false" applyAlignment="false" applyProtection="false">
      <alignment horizontal="general" vertical="bottom" textRotation="0" wrapText="false" indent="0" shrinkToFit="false"/>
      <protection locked="true" hidden="false"/>
    </xf>
    <xf numFmtId="164" fontId="0" fillId="2" borderId="1" xfId="0" applyFont="true" applyBorder="true" applyAlignment="false" applyProtection="false">
      <alignment horizontal="general" vertical="bottom" textRotation="0" wrapText="false" indent="0" shrinkToFit="false"/>
      <protection locked="true" hidden="false"/>
    </xf>
    <xf numFmtId="168" fontId="0" fillId="2" borderId="1" xfId="0" applyFont="false" applyBorder="true" applyAlignment="false" applyProtection="false">
      <alignment horizontal="general" vertical="bottom" textRotation="0" wrapText="false" indent="0" shrinkToFit="false"/>
      <protection locked="true" hidden="false"/>
    </xf>
    <xf numFmtId="164" fontId="61" fillId="4" borderId="49" xfId="0" applyFont="true" applyBorder="true" applyAlignment="false" applyProtection="false">
      <alignment horizontal="general" vertical="bottom" textRotation="0" wrapText="false" indent="0" shrinkToFit="false"/>
      <protection locked="true" hidden="false"/>
    </xf>
    <xf numFmtId="167" fontId="38" fillId="3" borderId="1" xfId="0" applyFont="true" applyBorder="true" applyAlignment="false" applyProtection="false">
      <alignment horizontal="general" vertical="bottom" textRotation="0" wrapText="false" indent="0" shrinkToFit="false"/>
      <protection locked="true" hidden="false"/>
    </xf>
    <xf numFmtId="164" fontId="38" fillId="3" borderId="1" xfId="0" applyFont="true" applyBorder="true" applyAlignment="false" applyProtection="false">
      <alignment horizontal="general" vertical="bottom" textRotation="0" wrapText="false" indent="0" shrinkToFit="false"/>
      <protection locked="true" hidden="false"/>
    </xf>
    <xf numFmtId="168" fontId="38" fillId="0" borderId="1" xfId="0" applyFont="true" applyBorder="true" applyAlignment="false" applyProtection="false">
      <alignment horizontal="general" vertical="bottom" textRotation="0" wrapText="false" indent="0" shrinkToFit="false"/>
      <protection locked="true" hidden="false"/>
    </xf>
    <xf numFmtId="186" fontId="38" fillId="3" borderId="1" xfId="19" applyFont="true" applyBorder="true" applyAlignment="true" applyProtection="true">
      <alignment horizontal="general" vertical="bottom" textRotation="0" wrapText="false" indent="0" shrinkToFit="false"/>
      <protection locked="true" hidden="false"/>
    </xf>
    <xf numFmtId="167" fontId="38" fillId="2" borderId="1" xfId="0" applyFont="true" applyBorder="true" applyAlignment="false" applyProtection="false">
      <alignment horizontal="general" vertical="bottom" textRotation="0" wrapText="false" indent="0" shrinkToFit="false"/>
      <protection locked="true" hidden="false"/>
    </xf>
    <xf numFmtId="167" fontId="38" fillId="7" borderId="1" xfId="0" applyFont="true" applyBorder="true" applyAlignment="false" applyProtection="false">
      <alignment horizontal="general" vertical="bottom" textRotation="0" wrapText="false" indent="0" shrinkToFit="false"/>
      <protection locked="true" hidden="false"/>
    </xf>
    <xf numFmtId="168" fontId="38" fillId="3" borderId="1" xfId="0" applyFont="true" applyBorder="true" applyAlignment="false" applyProtection="false">
      <alignment horizontal="general" vertical="bottom" textRotation="0" wrapText="false" indent="0" shrinkToFit="false"/>
      <protection locked="true" hidden="false"/>
    </xf>
    <xf numFmtId="168" fontId="38" fillId="2" borderId="1" xfId="0" applyFont="true" applyBorder="true" applyAlignment="true" applyProtection="false">
      <alignment horizontal="center" vertical="bottom" textRotation="0" wrapText="false" indent="0" shrinkToFit="false"/>
      <protection locked="true" hidden="false"/>
    </xf>
    <xf numFmtId="168" fontId="38" fillId="3" borderId="1" xfId="0" applyFont="true" applyBorder="true" applyAlignment="true" applyProtection="false">
      <alignment horizontal="center" vertical="bottom" textRotation="0" wrapText="false" indent="0" shrinkToFit="false"/>
      <protection locked="true" hidden="false"/>
    </xf>
    <xf numFmtId="168" fontId="38" fillId="2" borderId="1" xfId="0" applyFont="true" applyBorder="true" applyAlignment="false" applyProtection="false">
      <alignment horizontal="general" vertical="bottom" textRotation="0" wrapText="false" indent="0" shrinkToFit="false"/>
      <protection locked="true" hidden="false"/>
    </xf>
    <xf numFmtId="164" fontId="38" fillId="7" borderId="1" xfId="0" applyFont="true" applyBorder="true" applyAlignment="false" applyProtection="false">
      <alignment horizontal="general" vertical="bottom" textRotation="0" wrapText="false" indent="0" shrinkToFit="false"/>
      <protection locked="true" hidden="false"/>
    </xf>
    <xf numFmtId="186" fontId="38" fillId="3" borderId="1" xfId="0" applyFont="true" applyBorder="true" applyAlignment="false" applyProtection="false">
      <alignment horizontal="general" vertical="bottom" textRotation="0" wrapText="false" indent="0" shrinkToFit="false"/>
      <protection locked="true" hidden="false"/>
    </xf>
    <xf numFmtId="164" fontId="38" fillId="7" borderId="1" xfId="0" applyFont="true" applyBorder="true" applyAlignment="true" applyProtection="false">
      <alignment horizontal="center" vertical="bottom" textRotation="0" wrapText="false" indent="0" shrinkToFit="false"/>
      <protection locked="true" hidden="false"/>
    </xf>
    <xf numFmtId="187" fontId="38" fillId="7" borderId="1" xfId="0" applyFont="true" applyBorder="true" applyAlignment="false" applyProtection="false">
      <alignment horizontal="general" vertical="bottom" textRotation="0" wrapText="false" indent="0" shrinkToFit="false"/>
      <protection locked="true" hidden="false"/>
    </xf>
    <xf numFmtId="188" fontId="38" fillId="2" borderId="1" xfId="17" applyFont="true" applyBorder="true" applyAlignment="true" applyProtection="true">
      <alignment horizontal="general" vertical="bottom" textRotation="0" wrapText="false" indent="0" shrinkToFit="false"/>
      <protection locked="true" hidden="false"/>
    </xf>
    <xf numFmtId="173" fontId="38" fillId="3" borderId="1" xfId="0" applyFont="true" applyBorder="true" applyAlignment="false" applyProtection="false">
      <alignment horizontal="general" vertical="bottom" textRotation="0" wrapText="false" indent="0" shrinkToFit="false"/>
      <protection locked="true" hidden="false"/>
    </xf>
    <xf numFmtId="188" fontId="38" fillId="3" borderId="1" xfId="0" applyFont="true" applyBorder="true" applyAlignment="false" applyProtection="false">
      <alignment horizontal="general" vertical="bottom" textRotation="0" wrapText="false" indent="0" shrinkToFit="false"/>
      <protection locked="true" hidden="false"/>
    </xf>
    <xf numFmtId="173" fontId="38" fillId="3" borderId="1" xfId="0" applyFont="true" applyBorder="true" applyAlignment="true" applyProtection="false">
      <alignment horizontal="center" vertical="bottom" textRotation="0" wrapText="false" indent="0" shrinkToFit="false"/>
      <protection locked="true" hidden="false"/>
    </xf>
    <xf numFmtId="168" fontId="38" fillId="3" borderId="1" xfId="19" applyFont="true" applyBorder="true" applyAlignment="true" applyProtection="true">
      <alignment horizontal="center" vertical="bottom" textRotation="0" wrapText="false" indent="0" shrinkToFit="false"/>
      <protection locked="true" hidden="false"/>
    </xf>
    <xf numFmtId="169" fontId="38" fillId="3" borderId="1" xfId="0" applyFont="true" applyBorder="true" applyAlignment="true" applyProtection="false">
      <alignment horizontal="center" vertical="bottom" textRotation="0" wrapText="false" indent="0" shrinkToFit="false"/>
      <protection locked="true" hidden="false"/>
    </xf>
    <xf numFmtId="164" fontId="46" fillId="0" borderId="0" xfId="0" applyFont="true" applyBorder="false" applyAlignment="true" applyProtection="false">
      <alignment horizontal="center" vertical="bottom" textRotation="0" wrapText="false" indent="0" shrinkToFit="false"/>
      <protection locked="true" hidden="false"/>
    </xf>
    <xf numFmtId="164" fontId="0" fillId="5" borderId="1" xfId="0" applyFont="true" applyBorder="true" applyAlignment="true" applyProtection="false">
      <alignment horizontal="left" vertical="top" textRotation="0" wrapText="true" indent="0" shrinkToFit="false"/>
      <protection locked="true" hidden="false"/>
    </xf>
    <xf numFmtId="164" fontId="0" fillId="3" borderId="1" xfId="0" applyFont="true" applyBorder="true" applyAlignment="false" applyProtection="false">
      <alignment horizontal="general" vertical="bottom" textRotation="0" wrapText="false" indent="0" shrinkToFit="false"/>
      <protection locked="true" hidden="false"/>
    </xf>
    <xf numFmtId="188" fontId="0" fillId="3" borderId="1" xfId="17" applyFont="true" applyBorder="true" applyAlignment="true" applyProtection="true">
      <alignment horizontal="general" vertical="bottom" textRotation="0" wrapText="false" indent="0" shrinkToFit="false"/>
      <protection locked="true" hidden="false"/>
    </xf>
    <xf numFmtId="173" fontId="0" fillId="3" borderId="1" xfId="0" applyFont="false" applyBorder="true" applyAlignment="false" applyProtection="false">
      <alignment horizontal="general" vertical="bottom" textRotation="0" wrapText="false" indent="0" shrinkToFit="false"/>
      <protection locked="true" hidden="false"/>
    </xf>
    <xf numFmtId="173" fontId="0" fillId="3" borderId="1" xfId="0" applyFont="false" applyBorder="true" applyAlignment="true" applyProtection="false">
      <alignment horizontal="center" vertical="bottom" textRotation="0" wrapText="false" indent="0" shrinkToFit="false"/>
      <protection locked="true" hidden="false"/>
    </xf>
    <xf numFmtId="168" fontId="0" fillId="3" borderId="1" xfId="19" applyFont="true" applyBorder="true" applyAlignment="true" applyProtection="true">
      <alignment horizontal="center" vertical="bottom" textRotation="0" wrapText="false" indent="0" shrinkToFit="false"/>
      <protection locked="true" hidden="false"/>
    </xf>
    <xf numFmtId="164" fontId="55" fillId="0" borderId="0" xfId="0" applyFont="true" applyBorder="false" applyAlignment="true" applyProtection="false">
      <alignment horizontal="left" vertical="bottom" textRotation="0" wrapText="false" indent="0" shrinkToFit="false"/>
      <protection locked="true" hidden="false"/>
    </xf>
    <xf numFmtId="167" fontId="38" fillId="3" borderId="1" xfId="17" applyFont="true" applyBorder="true" applyAlignment="true" applyProtection="true">
      <alignment horizontal="general" vertical="bottom" textRotation="0" wrapText="false" indent="0" shrinkToFit="false"/>
      <protection locked="true" hidden="false"/>
    </xf>
    <xf numFmtId="164" fontId="46" fillId="0" borderId="1" xfId="0" applyFont="true" applyBorder="true" applyAlignment="true" applyProtection="false">
      <alignment horizontal="center" vertical="bottom" textRotation="0" wrapText="false" indent="0" shrinkToFit="false"/>
      <protection locked="true" hidden="false"/>
    </xf>
    <xf numFmtId="170" fontId="38" fillId="3" borderId="1" xfId="17" applyFont="true" applyBorder="true" applyAlignment="true" applyProtection="true">
      <alignment horizontal="general" vertical="bottom" textRotation="0" wrapText="false" indent="0" shrinkToFit="false"/>
      <protection locked="true" hidden="false"/>
    </xf>
    <xf numFmtId="168" fontId="38" fillId="3" borderId="21" xfId="0" applyFont="true" applyBorder="true" applyAlignment="false" applyProtection="false">
      <alignment horizontal="general" vertical="bottom" textRotation="0" wrapText="false" indent="0" shrinkToFit="false"/>
      <protection locked="true" hidden="false"/>
    </xf>
    <xf numFmtId="168" fontId="38" fillId="3" borderId="17" xfId="19" applyFont="true" applyBorder="true" applyAlignment="true" applyProtection="true">
      <alignment horizontal="general" vertical="bottom" textRotation="0" wrapText="false" indent="0" shrinkToFit="false"/>
      <protection locked="true" hidden="false"/>
    </xf>
    <xf numFmtId="168" fontId="38" fillId="3" borderId="7" xfId="19" applyFont="true" applyBorder="true" applyAlignment="true" applyProtection="true">
      <alignment horizontal="general" vertical="bottom" textRotation="0" wrapText="false" indent="0" shrinkToFit="false"/>
      <protection locked="true" hidden="false"/>
    </xf>
    <xf numFmtId="164" fontId="50" fillId="0" borderId="7" xfId="0" applyFont="true" applyBorder="true" applyAlignment="true" applyProtection="false">
      <alignment horizontal="center" vertical="bottom" textRotation="0" wrapText="false" indent="0" shrinkToFit="false"/>
      <protection locked="true" hidden="false"/>
    </xf>
    <xf numFmtId="164" fontId="38" fillId="2" borderId="21" xfId="0" applyFont="true" applyBorder="true" applyAlignment="false" applyProtection="false">
      <alignment horizontal="general" vertical="bottom" textRotation="0" wrapText="false" indent="0" shrinkToFit="false"/>
      <protection locked="true" hidden="false"/>
    </xf>
    <xf numFmtId="168" fontId="0" fillId="3" borderId="7" xfId="0" applyFont="false" applyBorder="true" applyAlignment="true" applyProtection="false">
      <alignment horizontal="center" vertical="bottom" textRotation="0" wrapText="false" indent="0" shrinkToFit="false"/>
      <protection locked="true" hidden="false"/>
    </xf>
    <xf numFmtId="164" fontId="0" fillId="2"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5" borderId="1" xfId="0" applyFont="true" applyBorder="true" applyAlignment="true" applyProtection="false">
      <alignment horizontal="center" vertical="bottom" textRotation="0" wrapText="false" indent="0" shrinkToFit="false"/>
      <protection locked="true" hidden="false"/>
    </xf>
    <xf numFmtId="164" fontId="0" fillId="5" borderId="1" xfId="0" applyFont="true" applyBorder="true" applyAlignment="true" applyProtection="false">
      <alignment horizontal="left" vertical="bottom" textRotation="0" wrapText="false" indent="0" shrinkToFit="false"/>
      <protection locked="true" hidden="false"/>
    </xf>
    <xf numFmtId="168" fontId="0" fillId="5" borderId="1" xfId="19" applyFont="true" applyBorder="true" applyAlignment="true" applyProtection="true">
      <alignment horizontal="general" vertical="bottom" textRotation="0" wrapText="false" indent="0" shrinkToFit="false"/>
      <protection locked="true" hidden="false"/>
    </xf>
    <xf numFmtId="169" fontId="0" fillId="5" borderId="1" xfId="0" applyFont="true" applyBorder="true" applyAlignment="true" applyProtection="false">
      <alignment horizontal="left" vertical="bottom" textRotation="0" wrapText="false" indent="0" shrinkToFit="false"/>
      <protection locked="true" hidden="false"/>
    </xf>
    <xf numFmtId="164" fontId="0" fillId="0" borderId="3" xfId="0" applyFont="true" applyBorder="true" applyAlignment="true" applyProtection="false">
      <alignment horizontal="left" vertical="top" textRotation="0" wrapText="true" indent="0" shrinkToFit="false"/>
      <protection locked="true" hidden="false"/>
    </xf>
    <xf numFmtId="164" fontId="62" fillId="0" borderId="0" xfId="0" applyFont="true" applyBorder="false" applyAlignment="false" applyProtection="false">
      <alignment horizontal="general" vertical="bottom" textRotation="0" wrapText="false" indent="0" shrinkToFit="false"/>
      <protection locked="true" hidden="false"/>
    </xf>
    <xf numFmtId="164" fontId="63" fillId="0" borderId="0" xfId="0" applyFont="true" applyBorder="false" applyAlignment="false" applyProtection="false">
      <alignment horizontal="general" vertical="bottom" textRotation="0" wrapText="false" indent="0" shrinkToFit="false"/>
      <protection locked="true" hidden="false"/>
    </xf>
    <xf numFmtId="164" fontId="64" fillId="5" borderId="7" xfId="0" applyFont="true" applyBorder="true" applyAlignment="true" applyProtection="false">
      <alignment horizontal="center" vertical="bottom" textRotation="0" wrapText="false" indent="0" shrinkToFit="false"/>
      <protection locked="true" hidden="false"/>
    </xf>
    <xf numFmtId="164" fontId="53" fillId="5"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center" vertical="bottom" textRotation="0" wrapText="false" indent="0" shrinkToFit="false"/>
      <protection locked="true" hidden="false"/>
    </xf>
    <xf numFmtId="164" fontId="65" fillId="0" borderId="0" xfId="0" applyFont="true" applyBorder="false" applyAlignment="false" applyProtection="false">
      <alignment horizontal="general" vertical="bottom" textRotation="0" wrapText="false" indent="0" shrinkToFit="false"/>
      <protection locked="true" hidden="false"/>
    </xf>
    <xf numFmtId="164" fontId="65" fillId="0" borderId="1" xfId="0" applyFont="true" applyBorder="true" applyAlignment="false" applyProtection="false">
      <alignment horizontal="general" vertical="bottom" textRotation="0" wrapText="false" indent="0" shrinkToFit="false"/>
      <protection locked="true" hidden="false"/>
    </xf>
    <xf numFmtId="164" fontId="66" fillId="0" borderId="1" xfId="0" applyFont="true" applyBorder="true" applyAlignment="true" applyProtection="false">
      <alignment horizontal="center" vertical="bottom" textRotation="0" wrapText="false" indent="0" shrinkToFit="false"/>
      <protection locked="true" hidden="false"/>
    </xf>
    <xf numFmtId="164" fontId="67" fillId="0" borderId="1" xfId="0" applyFont="true" applyBorder="true" applyAlignment="true" applyProtection="false">
      <alignment horizontal="center" vertical="center" textRotation="90" wrapText="true" indent="0" shrinkToFit="false"/>
      <protection locked="true" hidden="false"/>
    </xf>
    <xf numFmtId="164" fontId="65" fillId="0" borderId="1" xfId="0" applyFont="true" applyBorder="true" applyAlignment="true" applyProtection="false">
      <alignment horizontal="center" vertical="bottom" textRotation="0" wrapText="false" indent="0" shrinkToFit="false"/>
      <protection locked="true" hidden="false"/>
    </xf>
    <xf numFmtId="168" fontId="65" fillId="5" borderId="1" xfId="0" applyFont="true" applyBorder="true" applyAlignment="true" applyProtection="false">
      <alignment horizontal="center"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4" fontId="65" fillId="0" borderId="0" xfId="0" applyFont="true" applyBorder="false" applyAlignment="true" applyProtection="false">
      <alignment horizontal="center" vertical="bottom" textRotation="0" wrapText="false" indent="0" shrinkToFit="false"/>
      <protection locked="true" hidden="false"/>
    </xf>
    <xf numFmtId="168" fontId="65" fillId="0" borderId="0" xfId="0" applyFont="true" applyBorder="false" applyAlignment="true" applyProtection="false">
      <alignment horizontal="center" vertical="bottom" textRotation="0" wrapText="false" indent="0" shrinkToFit="false"/>
      <protection locked="true" hidden="false"/>
    </xf>
    <xf numFmtId="164" fontId="27" fillId="0" borderId="50" xfId="0" applyFont="true" applyBorder="true" applyAlignment="true" applyProtection="false">
      <alignment horizontal="general" vertical="center" textRotation="0" wrapText="true" indent="0" shrinkToFit="false"/>
      <protection locked="true" hidden="false"/>
    </xf>
    <xf numFmtId="164" fontId="68" fillId="0" borderId="0" xfId="0" applyFont="true" applyBorder="false" applyAlignment="false" applyProtection="false">
      <alignment horizontal="general" vertical="bottom" textRotation="0" wrapText="false" indent="0" shrinkToFit="false"/>
      <protection locked="true" hidden="false"/>
    </xf>
    <xf numFmtId="166" fontId="24" fillId="0" borderId="0" xfId="0" applyFont="true" applyBorder="false" applyAlignment="false" applyProtection="false">
      <alignment horizontal="general" vertical="bottom" textRotation="0" wrapText="false" indent="0" shrinkToFit="false"/>
      <protection locked="true" hidden="false"/>
    </xf>
    <xf numFmtId="168" fontId="24" fillId="0" borderId="0" xfId="0" applyFont="true" applyBorder="false" applyAlignment="false" applyProtection="false">
      <alignment horizontal="general" vertical="bottom" textRotation="0" wrapText="false" indent="0" shrinkToFit="false"/>
      <protection locked="true" hidden="false"/>
    </xf>
    <xf numFmtId="164" fontId="27" fillId="0" borderId="1" xfId="0" applyFont="true" applyBorder="true" applyAlignment="true" applyProtection="false">
      <alignment horizontal="center" vertical="center" textRotation="0" wrapText="true" indent="0" shrinkToFit="false"/>
      <protection locked="true" hidden="false"/>
    </xf>
    <xf numFmtId="166" fontId="24" fillId="0" borderId="1" xfId="0" applyFont="true" applyBorder="true" applyAlignment="true" applyProtection="false">
      <alignment horizontal="center" vertical="bottom" textRotation="0" wrapText="false" indent="0" shrinkToFit="false"/>
      <protection locked="true" hidden="false"/>
    </xf>
    <xf numFmtId="166" fontId="24" fillId="0" borderId="1" xfId="17" applyFont="true" applyBorder="true" applyAlignment="true" applyProtection="true">
      <alignment horizontal="center" vertical="bottom" textRotation="0" wrapText="false" indent="0" shrinkToFit="false"/>
      <protection locked="true" hidden="false"/>
    </xf>
    <xf numFmtId="167" fontId="24" fillId="0" borderId="1" xfId="0" applyFont="true" applyBorder="true" applyAlignment="true" applyProtection="false">
      <alignment horizontal="center" vertical="bottom" textRotation="0" wrapText="false" indent="0" shrinkToFit="false"/>
      <protection locked="true" hidden="false"/>
    </xf>
    <xf numFmtId="168" fontId="14" fillId="0" borderId="0" xfId="0" applyFont="true" applyBorder="false" applyAlignment="false" applyProtection="false">
      <alignment horizontal="general" vertical="bottom" textRotation="0" wrapText="false" indent="0" shrinkToFit="false"/>
      <protection locked="true" hidden="false"/>
    </xf>
    <xf numFmtId="164" fontId="27" fillId="0" borderId="1" xfId="0" applyFont="true" applyBorder="true" applyAlignment="true" applyProtection="false">
      <alignment horizontal="general" vertical="center" textRotation="0" wrapText="true" indent="0" shrinkToFit="false"/>
      <protection locked="true" hidden="false"/>
    </xf>
    <xf numFmtId="176" fontId="14" fillId="0" borderId="1" xfId="0" applyFont="true" applyBorder="true" applyAlignment="false" applyProtection="false">
      <alignment horizontal="general" vertical="bottom" textRotation="0" wrapText="false" indent="0" shrinkToFit="false"/>
      <protection locked="true" hidden="false"/>
    </xf>
    <xf numFmtId="168" fontId="14" fillId="0" borderId="1" xfId="19" applyFont="true" applyBorder="true" applyAlignment="true" applyProtection="true">
      <alignment horizontal="general" vertical="bottom" textRotation="0" wrapText="false" indent="0" shrinkToFit="false"/>
      <protection locked="true" hidden="false"/>
    </xf>
    <xf numFmtId="173" fontId="14" fillId="0" borderId="1" xfId="0" applyFont="true" applyBorder="true" applyAlignment="false" applyProtection="false">
      <alignment horizontal="general" vertical="bottom" textRotation="0" wrapText="false" indent="0" shrinkToFit="false"/>
      <protection locked="true" hidden="false"/>
    </xf>
    <xf numFmtId="166" fontId="14" fillId="0" borderId="1" xfId="0" applyFont="true" applyBorder="true" applyAlignment="false" applyProtection="false">
      <alignment horizontal="general" vertical="bottom" textRotation="0" wrapText="false" indent="0" shrinkToFit="false"/>
      <protection locked="true" hidden="false"/>
    </xf>
    <xf numFmtId="164" fontId="69" fillId="0" borderId="0" xfId="0" applyFont="true" applyBorder="false" applyAlignment="false" applyProtection="false">
      <alignment horizontal="general" vertical="bottom" textRotation="0" wrapText="false" indent="0" shrinkToFit="false"/>
      <protection locked="true" hidden="false"/>
    </xf>
    <xf numFmtId="164" fontId="70" fillId="0" borderId="1" xfId="0" applyFont="true" applyBorder="true" applyAlignment="false" applyProtection="false">
      <alignment horizontal="general" vertical="bottom" textRotation="0" wrapText="false" indent="0" shrinkToFit="false"/>
      <protection locked="true" hidden="false"/>
    </xf>
    <xf numFmtId="164" fontId="71" fillId="0" borderId="1" xfId="0" applyFont="true" applyBorder="true" applyAlignment="true" applyProtection="false">
      <alignment horizontal="center" vertical="bottom" textRotation="0" wrapText="false" indent="0" shrinkToFit="false"/>
      <protection locked="true" hidden="false"/>
    </xf>
    <xf numFmtId="164" fontId="70" fillId="0" borderId="1" xfId="0" applyFont="true" applyBorder="true" applyAlignment="true" applyProtection="false">
      <alignment horizontal="center" vertical="bottom" textRotation="0" wrapText="false" indent="0" shrinkToFit="false"/>
      <protection locked="true" hidden="false"/>
    </xf>
    <xf numFmtId="164" fontId="70" fillId="0" borderId="17" xfId="0" applyFont="true" applyBorder="true" applyAlignment="true" applyProtection="false">
      <alignment horizontal="center" vertical="bottom" textRotation="0" wrapText="false" indent="0" shrinkToFit="false"/>
      <protection locked="true" hidden="false"/>
    </xf>
    <xf numFmtId="164" fontId="71" fillId="0" borderId="1" xfId="0" applyFont="true" applyBorder="true" applyAlignment="false" applyProtection="false">
      <alignment horizontal="general" vertical="bottom" textRotation="0" wrapText="false" indent="0" shrinkToFit="false"/>
      <protection locked="true" hidden="false"/>
    </xf>
    <xf numFmtId="168" fontId="71" fillId="0" borderId="1" xfId="19" applyFont="true" applyBorder="true" applyAlignment="true" applyProtection="true">
      <alignment horizontal="center" vertical="bottom" textRotation="0" wrapText="false" indent="0" shrinkToFit="false"/>
      <protection locked="true" hidden="false"/>
    </xf>
    <xf numFmtId="168" fontId="71" fillId="0" borderId="17" xfId="0" applyFont="true" applyBorder="true" applyAlignment="true" applyProtection="false">
      <alignment horizontal="center" vertical="bottom" textRotation="0" wrapText="false" indent="0" shrinkToFit="false"/>
      <protection locked="true" hidden="false"/>
    </xf>
    <xf numFmtId="164" fontId="27" fillId="8" borderId="1" xfId="0" applyFont="true" applyBorder="true" applyAlignment="false" applyProtection="false">
      <alignment horizontal="general" vertical="bottom" textRotation="0" wrapText="false" indent="0" shrinkToFit="false"/>
      <protection locked="true" hidden="false"/>
    </xf>
    <xf numFmtId="168" fontId="27" fillId="8" borderId="1" xfId="19" applyFont="true" applyBorder="true" applyAlignment="true" applyProtection="true">
      <alignment horizontal="center" vertical="bottom" textRotation="0" wrapText="false" indent="0" shrinkToFit="false"/>
      <protection locked="true" hidden="false"/>
    </xf>
    <xf numFmtId="168" fontId="0" fillId="0" borderId="17" xfId="0" applyFont="false" applyBorder="true" applyAlignment="true" applyProtection="false">
      <alignment horizontal="center" vertical="bottom" textRotation="0" wrapText="false" indent="0" shrinkToFit="false"/>
      <protection locked="true" hidden="false"/>
    </xf>
    <xf numFmtId="168" fontId="27" fillId="0" borderId="17" xfId="19" applyFont="true" applyBorder="true" applyAlignment="true" applyProtection="true">
      <alignment horizontal="center" vertical="bottom" textRotation="0" wrapText="false" indent="0" shrinkToFit="false"/>
      <protection locked="true" hidden="false"/>
    </xf>
    <xf numFmtId="164" fontId="27" fillId="0" borderId="1" xfId="0" applyFont="true" applyBorder="true" applyAlignment="false" applyProtection="false">
      <alignment horizontal="general" vertical="bottom" textRotation="0" wrapText="false" indent="0" shrinkToFit="false"/>
      <protection locked="true" hidden="false"/>
    </xf>
    <xf numFmtId="168" fontId="27" fillId="0" borderId="1" xfId="19" applyFont="true" applyBorder="true" applyAlignment="true" applyProtection="true">
      <alignment horizontal="center" vertical="bottom" textRotation="0" wrapText="false" indent="0" shrinkToFit="false"/>
      <protection locked="true" hidden="false"/>
    </xf>
    <xf numFmtId="168" fontId="24" fillId="0" borderId="17" xfId="19" applyFont="true" applyBorder="true" applyAlignment="true" applyProtection="true">
      <alignment horizontal="center" vertical="bottom" textRotation="0" wrapText="false" indent="0" shrinkToFit="false"/>
      <protection locked="true" hidden="false"/>
    </xf>
    <xf numFmtId="164" fontId="71" fillId="0" borderId="0" xfId="0" applyFont="true" applyBorder="false" applyAlignment="true" applyProtection="false">
      <alignment horizontal="center" vertical="bottom" textRotation="0" wrapText="false" indent="0" shrinkToFit="false"/>
      <protection locked="true" hidden="false"/>
    </xf>
    <xf numFmtId="168" fontId="71" fillId="0" borderId="0" xfId="0" applyFont="true" applyBorder="false" applyAlignment="true" applyProtection="false">
      <alignment horizontal="center" vertical="bottom" textRotation="0" wrapText="false" indent="0" shrinkToFit="false"/>
      <protection locked="true" hidden="false"/>
    </xf>
    <xf numFmtId="168" fontId="71" fillId="0" borderId="1"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8" fontId="0" fillId="0" borderId="0" xfId="0" applyFont="false" applyBorder="false" applyAlignment="true" applyProtection="false">
      <alignment horizontal="center" vertical="bottom" textRotation="0" wrapText="false" indent="0" shrinkToFit="false"/>
      <protection locked="true" hidden="false"/>
    </xf>
    <xf numFmtId="164" fontId="34" fillId="0" borderId="1" xfId="0" applyFont="true" applyBorder="true" applyAlignment="false" applyProtection="false">
      <alignment horizontal="general" vertical="bottom" textRotation="0" wrapText="false" indent="0" shrinkToFit="false"/>
      <protection locked="true" hidden="false"/>
    </xf>
    <xf numFmtId="164" fontId="34"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8" fontId="0" fillId="0" borderId="1" xfId="0" applyFont="false" applyBorder="true" applyAlignment="true" applyProtection="false">
      <alignment horizontal="center" vertical="bottom" textRotation="0" wrapText="false" indent="0" shrinkToFit="false"/>
      <protection locked="true" hidden="false"/>
    </xf>
    <xf numFmtId="164" fontId="34" fillId="0" borderId="1" xfId="0" applyFont="true" applyBorder="true" applyAlignment="true" applyProtection="false">
      <alignment horizontal="general" vertical="bottom" textRotation="0" wrapText="true" indent="0" shrinkToFit="false"/>
      <protection locked="true" hidden="false"/>
    </xf>
    <xf numFmtId="164" fontId="34" fillId="0" borderId="1" xfId="0" applyFont="true" applyBorder="true" applyAlignment="true" applyProtection="false">
      <alignment horizontal="center" vertical="bottom" textRotation="0" wrapText="true" indent="0" shrinkToFit="false"/>
      <protection locked="true" hidden="false"/>
    </xf>
    <xf numFmtId="168" fontId="34" fillId="0" borderId="1" xfId="0" applyFont="true" applyBorder="true" applyAlignment="true" applyProtection="false">
      <alignment horizontal="center" vertical="bottom" textRotation="0" wrapText="true" indent="0" shrinkToFit="false"/>
      <protection locked="true" hidden="false"/>
    </xf>
    <xf numFmtId="167" fontId="34" fillId="0" borderId="1" xfId="0" applyFont="true" applyBorder="true" applyAlignment="true" applyProtection="false">
      <alignment horizontal="center" vertical="bottom" textRotation="0" wrapText="true" indent="0" shrinkToFit="false"/>
      <protection locked="true" hidden="false"/>
    </xf>
    <xf numFmtId="164" fontId="34" fillId="0" borderId="0" xfId="0" applyFont="true" applyBorder="false" applyAlignment="true" applyProtection="false">
      <alignment horizontal="general" vertical="bottom" textRotation="0" wrapText="true" indent="0" shrinkToFit="false"/>
      <protection locked="true" hidden="false"/>
    </xf>
    <xf numFmtId="164" fontId="18" fillId="0" borderId="0" xfId="0" applyFont="true" applyBorder="false" applyAlignment="true" applyProtection="false">
      <alignment horizontal="left" vertical="bottom" textRotation="0" wrapText="false" indent="0" shrinkToFit="false"/>
      <protection locked="true" hidden="false"/>
    </xf>
    <xf numFmtId="168" fontId="18" fillId="0" borderId="0" xfId="0" applyFont="true" applyBorder="false" applyAlignment="false" applyProtection="false">
      <alignment horizontal="general" vertical="bottom" textRotation="0" wrapText="false" indent="0" shrinkToFit="false"/>
      <protection locked="true" hidden="false"/>
    </xf>
    <xf numFmtId="168" fontId="47" fillId="0" borderId="0" xfId="0" applyFont="true" applyBorder="false" applyAlignment="fals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center" textRotation="0" wrapText="false" indent="0" shrinkToFit="false"/>
      <protection locked="true" hidden="false"/>
    </xf>
    <xf numFmtId="164" fontId="32" fillId="0" borderId="49" xfId="0" applyFont="true" applyBorder="true" applyAlignment="true" applyProtection="false">
      <alignment horizontal="center" vertical="bottom" textRotation="0" wrapText="false" indent="0" shrinkToFit="false"/>
      <protection locked="true" hidden="false"/>
    </xf>
    <xf numFmtId="167" fontId="32" fillId="0" borderId="49" xfId="0" applyFont="true" applyBorder="true" applyAlignment="true" applyProtection="false">
      <alignment horizontal="center" vertical="bottom" textRotation="0" wrapText="false" indent="0" shrinkToFit="false"/>
      <protection locked="true" hidden="false"/>
    </xf>
    <xf numFmtId="164" fontId="32" fillId="0" borderId="1" xfId="0" applyFont="true" applyBorder="true" applyAlignment="true" applyProtection="false">
      <alignment horizontal="center" vertical="bottom" textRotation="0" wrapText="true" indent="0" shrinkToFit="false"/>
      <protection locked="true" hidden="false"/>
    </xf>
    <xf numFmtId="164" fontId="32" fillId="0" borderId="8" xfId="0" applyFont="true" applyBorder="true" applyAlignment="true" applyProtection="false">
      <alignment horizontal="center" vertical="bottom" textRotation="0" wrapText="true" indent="0" shrinkToFit="false"/>
      <protection locked="true" hidden="false"/>
    </xf>
    <xf numFmtId="164" fontId="37" fillId="0" borderId="9" xfId="0" applyFont="true" applyBorder="true" applyAlignment="true" applyProtection="false">
      <alignment horizontal="general" vertical="center" textRotation="0" wrapText="false" indent="0" shrinkToFit="false"/>
      <protection locked="true" hidden="false"/>
    </xf>
    <xf numFmtId="182" fontId="37" fillId="0" borderId="48" xfId="0" applyFont="true" applyBorder="true" applyAlignment="false" applyProtection="false">
      <alignment horizontal="general" vertical="bottom" textRotation="0" wrapText="false" indent="0" shrinkToFit="false"/>
      <protection locked="true" hidden="false"/>
    </xf>
    <xf numFmtId="189" fontId="37" fillId="0" borderId="48" xfId="0" applyFont="true" applyBorder="true" applyAlignment="false" applyProtection="false">
      <alignment horizontal="general" vertical="bottom" textRotation="0" wrapText="false" indent="0" shrinkToFit="false"/>
      <protection locked="true" hidden="false"/>
    </xf>
    <xf numFmtId="167" fontId="37" fillId="0" borderId="48" xfId="0" applyFont="true" applyBorder="true" applyAlignment="true" applyProtection="false">
      <alignment horizontal="center" vertical="bottom" textRotation="0" wrapText="false" indent="0" shrinkToFit="false"/>
      <protection locked="true" hidden="false"/>
    </xf>
    <xf numFmtId="181" fontId="37" fillId="0" borderId="48" xfId="0" applyFont="true" applyBorder="true" applyAlignment="false" applyProtection="false">
      <alignment horizontal="general" vertical="bottom" textRotation="0" wrapText="false" indent="0" shrinkToFit="false"/>
      <protection locked="true" hidden="false"/>
    </xf>
    <xf numFmtId="164" fontId="47" fillId="0" borderId="1" xfId="0" applyFont="true" applyBorder="true" applyAlignment="true" applyProtection="false">
      <alignment horizontal="center" vertical="bottom" textRotation="0" wrapText="false" indent="0" shrinkToFit="false"/>
      <protection locked="true" hidden="false"/>
    </xf>
    <xf numFmtId="164" fontId="73" fillId="0" borderId="1" xfId="0" applyFont="true" applyBorder="true" applyAlignment="false" applyProtection="false">
      <alignment horizontal="general" vertical="bottom" textRotation="0" wrapText="false" indent="0" shrinkToFit="false"/>
      <protection locked="true" hidden="false"/>
    </xf>
    <xf numFmtId="171" fontId="0" fillId="0" borderId="1" xfId="0" applyFont="false" applyBorder="true" applyAlignment="true" applyProtection="false">
      <alignment horizontal="center" vertical="bottom" textRotation="0" wrapText="false" indent="0" shrinkToFit="false"/>
      <protection locked="true" hidden="false"/>
    </xf>
    <xf numFmtId="171" fontId="0" fillId="0" borderId="1" xfId="0" applyFont="false" applyBorder="true" applyAlignment="false" applyProtection="false">
      <alignment horizontal="general" vertical="bottom" textRotation="0" wrapText="false" indent="0" shrinkToFit="false"/>
      <protection locked="true" hidden="false"/>
    </xf>
    <xf numFmtId="171" fontId="0" fillId="0" borderId="1" xfId="19" applyFont="true" applyBorder="true" applyAlignment="true" applyProtection="true">
      <alignment horizontal="center" vertical="bottom" textRotation="0" wrapText="false" indent="0" shrinkToFit="false"/>
      <protection locked="true" hidden="false"/>
    </xf>
    <xf numFmtId="168" fontId="0" fillId="0" borderId="1" xfId="19" applyFont="true" applyBorder="true" applyAlignment="true" applyProtection="true">
      <alignment horizontal="center" vertical="bottom" textRotation="0" wrapText="false" indent="0" shrinkToFit="false"/>
      <protection locked="true" hidden="false"/>
    </xf>
    <xf numFmtId="164" fontId="74" fillId="0" borderId="0" xfId="0" applyFont="true" applyBorder="false" applyAlignment="false" applyProtection="false">
      <alignment horizontal="general" vertical="bottom" textRotation="0" wrapText="false" indent="0" shrinkToFit="false"/>
      <protection locked="true" hidden="false"/>
    </xf>
    <xf numFmtId="171" fontId="34" fillId="0" borderId="0" xfId="0" applyFont="true" applyBorder="false" applyAlignment="true" applyProtection="false">
      <alignment horizontal="center" vertical="bottom" textRotation="0" wrapText="false" indent="0" shrinkToFit="false"/>
      <protection locked="true" hidden="false"/>
    </xf>
    <xf numFmtId="171" fontId="34" fillId="0" borderId="0" xfId="0" applyFont="true" applyBorder="false" applyAlignment="false" applyProtection="false">
      <alignment horizontal="general" vertical="bottom" textRotation="0" wrapText="false" indent="0" shrinkToFit="false"/>
      <protection locked="true" hidden="false"/>
    </xf>
    <xf numFmtId="164" fontId="73" fillId="0" borderId="0" xfId="0" applyFont="true" applyBorder="false" applyAlignment="false" applyProtection="false">
      <alignment horizontal="general" vertical="bottom" textRotation="0" wrapText="false" indent="0" shrinkToFit="false"/>
      <protection locked="true" hidden="false"/>
    </xf>
    <xf numFmtId="184" fontId="47" fillId="0" borderId="0" xfId="0" applyFont="true" applyBorder="false" applyAlignment="true" applyProtection="false">
      <alignment horizontal="right" vertical="bottom" textRotation="0" wrapText="false" indent="0" shrinkToFit="false"/>
      <protection locked="true" hidden="false"/>
    </xf>
    <xf numFmtId="171" fontId="0" fillId="0" borderId="0" xfId="0" applyFont="false" applyBorder="false" applyAlignment="true" applyProtection="false">
      <alignment horizontal="center" vertical="bottom" textRotation="0" wrapText="false" indent="0" shrinkToFit="false"/>
      <protection locked="true" hidden="false"/>
    </xf>
    <xf numFmtId="171" fontId="0" fillId="0" borderId="0" xfId="0" applyFont="false" applyBorder="false" applyAlignment="false" applyProtection="false">
      <alignment horizontal="general" vertical="bottom" textRotation="0" wrapText="false" indent="0" shrinkToFit="false"/>
      <protection locked="true" hidden="false"/>
    </xf>
    <xf numFmtId="171" fontId="0" fillId="0" borderId="5" xfId="0" applyFont="true" applyBorder="true" applyAlignment="true" applyProtection="false">
      <alignment horizontal="center" vertical="center" textRotation="0" wrapText="true" indent="0" shrinkToFit="false"/>
      <protection locked="true" hidden="false"/>
    </xf>
    <xf numFmtId="171" fontId="0" fillId="2" borderId="1" xfId="0" applyFont="false" applyBorder="true" applyAlignment="true" applyProtection="false">
      <alignment horizontal="center" vertical="bottom" textRotation="0" wrapText="false" indent="0" shrinkToFit="false"/>
      <protection locked="true" hidden="false"/>
    </xf>
    <xf numFmtId="166" fontId="0" fillId="2" borderId="1" xfId="17" applyFont="true" applyBorder="true" applyAlignment="true" applyProtection="true">
      <alignment horizontal="center" vertical="bottom" textRotation="0" wrapText="false" indent="0" shrinkToFit="false"/>
      <protection locked="true" hidden="false"/>
    </xf>
    <xf numFmtId="164" fontId="7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border diagonalUp="false" diagonalDown="false">
        <left/>
        <right/>
        <top/>
        <bottom/>
        <diagonal/>
      </border>
    </dxf>
    <dxf>
      <border diagonalUp="false" diagonalDown="false">
        <left/>
        <right/>
        <top/>
        <bottom/>
        <diagonal/>
      </border>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D9D9D9"/>
      <rgbColor rgb="FF000080"/>
      <rgbColor rgb="FFFF00FF"/>
      <rgbColor rgb="FFFCF305"/>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A0A0A"/>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11</xdr:col>
      <xdr:colOff>16200</xdr:colOff>
      <xdr:row>0</xdr:row>
      <xdr:rowOff>0</xdr:rowOff>
    </xdr:from>
    <xdr:to>
      <xdr:col>14</xdr:col>
      <xdr:colOff>631080</xdr:colOff>
      <xdr:row>16</xdr:row>
      <xdr:rowOff>173520</xdr:rowOff>
    </xdr:to>
    <xdr:pic>
      <xdr:nvPicPr>
        <xdr:cNvPr id="0" name="Picture 5" descr=""/>
        <xdr:cNvPicPr/>
      </xdr:nvPicPr>
      <xdr:blipFill>
        <a:blip r:embed="rId1"/>
        <a:stretch/>
      </xdr:blipFill>
      <xdr:spPr>
        <a:xfrm>
          <a:off x="17225280" y="0"/>
          <a:ext cx="2965680" cy="33832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65520</xdr:colOff>
      <xdr:row>9</xdr:row>
      <xdr:rowOff>525600</xdr:rowOff>
    </xdr:from>
    <xdr:to>
      <xdr:col>5</xdr:col>
      <xdr:colOff>56880</xdr:colOff>
      <xdr:row>9</xdr:row>
      <xdr:rowOff>534960</xdr:rowOff>
    </xdr:to>
    <xdr:sp>
      <xdr:nvSpPr>
        <xdr:cNvPr id="1" name="Straight Arrow Connector 4"/>
        <xdr:cNvSpPr/>
      </xdr:nvSpPr>
      <xdr:spPr>
        <a:xfrm>
          <a:off x="4224600" y="2944800"/>
          <a:ext cx="2573280" cy="936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twoCell">
    <xdr:from>
      <xdr:col>3</xdr:col>
      <xdr:colOff>1160640</xdr:colOff>
      <xdr:row>10</xdr:row>
      <xdr:rowOff>108000</xdr:rowOff>
    </xdr:from>
    <xdr:to>
      <xdr:col>5</xdr:col>
      <xdr:colOff>24120</xdr:colOff>
      <xdr:row>10</xdr:row>
      <xdr:rowOff>108360</xdr:rowOff>
    </xdr:to>
    <xdr:sp>
      <xdr:nvSpPr>
        <xdr:cNvPr id="2" name="Straight Arrow Connector 6"/>
        <xdr:cNvSpPr/>
      </xdr:nvSpPr>
      <xdr:spPr>
        <a:xfrm flipV="1">
          <a:off x="5319720" y="3603240"/>
          <a:ext cx="1445400" cy="36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twoCell">
    <xdr:from>
      <xdr:col>3</xdr:col>
      <xdr:colOff>1125000</xdr:colOff>
      <xdr:row>13</xdr:row>
      <xdr:rowOff>119520</xdr:rowOff>
    </xdr:from>
    <xdr:to>
      <xdr:col>5</xdr:col>
      <xdr:colOff>9360</xdr:colOff>
      <xdr:row>13</xdr:row>
      <xdr:rowOff>119880</xdr:rowOff>
    </xdr:to>
    <xdr:sp>
      <xdr:nvSpPr>
        <xdr:cNvPr id="3" name="Straight Arrow Connector 10"/>
        <xdr:cNvSpPr/>
      </xdr:nvSpPr>
      <xdr:spPr>
        <a:xfrm flipV="1">
          <a:off x="5284080" y="5319720"/>
          <a:ext cx="1466280" cy="36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twoCell">
    <xdr:from>
      <xdr:col>3</xdr:col>
      <xdr:colOff>1059120</xdr:colOff>
      <xdr:row>8</xdr:row>
      <xdr:rowOff>119880</xdr:rowOff>
    </xdr:from>
    <xdr:to>
      <xdr:col>5</xdr:col>
      <xdr:colOff>34920</xdr:colOff>
      <xdr:row>8</xdr:row>
      <xdr:rowOff>120600</xdr:rowOff>
    </xdr:to>
    <xdr:sp>
      <xdr:nvSpPr>
        <xdr:cNvPr id="4" name="Straight Arrow Connector 4"/>
        <xdr:cNvSpPr/>
      </xdr:nvSpPr>
      <xdr:spPr>
        <a:xfrm flipV="1">
          <a:off x="5218200" y="1681920"/>
          <a:ext cx="1557720" cy="72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15</xdr:col>
      <xdr:colOff>562680</xdr:colOff>
      <xdr:row>9</xdr:row>
      <xdr:rowOff>173160</xdr:rowOff>
    </xdr:from>
    <xdr:to>
      <xdr:col>15</xdr:col>
      <xdr:colOff>562680</xdr:colOff>
      <xdr:row>24</xdr:row>
      <xdr:rowOff>100800</xdr:rowOff>
    </xdr:to>
    <xdr:sp>
      <xdr:nvSpPr>
        <xdr:cNvPr id="5" name="Straight Connector 6"/>
        <xdr:cNvSpPr/>
      </xdr:nvSpPr>
      <xdr:spPr>
        <a:xfrm>
          <a:off x="17615520" y="1982880"/>
          <a:ext cx="0" cy="2946960"/>
        </a:xfrm>
        <a:prstGeom prst="line">
          <a:avLst/>
        </a:prstGeom>
        <a:ln w="0">
          <a:solidFill>
            <a:srgbClr val="4f81bd"/>
          </a:solidFill>
        </a:ln>
      </xdr:spPr>
      <xdr:style>
        <a:lnRef idx="2">
          <a:schemeClr val="accent1"/>
        </a:lnRef>
        <a:fillRef idx="0">
          <a:schemeClr val="accent1"/>
        </a:fillRef>
        <a:effectRef idx="1">
          <a:schemeClr val="accent1"/>
        </a:effectRef>
        <a:fontRef idx="minor"/>
      </xdr:style>
    </xdr:sp>
    <xdr:clientData/>
  </xdr:twoCellAnchor>
  <xdr:twoCellAnchor editAs="twoCell">
    <xdr:from>
      <xdr:col>14</xdr:col>
      <xdr:colOff>41040</xdr:colOff>
      <xdr:row>24</xdr:row>
      <xdr:rowOff>115560</xdr:rowOff>
    </xdr:from>
    <xdr:to>
      <xdr:col>15</xdr:col>
      <xdr:colOff>544680</xdr:colOff>
      <xdr:row>24</xdr:row>
      <xdr:rowOff>115920</xdr:rowOff>
    </xdr:to>
    <xdr:sp>
      <xdr:nvSpPr>
        <xdr:cNvPr id="6" name="Straight Arrow Connector 8"/>
        <xdr:cNvSpPr/>
      </xdr:nvSpPr>
      <xdr:spPr>
        <a:xfrm flipH="1">
          <a:off x="15562440" y="4944600"/>
          <a:ext cx="2035080" cy="360"/>
        </a:xfrm>
        <a:custGeom>
          <a:avLst/>
          <a:gdLst/>
          <a:ahLst/>
          <a:rect l="l" t="t" r="r" b="b"/>
          <a:pathLst>
            <a:path w="21600" h="21600">
              <a:moveTo>
                <a:pt x="0" y="0"/>
              </a:moveTo>
              <a:lnTo>
                <a:pt x="21600" y="21600"/>
              </a:lnTo>
            </a:path>
          </a:pathLst>
        </a:custGeom>
        <a:noFill/>
        <a:ln w="0">
          <a:solidFill>
            <a:srgbClr val="4f81bd"/>
          </a:solidFill>
          <a:tailEnd len="med" type="triangle" w="med"/>
        </a:ln>
        <a:effectLst>
          <a:outerShdw blurRad="39960" dir="5400000" dist="20160" rotWithShape="0">
            <a:srgbClr val="000000">
              <a:alpha val="38000"/>
            </a:srgbClr>
          </a:outerShdw>
        </a:effectLst>
      </xdr:spPr>
      <xdr:style>
        <a:lnRef idx="2">
          <a:schemeClr val="accent1"/>
        </a:lnRef>
        <a:fillRef idx="0">
          <a:schemeClr val="accent1"/>
        </a:fillRef>
        <a:effectRef idx="1">
          <a:schemeClr val="accent1"/>
        </a:effectRef>
        <a:fontRef idx="minor"/>
      </xdr:style>
    </xdr:sp>
    <xdr:clientData/>
  </xdr:twoCellAnchor>
  <xdr:twoCellAnchor editAs="twoCell">
    <xdr:from>
      <xdr:col>2</xdr:col>
      <xdr:colOff>360720</xdr:colOff>
      <xdr:row>27</xdr:row>
      <xdr:rowOff>72000</xdr:rowOff>
    </xdr:from>
    <xdr:to>
      <xdr:col>2</xdr:col>
      <xdr:colOff>389520</xdr:colOff>
      <xdr:row>36</xdr:row>
      <xdr:rowOff>57600</xdr:rowOff>
    </xdr:to>
    <xdr:sp>
      <xdr:nvSpPr>
        <xdr:cNvPr id="7" name="Straight Connector 11"/>
        <xdr:cNvSpPr/>
      </xdr:nvSpPr>
      <xdr:spPr>
        <a:xfrm>
          <a:off x="3508560" y="5501160"/>
          <a:ext cx="28800" cy="1757520"/>
        </a:xfrm>
        <a:prstGeom prst="line">
          <a:avLst/>
        </a:prstGeom>
        <a:ln w="0">
          <a:solidFill>
            <a:srgbClr val="4f81bd"/>
          </a:solidFill>
        </a:ln>
      </xdr:spPr>
      <xdr:style>
        <a:lnRef idx="2">
          <a:schemeClr val="accent1"/>
        </a:lnRef>
        <a:fillRef idx="0">
          <a:schemeClr val="accent1"/>
        </a:fillRef>
        <a:effectRef idx="1">
          <a:schemeClr val="accent1"/>
        </a:effectRef>
        <a:fontRef idx="minor"/>
      </xdr:style>
    </xdr:sp>
    <xdr:clientData/>
  </xdr:twoCellAnchor>
  <xdr:twoCellAnchor editAs="twoCell">
    <xdr:from>
      <xdr:col>2</xdr:col>
      <xdr:colOff>375120</xdr:colOff>
      <xdr:row>36</xdr:row>
      <xdr:rowOff>72000</xdr:rowOff>
    </xdr:from>
    <xdr:to>
      <xdr:col>2</xdr:col>
      <xdr:colOff>783360</xdr:colOff>
      <xdr:row>36</xdr:row>
      <xdr:rowOff>72000</xdr:rowOff>
    </xdr:to>
    <xdr:sp>
      <xdr:nvSpPr>
        <xdr:cNvPr id="8" name="Straight Connector 13"/>
        <xdr:cNvSpPr/>
      </xdr:nvSpPr>
      <xdr:spPr>
        <a:xfrm>
          <a:off x="3522960" y="7273080"/>
          <a:ext cx="408240" cy="0"/>
        </a:xfrm>
        <a:prstGeom prst="line">
          <a:avLst/>
        </a:prstGeom>
        <a:ln w="0">
          <a:solidFill>
            <a:srgbClr val="4f81bd"/>
          </a:solidFill>
        </a:ln>
      </xdr:spPr>
      <xdr:style>
        <a:lnRef idx="2">
          <a:schemeClr val="accent1"/>
        </a:lnRef>
        <a:fillRef idx="0">
          <a:schemeClr val="accent1"/>
        </a:fillRef>
        <a:effectRef idx="1">
          <a:schemeClr val="accent1"/>
        </a:effectRef>
        <a:fontRef idx="minor"/>
      </xdr:style>
    </xdr:sp>
    <xdr:clientData/>
  </xdr:twoCellAnchor>
  <xdr:twoCellAnchor editAs="twoCell">
    <xdr:from>
      <xdr:col>2</xdr:col>
      <xdr:colOff>360720</xdr:colOff>
      <xdr:row>27</xdr:row>
      <xdr:rowOff>86760</xdr:rowOff>
    </xdr:from>
    <xdr:to>
      <xdr:col>3</xdr:col>
      <xdr:colOff>12960</xdr:colOff>
      <xdr:row>27</xdr:row>
      <xdr:rowOff>87120</xdr:rowOff>
    </xdr:to>
    <xdr:sp>
      <xdr:nvSpPr>
        <xdr:cNvPr id="9" name="Straight Arrow Connector 16"/>
        <xdr:cNvSpPr/>
      </xdr:nvSpPr>
      <xdr:spPr>
        <a:xfrm>
          <a:off x="3508560" y="5515920"/>
          <a:ext cx="435600" cy="360"/>
        </a:xfrm>
        <a:custGeom>
          <a:avLst/>
          <a:gdLst/>
          <a:ahLst/>
          <a:rect l="l" t="t" r="r" b="b"/>
          <a:pathLst>
            <a:path w="21600" h="21600">
              <a:moveTo>
                <a:pt x="0" y="0"/>
              </a:moveTo>
              <a:lnTo>
                <a:pt x="21600" y="21600"/>
              </a:lnTo>
            </a:path>
          </a:pathLst>
        </a:custGeom>
        <a:noFill/>
        <a:ln w="0">
          <a:solidFill>
            <a:srgbClr val="4f81bd"/>
          </a:solidFill>
          <a:tailEnd len="med" type="triangle" w="med"/>
        </a:ln>
        <a:effectLst>
          <a:outerShdw blurRad="39960" dir="5400000" dist="20160" rotWithShape="0">
            <a:srgbClr val="000000">
              <a:alpha val="38000"/>
            </a:srgbClr>
          </a:outerShdw>
        </a:effectLst>
      </xdr:spPr>
      <xdr:style>
        <a:lnRef idx="2">
          <a:schemeClr val="accent1"/>
        </a:lnRef>
        <a:fillRef idx="0">
          <a:schemeClr val="accent1"/>
        </a:fillRef>
        <a:effectRef idx="1">
          <a:schemeClr val="accent1"/>
        </a:effectRef>
        <a:fontRef idx="minor"/>
      </xdr:style>
    </xdr:sp>
    <xdr:clientData/>
  </xdr:twoCellAnchor>
  <xdr:twoCellAnchor editAs="twoCell">
    <xdr:from>
      <xdr:col>9</xdr:col>
      <xdr:colOff>49680</xdr:colOff>
      <xdr:row>31</xdr:row>
      <xdr:rowOff>71280</xdr:rowOff>
    </xdr:from>
    <xdr:to>
      <xdr:col>10</xdr:col>
      <xdr:colOff>287280</xdr:colOff>
      <xdr:row>36</xdr:row>
      <xdr:rowOff>26640</xdr:rowOff>
    </xdr:to>
    <xdr:sp>
      <xdr:nvSpPr>
        <xdr:cNvPr id="10" name="Straight Arrow Connector 22"/>
        <xdr:cNvSpPr/>
      </xdr:nvSpPr>
      <xdr:spPr>
        <a:xfrm flipV="1">
          <a:off x="10542600" y="6300360"/>
          <a:ext cx="1069920" cy="927000"/>
        </a:xfrm>
        <a:custGeom>
          <a:avLst/>
          <a:gdLst/>
          <a:ahLst/>
          <a:rect l="l" t="t" r="r" b="b"/>
          <a:pathLst>
            <a:path w="21600" h="21600">
              <a:moveTo>
                <a:pt x="0" y="0"/>
              </a:moveTo>
              <a:lnTo>
                <a:pt x="21600" y="21600"/>
              </a:lnTo>
            </a:path>
          </a:pathLst>
        </a:custGeom>
        <a:noFill/>
        <a:ln w="0">
          <a:solidFill>
            <a:srgbClr val="4f81bd"/>
          </a:solidFill>
          <a:tailEnd len="med" type="triangle" w="med"/>
        </a:ln>
        <a:effectLst>
          <a:outerShdw blurRad="39960" dir="5400000" dist="20160" rotWithShape="0">
            <a:srgbClr val="000000">
              <a:alpha val="38000"/>
            </a:srgbClr>
          </a:outerShdw>
        </a:effectLst>
      </xdr:spPr>
      <xdr:style>
        <a:lnRef idx="2">
          <a:schemeClr val="accent1"/>
        </a:lnRef>
        <a:fillRef idx="0">
          <a:schemeClr val="accent1"/>
        </a:fillRef>
        <a:effectRef idx="1">
          <a:schemeClr val="accent1"/>
        </a:effectRef>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vmlDrawing" Target="../drawings/vmlDrawing4.vml"/>
</Relationships>
</file>

<file path=xl/worksheets/_rels/sheet13.xml.rels><?xml version="1.0" encoding="UTF-8"?>
<Relationships xmlns="http://schemas.openxmlformats.org/package/2006/relationships"><Relationship Id="rId1" Type="http://schemas.openxmlformats.org/officeDocument/2006/relationships/comments" Target="../comments13.xml"/><Relationship Id="rId2" Type="http://schemas.openxmlformats.org/officeDocument/2006/relationships/vmlDrawing" Target="../drawings/vmlDrawing5.v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vmlDrawing" Target="../drawings/vmlDrawing2.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86"/>
  <sheetViews>
    <sheetView showFormulas="false" showGridLines="true" showRowColHeaders="true" showZeros="true" rightToLeft="false" tabSelected="false" showOutlineSymbols="true" defaultGridColor="true" view="normal" topLeftCell="A49" colorId="64" zoomScale="150" zoomScaleNormal="150" zoomScalePageLayoutView="100" workbookViewId="0">
      <selection pane="topLeft" activeCell="B59" activeCellId="0" sqref="B59"/>
    </sheetView>
  </sheetViews>
  <sheetFormatPr defaultColWidth="10.828125" defaultRowHeight="12" zeroHeight="false" outlineLevelRow="0" outlineLevelCol="0"/>
  <cols>
    <col collapsed="false" customWidth="true" hidden="false" outlineLevel="0" max="1" min="1" style="1" width="73.66"/>
    <col collapsed="false" customWidth="true" hidden="false" outlineLevel="0" max="2" min="2" style="1" width="26.5"/>
    <col collapsed="false" customWidth="true" hidden="false" outlineLevel="0" max="3" min="3" style="1" width="23.17"/>
    <col collapsed="false" customWidth="true" hidden="false" outlineLevel="0" max="4" min="4" style="1" width="16.67"/>
    <col collapsed="false" customWidth="false" hidden="false" outlineLevel="0" max="7" min="5" style="1" width="10.83"/>
    <col collapsed="false" customWidth="true" hidden="false" outlineLevel="0" max="8" min="8" style="1" width="11"/>
    <col collapsed="false" customWidth="true" hidden="false" outlineLevel="0" max="9" min="9" style="1" width="21.84"/>
    <col collapsed="false" customWidth="true" hidden="false" outlineLevel="0" max="10" min="10" style="1" width="15"/>
    <col collapsed="false" customWidth="true" hidden="false" outlineLevel="0" max="11" min="11" style="1" width="17.5"/>
    <col collapsed="false" customWidth="false" hidden="false" outlineLevel="0" max="1024" min="12" style="1" width="10.83"/>
  </cols>
  <sheetData>
    <row r="1" s="2" customFormat="true" ht="15.75" hidden="false" customHeight="false" outlineLevel="0" collapsed="false">
      <c r="B1" s="3"/>
      <c r="C1" s="2" t="s">
        <v>0</v>
      </c>
      <c r="D1" s="4"/>
      <c r="E1" s="2" t="s">
        <v>1</v>
      </c>
    </row>
    <row r="2" s="5" customFormat="true" ht="15.75" hidden="false" customHeight="false" outlineLevel="0" collapsed="false"/>
    <row r="3" s="5" customFormat="true" ht="15.75" hidden="false" customHeight="false" outlineLevel="0" collapsed="false">
      <c r="A3" s="6" t="s">
        <v>2</v>
      </c>
      <c r="B3" s="7" t="n">
        <v>43616</v>
      </c>
      <c r="C3" s="8" t="s">
        <v>3</v>
      </c>
      <c r="D3" s="9"/>
      <c r="E3" s="9"/>
      <c r="F3" s="9"/>
      <c r="G3" s="9"/>
      <c r="H3" s="9"/>
      <c r="I3" s="9"/>
      <c r="J3" s="10"/>
    </row>
    <row r="4" s="5" customFormat="true" ht="16.5" hidden="false" customHeight="false" outlineLevel="0" collapsed="false">
      <c r="A4" s="6" t="s">
        <v>4</v>
      </c>
      <c r="B4" s="11" t="s">
        <v>5</v>
      </c>
      <c r="C4" s="12" t="s">
        <v>6</v>
      </c>
      <c r="J4" s="13"/>
    </row>
    <row r="5" s="5" customFormat="true" ht="16.5" hidden="false" customHeight="false" outlineLevel="0" collapsed="false">
      <c r="A5" s="14" t="s">
        <v>7</v>
      </c>
      <c r="B5" s="14"/>
      <c r="C5" s="14"/>
      <c r="D5" s="14"/>
      <c r="E5" s="14"/>
      <c r="F5" s="14"/>
      <c r="G5" s="14"/>
      <c r="H5" s="14"/>
      <c r="I5" s="14"/>
      <c r="J5" s="14"/>
    </row>
    <row r="6" s="5" customFormat="true" ht="15.75" hidden="false" customHeight="false" outlineLevel="0" collapsed="false">
      <c r="A6" s="6"/>
      <c r="B6" s="6" t="s">
        <v>8</v>
      </c>
      <c r="C6" s="6" t="s">
        <v>9</v>
      </c>
      <c r="E6" s="15" t="s">
        <v>10</v>
      </c>
      <c r="F6" s="16"/>
      <c r="G6" s="16"/>
      <c r="H6" s="16"/>
      <c r="I6" s="16"/>
      <c r="J6" s="16"/>
    </row>
    <row r="7" s="5" customFormat="true" ht="15.75" hidden="false" customHeight="false" outlineLevel="0" collapsed="false">
      <c r="A7" s="5" t="s">
        <v>11</v>
      </c>
      <c r="B7" s="17" t="s">
        <v>12</v>
      </c>
      <c r="C7" s="6"/>
    </row>
    <row r="8" s="5" customFormat="true" ht="15.75" hidden="false" customHeight="false" outlineLevel="0" collapsed="false">
      <c r="A8" s="5" t="s">
        <v>13</v>
      </c>
      <c r="B8" s="17" t="s">
        <v>14</v>
      </c>
    </row>
    <row r="9" s="5" customFormat="true" ht="15.75" hidden="false" customHeight="false" outlineLevel="0" collapsed="false">
      <c r="A9" s="5" t="s">
        <v>15</v>
      </c>
      <c r="B9" s="17" t="s">
        <v>14</v>
      </c>
      <c r="C9" s="18" t="s">
        <v>16</v>
      </c>
      <c r="D9" s="18" t="s">
        <v>17</v>
      </c>
    </row>
    <row r="10" s="5" customFormat="true" ht="15" hidden="false" customHeight="false" outlineLevel="0" collapsed="false">
      <c r="A10" s="19" t="s">
        <v>18</v>
      </c>
      <c r="B10" s="20" t="n">
        <v>25878</v>
      </c>
      <c r="C10" s="20" t="n">
        <v>26974</v>
      </c>
      <c r="D10" s="17" t="n">
        <v>0.25</v>
      </c>
    </row>
    <row r="11" s="5" customFormat="true" ht="15.75" hidden="false" customHeight="false" outlineLevel="0" collapsed="false">
      <c r="A11" s="19" t="s">
        <v>19</v>
      </c>
      <c r="B11" s="20" t="n">
        <v>4496</v>
      </c>
      <c r="C11" s="20" t="n">
        <v>5577</v>
      </c>
      <c r="D11" s="17" t="n">
        <v>0.25</v>
      </c>
    </row>
    <row r="12" s="5" customFormat="true" ht="15.75" hidden="false" customHeight="false" outlineLevel="0" collapsed="false">
      <c r="A12" s="19" t="s">
        <v>20</v>
      </c>
      <c r="B12" s="20" t="n">
        <v>260</v>
      </c>
      <c r="C12" s="20" t="n">
        <v>262</v>
      </c>
      <c r="D12" s="21"/>
    </row>
    <row r="13" s="5" customFormat="true" ht="15.75" hidden="false" customHeight="false" outlineLevel="0" collapsed="false">
      <c r="A13" s="19" t="s">
        <v>21</v>
      </c>
      <c r="B13" s="20" t="n">
        <v>24520</v>
      </c>
      <c r="C13" s="20" t="n">
        <v>22101</v>
      </c>
      <c r="D13" s="21"/>
    </row>
    <row r="14" s="5" customFormat="true" ht="15.75" hidden="false" customHeight="false" outlineLevel="0" collapsed="false">
      <c r="A14" s="19" t="s">
        <v>22</v>
      </c>
      <c r="B14" s="20" t="n">
        <v>12080</v>
      </c>
      <c r="C14" s="20" t="n">
        <v>12031</v>
      </c>
      <c r="D14" s="21"/>
    </row>
    <row r="15" s="5" customFormat="true" ht="15.75" hidden="false" customHeight="false" outlineLevel="0" collapsed="false">
      <c r="A15" s="19" t="s">
        <v>23</v>
      </c>
      <c r="B15" s="22" t="s">
        <v>24</v>
      </c>
      <c r="C15" s="23" t="s">
        <v>25</v>
      </c>
      <c r="D15" s="21"/>
    </row>
    <row r="16" s="5" customFormat="true" ht="15.75" hidden="false" customHeight="false" outlineLevel="0" collapsed="false">
      <c r="A16" s="19" t="s">
        <v>26</v>
      </c>
      <c r="B16" s="20" t="s">
        <v>27</v>
      </c>
      <c r="C16" s="21" t="s">
        <v>28</v>
      </c>
      <c r="D16" s="21"/>
    </row>
    <row r="17" s="5" customFormat="true" ht="15.75" hidden="false" customHeight="false" outlineLevel="0" collapsed="false">
      <c r="A17" s="19" t="s">
        <v>29</v>
      </c>
      <c r="B17" s="20" t="n">
        <v>15320</v>
      </c>
      <c r="C17" s="20" t="n">
        <v>13296</v>
      </c>
      <c r="D17" s="21"/>
    </row>
    <row r="18" s="5" customFormat="true" ht="15.75" hidden="false" customHeight="false" outlineLevel="0" collapsed="false">
      <c r="A18" s="19" t="s">
        <v>30</v>
      </c>
      <c r="B18" s="24" t="n">
        <v>505</v>
      </c>
      <c r="C18" s="20" t="n">
        <v>299</v>
      </c>
      <c r="D18" s="21"/>
    </row>
    <row r="19" s="5" customFormat="true" ht="15.75" hidden="false" customHeight="false" outlineLevel="0" collapsed="false">
      <c r="A19" s="19" t="s">
        <v>31</v>
      </c>
      <c r="B19" s="24" t="n">
        <v>0</v>
      </c>
      <c r="C19" s="20" t="n">
        <v>0</v>
      </c>
      <c r="D19" s="21"/>
    </row>
    <row r="20" s="5" customFormat="true" ht="15.75" hidden="false" customHeight="false" outlineLevel="0" collapsed="false">
      <c r="A20" s="19" t="s">
        <v>32</v>
      </c>
      <c r="B20" s="25" t="n">
        <v>2470</v>
      </c>
      <c r="C20" s="21"/>
    </row>
    <row r="21" s="5" customFormat="true" ht="15.75" hidden="false" customHeight="false" outlineLevel="0" collapsed="false">
      <c r="A21" s="19" t="s">
        <v>33</v>
      </c>
      <c r="B21" s="20" t="n">
        <v>409</v>
      </c>
      <c r="C21" s="21"/>
      <c r="E21" s="26" t="s">
        <v>34</v>
      </c>
      <c r="F21" s="26"/>
      <c r="G21" s="26"/>
      <c r="H21" s="26"/>
      <c r="I21" s="26"/>
      <c r="J21" s="26"/>
      <c r="K21" s="26"/>
      <c r="L21" s="26"/>
      <c r="M21" s="26"/>
      <c r="N21" s="26"/>
    </row>
    <row r="22" s="5" customFormat="true" ht="15.75" hidden="false" customHeight="false" outlineLevel="0" collapsed="false">
      <c r="A22" s="5" t="s">
        <v>35</v>
      </c>
      <c r="B22" s="27" t="n">
        <v>0.1</v>
      </c>
      <c r="C22" s="21"/>
      <c r="E22" s="28" t="s">
        <v>36</v>
      </c>
    </row>
    <row r="23" s="5" customFormat="true" ht="15.75" hidden="false" customHeight="false" outlineLevel="0" collapsed="false">
      <c r="A23" s="5" t="s">
        <v>37</v>
      </c>
      <c r="B23" s="27" t="n">
        <v>0.25</v>
      </c>
      <c r="C23" s="21"/>
      <c r="E23" s="6"/>
      <c r="J23" s="18" t="s">
        <v>13</v>
      </c>
      <c r="K23" s="18" t="s">
        <v>15</v>
      </c>
      <c r="L23" s="29" t="s">
        <v>38</v>
      </c>
      <c r="M23" s="29"/>
      <c r="N23" s="29"/>
    </row>
    <row r="24" s="5" customFormat="true" ht="15.75" hidden="false" customHeight="false" outlineLevel="0" collapsed="false">
      <c r="A24" s="6" t="s">
        <v>39</v>
      </c>
      <c r="B24" s="30"/>
      <c r="C24" s="21"/>
      <c r="E24" s="6"/>
      <c r="I24" s="19" t="s">
        <v>40</v>
      </c>
      <c r="J24" s="29" t="s">
        <v>41</v>
      </c>
      <c r="K24" s="29" t="s">
        <v>41</v>
      </c>
      <c r="L24" s="29" t="s">
        <v>42</v>
      </c>
      <c r="M24" s="29" t="s">
        <v>43</v>
      </c>
      <c r="N24" s="29" t="s">
        <v>44</v>
      </c>
    </row>
    <row r="25" s="5" customFormat="true" ht="15.75" hidden="false" customHeight="false" outlineLevel="0" collapsed="false">
      <c r="A25" s="31" t="s">
        <v>45</v>
      </c>
      <c r="B25" s="32" t="n">
        <v>0.15</v>
      </c>
      <c r="C25" s="21"/>
      <c r="E25" s="5" t="s">
        <v>46</v>
      </c>
      <c r="I25" s="33" t="n">
        <f aca="false">IF(C10&gt;0,(B10/C10)^(1/D10)-1, "NA")</f>
        <v>-0.152886853972484</v>
      </c>
      <c r="J25" s="33" t="n">
        <f aca="false">VLOOKUP(B8,'Industry Averages(US)'!A2:S95,3)</f>
        <v>0.0887989130434782</v>
      </c>
      <c r="K25" s="34" t="n">
        <f aca="false">VLOOKUP(B9,'Industry Average Beta (Global)'!A2:N95,3)</f>
        <v>0.0881332808988765</v>
      </c>
      <c r="L25" s="35" t="n">
        <f aca="false">VLOOKUP($B$9,'Input Stat Distributioons'!$A$3:$R$96,3,FALSE())</f>
        <v>0.0234</v>
      </c>
      <c r="M25" s="35" t="n">
        <f aca="false">VLOOKUP($B$9,'Input Stat Distributioons'!$A$3:$R$96,4,FALSE())</f>
        <v>0.128</v>
      </c>
      <c r="N25" s="35" t="n">
        <f aca="false">VLOOKUP($B$9,'Input Stat Distributioons'!$A$3:$R$96,5,FALSE())</f>
        <v>0.244</v>
      </c>
    </row>
    <row r="26" s="5" customFormat="true" ht="15.75" hidden="false" customHeight="false" outlineLevel="0" collapsed="false">
      <c r="A26" s="31" t="s">
        <v>47</v>
      </c>
      <c r="B26" s="32" t="n">
        <v>0.35</v>
      </c>
      <c r="C26" s="21"/>
      <c r="E26" s="5" t="s">
        <v>48</v>
      </c>
      <c r="I26" s="33" t="n">
        <f aca="false">'Valuation output'!B4</f>
        <v>0.256437125748503</v>
      </c>
      <c r="J26" s="34" t="n">
        <f aca="false">VLOOKUP(B8,'Industry Averages(US)'!A2:AA95,4)</f>
        <v>0.254385400350807</v>
      </c>
      <c r="K26" s="34" t="n">
        <f aca="false">VLOOKUP(B9,'Industry Average Beta (Global)'!A2:N95,4)</f>
        <v>0.229589515152798</v>
      </c>
      <c r="L26" s="34" t="n">
        <f aca="false">VLOOKUP($B$9,'Input Stat Distributioons'!$A$3:$R$96,6,FALSE())</f>
        <v>0.0677</v>
      </c>
      <c r="M26" s="34" t="n">
        <f aca="false">VLOOKUP($B$9,'Input Stat Distributioons'!$A$3:$R$96,7,FALSE())</f>
        <v>0.1363</v>
      </c>
      <c r="N26" s="34" t="n">
        <f aca="false">VLOOKUP($B$9,'Input Stat Distributioons'!$A$3:$R$96,8,FALSE())</f>
        <v>0.2285</v>
      </c>
    </row>
    <row r="27" s="5" customFormat="true" ht="15.75" hidden="false" customHeight="false" outlineLevel="0" collapsed="false">
      <c r="A27" s="19" t="s">
        <v>49</v>
      </c>
      <c r="B27" s="36" t="n">
        <v>0.15</v>
      </c>
      <c r="C27" s="21" t="s">
        <v>50</v>
      </c>
      <c r="E27" s="5" t="s">
        <v>51</v>
      </c>
      <c r="I27" s="37" t="n">
        <f aca="false">B10/'Valuation output'!B58</f>
        <v>0.646248820030267</v>
      </c>
      <c r="J27" s="37" t="n">
        <f aca="false">VLOOKUP(B8,'Industry Averages(US)'!A2:S95,14)</f>
        <v>0.722010058861165</v>
      </c>
      <c r="K27" s="37" t="n">
        <f aca="false">VLOOKUP(B9,'Industry Average Beta (Global)'!A2:N95,14)</f>
        <v>0.834967709041912</v>
      </c>
      <c r="L27" s="37" t="n">
        <f aca="false">VLOOKUP($B$9,'Input Stat Distributioons'!$A$3:$R$96,9,FALSE())</f>
        <v>0.7</v>
      </c>
      <c r="M27" s="37" t="n">
        <f aca="false">VLOOKUP($B$9,'Input Stat Distributioons'!$A$3:$R$96,10,FALSE())</f>
        <v>1.15</v>
      </c>
      <c r="N27" s="37" t="n">
        <f aca="false">VLOOKUP($B$9,'Input Stat Distributioons'!$A$3:$R$96,11,FALSE())</f>
        <v>1.94</v>
      </c>
    </row>
    <row r="28" s="5" customFormat="true" ht="15.75" hidden="false" customHeight="false" outlineLevel="0" collapsed="false">
      <c r="A28" s="19" t="s">
        <v>52</v>
      </c>
      <c r="B28" s="36" t="n">
        <v>0.4</v>
      </c>
      <c r="C28" s="21" t="s">
        <v>53</v>
      </c>
      <c r="E28" s="5" t="s">
        <v>54</v>
      </c>
      <c r="I28" s="37" t="str">
        <f aca="false">IF(('Input sheet'!B10-'Input sheet'!C10)/(('Input sheet'!B13+'Input sheet'!B14-'Input sheet'!B17)-('Input sheet'!C13+'Input sheet'!C14-'Input sheet'!C17))&gt;0,('Input sheet'!B10-'Input sheet'!C10)/(('Input sheet'!B13+'Input sheet'!B14-'Input sheet'!B17)-('Input sheet'!C13+'Input sheet'!C14-'Input sheet'!C17)),"NA")</f>
        <v>NA</v>
      </c>
      <c r="J28" s="37"/>
      <c r="K28" s="37"/>
      <c r="L28" s="38"/>
      <c r="M28" s="38"/>
      <c r="N28" s="38"/>
    </row>
    <row r="29" s="5" customFormat="true" ht="15.75" hidden="false" customHeight="false" outlineLevel="0" collapsed="false">
      <c r="A29" s="19" t="s">
        <v>55</v>
      </c>
      <c r="B29" s="39" t="n">
        <v>5</v>
      </c>
      <c r="C29" s="21" t="s">
        <v>56</v>
      </c>
      <c r="E29" s="5" t="s">
        <v>57</v>
      </c>
      <c r="I29" s="34" t="n">
        <f aca="false">'Valuation output'!B7/'Valuation output'!B58</f>
        <v>0.0808515260941878</v>
      </c>
      <c r="J29" s="34" t="n">
        <f aca="false">VLOOKUP(B8,'Industry Averages(US)'!A2:S95,5)</f>
        <v>0.185170790234001</v>
      </c>
      <c r="K29" s="34" t="n">
        <f aca="false">VLOOKUP(B9,'Industry Average Beta (Global)'!A2:N95,5)</f>
        <v>0.182152852479841</v>
      </c>
    </row>
    <row r="30" s="5" customFormat="true" ht="15.75" hidden="false" customHeight="false" outlineLevel="0" collapsed="false">
      <c r="A30" s="19" t="s">
        <v>58</v>
      </c>
      <c r="B30" s="39" t="n">
        <f aca="false">M27</f>
        <v>1.15</v>
      </c>
      <c r="C30" s="21" t="s">
        <v>59</v>
      </c>
      <c r="E30" s="5" t="s">
        <v>60</v>
      </c>
      <c r="I30" s="40"/>
      <c r="J30" s="34" t="n">
        <f aca="false">VLOOKUP(B8,'Industry Averages(US)'!A2:S95,10)</f>
        <v>0.384042651176921</v>
      </c>
      <c r="K30" s="34" t="n">
        <f aca="false">VLOOKUP(B8,'Industry Average Beta (Global)'!A2:Z95,10)</f>
        <v>0.373449518336703</v>
      </c>
    </row>
    <row r="31" s="5" customFormat="true" ht="15.75" hidden="false" customHeight="false" outlineLevel="0" collapsed="false">
      <c r="A31" s="19" t="s">
        <v>61</v>
      </c>
      <c r="B31" s="39" t="n">
        <f aca="false">M27</f>
        <v>1.15</v>
      </c>
      <c r="C31" s="21"/>
      <c r="E31" s="5" t="s">
        <v>62</v>
      </c>
      <c r="J31" s="34" t="n">
        <f aca="false">VLOOKUP(B8,'Industry Averages(US)'!A2:S95,13)</f>
        <v>0.124878816118524</v>
      </c>
      <c r="K31" s="34" t="n">
        <f aca="false">VLOOKUP(B8,'Industry Average Beta (Global)'!A2:Z95,13)</f>
        <v>0.161150989323443</v>
      </c>
      <c r="L31" s="34" t="n">
        <f aca="false">VLOOKUP($B$9,'Input Stat Distributioons'!$A$3:$R$96,12,FALSE())</f>
        <v>0.1488</v>
      </c>
      <c r="M31" s="34" t="n">
        <f aca="false">VLOOKUP($B$9,'Input Stat Distributioons'!$A$3:$R$96,13,FALSE())</f>
        <v>0.1544</v>
      </c>
      <c r="N31" s="34" t="n">
        <f aca="false">VLOOKUP($B$9,'Input Stat Distributioons'!$A$3:$R$96,14,FALSE())</f>
        <v>0.1564</v>
      </c>
    </row>
    <row r="32" s="5" customFormat="true" ht="16.5" hidden="false" customHeight="false" outlineLevel="0" collapsed="false">
      <c r="A32" s="6" t="s">
        <v>63</v>
      </c>
      <c r="B32" s="41"/>
      <c r="C32" s="21"/>
    </row>
    <row r="33" s="5" customFormat="true" ht="15.75" hidden="false" customHeight="false" outlineLevel="0" collapsed="false">
      <c r="A33" s="19" t="s">
        <v>64</v>
      </c>
      <c r="B33" s="36" t="n">
        <v>0.036</v>
      </c>
      <c r="C33" s="21"/>
      <c r="E33" s="42" t="s">
        <v>65</v>
      </c>
      <c r="F33" s="42"/>
      <c r="G33" s="42"/>
      <c r="H33" s="42"/>
      <c r="I33" s="42"/>
      <c r="J33" s="42"/>
    </row>
    <row r="34" s="5" customFormat="true" ht="15.75" hidden="false" customHeight="true" outlineLevel="0" collapsed="false">
      <c r="A34" s="43" t="s">
        <v>66</v>
      </c>
      <c r="B34" s="44" t="n">
        <f aca="false">'Cost of capital worksheet'!B13</f>
        <v>0.122078816118524</v>
      </c>
      <c r="C34" s="45" t="s">
        <v>67</v>
      </c>
      <c r="D34" s="45"/>
      <c r="E34" s="46" t="s">
        <v>68</v>
      </c>
      <c r="J34" s="47" t="n">
        <f aca="false">'Valuation output'!L3+'Valuation output'!L14+'Valuation output'!L23</f>
        <v>266672.802106279</v>
      </c>
    </row>
    <row r="35" s="5" customFormat="true" ht="24.75" hidden="false" customHeight="true" outlineLevel="0" collapsed="false">
      <c r="A35" s="6" t="s">
        <v>69</v>
      </c>
      <c r="B35" s="48"/>
      <c r="C35" s="48"/>
      <c r="D35" s="21"/>
      <c r="E35" s="46" t="s">
        <v>70</v>
      </c>
      <c r="J35" s="47" t="n">
        <f aca="false">'Valuation output'!M5+'Valuation output'!M16+'Valuation output'!M25</f>
        <v>110509.209192842</v>
      </c>
    </row>
    <row r="36" s="5" customFormat="true" ht="15.75" hidden="false" customHeight="false" outlineLevel="0" collapsed="false">
      <c r="A36" s="5" t="s">
        <v>71</v>
      </c>
      <c r="B36" s="36" t="s">
        <v>27</v>
      </c>
      <c r="C36" s="49"/>
      <c r="D36" s="21"/>
      <c r="E36" s="46" t="s">
        <v>72</v>
      </c>
      <c r="J36" s="50" t="n">
        <f aca="false">'Valuation output'!L59</f>
        <v>0.346537669216238</v>
      </c>
    </row>
    <row r="37" s="5" customFormat="true" ht="16.5" hidden="false" customHeight="false" outlineLevel="0" collapsed="false">
      <c r="A37" s="5" t="s">
        <v>73</v>
      </c>
      <c r="B37" s="39" t="n">
        <v>7.72</v>
      </c>
      <c r="C37" s="51"/>
      <c r="D37" s="21"/>
      <c r="E37" s="52" t="s">
        <v>74</v>
      </c>
      <c r="F37" s="53"/>
      <c r="G37" s="53"/>
      <c r="H37" s="53"/>
      <c r="I37" s="53"/>
      <c r="J37" s="54"/>
    </row>
    <row r="38" s="5" customFormat="true" ht="15.75" hidden="false" customHeight="false" outlineLevel="0" collapsed="false">
      <c r="A38" s="5" t="s">
        <v>75</v>
      </c>
      <c r="B38" s="55" t="n">
        <v>1.29</v>
      </c>
      <c r="C38" s="56"/>
      <c r="D38" s="21"/>
    </row>
    <row r="39" s="28" customFormat="true" ht="15.75" hidden="false" customHeight="false" outlineLevel="0" collapsed="false">
      <c r="A39" s="5" t="s">
        <v>76</v>
      </c>
      <c r="B39" s="39" t="n">
        <v>7</v>
      </c>
      <c r="C39" s="51"/>
      <c r="D39" s="21"/>
      <c r="E39" s="5"/>
      <c r="F39" s="5"/>
      <c r="G39" s="5"/>
      <c r="H39" s="5"/>
      <c r="I39" s="5"/>
      <c r="J39" s="5"/>
      <c r="K39" s="5"/>
      <c r="L39" s="5"/>
      <c r="M39" s="5"/>
      <c r="N39" s="5"/>
    </row>
    <row r="40" s="5" customFormat="true" ht="15.75" hidden="false" customHeight="false" outlineLevel="0" collapsed="false">
      <c r="A40" s="5" t="s">
        <v>77</v>
      </c>
      <c r="B40" s="36" t="n">
        <v>0.45</v>
      </c>
      <c r="C40" s="21"/>
    </row>
    <row r="41" s="5" customFormat="true" ht="15.75" hidden="false" customHeight="false" outlineLevel="0" collapsed="false">
      <c r="B41" s="57"/>
      <c r="C41" s="21"/>
    </row>
    <row r="42" s="5" customFormat="true" ht="15.75" hidden="false" customHeight="false" outlineLevel="0" collapsed="false">
      <c r="A42" s="6" t="s">
        <v>78</v>
      </c>
      <c r="B42" s="57"/>
      <c r="C42" s="21"/>
    </row>
    <row r="43" s="5" customFormat="true" ht="15.75" hidden="false" customHeight="false" outlineLevel="0" collapsed="false">
      <c r="B43" s="36" t="s">
        <v>79</v>
      </c>
      <c r="C43" s="58" t="s">
        <v>80</v>
      </c>
    </row>
    <row r="44" s="5" customFormat="true" ht="15.75" hidden="false" customHeight="false" outlineLevel="0" collapsed="false">
      <c r="A44" s="5" t="s">
        <v>81</v>
      </c>
      <c r="B44" s="59" t="n">
        <v>15000</v>
      </c>
      <c r="C44" s="60" t="n">
        <v>325000</v>
      </c>
    </row>
    <row r="45" s="5" customFormat="true" ht="15.75" hidden="false" customHeight="false" outlineLevel="0" collapsed="false">
      <c r="A45" s="5" t="s">
        <v>82</v>
      </c>
      <c r="B45" s="61" t="n">
        <v>0.75</v>
      </c>
      <c r="C45" s="62" t="n">
        <v>0.6</v>
      </c>
    </row>
    <row r="46" s="5" customFormat="true" ht="15.75" hidden="false" customHeight="false" outlineLevel="0" collapsed="false">
      <c r="A46" s="5" t="s">
        <v>83</v>
      </c>
      <c r="B46" s="61" t="n">
        <v>0.35</v>
      </c>
      <c r="C46" s="62" t="n">
        <v>0.4</v>
      </c>
    </row>
    <row r="47" s="5" customFormat="true" ht="15.75" hidden="false" customHeight="false" outlineLevel="0" collapsed="false">
      <c r="B47" s="51"/>
      <c r="C47" s="21"/>
    </row>
    <row r="48" s="5" customFormat="true" ht="15.75" hidden="false" customHeight="false" outlineLevel="0" collapsed="false">
      <c r="A48" s="6" t="s">
        <v>84</v>
      </c>
      <c r="B48" s="57"/>
      <c r="C48" s="21"/>
    </row>
    <row r="49" s="5" customFormat="true" ht="15.75" hidden="false" customHeight="false" outlineLevel="0" collapsed="false">
      <c r="B49" s="36" t="s">
        <v>79</v>
      </c>
      <c r="C49" s="58" t="s">
        <v>80</v>
      </c>
    </row>
    <row r="50" s="5" customFormat="true" ht="15.75" hidden="false" customHeight="false" outlineLevel="0" collapsed="false">
      <c r="A50" s="5" t="s">
        <v>81</v>
      </c>
      <c r="B50" s="59" t="n">
        <v>20000</v>
      </c>
      <c r="C50" s="60" t="n">
        <v>200000</v>
      </c>
    </row>
    <row r="51" s="5" customFormat="true" ht="15.75" hidden="false" customHeight="false" outlineLevel="0" collapsed="false">
      <c r="A51" s="5" t="s">
        <v>82</v>
      </c>
      <c r="B51" s="61" t="n">
        <v>0.03</v>
      </c>
      <c r="C51" s="62" t="n">
        <v>0.15</v>
      </c>
    </row>
    <row r="52" s="5" customFormat="true" ht="15.75" hidden="false" customHeight="false" outlineLevel="0" collapsed="false">
      <c r="A52" s="5" t="s">
        <v>83</v>
      </c>
      <c r="B52" s="61" t="n">
        <v>0.35</v>
      </c>
      <c r="C52" s="62" t="n">
        <v>0.4</v>
      </c>
    </row>
    <row r="53" s="5" customFormat="true" ht="15.75" hidden="false" customHeight="false" outlineLevel="0" collapsed="false">
      <c r="B53" s="57"/>
      <c r="C53" s="48"/>
      <c r="D53" s="21"/>
      <c r="E53" s="28"/>
      <c r="F53" s="28"/>
      <c r="G53" s="28"/>
    </row>
    <row r="54" s="28" customFormat="true" ht="15.75" hidden="false" customHeight="false" outlineLevel="0" collapsed="false">
      <c r="A54" s="63" t="s">
        <v>85</v>
      </c>
      <c r="B54" s="63"/>
      <c r="C54" s="64"/>
      <c r="D54" s="21"/>
      <c r="E54" s="5"/>
      <c r="F54" s="5"/>
      <c r="G54" s="5"/>
      <c r="H54" s="5"/>
      <c r="I54" s="5"/>
      <c r="J54" s="5"/>
      <c r="K54" s="5"/>
      <c r="L54" s="5"/>
      <c r="M54" s="5"/>
      <c r="N54" s="5"/>
    </row>
    <row r="55" s="5" customFormat="true" ht="15.75" hidden="false" customHeight="false" outlineLevel="0" collapsed="false">
      <c r="A55" s="28" t="s">
        <v>86</v>
      </c>
      <c r="B55" s="28"/>
      <c r="C55" s="65"/>
      <c r="D55" s="21"/>
      <c r="N55" s="28"/>
    </row>
    <row r="56" s="5" customFormat="true" ht="15.75" hidden="false" customHeight="false" outlineLevel="0" collapsed="false">
      <c r="A56" s="5" t="s">
        <v>87</v>
      </c>
      <c r="B56" s="66" t="s">
        <v>27</v>
      </c>
      <c r="C56" s="21" t="s">
        <v>88</v>
      </c>
      <c r="E56" s="28"/>
      <c r="F56" s="28"/>
      <c r="G56" s="28"/>
      <c r="H56" s="28"/>
      <c r="I56" s="28"/>
      <c r="J56" s="28"/>
      <c r="K56" s="28"/>
      <c r="L56" s="28"/>
      <c r="M56" s="28"/>
    </row>
    <row r="57" s="5" customFormat="true" ht="15.75" hidden="false" customHeight="false" outlineLevel="0" collapsed="false">
      <c r="A57" s="5" t="s">
        <v>89</v>
      </c>
      <c r="B57" s="36" t="n">
        <v>0.08</v>
      </c>
      <c r="C57" s="21" t="s">
        <v>90</v>
      </c>
    </row>
    <row r="58" s="5" customFormat="true" ht="15.75" hidden="false" customHeight="false" outlineLevel="0" collapsed="false">
      <c r="A58" s="28" t="s">
        <v>91</v>
      </c>
      <c r="B58" s="28"/>
      <c r="C58" s="21"/>
      <c r="D58" s="28"/>
      <c r="N58" s="28"/>
    </row>
    <row r="59" s="5" customFormat="true" ht="15.75" hidden="false" customHeight="false" outlineLevel="0" collapsed="false">
      <c r="A59" s="5" t="s">
        <v>87</v>
      </c>
      <c r="B59" s="66" t="s">
        <v>24</v>
      </c>
      <c r="C59" s="21" t="s">
        <v>92</v>
      </c>
      <c r="H59" s="28"/>
      <c r="I59" s="28"/>
      <c r="J59" s="28"/>
      <c r="K59" s="28"/>
      <c r="L59" s="28"/>
      <c r="M59" s="28"/>
    </row>
    <row r="60" s="5" customFormat="true" ht="15.75" hidden="false" customHeight="false" outlineLevel="0" collapsed="false">
      <c r="A60" s="5" t="s">
        <v>93</v>
      </c>
      <c r="B60" s="67" t="n">
        <v>0.2</v>
      </c>
      <c r="C60" s="21" t="s">
        <v>94</v>
      </c>
    </row>
    <row r="61" s="5" customFormat="true" ht="15.75" hidden="false" customHeight="false" outlineLevel="0" collapsed="false">
      <c r="A61" s="28" t="s">
        <v>95</v>
      </c>
      <c r="C61" s="21"/>
    </row>
    <row r="62" s="5" customFormat="true" ht="15.75" hidden="false" customHeight="false" outlineLevel="0" collapsed="false">
      <c r="A62" s="5" t="s">
        <v>87</v>
      </c>
      <c r="B62" s="66" t="s">
        <v>27</v>
      </c>
      <c r="C62" s="21" t="s">
        <v>96</v>
      </c>
    </row>
    <row r="63" s="5" customFormat="true" ht="15.75" hidden="false" customHeight="false" outlineLevel="0" collapsed="false">
      <c r="A63" s="5" t="s">
        <v>97</v>
      </c>
      <c r="B63" s="67" t="n">
        <v>0.12</v>
      </c>
      <c r="C63" s="21" t="s">
        <v>98</v>
      </c>
    </row>
    <row r="64" s="5" customFormat="true" ht="15.75" hidden="false" customHeight="false" outlineLevel="0" collapsed="false">
      <c r="A64" s="5" t="s">
        <v>99</v>
      </c>
      <c r="B64" s="67" t="s">
        <v>100</v>
      </c>
      <c r="C64" s="21" t="s">
        <v>101</v>
      </c>
    </row>
    <row r="65" s="5" customFormat="true" ht="15.75" hidden="false" customHeight="false" outlineLevel="0" collapsed="false">
      <c r="A65" s="5" t="s">
        <v>102</v>
      </c>
      <c r="B65" s="67" t="n">
        <v>0.5</v>
      </c>
      <c r="C65" s="21" t="s">
        <v>103</v>
      </c>
    </row>
    <row r="66" s="5" customFormat="true" ht="15.75" hidden="false" customHeight="false" outlineLevel="0" collapsed="false">
      <c r="A66" s="5" t="s">
        <v>104</v>
      </c>
      <c r="B66" s="68"/>
      <c r="C66" s="21"/>
    </row>
    <row r="67" s="5" customFormat="true" ht="15.75" hidden="false" customHeight="false" outlineLevel="0" collapsed="false">
      <c r="A67" s="5" t="s">
        <v>105</v>
      </c>
      <c r="B67" s="66" t="s">
        <v>27</v>
      </c>
      <c r="C67" s="21"/>
    </row>
    <row r="68" s="5" customFormat="true" ht="15.75" hidden="false" customHeight="false" outlineLevel="0" collapsed="false">
      <c r="A68" s="5" t="s">
        <v>106</v>
      </c>
      <c r="B68" s="69" t="n">
        <v>2</v>
      </c>
      <c r="C68" s="21"/>
    </row>
    <row r="69" s="5" customFormat="true" ht="15.75" hidden="false" customHeight="false" outlineLevel="0" collapsed="false">
      <c r="A69" s="28" t="s">
        <v>107</v>
      </c>
      <c r="B69" s="70"/>
      <c r="C69" s="21"/>
    </row>
    <row r="70" s="5" customFormat="true" ht="15.75" hidden="false" customHeight="false" outlineLevel="0" collapsed="false">
      <c r="A70" s="5" t="s">
        <v>87</v>
      </c>
      <c r="B70" s="67" t="s">
        <v>27</v>
      </c>
      <c r="C70" s="21"/>
    </row>
    <row r="71" s="5" customFormat="true" ht="15.75" hidden="false" customHeight="false" outlineLevel="0" collapsed="false">
      <c r="A71" s="28" t="s">
        <v>108</v>
      </c>
      <c r="C71" s="21"/>
    </row>
    <row r="72" s="5" customFormat="true" ht="15.75" hidden="false" customHeight="false" outlineLevel="0" collapsed="false">
      <c r="A72" s="5" t="s">
        <v>87</v>
      </c>
      <c r="B72" s="66" t="s">
        <v>27</v>
      </c>
      <c r="C72" s="21" t="s">
        <v>109</v>
      </c>
    </row>
    <row r="73" s="5" customFormat="true" ht="15.75" hidden="false" customHeight="false" outlineLevel="0" collapsed="false">
      <c r="A73" s="5" t="s">
        <v>110</v>
      </c>
      <c r="B73" s="55" t="n">
        <f aca="false">474.8+256.6</f>
        <v>731.4</v>
      </c>
      <c r="C73" s="21" t="s">
        <v>111</v>
      </c>
    </row>
    <row r="74" s="5" customFormat="true" ht="15.75" hidden="false" customHeight="false" outlineLevel="0" collapsed="false">
      <c r="A74" s="5" t="s">
        <v>112</v>
      </c>
      <c r="B74" s="71"/>
      <c r="C74" s="21"/>
    </row>
    <row r="75" s="5" customFormat="true" ht="15.75" hidden="false" customHeight="false" outlineLevel="0" collapsed="false">
      <c r="A75" s="5" t="s">
        <v>87</v>
      </c>
      <c r="B75" s="55" t="s">
        <v>27</v>
      </c>
      <c r="C75" s="21" t="s">
        <v>113</v>
      </c>
    </row>
    <row r="76" s="28" customFormat="true" ht="15.75" hidden="false" customHeight="false" outlineLevel="0" collapsed="false">
      <c r="A76" s="5" t="s">
        <v>114</v>
      </c>
      <c r="B76" s="72" t="n">
        <v>0.02</v>
      </c>
      <c r="C76" s="21" t="s">
        <v>115</v>
      </c>
      <c r="D76" s="5"/>
      <c r="E76" s="5"/>
      <c r="F76" s="5"/>
      <c r="G76" s="5"/>
      <c r="H76" s="5"/>
      <c r="I76" s="5"/>
      <c r="J76" s="5"/>
      <c r="K76" s="5"/>
      <c r="L76" s="5"/>
      <c r="M76" s="5"/>
      <c r="N76" s="5"/>
    </row>
    <row r="77" s="5" customFormat="true" ht="15.75" hidden="false" customHeight="false" outlineLevel="0" collapsed="false">
      <c r="A77" s="5" t="s">
        <v>116</v>
      </c>
      <c r="B77" s="56"/>
      <c r="C77" s="21"/>
    </row>
    <row r="78" s="5" customFormat="true" ht="15.75" hidden="false" customHeight="false" outlineLevel="0" collapsed="false">
      <c r="A78" s="5" t="s">
        <v>87</v>
      </c>
      <c r="B78" s="55" t="s">
        <v>27</v>
      </c>
      <c r="C78" s="21" t="s">
        <v>117</v>
      </c>
      <c r="E78" s="28"/>
      <c r="F78" s="28"/>
      <c r="G78" s="28"/>
      <c r="H78" s="28"/>
      <c r="I78" s="28"/>
      <c r="J78" s="28"/>
      <c r="K78" s="28"/>
      <c r="L78" s="28"/>
      <c r="M78" s="28"/>
      <c r="N78" s="28"/>
    </row>
    <row r="79" s="5" customFormat="true" ht="15.75" hidden="false" customHeight="false" outlineLevel="0" collapsed="false">
      <c r="A79" s="5" t="s">
        <v>118</v>
      </c>
      <c r="B79" s="72" t="n">
        <v>-0.05</v>
      </c>
      <c r="C79" s="21" t="s">
        <v>119</v>
      </c>
    </row>
    <row r="80" s="5" customFormat="true" ht="15.75" hidden="false" customHeight="false" outlineLevel="0" collapsed="false">
      <c r="A80" s="28" t="s">
        <v>120</v>
      </c>
      <c r="B80" s="28"/>
      <c r="C80" s="28"/>
      <c r="D80" s="28"/>
    </row>
    <row r="81" s="5" customFormat="true" ht="15.75" hidden="false" customHeight="false" outlineLevel="0" collapsed="false">
      <c r="A81" s="5" t="s">
        <v>121</v>
      </c>
      <c r="B81" s="66" t="s">
        <v>27</v>
      </c>
    </row>
    <row r="82" s="5" customFormat="true" ht="15.75" hidden="false" customHeight="false" outlineLevel="0" collapsed="false">
      <c r="A82" s="5" t="s">
        <v>122</v>
      </c>
      <c r="B82" s="73" t="n">
        <v>140000</v>
      </c>
      <c r="C82" s="21" t="s">
        <v>123</v>
      </c>
    </row>
    <row r="83" s="5" customFormat="true" ht="15.75" hidden="false" customHeight="false" outlineLevel="0" collapsed="false">
      <c r="A83" s="19" t="s">
        <v>124</v>
      </c>
      <c r="B83" s="67" t="n">
        <v>0.15</v>
      </c>
      <c r="C83" s="21" t="s">
        <v>125</v>
      </c>
    </row>
    <row r="84" s="5" customFormat="true" ht="15.75" hidden="false" customHeight="false" outlineLevel="0" collapsed="false">
      <c r="A84" s="74"/>
      <c r="B84" s="1"/>
      <c r="C84" s="1"/>
      <c r="D84" s="1"/>
    </row>
    <row r="85" customFormat="false" ht="15.75" hidden="false" customHeight="false" outlineLevel="0" collapsed="false">
      <c r="E85" s="5"/>
      <c r="F85" s="5"/>
      <c r="G85" s="5"/>
      <c r="H85" s="5"/>
      <c r="I85" s="5"/>
      <c r="J85" s="5"/>
      <c r="K85" s="5"/>
      <c r="L85" s="5"/>
      <c r="M85" s="5"/>
      <c r="N85" s="5"/>
    </row>
    <row r="86" customFormat="false" ht="15.75" hidden="false" customHeight="false" outlineLevel="0" collapsed="false">
      <c r="E86" s="5"/>
      <c r="F86" s="5"/>
      <c r="G86" s="5"/>
      <c r="H86" s="5"/>
      <c r="I86" s="5"/>
      <c r="J86" s="5"/>
      <c r="K86" s="5"/>
      <c r="L86" s="5"/>
      <c r="M86" s="5"/>
      <c r="N86" s="5"/>
    </row>
  </sheetData>
  <mergeCells count="6">
    <mergeCell ref="A5:J5"/>
    <mergeCell ref="E21:N21"/>
    <mergeCell ref="L23:N23"/>
    <mergeCell ref="E33:J33"/>
    <mergeCell ref="C34:D34"/>
    <mergeCell ref="A54:B54"/>
  </mergeCells>
  <dataValidations count="8">
    <dataValidation allowBlank="true" errorStyle="stop" operator="between" prompt="While it is possible for an effective tax rate to be less than 0% or greater than 100% in any given year, it is dangerous to build off these tax rates for making future projections. If less than zero, enter zero. If greater than the 100%, go with the marg" promptTitle="No negative tax rates" showDropDown="false" showErrorMessage="true" showInputMessage="true" sqref="B22" type="decimal">
      <formula1>0</formula1>
      <formula2>1</formula2>
    </dataValidation>
    <dataValidation allowBlank="true" errorStyle="stop" operator="between" prompt="If you want to directly input the cost of capital, go to the cost of capital worksheet built into this spreadsheet, and you will have the option to do so. If not, you can use one of three approaches in that worksheet to compute a cost of capital." promptTitle="Do not input" showDropDown="false" showErrorMessage="true" showInputMessage="true" sqref="B34" type="none">
      <formula1>0</formula1>
      <formula2>0</formula2>
    </dataValidation>
    <dataValidation allowBlank="true" errorStyle="stop" operator="between" showDropDown="false" showErrorMessage="true" showInputMessage="true" sqref="B8" type="list">
      <formula1>'Industry Averages(US)'!$A$2:$A$95</formula1>
      <formula2>0</formula2>
    </dataValidation>
    <dataValidation allowBlank="true" errorStyle="stop" operator="between" showDropDown="false" showErrorMessage="true" showInputMessage="true" sqref="B9" type="list">
      <formula1>'Industry Average Beta (Global)'!$A$2:$A$95</formula1>
      <formula2>0</formula2>
    </dataValidation>
    <dataValidation allowBlank="true" errorStyle="stop" operator="between" showDropDown="false" showErrorMessage="true" showInputMessage="true" sqref="B15:B16 B36 B56 B59 B62 B67 B70 B72 B75 B78 B81" type="list">
      <formula1>'Answer keys'!$A$2:$A$3</formula1>
      <formula2>0</formula2>
    </dataValidation>
    <dataValidation allowBlank="true" errorStyle="stop" operator="between" showDropDown="false" showErrorMessage="true" showInputMessage="true" sqref="B64" type="list">
      <formula1>'Answer keys'!$B$2:$B$3</formula1>
      <formula2>0</formula2>
    </dataValidation>
    <dataValidation allowBlank="true" errorStyle="stop" operator="between" showDropDown="false" showErrorMessage="true" showInputMessage="true" sqref="B7" type="list">
      <formula1>'Country equity risk premiums'!$A$5:$A$181</formula1>
      <formula2>0</formula2>
    </dataValidation>
    <dataValidation allowBlank="true" errorStyle="stop" operator="between" showDropDown="false" showErrorMessage="true" showInputMessage="true" sqref="B68" type="list">
      <formula1>'Answer keys'!$J$2:$J$5</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8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1" activeCellId="0" sqref="B11"/>
    </sheetView>
  </sheetViews>
  <sheetFormatPr defaultColWidth="10.65234375" defaultRowHeight="12.75" zeroHeight="false" outlineLevelRow="0" outlineLevelCol="0"/>
  <cols>
    <col collapsed="false" customWidth="true" hidden="false" outlineLevel="0" max="1" min="1" style="0" width="40.16"/>
    <col collapsed="false" customWidth="true" hidden="false" outlineLevel="0" max="2" min="2" style="0" width="17.33"/>
    <col collapsed="false" customWidth="true" hidden="false" outlineLevel="0" max="3" min="3" style="0" width="12.83"/>
    <col collapsed="false" customWidth="true" hidden="false" outlineLevel="0" max="4" min="4" style="0" width="13.66"/>
    <col collapsed="false" customWidth="true" hidden="false" outlineLevel="0" max="5" min="5" style="0" width="12"/>
    <col collapsed="false" customWidth="true" hidden="false" outlineLevel="0" max="7" min="7" style="0" width="19.5"/>
    <col collapsed="false" customWidth="true" hidden="false" outlineLevel="0" max="8" min="8" style="0" width="16.33"/>
    <col collapsed="false" customWidth="true" hidden="false" outlineLevel="0" max="11" min="11" style="0" width="18.15"/>
    <col collapsed="false" customWidth="true" hidden="false" outlineLevel="0" max="12" min="12" style="0" width="17.5"/>
  </cols>
  <sheetData>
    <row r="1" customFormat="false" ht="12.75" hidden="false" customHeight="true" outlineLevel="0" collapsed="false">
      <c r="A1" s="390" t="s">
        <v>427</v>
      </c>
      <c r="B1" s="390"/>
      <c r="C1" s="390"/>
      <c r="D1" s="390"/>
      <c r="E1" s="390"/>
      <c r="F1" s="390"/>
      <c r="G1" s="390"/>
      <c r="H1" s="390"/>
      <c r="I1" s="390"/>
      <c r="J1" s="390"/>
      <c r="K1" s="390"/>
    </row>
    <row r="2" customFormat="false" ht="12.75" hidden="false" customHeight="false" outlineLevel="0" collapsed="false">
      <c r="A2" s="390"/>
      <c r="B2" s="390"/>
      <c r="C2" s="390"/>
      <c r="D2" s="390"/>
      <c r="E2" s="390"/>
      <c r="F2" s="390"/>
      <c r="G2" s="390"/>
      <c r="H2" s="390"/>
      <c r="I2" s="390"/>
      <c r="J2" s="390"/>
      <c r="K2" s="390"/>
    </row>
    <row r="3" s="392" customFormat="true" ht="18.75" hidden="false" customHeight="false" outlineLevel="0" collapsed="false">
      <c r="A3" s="391" t="s">
        <v>428</v>
      </c>
      <c r="B3" s="391"/>
      <c r="C3" s="391"/>
      <c r="D3" s="391"/>
      <c r="E3" s="391"/>
      <c r="G3" s="393" t="s">
        <v>429</v>
      </c>
    </row>
    <row r="4" s="396" customFormat="true" ht="15" hidden="false" customHeight="true" outlineLevel="0" collapsed="false">
      <c r="A4" s="394" t="s">
        <v>430</v>
      </c>
      <c r="B4" s="394"/>
      <c r="C4" s="394"/>
      <c r="D4" s="394"/>
      <c r="E4" s="394"/>
      <c r="F4" s="392"/>
      <c r="G4" s="395" t="s">
        <v>431</v>
      </c>
      <c r="H4" s="395" t="s">
        <v>18</v>
      </c>
      <c r="I4" s="395" t="s">
        <v>432</v>
      </c>
      <c r="J4" s="395" t="s">
        <v>433</v>
      </c>
      <c r="K4" s="395" t="s">
        <v>434</v>
      </c>
    </row>
    <row r="5" s="288" customFormat="true" ht="15" hidden="false" customHeight="true" outlineLevel="0" collapsed="false">
      <c r="A5" s="394"/>
      <c r="B5" s="394"/>
      <c r="C5" s="394"/>
      <c r="D5" s="394"/>
      <c r="E5" s="394"/>
      <c r="F5" s="392"/>
      <c r="G5" s="397" t="s">
        <v>12</v>
      </c>
      <c r="H5" s="397" t="n">
        <v>8292</v>
      </c>
      <c r="I5" s="398" t="n">
        <f aca="false">IF(H5=0,0,VLOOKUP(G5,'Country equity risk premiums'!$A$5:$D$181,4))</f>
        <v>0.0525</v>
      </c>
      <c r="J5" s="398" t="n">
        <f aca="false">IF(H5&gt;0,H5/$H$18,)</f>
        <v>0.307635230392521</v>
      </c>
      <c r="K5" s="398" t="n">
        <f aca="false">IF(J5=0,0,I5*J5)</f>
        <v>0.0161508495956073</v>
      </c>
      <c r="M5" s="399" t="s">
        <v>435</v>
      </c>
      <c r="N5" s="399"/>
      <c r="O5" s="399"/>
      <c r="P5" s="399"/>
      <c r="Q5" s="399"/>
    </row>
    <row r="6" s="288" customFormat="true" ht="15" hidden="false" customHeight="true" outlineLevel="0" collapsed="false">
      <c r="A6" s="394"/>
      <c r="B6" s="394"/>
      <c r="C6" s="394"/>
      <c r="D6" s="394"/>
      <c r="E6" s="394"/>
      <c r="F6" s="392"/>
      <c r="G6" s="397" t="s">
        <v>436</v>
      </c>
      <c r="H6" s="397" t="n">
        <v>5785</v>
      </c>
      <c r="I6" s="398" t="n">
        <f aca="false">IF(H6=0,0,VLOOKUP(G6,'Country equity risk premiums'!$A$5:$D$181,4))</f>
        <v>0.064671490234296</v>
      </c>
      <c r="J6" s="398" t="n">
        <f aca="false">IF(H6&gt;0,H6/$H$18,)</f>
        <v>0.214624916524449</v>
      </c>
      <c r="K6" s="398" t="n">
        <f aca="false">IF(J6=0,0,I6*J6)</f>
        <v>0.0138801131930475</v>
      </c>
      <c r="M6" s="399"/>
      <c r="N6" s="399"/>
      <c r="O6" s="399"/>
      <c r="P6" s="399"/>
      <c r="Q6" s="399"/>
    </row>
    <row r="7" s="288" customFormat="true" ht="15" hidden="false" customHeight="true" outlineLevel="0" collapsed="false">
      <c r="A7" s="394"/>
      <c r="B7" s="394"/>
      <c r="C7" s="394"/>
      <c r="D7" s="394"/>
      <c r="E7" s="394"/>
      <c r="F7" s="392"/>
      <c r="G7" s="397" t="s">
        <v>437</v>
      </c>
      <c r="H7" s="397" t="n">
        <v>6966</v>
      </c>
      <c r="I7" s="398" t="n">
        <f aca="false">IF(H7=0,0,VLOOKUP(G7,'Country equity risk premiums'!$A$5:$D$181,4))</f>
        <v>0.0628457666991516</v>
      </c>
      <c r="J7" s="398" t="n">
        <f aca="false">IF(H7&gt;0,H7/$H$18,)</f>
        <v>0.258440305706018</v>
      </c>
      <c r="K7" s="398" t="n">
        <f aca="false">IF(J7=0,0,I7*J7)</f>
        <v>0.0162418791580578</v>
      </c>
      <c r="M7" s="399"/>
      <c r="N7" s="399"/>
      <c r="O7" s="399"/>
      <c r="P7" s="399"/>
      <c r="Q7" s="399"/>
    </row>
    <row r="8" s="288" customFormat="true" ht="15" hidden="false" customHeight="true" outlineLevel="0" collapsed="false">
      <c r="A8" s="394"/>
      <c r="B8" s="394"/>
      <c r="C8" s="394"/>
      <c r="D8" s="394"/>
      <c r="E8" s="394"/>
      <c r="F8" s="392"/>
      <c r="G8" s="397"/>
      <c r="H8" s="397"/>
      <c r="I8" s="398" t="n">
        <f aca="false">IF(H8=0,0,VLOOKUP(G8,'Country equity risk premiums'!$A$5:$D$181,4))</f>
        <v>0</v>
      </c>
      <c r="J8" s="398" t="n">
        <f aca="false">IF(H8&gt;0,H8/$H$18,)</f>
        <v>0</v>
      </c>
      <c r="K8" s="398" t="n">
        <f aca="false">IF(J8=0,0,I8*J8)</f>
        <v>0</v>
      </c>
      <c r="M8" s="399"/>
      <c r="N8" s="399"/>
      <c r="O8" s="399"/>
      <c r="P8" s="399"/>
      <c r="Q8" s="399"/>
    </row>
    <row r="9" s="288" customFormat="true" ht="15" hidden="false" customHeight="true" outlineLevel="0" collapsed="false">
      <c r="A9" s="394"/>
      <c r="B9" s="394"/>
      <c r="C9" s="394"/>
      <c r="D9" s="394"/>
      <c r="E9" s="394"/>
      <c r="F9" s="392"/>
      <c r="G9" s="400"/>
      <c r="H9" s="397"/>
      <c r="I9" s="398" t="n">
        <f aca="false">IF(H9=0,0,VLOOKUP(G9,'Country equity risk premiums'!$A$5:$D$181,4))</f>
        <v>0</v>
      </c>
      <c r="J9" s="398" t="n">
        <f aca="false">IF(H9&gt;0,H9/$H$18,)</f>
        <v>0</v>
      </c>
      <c r="K9" s="398" t="n">
        <f aca="false">IF(J9=0,0,I9*J9)</f>
        <v>0</v>
      </c>
      <c r="M9" s="399"/>
      <c r="N9" s="399"/>
      <c r="O9" s="399"/>
      <c r="P9" s="399"/>
      <c r="Q9" s="399"/>
    </row>
    <row r="10" s="288" customFormat="true" ht="15" hidden="false" customHeight="true" outlineLevel="0" collapsed="false">
      <c r="A10" s="401"/>
      <c r="B10" s="401"/>
      <c r="C10" s="401"/>
      <c r="D10" s="401"/>
      <c r="E10" s="401"/>
      <c r="F10" s="392"/>
      <c r="G10" s="397"/>
      <c r="H10" s="397"/>
      <c r="I10" s="398" t="n">
        <f aca="false">IF(H10=0,0,VLOOKUP(G10,'Country equity risk premiums'!$A$5:$D$181,4))</f>
        <v>0</v>
      </c>
      <c r="J10" s="398" t="n">
        <f aca="false">IF(H10&gt;0,H10/$H$18,)</f>
        <v>0</v>
      </c>
      <c r="K10" s="398" t="n">
        <f aca="false">IF(J10=0,0,I10*J10)</f>
        <v>0</v>
      </c>
      <c r="M10" s="399"/>
      <c r="N10" s="399"/>
      <c r="O10" s="399"/>
      <c r="P10" s="399"/>
      <c r="Q10" s="399"/>
    </row>
    <row r="11" s="288" customFormat="true" ht="15" hidden="false" customHeight="true" outlineLevel="0" collapsed="false">
      <c r="A11" s="401" t="s">
        <v>438</v>
      </c>
      <c r="B11" s="402" t="s">
        <v>242</v>
      </c>
      <c r="C11" s="401"/>
      <c r="D11" s="401"/>
      <c r="E11" s="401"/>
      <c r="F11" s="392"/>
      <c r="G11" s="397"/>
      <c r="H11" s="397"/>
      <c r="I11" s="398" t="n">
        <f aca="false">IF(H11=0,0,VLOOKUP(G11,'Country equity risk premiums'!$A$5:$D$181,4))</f>
        <v>0</v>
      </c>
      <c r="J11" s="398" t="n">
        <f aca="false">IF(H11&gt;0,H11/$H$18,)</f>
        <v>0</v>
      </c>
      <c r="K11" s="398" t="n">
        <f aca="false">IF(J11=0,0,I11*J11)</f>
        <v>0</v>
      </c>
      <c r="M11" s="399"/>
      <c r="N11" s="399"/>
      <c r="O11" s="399"/>
      <c r="P11" s="399"/>
      <c r="Q11" s="399"/>
    </row>
    <row r="12" s="288" customFormat="true" ht="15" hidden="false" customHeight="true" outlineLevel="0" collapsed="false">
      <c r="A12" s="401" t="s">
        <v>439</v>
      </c>
      <c r="B12" s="403" t="n">
        <v>0.09</v>
      </c>
      <c r="C12" s="401"/>
      <c r="D12" s="401"/>
      <c r="E12" s="401"/>
      <c r="F12" s="392"/>
      <c r="G12" s="397"/>
      <c r="H12" s="397"/>
      <c r="I12" s="398" t="n">
        <f aca="false">IF(H12=0,0,VLOOKUP(G12,'Country equity risk premiums'!$A$5:$D$181,4))</f>
        <v>0</v>
      </c>
      <c r="J12" s="398" t="n">
        <f aca="false">IF(H12&gt;0,H12/$H$18,)</f>
        <v>0</v>
      </c>
      <c r="K12" s="398" t="n">
        <f aca="false">IF(J12=0,0,I12*J12)</f>
        <v>0</v>
      </c>
      <c r="M12" s="399"/>
      <c r="N12" s="399"/>
      <c r="O12" s="399"/>
      <c r="P12" s="399"/>
      <c r="Q12" s="399"/>
    </row>
    <row r="13" s="288" customFormat="true" ht="15" hidden="false" customHeight="true" outlineLevel="0" collapsed="false">
      <c r="A13" s="401" t="s">
        <v>440</v>
      </c>
      <c r="B13" s="404" t="n">
        <f aca="false">IF(B11="I will input",B12,IF(B11="Detailed",E62,IF(B11="Industry Average",B67,B72)))</f>
        <v>0.122078816118524</v>
      </c>
      <c r="C13" s="401"/>
      <c r="D13" s="401"/>
      <c r="E13" s="401"/>
      <c r="F13" s="392"/>
      <c r="G13" s="397"/>
      <c r="H13" s="397"/>
      <c r="I13" s="398" t="n">
        <f aca="false">IF(H13=0,0,VLOOKUP(G13,'Country equity risk premiums'!$A$5:$D$181,4))</f>
        <v>0</v>
      </c>
      <c r="J13" s="398" t="n">
        <f aca="false">IF(H13&gt;0,H13/$H$18,)</f>
        <v>0</v>
      </c>
      <c r="K13" s="398" t="n">
        <f aca="false">IF(J13=0,0,I13*J13)</f>
        <v>0</v>
      </c>
      <c r="M13" s="399"/>
      <c r="N13" s="399"/>
      <c r="O13" s="399"/>
      <c r="P13" s="399"/>
      <c r="Q13" s="399"/>
    </row>
    <row r="14" s="288" customFormat="true" ht="15" hidden="false" customHeight="true" outlineLevel="0" collapsed="false">
      <c r="A14" s="401"/>
      <c r="B14" s="401"/>
      <c r="C14" s="401"/>
      <c r="D14" s="401"/>
      <c r="E14" s="401"/>
      <c r="F14" s="392"/>
      <c r="G14" s="397"/>
      <c r="H14" s="397"/>
      <c r="I14" s="398" t="n">
        <f aca="false">IF(H14=0,0,VLOOKUP(G14,'Country equity risk premiums'!$A$5:$D$181,4))</f>
        <v>0</v>
      </c>
      <c r="J14" s="398" t="n">
        <f aca="false">IF(H14&gt;0,H14/$H$18,)</f>
        <v>0</v>
      </c>
      <c r="K14" s="398" t="n">
        <f aca="false">IF(J14=0,0,I14*J14)</f>
        <v>0</v>
      </c>
      <c r="M14" s="399"/>
      <c r="N14" s="399"/>
      <c r="O14" s="399"/>
      <c r="P14" s="399"/>
      <c r="Q14" s="399"/>
    </row>
    <row r="15" s="288" customFormat="true" ht="15" hidden="false" customHeight="true" outlineLevel="0" collapsed="false">
      <c r="A15" s="405" t="s">
        <v>441</v>
      </c>
      <c r="B15" s="405"/>
      <c r="C15" s="405"/>
      <c r="D15" s="405"/>
      <c r="E15" s="405"/>
      <c r="F15" s="405"/>
      <c r="G15" s="397"/>
      <c r="H15" s="397"/>
      <c r="I15" s="398" t="n">
        <f aca="false">IF(H15=0,0,VLOOKUP(G15,'Country equity risk premiums'!$A$5:$D$181,4))</f>
        <v>0</v>
      </c>
      <c r="J15" s="398" t="n">
        <f aca="false">IF(H15&gt;0,H15/$H$18,)</f>
        <v>0</v>
      </c>
      <c r="K15" s="398" t="n">
        <f aca="false">IF(J15=0,0,I15*J15)</f>
        <v>0</v>
      </c>
      <c r="M15" s="399"/>
      <c r="N15" s="399"/>
      <c r="O15" s="399"/>
      <c r="P15" s="399"/>
      <c r="Q15" s="399"/>
    </row>
    <row r="16" s="288" customFormat="true" ht="15" hidden="false" customHeight="true" outlineLevel="0" collapsed="false">
      <c r="A16" s="396" t="s">
        <v>284</v>
      </c>
      <c r="B16" s="406"/>
      <c r="C16" s="407"/>
      <c r="D16" s="396"/>
      <c r="E16" s="396"/>
      <c r="F16" s="396"/>
      <c r="G16" s="408" t="s">
        <v>442</v>
      </c>
      <c r="H16" s="397" t="n">
        <v>5911</v>
      </c>
      <c r="I16" s="409" t="n">
        <v>0.0729</v>
      </c>
      <c r="J16" s="398" t="n">
        <f aca="false">IF(H16&gt;0,H16/$H$18,)</f>
        <v>0.219299547377013</v>
      </c>
      <c r="K16" s="398" t="n">
        <f aca="false">IF(J16=0,0,I16*J16)</f>
        <v>0.0159869370037842</v>
      </c>
      <c r="M16" s="399"/>
      <c r="N16" s="399"/>
      <c r="O16" s="399"/>
      <c r="P16" s="399"/>
      <c r="Q16" s="399"/>
    </row>
    <row r="17" s="288" customFormat="true" ht="15" hidden="false" customHeight="true" outlineLevel="0" collapsed="false">
      <c r="A17" s="328" t="s">
        <v>443</v>
      </c>
      <c r="B17" s="410"/>
      <c r="G17" s="408"/>
      <c r="H17" s="397"/>
      <c r="I17" s="408"/>
      <c r="J17" s="398" t="n">
        <f aca="false">IF(H17&gt;0,H17/$H$18,)</f>
        <v>0</v>
      </c>
      <c r="K17" s="398" t="n">
        <f aca="false">IF(J17=0,0,I17*J17)</f>
        <v>0</v>
      </c>
      <c r="M17" s="399"/>
      <c r="N17" s="399"/>
      <c r="O17" s="399"/>
      <c r="P17" s="399"/>
      <c r="Q17" s="399"/>
    </row>
    <row r="18" s="288" customFormat="true" ht="15" hidden="false" customHeight="true" outlineLevel="0" collapsed="false">
      <c r="A18" s="288" t="s">
        <v>444</v>
      </c>
      <c r="B18" s="411" t="n">
        <f aca="false">'Input sheet'!B20</f>
        <v>2470</v>
      </c>
      <c r="G18" s="412" t="s">
        <v>445</v>
      </c>
      <c r="H18" s="412" t="n">
        <f aca="false">SUM(H5:H17)</f>
        <v>26954</v>
      </c>
      <c r="I18" s="412"/>
      <c r="J18" s="398" t="n">
        <f aca="false">SUM(J5:J17)</f>
        <v>1</v>
      </c>
      <c r="K18" s="398" t="n">
        <f aca="false">SUM(K5:K17)</f>
        <v>0.0622597789504969</v>
      </c>
      <c r="M18" s="399"/>
      <c r="N18" s="399"/>
      <c r="O18" s="399"/>
      <c r="P18" s="399"/>
      <c r="Q18" s="399"/>
    </row>
    <row r="19" s="288" customFormat="true" ht="15" hidden="false" customHeight="true" outlineLevel="0" collapsed="false">
      <c r="A19" s="288" t="s">
        <v>446</v>
      </c>
      <c r="B19" s="340" t="n">
        <f aca="false">'Input sheet'!B21</f>
        <v>409</v>
      </c>
      <c r="G19" s="393" t="s">
        <v>447</v>
      </c>
      <c r="M19" s="399"/>
      <c r="N19" s="399"/>
      <c r="O19" s="399"/>
      <c r="P19" s="399"/>
      <c r="Q19" s="399"/>
    </row>
    <row r="20" s="288" customFormat="true" ht="15" hidden="false" customHeight="true" outlineLevel="0" collapsed="false">
      <c r="G20" s="339" t="s">
        <v>448</v>
      </c>
      <c r="H20" s="339" t="s">
        <v>18</v>
      </c>
      <c r="I20" s="339" t="s">
        <v>432</v>
      </c>
      <c r="J20" s="339" t="s">
        <v>433</v>
      </c>
      <c r="K20" s="339" t="s">
        <v>434</v>
      </c>
    </row>
    <row r="21" s="288" customFormat="true" ht="15" hidden="false" customHeight="true" outlineLevel="0" collapsed="false">
      <c r="A21" s="288" t="s">
        <v>449</v>
      </c>
      <c r="B21" s="397" t="s">
        <v>450</v>
      </c>
      <c r="G21" s="339" t="str">
        <f aca="false">'Country equity risk premiums'!A185</f>
        <v>Africa</v>
      </c>
      <c r="H21" s="397"/>
      <c r="I21" s="413" t="n">
        <f aca="false">'Country equity risk premiums'!B185</f>
        <v>0.148858424808081</v>
      </c>
      <c r="J21" s="398" t="n">
        <f aca="false">H21/$H$32</f>
        <v>0</v>
      </c>
      <c r="K21" s="414" t="n">
        <f aca="false">I21*J21</f>
        <v>0</v>
      </c>
    </row>
    <row r="22" s="288" customFormat="true" ht="15" hidden="false" customHeight="true" outlineLevel="0" collapsed="false">
      <c r="A22" s="288" t="s">
        <v>451</v>
      </c>
      <c r="B22" s="415" t="n">
        <v>1.2</v>
      </c>
      <c r="G22" s="339" t="str">
        <f aca="false">'Country equity risk premiums'!A186</f>
        <v>Asia</v>
      </c>
      <c r="H22" s="397" t="n">
        <v>27899</v>
      </c>
      <c r="I22" s="413" t="n">
        <f aca="false">'Country equity risk premiums'!B186</f>
        <v>0.0717815466339505</v>
      </c>
      <c r="J22" s="398" t="n">
        <f aca="false">H22/$H$32</f>
        <v>0.258316898604668</v>
      </c>
      <c r="K22" s="414" t="n">
        <f aca="false">I22*J22</f>
        <v>0.0185423865035285</v>
      </c>
    </row>
    <row r="23" s="288" customFormat="true" ht="15" hidden="false" customHeight="true" outlineLevel="0" collapsed="false">
      <c r="A23" s="288" t="s">
        <v>452</v>
      </c>
      <c r="B23" s="416" t="n">
        <f aca="false">IF(B21="Single Business(US)",VLOOKUP('Input sheet'!B8,'Industry Averages(US)'!A2:G95,7),IF(B21="Multibusiness(US)",K48,IF(B21="Single Business(Global)",VLOOKUP('Input sheet'!B9,'Industry Average Beta (Global)'!A2:G95,7),'Cost of capital worksheet'!K64)))</f>
        <v>1.53426722020609</v>
      </c>
      <c r="G23" s="339" t="str">
        <f aca="false">'Country equity risk premiums'!A187</f>
        <v>Australia &amp; New Zealand</v>
      </c>
      <c r="H23" s="397"/>
      <c r="I23" s="413" t="n">
        <f aca="false">'Country equity risk premiums'!B187</f>
        <v>0.0525000166428064</v>
      </c>
      <c r="J23" s="398" t="n">
        <f aca="false">H23/$H$32</f>
        <v>0</v>
      </c>
      <c r="K23" s="414" t="n">
        <f aca="false">I23*J23</f>
        <v>0</v>
      </c>
    </row>
    <row r="24" s="288" customFormat="true" ht="15" hidden="false" customHeight="true" outlineLevel="0" collapsed="false">
      <c r="A24" s="288" t="s">
        <v>453</v>
      </c>
      <c r="B24" s="417" t="n">
        <f aca="false">'Input sheet'!B33</f>
        <v>0.036</v>
      </c>
      <c r="G24" s="339" t="str">
        <f aca="false">'Country equity risk premiums'!A188</f>
        <v>Caribbean</v>
      </c>
      <c r="H24" s="397"/>
      <c r="I24" s="413" t="n">
        <f aca="false">'Country equity risk premiums'!B188</f>
        <v>0.16440442097799</v>
      </c>
      <c r="J24" s="398" t="n">
        <f aca="false">H24/$H$32</f>
        <v>0</v>
      </c>
      <c r="K24" s="414" t="n">
        <f aca="false">I24*J24</f>
        <v>0</v>
      </c>
    </row>
    <row r="25" s="288" customFormat="true" ht="15" hidden="false" customHeight="true" outlineLevel="0" collapsed="false">
      <c r="A25" s="288" t="s">
        <v>454</v>
      </c>
      <c r="B25" s="418" t="s">
        <v>455</v>
      </c>
      <c r="G25" s="339" t="str">
        <f aca="false">'Country equity risk premiums'!A189</f>
        <v>Central and South America</v>
      </c>
      <c r="H25" s="397"/>
      <c r="I25" s="413" t="n">
        <f aca="false">'Country equity risk premiums'!B189</f>
        <v>0.118156740610255</v>
      </c>
      <c r="J25" s="398" t="n">
        <f aca="false">H25/$H$32</f>
        <v>0</v>
      </c>
      <c r="K25" s="414" t="n">
        <f aca="false">I25*J25</f>
        <v>0</v>
      </c>
    </row>
    <row r="26" s="288" customFormat="true" ht="15" hidden="false" customHeight="true" outlineLevel="0" collapsed="false">
      <c r="A26" s="288" t="s">
        <v>456</v>
      </c>
      <c r="B26" s="418" t="n">
        <v>0.06</v>
      </c>
      <c r="G26" s="339" t="str">
        <f aca="false">'Country equity risk premiums'!A190</f>
        <v>Eastern Europe &amp; Russia</v>
      </c>
      <c r="H26" s="397"/>
      <c r="I26" s="413" t="n">
        <f aca="false">'Country equity risk premiums'!B190</f>
        <v>0.130420982129121</v>
      </c>
      <c r="J26" s="398" t="n">
        <f aca="false">H26/$H$32</f>
        <v>0</v>
      </c>
      <c r="K26" s="414" t="n">
        <f aca="false">I26*J26</f>
        <v>0</v>
      </c>
    </row>
    <row r="27" s="288" customFormat="true" ht="15" hidden="false" customHeight="true" outlineLevel="0" collapsed="false">
      <c r="A27" s="288" t="s">
        <v>457</v>
      </c>
      <c r="B27" s="419" t="n">
        <f aca="false">IF(B25="Will Input",B26,IF(B25="Country of Incorporation",VLOOKUP('Input sheet'!B7,'Country equity risk premiums'!A5:E181,4),IF(B25="Operating regions",'Cost of capital worksheet'!K32,'Cost of capital worksheet'!K18)))</f>
        <v>0.0622597789504969</v>
      </c>
      <c r="G27" s="339" t="str">
        <f aca="false">'Country equity risk premiums'!A191</f>
        <v>Middle East</v>
      </c>
      <c r="H27" s="397"/>
      <c r="I27" s="413" t="n">
        <f aca="false">'Country equity risk premiums'!B191</f>
        <v>0.0775624755497073</v>
      </c>
      <c r="J27" s="398" t="n">
        <f aca="false">H27/$H$32</f>
        <v>0</v>
      </c>
      <c r="K27" s="414" t="n">
        <f aca="false">I27*J27</f>
        <v>0</v>
      </c>
    </row>
    <row r="28" s="288" customFormat="true" ht="15" hidden="false" customHeight="true" outlineLevel="0" collapsed="false">
      <c r="G28" s="339" t="str">
        <f aca="false">'Country equity risk premiums'!A192</f>
        <v>North America</v>
      </c>
      <c r="H28" s="397" t="n">
        <v>8292</v>
      </c>
      <c r="I28" s="413" t="n">
        <f aca="false">'Country equity risk premiums'!B192</f>
        <v>0.0525</v>
      </c>
      <c r="J28" s="398" t="n">
        <f aca="false">H28/$H$32</f>
        <v>0.0767756451209689</v>
      </c>
      <c r="K28" s="414" t="n">
        <f aca="false">I28*J28</f>
        <v>0.00403072136885087</v>
      </c>
    </row>
    <row r="29" s="288" customFormat="true" ht="15" hidden="false" customHeight="true" outlineLevel="0" collapsed="false">
      <c r="A29" s="328" t="s">
        <v>458</v>
      </c>
      <c r="G29" s="339" t="str">
        <f aca="false">'Country equity risk premiums'!A193</f>
        <v>Western Europe</v>
      </c>
      <c r="H29" s="397" t="n">
        <v>5389</v>
      </c>
      <c r="I29" s="413" t="n">
        <f aca="false">'Country equity risk premiums'!B193</f>
        <v>0.0675687888920606</v>
      </c>
      <c r="J29" s="398" t="n">
        <f aca="false">H29/$H$32</f>
        <v>0.049896762126978</v>
      </c>
      <c r="K29" s="414" t="n">
        <f aca="false">I29*J29</f>
        <v>0.00337146378655514</v>
      </c>
    </row>
    <row r="30" s="288" customFormat="true" ht="15" hidden="false" customHeight="true" outlineLevel="0" collapsed="false">
      <c r="A30" s="288" t="s">
        <v>459</v>
      </c>
      <c r="B30" s="340" t="n">
        <f aca="false">'Input sheet'!B14</f>
        <v>12080</v>
      </c>
      <c r="G30" s="397"/>
      <c r="H30" s="397"/>
      <c r="I30" s="420"/>
      <c r="J30" s="398" t="n">
        <f aca="false">H30/$H$32</f>
        <v>0</v>
      </c>
      <c r="K30" s="414" t="n">
        <f aca="false">I30*J30</f>
        <v>0</v>
      </c>
    </row>
    <row r="31" s="288" customFormat="true" ht="15" hidden="false" customHeight="true" outlineLevel="0" collapsed="false">
      <c r="A31" s="288" t="s">
        <v>460</v>
      </c>
      <c r="B31" s="340" t="n">
        <f aca="false">'Input sheet'!B12</f>
        <v>260</v>
      </c>
      <c r="G31" s="397" t="s">
        <v>461</v>
      </c>
      <c r="H31" s="397" t="n">
        <v>66423</v>
      </c>
      <c r="I31" s="420" t="n">
        <v>0.052</v>
      </c>
      <c r="J31" s="398" t="n">
        <f aca="false">H31/$H$32</f>
        <v>0.615010694147385</v>
      </c>
      <c r="K31" s="414" t="n">
        <f aca="false">I31*J31</f>
        <v>0.031980556095664</v>
      </c>
    </row>
    <row r="32" s="288" customFormat="true" ht="15" hidden="false" customHeight="true" outlineLevel="0" collapsed="false">
      <c r="A32" s="288" t="s">
        <v>462</v>
      </c>
      <c r="B32" s="421" t="n">
        <v>3</v>
      </c>
      <c r="G32" s="412" t="s">
        <v>445</v>
      </c>
      <c r="H32" s="412" t="n">
        <f aca="false">SUM(H21:H31)</f>
        <v>108003</v>
      </c>
      <c r="I32" s="417"/>
      <c r="J32" s="398" t="n">
        <f aca="false">SUM(J21:J31)</f>
        <v>1</v>
      </c>
      <c r="K32" s="422" t="n">
        <f aca="false">SUM(K21:K31)</f>
        <v>0.0579251277545985</v>
      </c>
    </row>
    <row r="33" s="288" customFormat="true" ht="15" hidden="false" customHeight="true" outlineLevel="0" collapsed="false">
      <c r="A33" s="288" t="s">
        <v>463</v>
      </c>
      <c r="B33" s="423" t="s">
        <v>464</v>
      </c>
    </row>
    <row r="34" s="288" customFormat="true" ht="15" hidden="false" customHeight="true" outlineLevel="0" collapsed="false">
      <c r="A34" s="288" t="s">
        <v>465</v>
      </c>
      <c r="B34" s="424" t="n">
        <v>0.04</v>
      </c>
      <c r="G34" s="392" t="s">
        <v>466</v>
      </c>
    </row>
    <row r="35" s="288" customFormat="true" ht="15" hidden="false" customHeight="true" outlineLevel="0" collapsed="false">
      <c r="A35" s="288" t="s">
        <v>467</v>
      </c>
      <c r="B35" s="423" t="s">
        <v>401</v>
      </c>
      <c r="G35" s="339" t="s">
        <v>468</v>
      </c>
      <c r="H35" s="339" t="s">
        <v>18</v>
      </c>
      <c r="I35" s="339" t="s">
        <v>469</v>
      </c>
      <c r="J35" s="339" t="s">
        <v>470</v>
      </c>
      <c r="K35" s="339" t="s">
        <v>471</v>
      </c>
      <c r="L35" s="339" t="s">
        <v>148</v>
      </c>
    </row>
    <row r="36" s="288" customFormat="true" ht="15" hidden="false" customHeight="true" outlineLevel="0" collapsed="false">
      <c r="A36" s="288" t="s">
        <v>472</v>
      </c>
      <c r="B36" s="423" t="n">
        <v>2</v>
      </c>
      <c r="G36" s="397" t="s">
        <v>14</v>
      </c>
      <c r="H36" s="425" t="n">
        <v>25878</v>
      </c>
      <c r="I36" s="426" t="n">
        <f aca="false">IF(G36=0,,VLOOKUP(G36,'Industry Averages(US)'!$A$2:$S$95,15))</f>
        <v>4.97579828260699</v>
      </c>
      <c r="J36" s="427" t="n">
        <f aca="false">H36*I36</f>
        <v>128763.707957304</v>
      </c>
      <c r="K36" s="428" t="n">
        <f aca="false">IF(I36=0,0,VLOOKUP(G36,'Industry Averages(US)'!$A$2:$S$95,7))</f>
        <v>1.53426722020609</v>
      </c>
      <c r="L36" s="429" t="n">
        <f aca="false">IF(I36=0,0,VLOOKUP(G36,'Industry Averages(US)'!$A$2:$S$95,13))</f>
        <v>0.124878816118524</v>
      </c>
    </row>
    <row r="37" s="288" customFormat="true" ht="15" hidden="false" customHeight="true" outlineLevel="0" collapsed="false">
      <c r="A37" s="288" t="s">
        <v>340</v>
      </c>
      <c r="B37" s="419" t="n">
        <f aca="false">IF(B33="Direct Input",B34,IF(B33="Synthetic Rating",'Synthetic rating'!D16,B24+VLOOKUP('Cost of capital worksheet'!B35,'Synthetic rating'!G42:H56,2)))</f>
        <v>0.0502</v>
      </c>
      <c r="G37" s="397"/>
      <c r="H37" s="425"/>
      <c r="I37" s="426" t="n">
        <f aca="false">IF(G37=0,,VLOOKUP(G37,'Industry Averages(US)'!$A$2:$S$95,15))</f>
        <v>0</v>
      </c>
      <c r="J37" s="427" t="n">
        <f aca="false">H37*I37</f>
        <v>0</v>
      </c>
      <c r="K37" s="428" t="n">
        <f aca="false">IF(I37=0,0,VLOOKUP(G37,'Industry Averages(US)'!$A$2:$S$95,7))</f>
        <v>0</v>
      </c>
      <c r="L37" s="429" t="n">
        <f aca="false">IF(I37=0,0,VLOOKUP(G37,'Industry Averages(US)'!$A$2:$S$95,13))</f>
        <v>0</v>
      </c>
    </row>
    <row r="38" s="288" customFormat="true" ht="15" hidden="false" customHeight="true" outlineLevel="0" collapsed="false">
      <c r="A38" s="288" t="s">
        <v>473</v>
      </c>
      <c r="B38" s="430" t="n">
        <f aca="false">'Input sheet'!B23</f>
        <v>0.25</v>
      </c>
      <c r="G38" s="397"/>
      <c r="H38" s="425"/>
      <c r="I38" s="426" t="n">
        <f aca="false">IF(G38=0,,VLOOKUP(G38,'Industry Averages(US)'!$A$2:$S$95,15))</f>
        <v>0</v>
      </c>
      <c r="J38" s="427" t="n">
        <f aca="false">H38*I38</f>
        <v>0</v>
      </c>
      <c r="K38" s="428" t="n">
        <f aca="false">IF(I38=0,0,VLOOKUP(G38,'Industry Averages(US)'!$A$2:$S$95,7))</f>
        <v>0</v>
      </c>
      <c r="L38" s="429" t="n">
        <f aca="false">IF(I38=0,0,VLOOKUP(G38,'Industry Averages(US)'!$A$2:$S$95,13))</f>
        <v>0</v>
      </c>
    </row>
    <row r="39" s="288" customFormat="true" ht="15" hidden="false" customHeight="true" outlineLevel="0" collapsed="false">
      <c r="G39" s="397"/>
      <c r="H39" s="425"/>
      <c r="I39" s="426" t="n">
        <f aca="false">IF(G39=0,,VLOOKUP(G39,'Industry Averages(US)'!$A$2:$S$95,15))</f>
        <v>0</v>
      </c>
      <c r="J39" s="427" t="n">
        <f aca="false">H39*I39</f>
        <v>0</v>
      </c>
      <c r="K39" s="428" t="n">
        <f aca="false">IF(I39=0,0,VLOOKUP(G39,'Industry Averages(US)'!$A$2:$S$95,7))</f>
        <v>0</v>
      </c>
      <c r="L39" s="429" t="n">
        <f aca="false">IF(I39=0,0,VLOOKUP(G39,'Industry Averages(US)'!$A$2:$S$95,13))</f>
        <v>0</v>
      </c>
    </row>
    <row r="40" s="431" customFormat="true" ht="15" hidden="false" customHeight="true" outlineLevel="0" collapsed="false">
      <c r="A40" s="288" t="s">
        <v>474</v>
      </c>
      <c r="B40" s="421" t="n">
        <v>0</v>
      </c>
      <c r="C40" s="288"/>
      <c r="D40" s="288"/>
      <c r="E40" s="288"/>
      <c r="F40" s="288"/>
      <c r="G40" s="397"/>
      <c r="H40" s="425"/>
      <c r="I40" s="426" t="n">
        <f aca="false">IF(G40=0,,VLOOKUP(G40,'Industry Averages(US)'!$A$2:$S$95,15))</f>
        <v>0</v>
      </c>
      <c r="J40" s="427" t="n">
        <f aca="false">H40*I40</f>
        <v>0</v>
      </c>
      <c r="K40" s="428" t="n">
        <f aca="false">IF(I40=0,0,VLOOKUP(G40,'Industry Averages(US)'!$A$2:$S$95,7))</f>
        <v>0</v>
      </c>
      <c r="L40" s="429" t="n">
        <f aca="false">IF(I40=0,0,VLOOKUP(G40,'Industry Averages(US)'!$A$2:$S$95,13))</f>
        <v>0</v>
      </c>
    </row>
    <row r="41" s="288" customFormat="true" ht="15" hidden="false" customHeight="true" outlineLevel="0" collapsed="false">
      <c r="A41" s="288" t="s">
        <v>475</v>
      </c>
      <c r="B41" s="421" t="n">
        <v>0</v>
      </c>
      <c r="G41" s="397"/>
      <c r="H41" s="425"/>
      <c r="I41" s="426" t="n">
        <f aca="false">IF(G41=0,,VLOOKUP(G41,'Industry Averages(US)'!$A$2:$S$95,15))</f>
        <v>0</v>
      </c>
      <c r="J41" s="427" t="n">
        <f aca="false">H41*I41</f>
        <v>0</v>
      </c>
      <c r="K41" s="428" t="n">
        <f aca="false">IF(I41=0,0,VLOOKUP(G41,'Industry Averages(US)'!$A$2:$S$95,7))</f>
        <v>0</v>
      </c>
      <c r="L41" s="429" t="n">
        <f aca="false">IF(I41=0,0,VLOOKUP(G41,'Industry Averages(US)'!$A$2:$S$95,13))</f>
        <v>0</v>
      </c>
    </row>
    <row r="42" s="288" customFormat="true" ht="15" hidden="false" customHeight="true" outlineLevel="0" collapsed="false">
      <c r="A42" s="288" t="s">
        <v>476</v>
      </c>
      <c r="B42" s="421" t="n">
        <v>0</v>
      </c>
      <c r="G42" s="397"/>
      <c r="H42" s="425"/>
      <c r="I42" s="426" t="n">
        <f aca="false">IF(G42=0,,VLOOKUP(G42,'Industry Averages(US)'!$A$2:$S$95,15))</f>
        <v>0</v>
      </c>
      <c r="J42" s="427" t="n">
        <f aca="false">H42*I42</f>
        <v>0</v>
      </c>
      <c r="K42" s="428" t="n">
        <f aca="false">IF(I42=0,0,VLOOKUP(G42,'Industry Averages(US)'!$A$2:$S$95,7))</f>
        <v>0</v>
      </c>
      <c r="L42" s="429" t="n">
        <f aca="false">IF(I42=0,0,VLOOKUP(G42,'Industry Averages(US)'!$A$2:$S$95,13))</f>
        <v>0</v>
      </c>
    </row>
    <row r="43" s="288" customFormat="true" ht="15" hidden="false" customHeight="true" outlineLevel="0" collapsed="false">
      <c r="A43" s="288" t="s">
        <v>477</v>
      </c>
      <c r="B43" s="421" t="n">
        <v>0</v>
      </c>
      <c r="G43" s="397"/>
      <c r="H43" s="425"/>
      <c r="I43" s="426" t="n">
        <f aca="false">IF(G43=0,,VLOOKUP(G43,'Industry Averages(US)'!$A$2:$S$95,15))</f>
        <v>0</v>
      </c>
      <c r="J43" s="427" t="n">
        <f aca="false">H43*I43</f>
        <v>0</v>
      </c>
      <c r="K43" s="428" t="n">
        <f aca="false">IF(I43=0,0,VLOOKUP(G43,'Industry Averages(US)'!$A$2:$S$95,7))</f>
        <v>0</v>
      </c>
      <c r="L43" s="429" t="n">
        <f aca="false">IF(I43=0,0,VLOOKUP(G43,'Industry Averages(US)'!$A$2:$S$95,13))</f>
        <v>0</v>
      </c>
    </row>
    <row r="44" customFormat="false" ht="13.5" hidden="false" customHeight="true" outlineLevel="0" collapsed="false">
      <c r="A44" s="288"/>
      <c r="B44" s="288"/>
      <c r="C44" s="288"/>
      <c r="D44" s="288"/>
      <c r="E44" s="288"/>
      <c r="F44" s="288"/>
      <c r="G44" s="397"/>
      <c r="H44" s="425"/>
      <c r="I44" s="426" t="n">
        <f aca="false">IF(G44=0,,VLOOKUP(G44,'Industry Averages(US)'!$A$2:$S$95,15))</f>
        <v>0</v>
      </c>
      <c r="J44" s="427" t="n">
        <f aca="false">H44*I44</f>
        <v>0</v>
      </c>
      <c r="K44" s="428" t="n">
        <f aca="false">IF(I44=0,0,VLOOKUP(G44,'Industry Averages(US)'!$A$2:$S$95,7))</f>
        <v>0</v>
      </c>
      <c r="L44" s="429" t="n">
        <f aca="false">IF(I44=0,0,VLOOKUP(G44,'Industry Averages(US)'!$A$2:$S$95,13))</f>
        <v>0</v>
      </c>
      <c r="M44" s="432" t="s">
        <v>478</v>
      </c>
      <c r="N44" s="432"/>
      <c r="O44" s="432"/>
    </row>
    <row r="45" customFormat="false" ht="13.5" hidden="false" customHeight="false" outlineLevel="0" collapsed="false">
      <c r="A45" s="288" t="s">
        <v>479</v>
      </c>
      <c r="B45" s="340" t="n">
        <f aca="false">IF('Input sheet'!B16="Yes",'Operating lease converter'!F33,0)</f>
        <v>0</v>
      </c>
      <c r="C45" s="288"/>
      <c r="D45" s="288"/>
      <c r="E45" s="288"/>
      <c r="F45" s="288"/>
      <c r="G45" s="397"/>
      <c r="H45" s="425"/>
      <c r="I45" s="426" t="n">
        <f aca="false">IF(G45=0,,VLOOKUP(G45,'Industry Averages(US)'!$A$2:$S$95,15))</f>
        <v>0</v>
      </c>
      <c r="J45" s="427" t="n">
        <f aca="false">H45*I45</f>
        <v>0</v>
      </c>
      <c r="K45" s="428" t="n">
        <f aca="false">IF(I45=0,0,VLOOKUP(G45,'Industry Averages(US)'!$A$2:$S$95,7))</f>
        <v>0</v>
      </c>
      <c r="L45" s="429" t="n">
        <f aca="false">IF(I45=0,0,VLOOKUP(G45,'Industry Averages(US)'!$A$2:$S$95,13))</f>
        <v>0</v>
      </c>
      <c r="M45" s="432"/>
      <c r="N45" s="432"/>
      <c r="O45" s="432"/>
    </row>
    <row r="46" customFormat="false" ht="13.5" hidden="false" customHeight="false" outlineLevel="0" collapsed="false">
      <c r="A46" s="288"/>
      <c r="B46" s="288"/>
      <c r="C46" s="288"/>
      <c r="D46" s="288"/>
      <c r="E46" s="288"/>
      <c r="F46" s="288"/>
      <c r="G46" s="397"/>
      <c r="H46" s="425"/>
      <c r="I46" s="426" t="n">
        <f aca="false">IF(G46=0,,VLOOKUP(G46,'Industry Averages(US)'!$A$2:$S$95,15))</f>
        <v>0</v>
      </c>
      <c r="J46" s="427" t="n">
        <f aca="false">H46*I46</f>
        <v>0</v>
      </c>
      <c r="K46" s="428" t="n">
        <f aca="false">IF(I46=0,0,VLOOKUP(G46,'Industry Averages(US)'!$A$2:$S$95,7))</f>
        <v>0</v>
      </c>
      <c r="L46" s="429" t="n">
        <f aca="false">IF(I46=0,0,VLOOKUP(G46,'Industry Averages(US)'!$A$2:$S$95,13))</f>
        <v>0</v>
      </c>
      <c r="M46" s="432"/>
      <c r="N46" s="432"/>
      <c r="O46" s="432"/>
    </row>
    <row r="47" customFormat="false" ht="13.5" hidden="false" customHeight="false" outlineLevel="0" collapsed="false">
      <c r="A47" s="328" t="s">
        <v>480</v>
      </c>
      <c r="B47" s="288"/>
      <c r="C47" s="288"/>
      <c r="D47" s="288"/>
      <c r="E47" s="288"/>
      <c r="F47" s="288"/>
      <c r="G47" s="397"/>
      <c r="H47" s="425"/>
      <c r="I47" s="426" t="n">
        <f aca="false">IF(G47=0,,VLOOKUP(G47,'Industry Averages(US)'!$A$2:$S$95,15))</f>
        <v>0</v>
      </c>
      <c r="J47" s="427" t="n">
        <f aca="false">H47*I47</f>
        <v>0</v>
      </c>
      <c r="K47" s="428" t="n">
        <f aca="false">IF(I47=0,0,VLOOKUP(G47,'Industry Averages(US)'!$A$2:$S$95,7))</f>
        <v>0</v>
      </c>
      <c r="L47" s="429" t="n">
        <f aca="false">IF(I47=0,0,VLOOKUP(G47,'Industry Averages(US)'!$A$2:$S$95,13))</f>
        <v>0</v>
      </c>
      <c r="M47" s="432"/>
      <c r="N47" s="432"/>
      <c r="O47" s="432"/>
    </row>
    <row r="48" customFormat="false" ht="13.5" hidden="false" customHeight="false" outlineLevel="0" collapsed="false">
      <c r="A48" s="288" t="s">
        <v>481</v>
      </c>
      <c r="B48" s="421" t="n">
        <v>0</v>
      </c>
      <c r="C48" s="288"/>
      <c r="D48" s="288"/>
      <c r="E48" s="288"/>
      <c r="F48" s="288"/>
      <c r="G48" s="433" t="s">
        <v>40</v>
      </c>
      <c r="H48" s="434" t="n">
        <f aca="false">SUM(H36:H47)</f>
        <v>25878</v>
      </c>
      <c r="I48" s="435"/>
      <c r="J48" s="427" t="n">
        <f aca="false">SUM(J36:J47)</f>
        <v>128763.707957304</v>
      </c>
      <c r="K48" s="436" t="n">
        <f aca="false">K36*(J36/J48)+K37*J37/J48+K38*J38/J48+K39*J39/J48+K40*J40/J48+K41*J41/J48+K42*J42/J48+K43*J43/J48+K44*J44/J48+K45*J45/J48+K46*J46/J48+K47*J47/J48</f>
        <v>1.53426722020609</v>
      </c>
      <c r="L48" s="437" t="n">
        <f aca="false">L36*(J36/J48)+L37*J37/J48+L38*J38/J48+L39*J39/J48+L40*J40/J48+L41*J41/J48+L42*J42/J48+L43*J43/J48+L44*J44/J48+L45*J45/J48+L46*J46/J48+L47*J47/J48</f>
        <v>0.124878816118524</v>
      </c>
      <c r="M48" s="432"/>
      <c r="N48" s="432"/>
      <c r="O48" s="432"/>
    </row>
    <row r="49" customFormat="false" ht="13.5" hidden="false" customHeight="false" outlineLevel="0" collapsed="false">
      <c r="A49" s="288" t="s">
        <v>482</v>
      </c>
      <c r="B49" s="421" t="n">
        <v>70</v>
      </c>
      <c r="C49" s="288"/>
      <c r="D49" s="288"/>
      <c r="E49" s="288"/>
      <c r="F49" s="288"/>
    </row>
    <row r="50" customFormat="false" ht="18" hidden="false" customHeight="false" outlineLevel="0" collapsed="false">
      <c r="A50" s="288" t="s">
        <v>483</v>
      </c>
      <c r="B50" s="421" t="n">
        <v>5</v>
      </c>
      <c r="C50" s="288"/>
      <c r="D50" s="288"/>
      <c r="E50" s="288"/>
      <c r="F50" s="288"/>
      <c r="G50" s="438" t="s">
        <v>484</v>
      </c>
    </row>
    <row r="51" customFormat="false" ht="13.5" hidden="false" customHeight="false" outlineLevel="0" collapsed="false">
      <c r="A51" s="288"/>
      <c r="B51" s="288"/>
      <c r="C51" s="288"/>
      <c r="D51" s="288"/>
      <c r="E51" s="288"/>
      <c r="F51" s="288"/>
      <c r="G51" s="339" t="s">
        <v>468</v>
      </c>
      <c r="H51" s="339" t="s">
        <v>18</v>
      </c>
      <c r="I51" s="339" t="s">
        <v>469</v>
      </c>
      <c r="J51" s="339" t="s">
        <v>470</v>
      </c>
      <c r="K51" s="339" t="s">
        <v>471</v>
      </c>
      <c r="L51" s="339" t="s">
        <v>148</v>
      </c>
    </row>
    <row r="52" customFormat="false" ht="13.5" hidden="false" customHeight="false" outlineLevel="0" collapsed="false">
      <c r="A52" s="396" t="s">
        <v>339</v>
      </c>
      <c r="B52" s="288"/>
      <c r="C52" s="288"/>
      <c r="D52" s="288"/>
      <c r="E52" s="288"/>
      <c r="F52" s="288"/>
      <c r="G52" s="397" t="s">
        <v>14</v>
      </c>
      <c r="H52" s="425" t="n">
        <v>25878</v>
      </c>
      <c r="I52" s="426" t="n">
        <f aca="false">IF(G52=0,,VLOOKUP(G52,'Industry Average Beta (Global)'!$A$2:$O$95,15))</f>
        <v>3.75487961652305</v>
      </c>
      <c r="J52" s="427" t="n">
        <f aca="false">H52*I52</f>
        <v>97168.7747163835</v>
      </c>
      <c r="K52" s="426" t="n">
        <f aca="false">IF(G52=0,,VLOOKUP(G52,'Industry Average Beta (Global)'!$A$2:$O$95,7))</f>
        <v>1.67159978509862</v>
      </c>
      <c r="L52" s="429" t="n">
        <f aca="false">IF(I52=0,0,VLOOKUP(G52,'Industry Average Beta (Global)'!$A$2:$M$95,13))</f>
        <v>0.161150989323443</v>
      </c>
    </row>
    <row r="53" customFormat="false" ht="13.5" hidden="false" customHeight="false" outlineLevel="0" collapsed="false">
      <c r="A53" s="339" t="s">
        <v>485</v>
      </c>
      <c r="B53" s="339"/>
      <c r="C53" s="341" t="n">
        <f aca="false">B31*(1-(1+B37)^(-B32))/B37+B30/(1+B37)^B32</f>
        <v>11136.9767385287</v>
      </c>
      <c r="D53" s="288"/>
      <c r="E53" s="288"/>
      <c r="F53" s="288"/>
      <c r="G53" s="397"/>
      <c r="H53" s="425"/>
      <c r="I53" s="426" t="n">
        <f aca="false">IF(G53=0,,VLOOKUP(G53,'Industry Average Beta (Global)'!$A$2:$O$95,15))</f>
        <v>0</v>
      </c>
      <c r="J53" s="427" t="n">
        <f aca="false">H53*I53</f>
        <v>0</v>
      </c>
      <c r="K53" s="426" t="n">
        <f aca="false">IF(G53=0,,VLOOKUP(G53,'Industry Average Beta (Global)'!$A$2:$O$95,7))</f>
        <v>0</v>
      </c>
      <c r="L53" s="429" t="n">
        <f aca="false">IF(I53=0,0,VLOOKUP(G53,'Industry Average Beta (Global)'!$A$2:$M$95,13))</f>
        <v>0</v>
      </c>
    </row>
    <row r="54" customFormat="false" ht="13.5" hidden="false" customHeight="false" outlineLevel="0" collapsed="false">
      <c r="A54" s="339" t="s">
        <v>486</v>
      </c>
      <c r="B54" s="339"/>
      <c r="C54" s="341" t="n">
        <f aca="false">B41*(1-(1+B37)^(-B42))/B37+B40/(1+B37)^B42</f>
        <v>0</v>
      </c>
      <c r="D54" s="288"/>
      <c r="E54" s="288"/>
      <c r="F54" s="288"/>
      <c r="G54" s="397"/>
      <c r="H54" s="425"/>
      <c r="I54" s="426" t="n">
        <f aca="false">IF(G54=0,,VLOOKUP(G54,'Industry Average Beta (Global)'!$A$2:$O$95,15))</f>
        <v>0</v>
      </c>
      <c r="J54" s="427" t="n">
        <f aca="false">H54*I54</f>
        <v>0</v>
      </c>
      <c r="K54" s="426" t="n">
        <f aca="false">IF(G54=0,,VLOOKUP(G54,'Industry Average Beta (Global)'!$A$2:$O$95,7))</f>
        <v>0</v>
      </c>
      <c r="L54" s="429" t="n">
        <f aca="false">IF(I54=0,0,VLOOKUP(G54,'Industry Average Beta (Global)'!$A$2:$M$95,13))</f>
        <v>0</v>
      </c>
    </row>
    <row r="55" customFormat="false" ht="13.5" hidden="false" customHeight="false" outlineLevel="0" collapsed="false">
      <c r="A55" s="339" t="s">
        <v>487</v>
      </c>
      <c r="B55" s="339"/>
      <c r="C55" s="341" t="n">
        <f aca="false">B45</f>
        <v>0</v>
      </c>
      <c r="D55" s="288"/>
      <c r="E55" s="288"/>
      <c r="F55" s="288"/>
      <c r="G55" s="397"/>
      <c r="H55" s="425"/>
      <c r="I55" s="426" t="n">
        <f aca="false">IF(G55=0,,VLOOKUP(G55,'Industry Average Beta (Global)'!$A$2:$O$95,15))</f>
        <v>0</v>
      </c>
      <c r="J55" s="427" t="n">
        <f aca="false">H55*I55</f>
        <v>0</v>
      </c>
      <c r="K55" s="426" t="n">
        <f aca="false">IF(G55=0,,VLOOKUP(G55,'Industry Average Beta (Global)'!$A$2:$O$95,7))</f>
        <v>0</v>
      </c>
      <c r="L55" s="429" t="n">
        <f aca="false">IF(I55=0,0,VLOOKUP(G55,'Industry Average Beta (Global)'!$A$2:$M$95,13))</f>
        <v>0</v>
      </c>
    </row>
    <row r="56" customFormat="false" ht="13.5" hidden="false" customHeight="false" outlineLevel="0" collapsed="false">
      <c r="A56" s="339" t="s">
        <v>488</v>
      </c>
      <c r="B56" s="339"/>
      <c r="C56" s="341" t="n">
        <f aca="false">B43-C54</f>
        <v>0</v>
      </c>
      <c r="D56" s="288"/>
      <c r="E56" s="288"/>
      <c r="F56" s="288"/>
      <c r="G56" s="397"/>
      <c r="H56" s="425"/>
      <c r="I56" s="426" t="n">
        <f aca="false">IF(G56=0,,VLOOKUP(G56,'Industry Average Beta (Global)'!$A$2:$O$95,15))</f>
        <v>0</v>
      </c>
      <c r="J56" s="427" t="n">
        <f aca="false">H56*I56</f>
        <v>0</v>
      </c>
      <c r="K56" s="426" t="n">
        <f aca="false">IF(G56=0,,VLOOKUP(G56,'Industry Average Beta (Global)'!$A$2:$O$95,7))</f>
        <v>0</v>
      </c>
      <c r="L56" s="429" t="n">
        <f aca="false">IF(I56=0,0,VLOOKUP(G56,'Industry Average Beta (Global)'!$A$2:$M$95,13))</f>
        <v>0</v>
      </c>
    </row>
    <row r="57" customFormat="false" ht="13.5" hidden="false" customHeight="false" outlineLevel="0" collapsed="false">
      <c r="A57" s="339" t="s">
        <v>489</v>
      </c>
      <c r="B57" s="339"/>
      <c r="C57" s="439" t="n">
        <f aca="false">IF(B21="Direct Input",B22,B23*(1+(1-B38)*(C60/B60)))</f>
        <v>1.54695277078031</v>
      </c>
      <c r="D57" s="288"/>
      <c r="E57" s="288"/>
      <c r="F57" s="288"/>
      <c r="G57" s="397"/>
      <c r="H57" s="425"/>
      <c r="I57" s="426" t="n">
        <f aca="false">IF(G57=0,,VLOOKUP(G57,'Industry Average Beta (Global)'!$A$2:$O$95,15))</f>
        <v>0</v>
      </c>
      <c r="J57" s="427" t="n">
        <f aca="false">H57*I57</f>
        <v>0</v>
      </c>
      <c r="K57" s="426" t="n">
        <f aca="false">IF(G57=0,,VLOOKUP(G57,'Industry Average Beta (Global)'!$A$2:$O$95,7))</f>
        <v>0</v>
      </c>
      <c r="L57" s="429" t="n">
        <f aca="false">IF(I57=0,0,VLOOKUP(G57,'Industry Average Beta (Global)'!$A$2:$M$95,13))</f>
        <v>0</v>
      </c>
    </row>
    <row r="58" customFormat="false" ht="13.5" hidden="false" customHeight="false" outlineLevel="0" collapsed="false">
      <c r="A58" s="288"/>
      <c r="B58" s="288"/>
      <c r="C58" s="439"/>
      <c r="D58" s="288"/>
      <c r="E58" s="288"/>
      <c r="F58" s="288"/>
      <c r="G58" s="397"/>
      <c r="H58" s="425"/>
      <c r="I58" s="426" t="n">
        <f aca="false">IF(G58=0,,VLOOKUP(G58,'Industry Average Beta (Global)'!$A$2:$O$95,15))</f>
        <v>0</v>
      </c>
      <c r="J58" s="427" t="n">
        <f aca="false">H58*I58</f>
        <v>0</v>
      </c>
      <c r="K58" s="426" t="n">
        <f aca="false">IF(G58=0,,VLOOKUP(G58,'Industry Average Beta (Global)'!$A$2:$O$95,7))</f>
        <v>0</v>
      </c>
      <c r="L58" s="429" t="n">
        <f aca="false">IF(I58=0,0,VLOOKUP(G58,'Industry Average Beta (Global)'!$A$2:$M$95,13))</f>
        <v>0</v>
      </c>
    </row>
    <row r="59" customFormat="false" ht="13.5" hidden="false" customHeight="false" outlineLevel="0" collapsed="false">
      <c r="A59" s="431"/>
      <c r="B59" s="440" t="s">
        <v>443</v>
      </c>
      <c r="C59" s="440" t="s">
        <v>490</v>
      </c>
      <c r="D59" s="440" t="s">
        <v>480</v>
      </c>
      <c r="E59" s="440" t="s">
        <v>491</v>
      </c>
      <c r="F59" s="431"/>
      <c r="G59" s="400"/>
      <c r="H59" s="425"/>
      <c r="I59" s="426" t="n">
        <f aca="false">IF(G59=0,,VLOOKUP(G59,'Industry Average Beta (Global)'!$A$2:$O$95,15))</f>
        <v>0</v>
      </c>
      <c r="J59" s="427" t="n">
        <f aca="false">H59*I59</f>
        <v>0</v>
      </c>
      <c r="K59" s="426" t="n">
        <f aca="false">IF(G59=0,,VLOOKUP(G59,'Industry Average Beta (Global)'!$A$2:$O$95,7))</f>
        <v>0</v>
      </c>
      <c r="L59" s="429" t="n">
        <f aca="false">IF(I59=0,0,VLOOKUP(G59,'Industry Average Beta (Global)'!$A$2:$M$95,13))</f>
        <v>0</v>
      </c>
    </row>
    <row r="60" customFormat="false" ht="13.5" hidden="false" customHeight="true" outlineLevel="0" collapsed="false">
      <c r="A60" s="339" t="s">
        <v>492</v>
      </c>
      <c r="B60" s="341" t="n">
        <f aca="false">B18*B19</f>
        <v>1010230</v>
      </c>
      <c r="C60" s="441" t="n">
        <f aca="false">C53+C54+C55</f>
        <v>11136.9767385287</v>
      </c>
      <c r="D60" s="341" t="n">
        <f aca="false">B48*B49</f>
        <v>0</v>
      </c>
      <c r="E60" s="441" t="n">
        <f aca="false">SUM(B60:D60)</f>
        <v>1021366.97673853</v>
      </c>
      <c r="F60" s="288"/>
      <c r="G60" s="397"/>
      <c r="H60" s="425"/>
      <c r="I60" s="426" t="n">
        <f aca="false">IF(G60=0,,VLOOKUP(G60,'Industry Average Beta (Global)'!$A$2:$O$95,15))</f>
        <v>0</v>
      </c>
      <c r="J60" s="427" t="n">
        <f aca="false">H60*I60</f>
        <v>0</v>
      </c>
      <c r="K60" s="426" t="n">
        <f aca="false">IF(G60=0,,VLOOKUP(G60,'Industry Average Beta (Global)'!$A$2:$O$95,7))</f>
        <v>0</v>
      </c>
      <c r="L60" s="429" t="n">
        <f aca="false">IF(I60=0,0,VLOOKUP(G60,'Industry Average Beta (Global)'!$A$2:$M$95,13))</f>
        <v>0</v>
      </c>
      <c r="M60" s="432" t="s">
        <v>478</v>
      </c>
      <c r="N60" s="432"/>
      <c r="O60" s="432"/>
    </row>
    <row r="61" customFormat="false" ht="15" hidden="false" customHeight="false" outlineLevel="0" collapsed="false">
      <c r="A61" s="339" t="s">
        <v>493</v>
      </c>
      <c r="B61" s="398" t="n">
        <f aca="false">B60/$E$60</f>
        <v>0.989096008592238</v>
      </c>
      <c r="C61" s="398" t="n">
        <f aca="false">C60/$E$60</f>
        <v>0.0109039914077619</v>
      </c>
      <c r="D61" s="398" t="n">
        <f aca="false">D60/$E$60</f>
        <v>0</v>
      </c>
      <c r="E61" s="442" t="n">
        <f aca="false">SUM(B61:D61)</f>
        <v>1</v>
      </c>
      <c r="F61" s="288"/>
      <c r="G61" s="397"/>
      <c r="H61" s="425"/>
      <c r="I61" s="426" t="n">
        <f aca="false">IF(G61=0,,VLOOKUP(G61,'Industry Average Beta (Global)'!$A$2:$O$95,15))</f>
        <v>0</v>
      </c>
      <c r="J61" s="427" t="n">
        <f aca="false">H61*I61</f>
        <v>0</v>
      </c>
      <c r="K61" s="426" t="n">
        <f aca="false">IF(G61=0,,VLOOKUP(G61,'Industry Average Beta (Global)'!$A$2:$O$95,7))</f>
        <v>0</v>
      </c>
      <c r="L61" s="429" t="n">
        <f aca="false">IF(I61=0,0,VLOOKUP(G61,'Industry Average Beta (Global)'!$A$2:$M$95,13))</f>
        <v>0</v>
      </c>
      <c r="M61" s="432"/>
      <c r="N61" s="432"/>
      <c r="O61" s="432"/>
    </row>
    <row r="62" customFormat="false" ht="15" hidden="false" customHeight="false" outlineLevel="0" collapsed="false">
      <c r="A62" s="339" t="s">
        <v>494</v>
      </c>
      <c r="B62" s="417" t="n">
        <f aca="false">B24+C57*B27</f>
        <v>0.132312937555641</v>
      </c>
      <c r="C62" s="398" t="n">
        <f aca="false">B37*(1-B38)</f>
        <v>0.03765</v>
      </c>
      <c r="D62" s="443" t="n">
        <f aca="false">B50/B49</f>
        <v>0.0714285714285714</v>
      </c>
      <c r="E62" s="444" t="n">
        <f aca="false">B61*B62+C61*C62+D61*D62</f>
        <v>0.131280733697901</v>
      </c>
      <c r="F62" s="288"/>
      <c r="G62" s="397"/>
      <c r="H62" s="425"/>
      <c r="I62" s="426" t="n">
        <f aca="false">IF(G62=0,,VLOOKUP(G62,'Industry Average Beta (Global)'!$A$2:$O$95,15))</f>
        <v>0</v>
      </c>
      <c r="J62" s="427" t="n">
        <f aca="false">H62*I62</f>
        <v>0</v>
      </c>
      <c r="K62" s="426" t="n">
        <f aca="false">IF(G62=0,,VLOOKUP(G62,'Industry Average Beta (Global)'!$A$2:$O$95,7))</f>
        <v>0</v>
      </c>
      <c r="L62" s="429" t="n">
        <f aca="false">IF(I62=0,0,VLOOKUP(G62,'Industry Average Beta (Global)'!$A$2:$M$95,13))</f>
        <v>0</v>
      </c>
      <c r="M62" s="432"/>
      <c r="N62" s="432"/>
      <c r="O62" s="432"/>
    </row>
    <row r="63" customFormat="false" ht="13.5" hidden="false" customHeight="false" outlineLevel="0" collapsed="false">
      <c r="G63" s="397"/>
      <c r="H63" s="425"/>
      <c r="I63" s="426" t="n">
        <f aca="false">IF(G63=0,,VLOOKUP(G63,'Industry Average Beta (Global)'!$A$2:$O$95,15))</f>
        <v>0</v>
      </c>
      <c r="J63" s="427" t="n">
        <f aca="false">H63*I63</f>
        <v>0</v>
      </c>
      <c r="K63" s="426" t="n">
        <f aca="false">IF(G63=0,,VLOOKUP(G63,'Industry Average Beta (Global)'!$A$2:$O$95,7))</f>
        <v>0</v>
      </c>
      <c r="L63" s="429" t="n">
        <f aca="false">IF(I63=0,0,VLOOKUP(G63,'Industry Average Beta (Global)'!$A$2:$M$95,13))</f>
        <v>0</v>
      </c>
      <c r="M63" s="432"/>
      <c r="N63" s="432"/>
      <c r="O63" s="432"/>
    </row>
    <row r="64" customFormat="false" ht="15" hidden="false" customHeight="false" outlineLevel="0" collapsed="false">
      <c r="G64" s="433" t="s">
        <v>40</v>
      </c>
      <c r="H64" s="434" t="n">
        <f aca="false">SUM(H52:H63)</f>
        <v>25878</v>
      </c>
      <c r="I64" s="435"/>
      <c r="J64" s="427" t="n">
        <f aca="false">SUM(J52:J63)</f>
        <v>97168.7747163835</v>
      </c>
      <c r="K64" s="435" t="n">
        <f aca="false">K52*(J52/J64)+K53*J53/J64+K54*J54/J64+K55*J55/J64+K56*J56/J64+K57*J57/J64+K58*J58/J64+K59*J59/J64+K60*J60/J64+K61*J61/J64+K62*J62/J64+K63*J63/J64</f>
        <v>1.67159978509862</v>
      </c>
      <c r="L64" s="437" t="n">
        <f aca="false">L52*(J52/J64)+L53*J53/J64+L54*J54/J64+L55*J55/J64+L56*J56/J64+L57*J57/J64+L58*J58/J64+L59*J59/J64+L60*J60/J64+L61*J61/J64+L62*J62/J64+L63*J63/J64</f>
        <v>0.161150989323443</v>
      </c>
      <c r="M64" s="432"/>
      <c r="N64" s="432"/>
      <c r="O64" s="432"/>
    </row>
    <row r="65" customFormat="false" ht="16.5" hidden="false" customHeight="false" outlineLevel="0" collapsed="false">
      <c r="A65" s="445" t="s">
        <v>495</v>
      </c>
      <c r="B65" s="445"/>
      <c r="C65" s="445"/>
      <c r="D65" s="445"/>
      <c r="E65" s="445"/>
      <c r="F65" s="445"/>
    </row>
    <row r="66" customFormat="false" ht="15" hidden="false" customHeight="false" outlineLevel="0" collapsed="false">
      <c r="A66" s="288" t="s">
        <v>496</v>
      </c>
      <c r="B66" s="446" t="s">
        <v>497</v>
      </c>
    </row>
    <row r="67" customFormat="false" ht="13.5" hidden="false" customHeight="false" outlineLevel="0" collapsed="false">
      <c r="A67" s="0" t="s">
        <v>498</v>
      </c>
      <c r="B67" s="447" t="n">
        <f aca="false">IF(B66="Single Business(US)",(VLOOKUP('Input sheet'!B8,'Industry Averages(US)'!A2:M95,13)+('Input sheet'!B33-3.88%)),IF(B66="Multibusiness(US)",L48+('Input sheet'!B33-3.88%),IF(B66="Single Business(Global)",(VLOOKUP('Input sheet'!B8,'Industry Average Beta (Global)'!A2:M95,13)+('Input sheet'!B33-3.88%)),L64+('Input sheet'!B33-3.88%))))</f>
        <v>0.122078816118524</v>
      </c>
    </row>
    <row r="68" customFormat="false" ht="13.5" hidden="false" customHeight="false" outlineLevel="0" collapsed="false"/>
    <row r="69" customFormat="false" ht="16.5" hidden="false" customHeight="false" outlineLevel="0" collapsed="false">
      <c r="A69" s="445" t="s">
        <v>499</v>
      </c>
      <c r="B69" s="445"/>
      <c r="C69" s="445"/>
      <c r="D69" s="445"/>
      <c r="E69" s="445"/>
      <c r="F69" s="445"/>
    </row>
    <row r="70" customFormat="false" ht="12.75" hidden="false" customHeight="false" outlineLevel="0" collapsed="false">
      <c r="A70" s="0" t="s">
        <v>500</v>
      </c>
      <c r="B70" s="448" t="s">
        <v>501</v>
      </c>
    </row>
    <row r="71" customFormat="false" ht="12.75" hidden="false" customHeight="false" outlineLevel="0" collapsed="false">
      <c r="A71" s="0" t="s">
        <v>502</v>
      </c>
      <c r="B71" s="448" t="s">
        <v>503</v>
      </c>
    </row>
    <row r="72" customFormat="false" ht="12.75" hidden="false" customHeight="false" outlineLevel="0" collapsed="false">
      <c r="A72" s="0" t="s">
        <v>504</v>
      </c>
      <c r="B72" s="437" t="n">
        <f aca="false">IF(B71="US",VLOOKUP(B70,A75:D79,2),IF(B71="Emerging Markets",VLOOKUP(B70,A75:D79,3),VLOOKUP(B70,A75:D79,4)))+('Input sheet'!B33-3.88%)</f>
        <v>0.1091</v>
      </c>
    </row>
    <row r="74" customFormat="false" ht="12.75" hidden="false" customHeight="false" outlineLevel="0" collapsed="false">
      <c r="A74" s="449" t="s">
        <v>505</v>
      </c>
      <c r="B74" s="450" t="s">
        <v>506</v>
      </c>
      <c r="C74" s="450" t="s">
        <v>507</v>
      </c>
      <c r="D74" s="450" t="s">
        <v>508</v>
      </c>
      <c r="E74" s="450" t="s">
        <v>509</v>
      </c>
      <c r="F74" s="450" t="s">
        <v>510</v>
      </c>
    </row>
    <row r="75" customFormat="false" ht="12.75" hidden="false" customHeight="false" outlineLevel="0" collapsed="false">
      <c r="A75" s="451" t="s">
        <v>511</v>
      </c>
      <c r="B75" s="452" t="n">
        <v>0.0601</v>
      </c>
      <c r="C75" s="452" t="n">
        <v>0.0808</v>
      </c>
      <c r="D75" s="452" t="n">
        <v>0.0726</v>
      </c>
      <c r="E75" s="452" t="n">
        <v>0.0771</v>
      </c>
      <c r="F75" s="452" t="n">
        <v>0.0739</v>
      </c>
    </row>
    <row r="76" customFormat="false" ht="12.75" hidden="false" customHeight="false" outlineLevel="0" collapsed="false">
      <c r="A76" s="453" t="s">
        <v>512</v>
      </c>
      <c r="B76" s="452" t="n">
        <v>0.0726</v>
      </c>
      <c r="C76" s="452" t="n">
        <v>0.0956</v>
      </c>
      <c r="D76" s="452" t="n">
        <v>0.0864</v>
      </c>
      <c r="E76" s="452" t="n">
        <v>0.0907</v>
      </c>
      <c r="F76" s="452" t="n">
        <v>0.0908</v>
      </c>
    </row>
    <row r="77" customFormat="false" ht="12.75" hidden="false" customHeight="false" outlineLevel="0" collapsed="false">
      <c r="A77" s="453" t="s">
        <v>43</v>
      </c>
      <c r="B77" s="452" t="n">
        <v>0.0963</v>
      </c>
      <c r="C77" s="452" t="n">
        <v>0.1119</v>
      </c>
      <c r="D77" s="452" t="n">
        <v>0.1041</v>
      </c>
      <c r="E77" s="452" t="n">
        <v>0.1072</v>
      </c>
      <c r="F77" s="452" t="n">
        <v>0.106</v>
      </c>
    </row>
    <row r="78" customFormat="false" ht="12.75" hidden="false" customHeight="false" outlineLevel="0" collapsed="false">
      <c r="A78" s="453" t="s">
        <v>513</v>
      </c>
      <c r="B78" s="452" t="n">
        <v>0.1088</v>
      </c>
      <c r="C78" s="452" t="n">
        <v>0.1297</v>
      </c>
      <c r="D78" s="452" t="n">
        <v>0.1202</v>
      </c>
      <c r="E78" s="452" t="n">
        <v>0.115</v>
      </c>
      <c r="F78" s="452" t="n">
        <v>0.1207</v>
      </c>
    </row>
    <row r="79" customFormat="false" ht="12.75" hidden="false" customHeight="false" outlineLevel="0" collapsed="false">
      <c r="A79" s="453" t="s">
        <v>501</v>
      </c>
      <c r="B79" s="452" t="n">
        <v>0.1163</v>
      </c>
      <c r="C79" s="452" t="n">
        <v>0.1531</v>
      </c>
      <c r="D79" s="452" t="n">
        <v>0.1425</v>
      </c>
      <c r="E79" s="452" t="n">
        <v>0.131</v>
      </c>
      <c r="F79" s="452" t="n">
        <v>0.1404</v>
      </c>
    </row>
    <row r="80" customFormat="false" ht="12.75" hidden="false" customHeight="true" outlineLevel="0" collapsed="false">
      <c r="A80" s="454" t="s">
        <v>514</v>
      </c>
      <c r="B80" s="454"/>
      <c r="C80" s="454"/>
      <c r="D80" s="454"/>
      <c r="E80" s="454"/>
      <c r="F80" s="454"/>
    </row>
    <row r="81" customFormat="false" ht="12.75" hidden="false" customHeight="false" outlineLevel="0" collapsed="false">
      <c r="A81" s="454"/>
      <c r="B81" s="454"/>
      <c r="C81" s="454"/>
      <c r="D81" s="454"/>
      <c r="E81" s="454"/>
      <c r="F81" s="454"/>
    </row>
  </sheetData>
  <mergeCells count="10">
    <mergeCell ref="A1:K2"/>
    <mergeCell ref="A3:E3"/>
    <mergeCell ref="A4:E9"/>
    <mergeCell ref="M5:Q19"/>
    <mergeCell ref="A15:F15"/>
    <mergeCell ref="M44:O48"/>
    <mergeCell ref="M60:O64"/>
    <mergeCell ref="A65:F65"/>
    <mergeCell ref="A69:F69"/>
    <mergeCell ref="A80:F81"/>
  </mergeCells>
  <dataValidations count="12">
    <dataValidation allowBlank="true" errorStyle="stop" operator="between" showDropDown="false" showErrorMessage="true" showInputMessage="true" sqref="B70" type="list">
      <formula1>$A$75:$A$79</formula1>
      <formula2>0</formula2>
    </dataValidation>
    <dataValidation allowBlank="true" errorStyle="stop" operator="between" showDropDown="false" showErrorMessage="true" showInputMessage="true" sqref="B21" type="list">
      <formula1>'Answer keys'!$F$2:$F$6</formula1>
      <formula2>0</formula2>
    </dataValidation>
    <dataValidation allowBlank="true" errorStyle="stop" operator="between" showDropDown="false" showErrorMessage="true" showInputMessage="true" sqref="B25" type="list">
      <formula1>'Answer keys'!$C$2:$C$5</formula1>
      <formula2>0</formula2>
    </dataValidation>
    <dataValidation allowBlank="true" errorStyle="stop" operator="between" showDropDown="false" showErrorMessage="true" showInputMessage="true" sqref="B33" type="list">
      <formula1>'Answer keys'!$D$2:$D$4</formula1>
      <formula2>0</formula2>
    </dataValidation>
    <dataValidation allowBlank="true" errorStyle="stop" operator="between" showDropDown="false" showErrorMessage="true" showInputMessage="true" sqref="B36" type="list">
      <formula1>'Answer keys'!$E$2:$E$3</formula1>
      <formula2>0</formula2>
    </dataValidation>
    <dataValidation allowBlank="true" errorStyle="stop" operator="between" showDropDown="false" showErrorMessage="true" showInputMessage="true" sqref="G36:G47" type="list">
      <formula1>'Industry Averages(US)'!$A$2:$A$95</formula1>
      <formula2>0</formula2>
    </dataValidation>
    <dataValidation allowBlank="true" errorStyle="stop" operator="between" showDropDown="false" showErrorMessage="true" showInputMessage="true" sqref="G52:G63" type="list">
      <formula1>'Industry Average Beta (Global)'!$A$2:$A$95</formula1>
      <formula2>0</formula2>
    </dataValidation>
    <dataValidation allowBlank="true" errorStyle="stop" operator="between" showDropDown="false" showErrorMessage="true" showInputMessage="true" sqref="B35" type="list">
      <formula1>'Answer keys'!$G$2:$G$16</formula1>
      <formula2>0</formula2>
    </dataValidation>
    <dataValidation allowBlank="true" errorStyle="stop" operator="between" showDropDown="false" showErrorMessage="true" showInputMessage="true" sqref="G5:G15" type="list">
      <formula1>'Country equity risk premiums'!$A$5:$A$181</formula1>
      <formula2>0</formula2>
    </dataValidation>
    <dataValidation allowBlank="true" errorStyle="stop" operator="between" showDropDown="false" showErrorMessage="true" showInputMessage="true" sqref="B66" type="list">
      <formula1>'Answer keys'!$F$3:$F$6</formula1>
      <formula2>0</formula2>
    </dataValidation>
    <dataValidation allowBlank="true" errorStyle="stop" operator="between" showDropDown="false" showErrorMessage="true" showInputMessage="true" sqref="B11" type="list">
      <formula1>'Answer keys'!$I$2:$I$5</formula1>
      <formula2>0</formula2>
    </dataValidation>
    <dataValidation allowBlank="true" errorStyle="stop" operator="between" showDropDown="false" showErrorMessage="true" showInputMessage="true" sqref="B71" type="list">
      <formula1>'Answer keys'!$H$2:$H$6</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X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4" activeCellId="0" sqref="A34"/>
    </sheetView>
  </sheetViews>
  <sheetFormatPr defaultColWidth="10.65234375" defaultRowHeight="12.75" zeroHeight="false" outlineLevelRow="0" outlineLevelCol="0"/>
  <sheetData>
    <row r="1" s="455" customFormat="true" ht="22.5" hidden="false" customHeight="false" outlineLevel="0" collapsed="false">
      <c r="A1" s="455" t="s">
        <v>515</v>
      </c>
    </row>
    <row r="2" s="456" customFormat="true" ht="18" hidden="false" customHeight="false" outlineLevel="0" collapsed="false">
      <c r="A2" s="456" t="s">
        <v>516</v>
      </c>
    </row>
    <row r="3" customFormat="false" ht="13.5" hidden="false" customHeight="false" outlineLevel="0" collapsed="false"/>
    <row r="4" customFormat="false" ht="15" hidden="false" customHeight="false" outlineLevel="0" collapsed="false">
      <c r="A4" s="457" t="s">
        <v>376</v>
      </c>
      <c r="B4" s="457"/>
      <c r="C4" s="457"/>
      <c r="D4" s="457"/>
      <c r="E4" s="457"/>
      <c r="F4" s="457"/>
      <c r="G4" s="457"/>
      <c r="H4" s="457"/>
      <c r="I4" s="457"/>
      <c r="J4" s="457"/>
      <c r="K4" s="457"/>
    </row>
    <row r="5" customFormat="false" ht="15.75" hidden="false" customHeight="false" outlineLevel="0" collapsed="false">
      <c r="A5" s="365" t="s">
        <v>378</v>
      </c>
      <c r="B5" s="366" t="n">
        <v>1</v>
      </c>
      <c r="C5" s="366" t="n">
        <v>2</v>
      </c>
      <c r="D5" s="366" t="n">
        <v>3</v>
      </c>
      <c r="E5" s="366" t="n">
        <v>4</v>
      </c>
      <c r="F5" s="366" t="n">
        <v>5</v>
      </c>
      <c r="G5" s="366" t="n">
        <v>6</v>
      </c>
      <c r="H5" s="366" t="n">
        <v>7</v>
      </c>
      <c r="I5" s="366" t="n">
        <v>8</v>
      </c>
      <c r="J5" s="366" t="n">
        <v>9</v>
      </c>
      <c r="K5" s="366" t="n">
        <v>10</v>
      </c>
    </row>
    <row r="6" customFormat="false" ht="15.75" hidden="false" customHeight="false" outlineLevel="0" collapsed="false">
      <c r="A6" s="367" t="s">
        <v>383</v>
      </c>
      <c r="B6" s="368" t="n">
        <v>0</v>
      </c>
      <c r="C6" s="368" t="n">
        <v>0.0003</v>
      </c>
      <c r="D6" s="368" t="n">
        <v>0.0013</v>
      </c>
      <c r="E6" s="368" t="n">
        <v>0.0024</v>
      </c>
      <c r="F6" s="368" t="n">
        <v>0.0035</v>
      </c>
      <c r="G6" s="368" t="n">
        <v>0.0045</v>
      </c>
      <c r="H6" s="368" t="n">
        <v>0.0051</v>
      </c>
      <c r="I6" s="368" t="n">
        <v>0.0059</v>
      </c>
      <c r="J6" s="368" t="n">
        <v>0.0064</v>
      </c>
      <c r="K6" s="368" t="n">
        <v>0.007</v>
      </c>
    </row>
    <row r="7" customFormat="false" ht="15.75" hidden="false" customHeight="false" outlineLevel="0" collapsed="false">
      <c r="A7" s="367" t="s">
        <v>385</v>
      </c>
      <c r="B7" s="368" t="n">
        <v>0.0002</v>
      </c>
      <c r="C7" s="368" t="n">
        <v>0.0006</v>
      </c>
      <c r="D7" s="368" t="n">
        <v>0.0012</v>
      </c>
      <c r="E7" s="368" t="n">
        <v>0.0021</v>
      </c>
      <c r="F7" s="368" t="n">
        <v>0.0031</v>
      </c>
      <c r="G7" s="368" t="n">
        <v>0.0042</v>
      </c>
      <c r="H7" s="368" t="n">
        <v>0.005</v>
      </c>
      <c r="I7" s="368" t="n">
        <v>0.0058</v>
      </c>
      <c r="J7" s="368" t="n">
        <v>0.0065</v>
      </c>
      <c r="K7" s="368" t="n">
        <v>0.0072</v>
      </c>
    </row>
    <row r="8" customFormat="false" ht="15.75" hidden="false" customHeight="false" outlineLevel="0" collapsed="false">
      <c r="A8" s="367" t="s">
        <v>387</v>
      </c>
      <c r="B8" s="368" t="n">
        <v>0.0005</v>
      </c>
      <c r="C8" s="368" t="n">
        <v>0.0014</v>
      </c>
      <c r="D8" s="368" t="n">
        <v>0.0023</v>
      </c>
      <c r="E8" s="368" t="n">
        <v>0.0035</v>
      </c>
      <c r="F8" s="368" t="n">
        <v>0.0047</v>
      </c>
      <c r="G8" s="368" t="n">
        <v>0.0062</v>
      </c>
      <c r="H8" s="368" t="n">
        <v>0.0079</v>
      </c>
      <c r="I8" s="368" t="n">
        <v>0.0093</v>
      </c>
      <c r="J8" s="368" t="n">
        <v>0.0108</v>
      </c>
      <c r="K8" s="368" t="n">
        <v>0.0124</v>
      </c>
    </row>
    <row r="9" customFormat="false" ht="15.75" hidden="false" customHeight="false" outlineLevel="0" collapsed="false">
      <c r="A9" s="367" t="s">
        <v>389</v>
      </c>
      <c r="B9" s="368" t="n">
        <v>0.0016</v>
      </c>
      <c r="C9" s="368" t="n">
        <v>0.0045</v>
      </c>
      <c r="D9" s="368" t="n">
        <v>0.0078</v>
      </c>
      <c r="E9" s="368" t="n">
        <v>0.0117</v>
      </c>
      <c r="F9" s="368" t="n">
        <v>0.0158</v>
      </c>
      <c r="G9" s="368" t="n">
        <v>0.0198</v>
      </c>
      <c r="H9" s="368" t="n">
        <v>0.0233</v>
      </c>
      <c r="I9" s="368" t="n">
        <v>0.0267</v>
      </c>
      <c r="J9" s="368" t="n">
        <v>0.03</v>
      </c>
      <c r="K9" s="368" t="n">
        <v>0.0332</v>
      </c>
    </row>
    <row r="10" customFormat="false" ht="15.75" hidden="false" customHeight="false" outlineLevel="0" collapsed="false">
      <c r="A10" s="367" t="s">
        <v>391</v>
      </c>
      <c r="B10" s="368" t="n">
        <v>0.0061</v>
      </c>
      <c r="C10" s="368" t="n">
        <v>0.0192</v>
      </c>
      <c r="D10" s="368" t="n">
        <v>0.0348</v>
      </c>
      <c r="E10" s="368" t="n">
        <v>0.0505</v>
      </c>
      <c r="F10" s="368" t="n">
        <v>0.0652</v>
      </c>
      <c r="G10" s="368" t="n">
        <v>0.0785</v>
      </c>
      <c r="H10" s="368" t="n">
        <v>0.0901</v>
      </c>
      <c r="I10" s="368" t="n">
        <v>0.1004</v>
      </c>
      <c r="J10" s="368" t="n">
        <v>0.1097</v>
      </c>
      <c r="K10" s="368" t="n">
        <v>0.1178</v>
      </c>
    </row>
    <row r="11" customFormat="false" ht="15.75" hidden="false" customHeight="false" outlineLevel="0" collapsed="false">
      <c r="A11" s="367" t="s">
        <v>393</v>
      </c>
      <c r="B11" s="368" t="n">
        <v>0.0333</v>
      </c>
      <c r="C11" s="368" t="n">
        <v>0.0771</v>
      </c>
      <c r="D11" s="368" t="n">
        <v>0.1155</v>
      </c>
      <c r="E11" s="368" t="n">
        <v>0.1458</v>
      </c>
      <c r="F11" s="368" t="n">
        <v>0.1693</v>
      </c>
      <c r="G11" s="368" t="n">
        <v>0.1883</v>
      </c>
      <c r="H11" s="368" t="n">
        <v>0.2036</v>
      </c>
      <c r="I11" s="368" t="n">
        <v>0.216</v>
      </c>
      <c r="J11" s="368" t="n">
        <v>0.227</v>
      </c>
      <c r="K11" s="368" t="n">
        <v>0.2374</v>
      </c>
    </row>
    <row r="12" customFormat="false" ht="15.75" hidden="false" customHeight="false" outlineLevel="0" collapsed="false">
      <c r="A12" s="367" t="s">
        <v>395</v>
      </c>
      <c r="B12" s="368" t="n">
        <v>0.2708</v>
      </c>
      <c r="C12" s="368" t="n">
        <v>0.3664</v>
      </c>
      <c r="D12" s="368" t="n">
        <v>0.4141</v>
      </c>
      <c r="E12" s="368" t="n">
        <v>0.441</v>
      </c>
      <c r="F12" s="368" t="n">
        <v>0.4619</v>
      </c>
      <c r="G12" s="368" t="n">
        <v>0.4709</v>
      </c>
      <c r="H12" s="368" t="n">
        <v>0.4826</v>
      </c>
      <c r="I12" s="368" t="n">
        <v>0.4905</v>
      </c>
      <c r="J12" s="368" t="n">
        <v>0.4976</v>
      </c>
      <c r="K12" s="368" t="n">
        <v>0.5038</v>
      </c>
    </row>
    <row r="14" customFormat="false" ht="15.75" hidden="false" customHeight="false" outlineLevel="0" collapsed="false">
      <c r="A14" s="458" t="s">
        <v>517</v>
      </c>
    </row>
    <row r="16" s="456" customFormat="true" ht="18" hidden="false" customHeight="false" outlineLevel="0" collapsed="false">
      <c r="A16" s="456" t="s">
        <v>518</v>
      </c>
    </row>
    <row r="17" customFormat="false" ht="12.75" hidden="false" customHeight="false" outlineLevel="0" collapsed="false">
      <c r="O17" s="459" t="s">
        <v>519</v>
      </c>
      <c r="P17" s="459"/>
      <c r="Q17" s="459"/>
      <c r="R17" s="459"/>
      <c r="S17" s="459"/>
      <c r="T17" s="459"/>
      <c r="U17" s="459"/>
      <c r="V17" s="459"/>
      <c r="W17" s="459"/>
      <c r="X17" s="459"/>
    </row>
    <row r="18" customFormat="false" ht="15.75" hidden="false" customHeight="false" outlineLevel="0" collapsed="false">
      <c r="A18" s="460"/>
      <c r="B18" s="461"/>
      <c r="C18" s="462" t="s">
        <v>520</v>
      </c>
      <c r="D18" s="462" t="s">
        <v>521</v>
      </c>
      <c r="E18" s="462" t="s">
        <v>522</v>
      </c>
      <c r="F18" s="462" t="s">
        <v>523</v>
      </c>
      <c r="G18" s="462" t="s">
        <v>524</v>
      </c>
      <c r="H18" s="462" t="s">
        <v>525</v>
      </c>
      <c r="I18" s="462" t="s">
        <v>526</v>
      </c>
      <c r="J18" s="462" t="s">
        <v>527</v>
      </c>
      <c r="K18" s="462" t="s">
        <v>528</v>
      </c>
      <c r="L18" s="462" t="s">
        <v>529</v>
      </c>
      <c r="O18" s="462" t="s">
        <v>520</v>
      </c>
      <c r="P18" s="462" t="s">
        <v>521</v>
      </c>
      <c r="Q18" s="462" t="s">
        <v>522</v>
      </c>
      <c r="R18" s="462" t="s">
        <v>523</v>
      </c>
      <c r="S18" s="462" t="s">
        <v>524</v>
      </c>
      <c r="T18" s="462" t="s">
        <v>525</v>
      </c>
      <c r="U18" s="462" t="s">
        <v>526</v>
      </c>
      <c r="V18" s="462" t="s">
        <v>527</v>
      </c>
      <c r="W18" s="462" t="s">
        <v>528</v>
      </c>
      <c r="X18" s="462" t="s">
        <v>529</v>
      </c>
    </row>
    <row r="19" customFormat="false" ht="15.75" hidden="false" customHeight="true" outlineLevel="0" collapsed="false">
      <c r="A19" s="463" t="s">
        <v>530</v>
      </c>
      <c r="B19" s="464" t="n">
        <v>0</v>
      </c>
      <c r="C19" s="465" t="n">
        <f aca="false">1-O28</f>
        <v>0.551</v>
      </c>
      <c r="D19" s="465" t="n">
        <f aca="false">1-P28</f>
        <v>0.677</v>
      </c>
      <c r="E19" s="465" t="n">
        <f aca="false">1-Q28</f>
        <v>0.551</v>
      </c>
      <c r="F19" s="465" t="n">
        <f aca="false">1-R28</f>
        <v>0.753</v>
      </c>
      <c r="G19" s="465" t="n">
        <f aca="false">1-S28</f>
        <v>0.619</v>
      </c>
      <c r="H19" s="465" t="n">
        <f aca="false">1-T28</f>
        <v>0.61</v>
      </c>
      <c r="I19" s="465" t="n">
        <f aca="false">1-U28</f>
        <v>0.716</v>
      </c>
      <c r="J19" s="465" t="n">
        <f aca="false">1-V28</f>
        <v>0.745</v>
      </c>
      <c r="K19" s="465" t="n">
        <f aca="false">1-W28</f>
        <v>0.575</v>
      </c>
      <c r="L19" s="465" t="n">
        <f aca="false">1-X28</f>
        <v>0.672</v>
      </c>
      <c r="N19" s="0" t="n">
        <v>1</v>
      </c>
      <c r="O19" s="466" t="n">
        <v>0.823</v>
      </c>
      <c r="P19" s="466" t="n">
        <v>0.818</v>
      </c>
      <c r="Q19" s="466" t="n">
        <v>0.84</v>
      </c>
      <c r="R19" s="466" t="n">
        <v>0.743</v>
      </c>
      <c r="S19" s="466" t="n">
        <v>0.828</v>
      </c>
      <c r="T19" s="466" t="n">
        <v>0.831</v>
      </c>
      <c r="U19" s="466" t="n">
        <v>0.769</v>
      </c>
      <c r="V19" s="466" t="n">
        <v>0.752</v>
      </c>
      <c r="W19" s="466" t="n">
        <v>0.814</v>
      </c>
      <c r="X19" s="466" t="n">
        <v>0.783</v>
      </c>
    </row>
    <row r="20" customFormat="false" ht="15.75" hidden="false" customHeight="false" outlineLevel="0" collapsed="false">
      <c r="A20" s="463"/>
      <c r="B20" s="464" t="n">
        <v>1</v>
      </c>
      <c r="C20" s="465" t="n">
        <f aca="false">O19-O$28</f>
        <v>0.374</v>
      </c>
      <c r="D20" s="465" t="n">
        <f aca="false">P19-P$28</f>
        <v>0.495</v>
      </c>
      <c r="E20" s="465" t="n">
        <f aca="false">Q19-Q$28</f>
        <v>0.391</v>
      </c>
      <c r="F20" s="465" t="n">
        <f aca="false">R19-R$28</f>
        <v>0.496</v>
      </c>
      <c r="G20" s="465" t="n">
        <f aca="false">S19-S$28</f>
        <v>0.447</v>
      </c>
      <c r="H20" s="465" t="n">
        <f aca="false">T19-T$28</f>
        <v>0.441</v>
      </c>
      <c r="I20" s="465" t="n">
        <f aca="false">U19-U$28</f>
        <v>0.485</v>
      </c>
      <c r="J20" s="465" t="n">
        <f aca="false">V19-V$28</f>
        <v>0.497</v>
      </c>
      <c r="K20" s="465" t="n">
        <f aca="false">W19-W$28</f>
        <v>0.389</v>
      </c>
      <c r="L20" s="465" t="n">
        <f aca="false">X19-X$28</f>
        <v>0.455</v>
      </c>
      <c r="N20" s="0" t="n">
        <v>2</v>
      </c>
      <c r="O20" s="466" t="n">
        <v>0.748</v>
      </c>
      <c r="P20" s="466" t="n">
        <v>0.712</v>
      </c>
      <c r="Q20" s="466" t="n">
        <v>0.735</v>
      </c>
      <c r="R20" s="466" t="n">
        <v>0.598</v>
      </c>
      <c r="S20" s="466" t="n">
        <v>0.724</v>
      </c>
      <c r="T20" s="466" t="n">
        <v>0.724</v>
      </c>
      <c r="U20" s="466" t="n">
        <v>0.636</v>
      </c>
      <c r="V20" s="466" t="n">
        <v>0.627</v>
      </c>
      <c r="W20" s="466" t="n">
        <v>0.722</v>
      </c>
      <c r="X20" s="466" t="n">
        <v>0.662</v>
      </c>
    </row>
    <row r="21" customFormat="false" ht="15.75" hidden="false" customHeight="false" outlineLevel="0" collapsed="false">
      <c r="A21" s="463"/>
      <c r="B21" s="464" t="n">
        <v>2</v>
      </c>
      <c r="C21" s="465" t="n">
        <f aca="false">O20-O$28</f>
        <v>0.299</v>
      </c>
      <c r="D21" s="465" t="n">
        <f aca="false">P20-P$28</f>
        <v>0.389</v>
      </c>
      <c r="E21" s="465" t="n">
        <f aca="false">Q20-Q$28</f>
        <v>0.286</v>
      </c>
      <c r="F21" s="465" t="n">
        <f aca="false">R20-R$28</f>
        <v>0.351</v>
      </c>
      <c r="G21" s="465" t="n">
        <f aca="false">S20-S$28</f>
        <v>0.343</v>
      </c>
      <c r="H21" s="465" t="n">
        <f aca="false">T20-T$28</f>
        <v>0.334</v>
      </c>
      <c r="I21" s="465" t="n">
        <f aca="false">U20-U$28</f>
        <v>0.352</v>
      </c>
      <c r="J21" s="465" t="n">
        <f aca="false">V20-V$28</f>
        <v>0.372</v>
      </c>
      <c r="K21" s="465" t="n">
        <f aca="false">W20-W$28</f>
        <v>0.297</v>
      </c>
      <c r="L21" s="465" t="n">
        <f aca="false">X20-X$28</f>
        <v>0.334</v>
      </c>
      <c r="N21" s="0" t="n">
        <v>3</v>
      </c>
      <c r="O21" s="466" t="n">
        <v>0.661</v>
      </c>
      <c r="P21" s="466" t="n">
        <v>0.629</v>
      </c>
      <c r="Q21" s="466" t="n">
        <v>0.67</v>
      </c>
      <c r="R21" s="466" t="n">
        <v>0.456</v>
      </c>
      <c r="S21" s="466" t="n">
        <v>0.622</v>
      </c>
      <c r="T21" s="466" t="n">
        <v>0.631</v>
      </c>
      <c r="U21" s="466" t="n">
        <v>0.523</v>
      </c>
      <c r="V21" s="466" t="n">
        <v>0.533</v>
      </c>
      <c r="W21" s="466" t="n">
        <v>0.674</v>
      </c>
      <c r="X21" s="466" t="n">
        <v>0.566</v>
      </c>
    </row>
    <row r="22" customFormat="false" ht="15.75" hidden="false" customHeight="false" outlineLevel="0" collapsed="false">
      <c r="A22" s="463"/>
      <c r="B22" s="464" t="n">
        <v>3</v>
      </c>
      <c r="C22" s="465" t="n">
        <f aca="false">O21-O$28</f>
        <v>0.212</v>
      </c>
      <c r="D22" s="465" t="n">
        <f aca="false">P21-P$28</f>
        <v>0.306</v>
      </c>
      <c r="E22" s="465" t="n">
        <f aca="false">Q21-Q$28</f>
        <v>0.221</v>
      </c>
      <c r="F22" s="465" t="n">
        <f aca="false">R21-R$28</f>
        <v>0.209</v>
      </c>
      <c r="G22" s="465" t="n">
        <f aca="false">S21-S$28</f>
        <v>0.241</v>
      </c>
      <c r="H22" s="465" t="n">
        <f aca="false">T21-T$28</f>
        <v>0.241</v>
      </c>
      <c r="I22" s="465" t="n">
        <f aca="false">U21-U$28</f>
        <v>0.239</v>
      </c>
      <c r="J22" s="465" t="n">
        <f aca="false">V21-V$28</f>
        <v>0.278</v>
      </c>
      <c r="K22" s="465" t="n">
        <f aca="false">W21-W$28</f>
        <v>0.249</v>
      </c>
      <c r="L22" s="465" t="n">
        <f aca="false">X21-X$28</f>
        <v>0.238</v>
      </c>
      <c r="N22" s="0" t="n">
        <v>4</v>
      </c>
      <c r="O22" s="466" t="n">
        <v>0.612</v>
      </c>
      <c r="P22" s="466" t="n">
        <v>0.538</v>
      </c>
      <c r="Q22" s="466" t="n">
        <v>0.629</v>
      </c>
      <c r="R22" s="466" t="n">
        <v>0.371</v>
      </c>
      <c r="S22" s="466" t="n">
        <v>0.541</v>
      </c>
      <c r="T22" s="466" t="n">
        <v>0.565</v>
      </c>
      <c r="U22" s="466" t="n">
        <v>0.45</v>
      </c>
      <c r="V22" s="466" t="n">
        <v>0.464</v>
      </c>
      <c r="W22" s="466" t="n">
        <v>0.613</v>
      </c>
      <c r="X22" s="466" t="n">
        <v>0.498</v>
      </c>
    </row>
    <row r="23" customFormat="false" ht="15.75" hidden="false" customHeight="false" outlineLevel="0" collapsed="false">
      <c r="A23" s="463"/>
      <c r="B23" s="464" t="n">
        <v>4</v>
      </c>
      <c r="C23" s="465" t="n">
        <f aca="false">O22-O$28</f>
        <v>0.163</v>
      </c>
      <c r="D23" s="465" t="n">
        <f aca="false">P22-P$28</f>
        <v>0.215</v>
      </c>
      <c r="E23" s="465" t="n">
        <f aca="false">Q22-Q$28</f>
        <v>0.18</v>
      </c>
      <c r="F23" s="465" t="n">
        <f aca="false">R22-R$28</f>
        <v>0.124</v>
      </c>
      <c r="G23" s="465" t="n">
        <f aca="false">S22-S$28</f>
        <v>0.16</v>
      </c>
      <c r="H23" s="465" t="n">
        <f aca="false">T22-T$28</f>
        <v>0.175</v>
      </c>
      <c r="I23" s="465" t="n">
        <f aca="false">U22-U$28</f>
        <v>0.166</v>
      </c>
      <c r="J23" s="465" t="n">
        <f aca="false">V22-V$28</f>
        <v>0.209</v>
      </c>
      <c r="K23" s="465" t="n">
        <f aca="false">W22-W$28</f>
        <v>0.188</v>
      </c>
      <c r="L23" s="465" t="n">
        <f aca="false">X22-X$28</f>
        <v>0.17</v>
      </c>
      <c r="N23" s="0" t="n">
        <v>5</v>
      </c>
      <c r="O23" s="466" t="n">
        <v>0.574</v>
      </c>
      <c r="P23" s="466" t="n">
        <v>0.512</v>
      </c>
      <c r="Q23" s="466" t="n">
        <v>0.565</v>
      </c>
      <c r="R23" s="466" t="n">
        <v>0.332</v>
      </c>
      <c r="S23" s="466" t="n">
        <v>0.494</v>
      </c>
      <c r="T23" s="466" t="n">
        <v>0.521</v>
      </c>
      <c r="U23" s="466" t="n">
        <v>0.411</v>
      </c>
      <c r="V23" s="466" t="n">
        <v>0.419</v>
      </c>
      <c r="W23" s="466" t="n">
        <v>0.559</v>
      </c>
      <c r="X23" s="466" t="n">
        <v>0.454</v>
      </c>
    </row>
    <row r="24" customFormat="false" ht="15.75" hidden="false" customHeight="false" outlineLevel="0" collapsed="false">
      <c r="A24" s="463"/>
      <c r="B24" s="464" t="n">
        <v>5</v>
      </c>
      <c r="C24" s="465" t="n">
        <f aca="false">O23-O$28</f>
        <v>0.125</v>
      </c>
      <c r="D24" s="465" t="n">
        <f aca="false">P23-P$28</f>
        <v>0.189</v>
      </c>
      <c r="E24" s="465" t="n">
        <f aca="false">Q23-Q$28</f>
        <v>0.116</v>
      </c>
      <c r="F24" s="465" t="n">
        <f aca="false">R23-R$28</f>
        <v>0.085</v>
      </c>
      <c r="G24" s="465" t="n">
        <f aca="false">S23-S$28</f>
        <v>0.113</v>
      </c>
      <c r="H24" s="465" t="n">
        <f aca="false">T23-T$28</f>
        <v>0.131</v>
      </c>
      <c r="I24" s="465" t="n">
        <f aca="false">U23-U$28</f>
        <v>0.127</v>
      </c>
      <c r="J24" s="465" t="n">
        <f aca="false">V23-V$28</f>
        <v>0.164</v>
      </c>
      <c r="K24" s="465" t="n">
        <f aca="false">W23-W$28</f>
        <v>0.134</v>
      </c>
      <c r="L24" s="465" t="n">
        <f aca="false">X23-X$28</f>
        <v>0.126</v>
      </c>
      <c r="N24" s="0" t="n">
        <v>6</v>
      </c>
      <c r="O24" s="466" t="n">
        <v>0.541</v>
      </c>
      <c r="P24" s="466" t="n">
        <v>0.472</v>
      </c>
      <c r="Q24" s="466" t="n">
        <v>0.556</v>
      </c>
      <c r="R24" s="466" t="n">
        <v>0.306</v>
      </c>
      <c r="S24" s="466" t="n">
        <v>0.463</v>
      </c>
      <c r="T24" s="466" t="n">
        <v>0.485</v>
      </c>
      <c r="U24" s="466" t="n">
        <v>0.377</v>
      </c>
      <c r="V24" s="466" t="n">
        <v>0.372</v>
      </c>
      <c r="W24" s="466" t="n">
        <v>0.548</v>
      </c>
      <c r="X24" s="466" t="n">
        <v>0.423</v>
      </c>
    </row>
    <row r="25" customFormat="false" ht="15.75" hidden="false" customHeight="false" outlineLevel="0" collapsed="false">
      <c r="A25" s="463"/>
      <c r="B25" s="464" t="n">
        <v>6</v>
      </c>
      <c r="C25" s="465" t="n">
        <f aca="false">O24-O$28</f>
        <v>0.092</v>
      </c>
      <c r="D25" s="465" t="n">
        <f aca="false">P24-P$28</f>
        <v>0.149</v>
      </c>
      <c r="E25" s="465" t="n">
        <f aca="false">Q24-Q$28</f>
        <v>0.107</v>
      </c>
      <c r="F25" s="465" t="n">
        <f aca="false">R24-R$28</f>
        <v>0.059</v>
      </c>
      <c r="G25" s="465" t="n">
        <f aca="false">S24-S$28</f>
        <v>0.082</v>
      </c>
      <c r="H25" s="465" t="n">
        <f aca="false">T24-T$28</f>
        <v>0.095</v>
      </c>
      <c r="I25" s="465" t="n">
        <f aca="false">U24-U$28</f>
        <v>0.093</v>
      </c>
      <c r="J25" s="465" t="n">
        <f aca="false">V24-V$28</f>
        <v>0.117</v>
      </c>
      <c r="K25" s="465" t="n">
        <f aca="false">W24-W$28</f>
        <v>0.123</v>
      </c>
      <c r="L25" s="465" t="n">
        <f aca="false">X24-X$28</f>
        <v>0.095</v>
      </c>
      <c r="N25" s="0" t="n">
        <v>7</v>
      </c>
      <c r="O25" s="466" t="n">
        <v>0.516</v>
      </c>
      <c r="P25" s="466" t="n">
        <v>0.429</v>
      </c>
      <c r="Q25" s="466" t="n">
        <v>0.516</v>
      </c>
      <c r="R25" s="466" t="n">
        <v>0.284</v>
      </c>
      <c r="S25" s="466" t="n">
        <v>0.438</v>
      </c>
      <c r="T25" s="466" t="n">
        <v>0.457</v>
      </c>
      <c r="U25" s="466" t="n">
        <v>0.349</v>
      </c>
      <c r="V25" s="466" t="n">
        <v>0.34</v>
      </c>
      <c r="W25" s="466" t="n">
        <v>0.529</v>
      </c>
      <c r="X25" s="466" t="n">
        <v>0.396</v>
      </c>
    </row>
    <row r="26" customFormat="false" ht="15.75" hidden="false" customHeight="false" outlineLevel="0" collapsed="false">
      <c r="A26" s="463"/>
      <c r="B26" s="464" t="n">
        <v>7</v>
      </c>
      <c r="C26" s="465" t="n">
        <f aca="false">O25-O$28</f>
        <v>0.067</v>
      </c>
      <c r="D26" s="465" t="n">
        <f aca="false">P25-P$28</f>
        <v>0.106</v>
      </c>
      <c r="E26" s="465" t="n">
        <f aca="false">Q25-Q$28</f>
        <v>0.067</v>
      </c>
      <c r="F26" s="465" t="n">
        <f aca="false">R25-R$28</f>
        <v>0.037</v>
      </c>
      <c r="G26" s="465" t="n">
        <f aca="false">S25-S$28</f>
        <v>0.0569999999999999</v>
      </c>
      <c r="H26" s="465" t="n">
        <f aca="false">T25-T$28</f>
        <v>0.067</v>
      </c>
      <c r="I26" s="465" t="n">
        <f aca="false">U25-U$28</f>
        <v>0.065</v>
      </c>
      <c r="J26" s="465" t="n">
        <f aca="false">V25-V$28</f>
        <v>0.085</v>
      </c>
      <c r="K26" s="465" t="n">
        <f aca="false">W25-W$28</f>
        <v>0.104</v>
      </c>
      <c r="L26" s="465" t="n">
        <f aca="false">X25-X$28</f>
        <v>0.0680000000000001</v>
      </c>
      <c r="N26" s="0" t="n">
        <v>8</v>
      </c>
      <c r="O26" s="466" t="n">
        <v>0.495</v>
      </c>
      <c r="P26" s="466" t="n">
        <v>0.405</v>
      </c>
      <c r="Q26" s="466" t="n">
        <v>0.503</v>
      </c>
      <c r="R26" s="466" t="n">
        <v>0.271</v>
      </c>
      <c r="S26" s="466" t="n">
        <v>0.415</v>
      </c>
      <c r="T26" s="466" t="n">
        <v>0.433</v>
      </c>
      <c r="U26" s="466" t="n">
        <v>0.324</v>
      </c>
      <c r="V26" s="466" t="n">
        <v>0.314</v>
      </c>
      <c r="W26" s="466" t="n">
        <v>0.484</v>
      </c>
      <c r="X26" s="466" t="n">
        <v>0.371</v>
      </c>
    </row>
    <row r="27" customFormat="false" ht="15.75" hidden="false" customHeight="false" outlineLevel="0" collapsed="false">
      <c r="A27" s="463"/>
      <c r="B27" s="464" t="n">
        <v>8</v>
      </c>
      <c r="C27" s="465" t="n">
        <f aca="false">O26-O$28</f>
        <v>0.046</v>
      </c>
      <c r="D27" s="465" t="n">
        <f aca="false">P26-P$28</f>
        <v>0.0820000000000001</v>
      </c>
      <c r="E27" s="465" t="n">
        <f aca="false">Q26-Q$28</f>
        <v>0.054</v>
      </c>
      <c r="F27" s="465" t="n">
        <f aca="false">R26-R$28</f>
        <v>0.024</v>
      </c>
      <c r="G27" s="465" t="n">
        <f aca="false">S26-S$28</f>
        <v>0.034</v>
      </c>
      <c r="H27" s="465" t="n">
        <f aca="false">T26-T$28</f>
        <v>0.043</v>
      </c>
      <c r="I27" s="465" t="n">
        <f aca="false">U26-U$28</f>
        <v>0.04</v>
      </c>
      <c r="J27" s="465" t="n">
        <f aca="false">V26-V$28</f>
        <v>0.059</v>
      </c>
      <c r="K27" s="465" t="n">
        <f aca="false">W26-W$28</f>
        <v>0.059</v>
      </c>
      <c r="L27" s="465" t="n">
        <f aca="false">X26-X$28</f>
        <v>0.043</v>
      </c>
      <c r="N27" s="0" t="n">
        <v>9</v>
      </c>
      <c r="O27" s="466" t="n">
        <v>0.465</v>
      </c>
      <c r="P27" s="466" t="n">
        <v>0.371</v>
      </c>
      <c r="Q27" s="466" t="n">
        <v>0.476</v>
      </c>
      <c r="R27" s="466" t="n">
        <v>0.258</v>
      </c>
      <c r="S27" s="466" t="n">
        <v>0.4</v>
      </c>
      <c r="T27" s="466" t="n">
        <v>0.41</v>
      </c>
      <c r="U27" s="466" t="n">
        <v>0.305</v>
      </c>
      <c r="V27" s="466" t="n">
        <v>0.274</v>
      </c>
      <c r="W27" s="466" t="n">
        <v>0.455</v>
      </c>
      <c r="X27" s="466" t="n">
        <v>0.348</v>
      </c>
    </row>
    <row r="28" customFormat="false" ht="15.75" hidden="false" customHeight="false" outlineLevel="0" collapsed="false">
      <c r="A28" s="463"/>
      <c r="B28" s="464" t="n">
        <v>9</v>
      </c>
      <c r="C28" s="465" t="n">
        <f aca="false">O27-O$28</f>
        <v>0.016</v>
      </c>
      <c r="D28" s="465" t="n">
        <f aca="false">P27-P$28</f>
        <v>0.048</v>
      </c>
      <c r="E28" s="465" t="n">
        <f aca="false">Q27-Q$28</f>
        <v>0.027</v>
      </c>
      <c r="F28" s="465" t="n">
        <f aca="false">R27-R$28</f>
        <v>0.011</v>
      </c>
      <c r="G28" s="465" t="n">
        <f aca="false">S27-S$28</f>
        <v>0.019</v>
      </c>
      <c r="H28" s="465" t="n">
        <f aca="false">T27-T$28</f>
        <v>0.02</v>
      </c>
      <c r="I28" s="465" t="n">
        <f aca="false">U27-U$28</f>
        <v>0.021</v>
      </c>
      <c r="J28" s="465" t="n">
        <f aca="false">V27-V$28</f>
        <v>0.019</v>
      </c>
      <c r="K28" s="465" t="n">
        <f aca="false">W27-W$28</f>
        <v>0.03</v>
      </c>
      <c r="L28" s="465" t="n">
        <f aca="false">X27-X$28</f>
        <v>0.02</v>
      </c>
      <c r="N28" s="0" t="n">
        <v>10</v>
      </c>
      <c r="O28" s="466" t="n">
        <v>0.449</v>
      </c>
      <c r="P28" s="466" t="n">
        <v>0.323</v>
      </c>
      <c r="Q28" s="466" t="n">
        <v>0.449</v>
      </c>
      <c r="R28" s="466" t="n">
        <v>0.247</v>
      </c>
      <c r="S28" s="466" t="n">
        <v>0.381</v>
      </c>
      <c r="T28" s="466" t="n">
        <v>0.39</v>
      </c>
      <c r="U28" s="466" t="n">
        <v>0.284</v>
      </c>
      <c r="V28" s="466" t="n">
        <v>0.255</v>
      </c>
      <c r="W28" s="466" t="n">
        <v>0.425</v>
      </c>
      <c r="X28" s="466" t="n">
        <v>0.328</v>
      </c>
    </row>
    <row r="29" customFormat="false" ht="15.75" hidden="false" customHeight="false" outlineLevel="0" collapsed="false">
      <c r="B29" s="464" t="n">
        <v>10</v>
      </c>
      <c r="C29" s="465" t="n">
        <f aca="false">O28-O$28</f>
        <v>0</v>
      </c>
      <c r="D29" s="465" t="n">
        <f aca="false">P28-P$28</f>
        <v>0</v>
      </c>
      <c r="E29" s="465" t="n">
        <f aca="false">Q28-Q$28</f>
        <v>0</v>
      </c>
      <c r="F29" s="465" t="n">
        <f aca="false">R28-R$28</f>
        <v>0</v>
      </c>
      <c r="G29" s="465" t="n">
        <f aca="false">S28-S$28</f>
        <v>0</v>
      </c>
      <c r="H29" s="465" t="n">
        <f aca="false">T28-T$28</f>
        <v>0</v>
      </c>
      <c r="I29" s="465" t="n">
        <f aca="false">U28-U$28</f>
        <v>0</v>
      </c>
      <c r="J29" s="465" t="n">
        <f aca="false">V28-V$28</f>
        <v>0</v>
      </c>
      <c r="K29" s="465" t="n">
        <f aca="false">W28-W$28</f>
        <v>0</v>
      </c>
      <c r="L29" s="465" t="n">
        <f aca="false">X28-X$28</f>
        <v>0</v>
      </c>
    </row>
    <row r="30" customFormat="false" ht="15.75" hidden="false" customHeight="false" outlineLevel="0" collapsed="false">
      <c r="A30" s="0" t="s">
        <v>531</v>
      </c>
      <c r="B30" s="467"/>
      <c r="C30" s="468"/>
      <c r="D30" s="468"/>
      <c r="E30" s="468"/>
      <c r="F30" s="468"/>
      <c r="G30" s="468"/>
      <c r="H30" s="468"/>
      <c r="I30" s="468"/>
      <c r="J30" s="468"/>
      <c r="K30" s="468"/>
      <c r="L30" s="468"/>
    </row>
    <row r="31" s="2" customFormat="true" ht="15.75" hidden="false" customHeight="false" outlineLevel="0" collapsed="false">
      <c r="A31" s="2" t="s">
        <v>532</v>
      </c>
    </row>
    <row r="32" customFormat="false" ht="15.75" hidden="false" customHeight="false" outlineLevel="0" collapsed="false">
      <c r="B32" s="2"/>
      <c r="C32" s="2"/>
      <c r="D32" s="2"/>
      <c r="E32" s="2"/>
      <c r="F32" s="2"/>
      <c r="G32" s="2"/>
      <c r="H32" s="2"/>
      <c r="I32" s="2"/>
      <c r="J32" s="2"/>
      <c r="K32" s="2"/>
      <c r="L32" s="2"/>
    </row>
    <row r="33" customFormat="false" ht="15.75" hidden="false" customHeight="false" outlineLevel="0" collapsed="false">
      <c r="A33" s="305" t="s">
        <v>533</v>
      </c>
    </row>
    <row r="34" customFormat="false" ht="15.75" hidden="false" customHeight="false" outlineLevel="0" collapsed="false">
      <c r="A34" s="2" t="s">
        <v>534</v>
      </c>
    </row>
    <row r="35" customFormat="false" ht="15.75" hidden="false" customHeight="false" outlineLevel="0" collapsed="false">
      <c r="A35" s="2" t="s">
        <v>535</v>
      </c>
    </row>
    <row r="36" customFormat="false" ht="15.75" hidden="false" customHeight="false" outlineLevel="0" collapsed="false">
      <c r="A36" s="2" t="s">
        <v>536</v>
      </c>
    </row>
    <row r="37" customFormat="false" ht="15.75" hidden="false" customHeight="false" outlineLevel="0" collapsed="false">
      <c r="A37" s="2" t="s">
        <v>537</v>
      </c>
    </row>
  </sheetData>
  <mergeCells count="3">
    <mergeCell ref="A4:K4"/>
    <mergeCell ref="O17:X17"/>
    <mergeCell ref="A19:A2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50"/>
  <sheetViews>
    <sheetView showFormulas="false" showGridLines="true" showRowColHeaders="true" showZeros="true" rightToLeft="false" tabSelected="false" showOutlineSymbols="true" defaultGridColor="true" view="normal" topLeftCell="A14" colorId="64" zoomScale="100" zoomScaleNormal="100" zoomScalePageLayoutView="100" workbookViewId="0">
      <selection pane="topLeft" activeCell="F50" activeCellId="0" sqref="F50"/>
    </sheetView>
  </sheetViews>
  <sheetFormatPr defaultColWidth="10.65234375" defaultRowHeight="15.75" zeroHeight="false" outlineLevelRow="0" outlineLevelCol="0"/>
  <cols>
    <col collapsed="false" customWidth="true" hidden="false" outlineLevel="0" max="1" min="1" style="49" width="28.5"/>
    <col collapsed="false" customWidth="true" hidden="false" outlineLevel="0" max="2" min="2" style="49" width="14"/>
    <col collapsed="false" customWidth="true" hidden="false" outlineLevel="0" max="3" min="3" style="49" width="12.51"/>
    <col collapsed="false" customWidth="true" hidden="false" outlineLevel="0" max="4" min="4" style="49" width="16.33"/>
    <col collapsed="false" customWidth="true" hidden="false" outlineLevel="0" max="5" min="5" style="49" width="18.33"/>
    <col collapsed="false" customWidth="true" hidden="false" outlineLevel="0" max="6" min="6" style="49" width="16.33"/>
    <col collapsed="false" customWidth="true" hidden="false" outlineLevel="0" max="8" min="7" style="49" width="12.51"/>
  </cols>
  <sheetData>
    <row r="1" s="470" customFormat="true" ht="51.75" hidden="false" customHeight="false" outlineLevel="0" collapsed="false">
      <c r="A1" s="469" t="s">
        <v>335</v>
      </c>
      <c r="B1" s="469" t="s">
        <v>18</v>
      </c>
      <c r="C1" s="469" t="s">
        <v>538</v>
      </c>
      <c r="D1" s="469" t="s">
        <v>539</v>
      </c>
      <c r="E1" s="469" t="s">
        <v>540</v>
      </c>
      <c r="F1" s="469" t="s">
        <v>137</v>
      </c>
      <c r="G1" s="469" t="s">
        <v>541</v>
      </c>
      <c r="H1" s="469" t="s">
        <v>542</v>
      </c>
    </row>
    <row r="2" s="470" customFormat="true" ht="15.75" hidden="false" customHeight="false" outlineLevel="0" collapsed="false">
      <c r="A2" s="119" t="s">
        <v>543</v>
      </c>
      <c r="B2" s="471" t="n">
        <f aca="false">'Valuation output'!B3</f>
        <v>14028</v>
      </c>
      <c r="C2" s="119"/>
      <c r="D2" s="472" t="n">
        <f aca="false">'Valuation output'!B4</f>
        <v>0.256437125748503</v>
      </c>
      <c r="E2" s="471" t="n">
        <f aca="false">B2*D2</f>
        <v>3597.3</v>
      </c>
      <c r="F2" s="471" t="n">
        <f aca="false">'Valuation output'!B10</f>
        <v>0</v>
      </c>
      <c r="G2" s="471" t="n">
        <f aca="false">E2-H2</f>
        <v>359.73</v>
      </c>
      <c r="H2" s="471" t="n">
        <f aca="false">'Valuation output'!B7</f>
        <v>3237.57</v>
      </c>
    </row>
    <row r="3" s="470" customFormat="true" ht="15.75" hidden="false" customHeight="false" outlineLevel="0" collapsed="false">
      <c r="A3" s="119" t="n">
        <v>1</v>
      </c>
      <c r="B3" s="471" t="n">
        <f aca="false">'Valuation output'!C3</f>
        <v>16132.2</v>
      </c>
      <c r="C3" s="472" t="n">
        <f aca="false">'Valuation output'!C2</f>
        <v>0.15</v>
      </c>
      <c r="D3" s="472" t="n">
        <f aca="false">'Valuation output'!C4</f>
        <v>0.35</v>
      </c>
      <c r="E3" s="471" t="n">
        <f aca="false">B3*D3</f>
        <v>5646.27</v>
      </c>
      <c r="F3" s="471" t="n">
        <f aca="false">'Valuation output'!C10</f>
        <v>0</v>
      </c>
      <c r="G3" s="471" t="n">
        <f aca="false">E3-H3</f>
        <v>564.627</v>
      </c>
      <c r="H3" s="471" t="n">
        <f aca="false">'Valuation output'!C7</f>
        <v>5081.643</v>
      </c>
    </row>
    <row r="4" s="470" customFormat="true" ht="15.75" hidden="false" customHeight="false" outlineLevel="0" collapsed="false">
      <c r="A4" s="119" t="n">
        <v>2</v>
      </c>
      <c r="B4" s="471" t="n">
        <f aca="false">'Valuation output'!D3</f>
        <v>18552.03</v>
      </c>
      <c r="C4" s="472" t="n">
        <f aca="false">B4/B3-1</f>
        <v>0.15</v>
      </c>
      <c r="D4" s="472" t="n">
        <f aca="false">'Valuation output'!D4</f>
        <v>0.37</v>
      </c>
      <c r="E4" s="471" t="n">
        <f aca="false">B4*D4</f>
        <v>6864.2511</v>
      </c>
      <c r="F4" s="471" t="n">
        <f aca="false">'Valuation output'!D10</f>
        <v>0</v>
      </c>
      <c r="G4" s="471" t="n">
        <f aca="false">E4-H4</f>
        <v>686.42511</v>
      </c>
      <c r="H4" s="471" t="n">
        <f aca="false">'Valuation output'!D7</f>
        <v>6177.82599</v>
      </c>
    </row>
    <row r="5" s="470" customFormat="true" ht="15.75" hidden="false" customHeight="false" outlineLevel="0" collapsed="false">
      <c r="A5" s="119" t="n">
        <v>3</v>
      </c>
      <c r="B5" s="471" t="n">
        <f aca="false">'Valuation output'!E3</f>
        <v>21334.8345</v>
      </c>
      <c r="C5" s="472" t="n">
        <f aca="false">B5/B4-1</f>
        <v>0.15</v>
      </c>
      <c r="D5" s="472" t="n">
        <f aca="false">'Valuation output'!E4</f>
        <v>0.38</v>
      </c>
      <c r="E5" s="471" t="n">
        <f aca="false">B5*D5</f>
        <v>8107.23711</v>
      </c>
      <c r="F5" s="471" t="n">
        <f aca="false">'Valuation output'!E10</f>
        <v>0</v>
      </c>
      <c r="G5" s="471" t="n">
        <f aca="false">E5-H5</f>
        <v>810.723711</v>
      </c>
      <c r="H5" s="471" t="n">
        <f aca="false">'Valuation output'!E7</f>
        <v>7296.513399</v>
      </c>
    </row>
    <row r="6" s="470" customFormat="true" ht="15.75" hidden="false" customHeight="false" outlineLevel="0" collapsed="false">
      <c r="A6" s="119" t="n">
        <v>4</v>
      </c>
      <c r="B6" s="471" t="n">
        <f aca="false">'Valuation output'!F3</f>
        <v>24535.059675</v>
      </c>
      <c r="C6" s="472" t="n">
        <f aca="false">B6/B5-1</f>
        <v>0.15</v>
      </c>
      <c r="D6" s="472" t="n">
        <f aca="false">'Valuation output'!F4</f>
        <v>0.39</v>
      </c>
      <c r="E6" s="471" t="n">
        <f aca="false">B6*D6</f>
        <v>9568.67327325</v>
      </c>
      <c r="F6" s="471" t="n">
        <f aca="false">'Valuation output'!F10</f>
        <v>0</v>
      </c>
      <c r="G6" s="471" t="n">
        <f aca="false">E6-H6</f>
        <v>956.867327325001</v>
      </c>
      <c r="H6" s="471" t="n">
        <f aca="false">'Valuation output'!F7</f>
        <v>8611.805945925</v>
      </c>
    </row>
    <row r="7" s="470" customFormat="true" ht="15.75" hidden="false" customHeight="false" outlineLevel="0" collapsed="false">
      <c r="A7" s="119" t="n">
        <v>5</v>
      </c>
      <c r="B7" s="471" t="n">
        <f aca="false">'Valuation output'!G3</f>
        <v>28215.31862625</v>
      </c>
      <c r="C7" s="472" t="n">
        <f aca="false">B7/B6-1</f>
        <v>0.15</v>
      </c>
      <c r="D7" s="472" t="n">
        <f aca="false">'Valuation output'!G4</f>
        <v>0.4</v>
      </c>
      <c r="E7" s="471" t="n">
        <f aca="false">B7*D7</f>
        <v>11286.1274505</v>
      </c>
      <c r="F7" s="471" t="n">
        <f aca="false">'Valuation output'!G10</f>
        <v>0</v>
      </c>
      <c r="G7" s="471" t="n">
        <f aca="false">E7-H7</f>
        <v>1128.61274505</v>
      </c>
      <c r="H7" s="471" t="n">
        <f aca="false">'Valuation output'!G7</f>
        <v>10157.51470545</v>
      </c>
    </row>
    <row r="8" s="470" customFormat="true" ht="15.75" hidden="false" customHeight="false" outlineLevel="0" collapsed="false">
      <c r="A8" s="119" t="n">
        <v>6</v>
      </c>
      <c r="B8" s="471" t="n">
        <f aca="false">'Valuation output'!H3</f>
        <v>31804.307155509</v>
      </c>
      <c r="C8" s="472" t="n">
        <f aca="false">B8/B7-1</f>
        <v>0.1272</v>
      </c>
      <c r="D8" s="472" t="n">
        <f aca="false">'Valuation output'!H4</f>
        <v>0.4</v>
      </c>
      <c r="E8" s="471" t="n">
        <f aca="false">B8*D8</f>
        <v>12721.7228622036</v>
      </c>
      <c r="F8" s="471" t="n">
        <f aca="false">'Valuation output'!H10</f>
        <v>0</v>
      </c>
      <c r="G8" s="471" t="n">
        <f aca="false">E8-H8</f>
        <v>1653.82397208647</v>
      </c>
      <c r="H8" s="471" t="n">
        <f aca="false">'Valuation output'!H7</f>
        <v>11067.8988901171</v>
      </c>
    </row>
    <row r="9" s="470" customFormat="true" ht="15.75" hidden="false" customHeight="false" outlineLevel="0" collapsed="false">
      <c r="A9" s="119" t="n">
        <v>7</v>
      </c>
      <c r="B9" s="471" t="n">
        <f aca="false">'Valuation output'!I3</f>
        <v>35124.6768225441</v>
      </c>
      <c r="C9" s="472" t="n">
        <f aca="false">B9/B8-1</f>
        <v>0.1044</v>
      </c>
      <c r="D9" s="472" t="n">
        <f aca="false">'Valuation output'!I4</f>
        <v>0.4</v>
      </c>
      <c r="E9" s="471" t="n">
        <f aca="false">B9*D9</f>
        <v>14049.8707290177</v>
      </c>
      <c r="F9" s="471" t="n">
        <f aca="false">'Valuation output'!I10</f>
        <v>0</v>
      </c>
      <c r="G9" s="471" t="n">
        <f aca="false">E9-H9</f>
        <v>2247.97931664282</v>
      </c>
      <c r="H9" s="471" t="n">
        <f aca="false">'Valuation output'!I7</f>
        <v>11801.8914123748</v>
      </c>
    </row>
    <row r="10" s="470" customFormat="true" ht="15.75" hidden="false" customHeight="false" outlineLevel="0" collapsed="false">
      <c r="A10" s="119" t="n">
        <v>8</v>
      </c>
      <c r="B10" s="471" t="n">
        <f aca="false">'Valuation output'!J3</f>
        <v>37990.8504512637</v>
      </c>
      <c r="C10" s="472" t="n">
        <f aca="false">B10/B9-1</f>
        <v>0.0815999999999999</v>
      </c>
      <c r="D10" s="472" t="n">
        <f aca="false">'Valuation output'!J4</f>
        <v>0.4</v>
      </c>
      <c r="E10" s="471" t="n">
        <f aca="false">B10*D10</f>
        <v>15196.3401805055</v>
      </c>
      <c r="F10" s="471" t="n">
        <f aca="false">'Valuation output'!J10</f>
        <v>0</v>
      </c>
      <c r="G10" s="471" t="n">
        <f aca="false">E10-H10</f>
        <v>2887.30463429604</v>
      </c>
      <c r="H10" s="471" t="n">
        <f aca="false">'Valuation output'!J7</f>
        <v>12309.0355462094</v>
      </c>
    </row>
    <row r="11" s="470" customFormat="true" ht="15.75" hidden="false" customHeight="false" outlineLevel="0" collapsed="false">
      <c r="A11" s="119" t="n">
        <v>9</v>
      </c>
      <c r="B11" s="471" t="n">
        <f aca="false">'Valuation output'!K3</f>
        <v>40224.712457798</v>
      </c>
      <c r="C11" s="472" t="n">
        <f aca="false">B11/B10-1</f>
        <v>0.0588</v>
      </c>
      <c r="D11" s="472" t="n">
        <f aca="false">'Valuation output'!K4</f>
        <v>0.4</v>
      </c>
      <c r="E11" s="471" t="n">
        <f aca="false">B11*D11</f>
        <v>16089.8849831192</v>
      </c>
      <c r="F11" s="471" t="n">
        <f aca="false">'Valuation output'!K10</f>
        <v>0</v>
      </c>
      <c r="G11" s="471" t="n">
        <f aca="false">E11-H11</f>
        <v>3539.77469628623</v>
      </c>
      <c r="H11" s="471" t="n">
        <f aca="false">'Valuation output'!K7</f>
        <v>12550.110286833</v>
      </c>
    </row>
    <row r="12" s="470" customFormat="true" ht="15.75" hidden="false" customHeight="false" outlineLevel="0" collapsed="false">
      <c r="A12" s="119" t="n">
        <v>10</v>
      </c>
      <c r="B12" s="471" t="n">
        <f aca="false">'Valuation output'!L3</f>
        <v>41672.8021062788</v>
      </c>
      <c r="C12" s="472" t="n">
        <f aca="false">B12/B11-1</f>
        <v>0.036</v>
      </c>
      <c r="D12" s="472" t="n">
        <f aca="false">'Valuation output'!L4</f>
        <v>0.4</v>
      </c>
      <c r="E12" s="471" t="n">
        <f aca="false">B12*D12</f>
        <v>16669.1208425115</v>
      </c>
      <c r="F12" s="471" t="n">
        <f aca="false">'Valuation output'!L10</f>
        <v>0</v>
      </c>
      <c r="G12" s="471" t="n">
        <f aca="false">E12-H12</f>
        <v>4167.28021062788</v>
      </c>
      <c r="H12" s="471" t="n">
        <f aca="false">'Valuation output'!L7</f>
        <v>12501.8406318836</v>
      </c>
    </row>
    <row r="13" s="470" customFormat="true" ht="15.75" hidden="false" customHeight="false" outlineLevel="0" collapsed="false">
      <c r="A13" s="119"/>
      <c r="B13" s="119"/>
      <c r="C13" s="119"/>
      <c r="D13" s="119"/>
      <c r="E13" s="119"/>
      <c r="F13" s="119"/>
      <c r="G13" s="119"/>
      <c r="H13" s="119"/>
    </row>
    <row r="14" s="470" customFormat="true" ht="51" hidden="false" customHeight="false" outlineLevel="0" collapsed="false">
      <c r="A14" s="473" t="s">
        <v>335</v>
      </c>
      <c r="B14" s="473" t="s">
        <v>542</v>
      </c>
      <c r="C14" s="473" t="s">
        <v>544</v>
      </c>
      <c r="D14" s="473" t="s">
        <v>228</v>
      </c>
      <c r="E14" s="473" t="s">
        <v>224</v>
      </c>
      <c r="F14" s="473" t="s">
        <v>136</v>
      </c>
      <c r="G14" s="473" t="s">
        <v>545</v>
      </c>
      <c r="H14" s="473" t="s">
        <v>546</v>
      </c>
    </row>
    <row r="15" s="470" customFormat="true" ht="15.75" hidden="false" customHeight="false" outlineLevel="0" collapsed="false">
      <c r="A15" s="144" t="str">
        <f aca="false">A2</f>
        <v>Traling 12 month</v>
      </c>
      <c r="B15" s="474" t="n">
        <f aca="false">H2</f>
        <v>3237.57</v>
      </c>
      <c r="C15" s="144"/>
      <c r="D15" s="144"/>
      <c r="E15" s="144"/>
      <c r="F15" s="144"/>
      <c r="G15" s="475" t="n">
        <f aca="false">'Valuation output'!B58</f>
        <v>40043.4</v>
      </c>
      <c r="H15" s="166" t="n">
        <f aca="false">B15/G15</f>
        <v>0.0808515260941878</v>
      </c>
    </row>
    <row r="16" s="470" customFormat="true" ht="15.75" hidden="false" customHeight="false" outlineLevel="0" collapsed="false">
      <c r="A16" s="144" t="n">
        <f aca="false">A3</f>
        <v>1</v>
      </c>
      <c r="B16" s="474" t="n">
        <f aca="false">H3</f>
        <v>5081.643</v>
      </c>
      <c r="C16" s="474" t="n">
        <f aca="false">B3-B2</f>
        <v>2104.2</v>
      </c>
      <c r="D16" s="476" t="n">
        <f aca="false">'Valuation output'!C57</f>
        <v>1.15</v>
      </c>
      <c r="E16" s="474" t="n">
        <f aca="false">C16/D16</f>
        <v>1829.73913043478</v>
      </c>
      <c r="F16" s="474" t="n">
        <f aca="false">B16-E16</f>
        <v>3251.90386956522</v>
      </c>
      <c r="G16" s="474" t="n">
        <f aca="false">G15+E16</f>
        <v>41873.1391304348</v>
      </c>
      <c r="H16" s="166" t="n">
        <f aca="false">B16/G16</f>
        <v>0.12135806164832</v>
      </c>
    </row>
    <row r="17" s="470" customFormat="true" ht="15.75" hidden="false" customHeight="false" outlineLevel="0" collapsed="false">
      <c r="A17" s="144" t="n">
        <f aca="false">A4</f>
        <v>2</v>
      </c>
      <c r="B17" s="474" t="n">
        <f aca="false">H4</f>
        <v>6177.82599</v>
      </c>
      <c r="C17" s="474" t="n">
        <f aca="false">B4-B3</f>
        <v>2419.83</v>
      </c>
      <c r="D17" s="476" t="n">
        <f aca="false">'Valuation output'!D57</f>
        <v>1.15</v>
      </c>
      <c r="E17" s="474" t="n">
        <f aca="false">C17/D17</f>
        <v>2104.2</v>
      </c>
      <c r="F17" s="474" t="n">
        <f aca="false">B17-E17</f>
        <v>4073.62599</v>
      </c>
      <c r="G17" s="474" t="n">
        <f aca="false">G16+E17</f>
        <v>43977.3391304348</v>
      </c>
      <c r="H17" s="166" t="n">
        <f aca="false">B17/G17</f>
        <v>0.140477484817279</v>
      </c>
    </row>
    <row r="18" s="470" customFormat="true" ht="15.75" hidden="false" customHeight="false" outlineLevel="0" collapsed="false">
      <c r="A18" s="144" t="n">
        <f aca="false">A5</f>
        <v>3</v>
      </c>
      <c r="B18" s="474" t="n">
        <f aca="false">H5</f>
        <v>7296.513399</v>
      </c>
      <c r="C18" s="474" t="n">
        <f aca="false">B5-B4</f>
        <v>2782.8045</v>
      </c>
      <c r="D18" s="476" t="n">
        <f aca="false">'Valuation output'!E57</f>
        <v>1.15</v>
      </c>
      <c r="E18" s="474" t="n">
        <f aca="false">C18/D18</f>
        <v>2419.83</v>
      </c>
      <c r="F18" s="474" t="n">
        <f aca="false">B18-E18</f>
        <v>4876.683399</v>
      </c>
      <c r="G18" s="474" t="n">
        <f aca="false">G17+E18</f>
        <v>46397.1691304348</v>
      </c>
      <c r="H18" s="166" t="n">
        <f aca="false">B18/G18</f>
        <v>0.157262038519798</v>
      </c>
    </row>
    <row r="19" s="470" customFormat="true" ht="15.75" hidden="false" customHeight="false" outlineLevel="0" collapsed="false">
      <c r="A19" s="144" t="n">
        <f aca="false">A6</f>
        <v>4</v>
      </c>
      <c r="B19" s="474" t="n">
        <f aca="false">H6</f>
        <v>8611.805945925</v>
      </c>
      <c r="C19" s="474" t="n">
        <f aca="false">B6-B5</f>
        <v>3200.225175</v>
      </c>
      <c r="D19" s="476" t="n">
        <f aca="false">'Valuation output'!F57</f>
        <v>1.15</v>
      </c>
      <c r="E19" s="474" t="n">
        <f aca="false">C19/D19</f>
        <v>2782.8045</v>
      </c>
      <c r="F19" s="474" t="n">
        <f aca="false">B19-E19</f>
        <v>5829.001445925</v>
      </c>
      <c r="G19" s="474" t="n">
        <f aca="false">G18+E19</f>
        <v>49179.9736304348</v>
      </c>
      <c r="H19" s="166" t="n">
        <f aca="false">B19/G19</f>
        <v>0.175107982176624</v>
      </c>
    </row>
    <row r="20" s="470" customFormat="true" ht="15.75" hidden="false" customHeight="false" outlineLevel="0" collapsed="false">
      <c r="A20" s="144" t="n">
        <f aca="false">A7</f>
        <v>5</v>
      </c>
      <c r="B20" s="474" t="n">
        <f aca="false">H7</f>
        <v>10157.51470545</v>
      </c>
      <c r="C20" s="474" t="n">
        <f aca="false">B7-B6</f>
        <v>3680.25895125</v>
      </c>
      <c r="D20" s="476" t="n">
        <f aca="false">'Valuation output'!G57</f>
        <v>1.15</v>
      </c>
      <c r="E20" s="474" t="n">
        <f aca="false">C20/D20</f>
        <v>3200.225175</v>
      </c>
      <c r="F20" s="474" t="n">
        <f aca="false">B20-E20</f>
        <v>6957.28953045</v>
      </c>
      <c r="G20" s="474" t="n">
        <f aca="false">G19+E20</f>
        <v>52380.1988054348</v>
      </c>
      <c r="H20" s="166" t="n">
        <f aca="false">B20/G20</f>
        <v>0.193918979635413</v>
      </c>
    </row>
    <row r="21" s="470" customFormat="true" ht="15.75" hidden="false" customHeight="false" outlineLevel="0" collapsed="false">
      <c r="A21" s="144" t="n">
        <f aca="false">A8</f>
        <v>6</v>
      </c>
      <c r="B21" s="474" t="n">
        <f aca="false">H8</f>
        <v>11067.8988901171</v>
      </c>
      <c r="C21" s="474" t="n">
        <f aca="false">B8-B7</f>
        <v>3588.988529259</v>
      </c>
      <c r="D21" s="476" t="n">
        <f aca="false">'Valuation output'!H57</f>
        <v>1.15</v>
      </c>
      <c r="E21" s="474" t="n">
        <f aca="false">C21/D21</f>
        <v>3120.85959066</v>
      </c>
      <c r="F21" s="474" t="n">
        <f aca="false">B21-E21</f>
        <v>7947.03929945713</v>
      </c>
      <c r="G21" s="474" t="n">
        <f aca="false">G20+E21</f>
        <v>55501.0583960948</v>
      </c>
      <c r="H21" s="166" t="n">
        <f aca="false">B21/G21</f>
        <v>0.199417798686446</v>
      </c>
    </row>
    <row r="22" s="470" customFormat="true" ht="15.75" hidden="false" customHeight="false" outlineLevel="0" collapsed="false">
      <c r="A22" s="144" t="n">
        <f aca="false">A9</f>
        <v>7</v>
      </c>
      <c r="B22" s="474" t="n">
        <f aca="false">H9</f>
        <v>11801.8914123748</v>
      </c>
      <c r="C22" s="474" t="n">
        <f aca="false">B9-B8</f>
        <v>3320.36966703514</v>
      </c>
      <c r="D22" s="476" t="n">
        <f aca="false">'Valuation output'!I57</f>
        <v>1.15</v>
      </c>
      <c r="E22" s="474" t="n">
        <f aca="false">C22/D22</f>
        <v>2887.2779713349</v>
      </c>
      <c r="F22" s="474" t="n">
        <f aca="false">B22-E22</f>
        <v>8914.61344103992</v>
      </c>
      <c r="G22" s="474" t="n">
        <f aca="false">G21+E22</f>
        <v>58388.3363674297</v>
      </c>
      <c r="H22" s="166" t="n">
        <f aca="false">B22/G22</f>
        <v>0.202127550579745</v>
      </c>
    </row>
    <row r="23" s="470" customFormat="true" ht="15.75" hidden="false" customHeight="false" outlineLevel="0" collapsed="false">
      <c r="A23" s="144" t="n">
        <f aca="false">A10</f>
        <v>8</v>
      </c>
      <c r="B23" s="474" t="n">
        <f aca="false">H10</f>
        <v>12309.0355462094</v>
      </c>
      <c r="C23" s="474" t="n">
        <f aca="false">B10-B9</f>
        <v>2866.1736287196</v>
      </c>
      <c r="D23" s="476" t="n">
        <f aca="false">'Valuation output'!J57</f>
        <v>1.15</v>
      </c>
      <c r="E23" s="474" t="n">
        <f aca="false">C23/D23</f>
        <v>2492.32489453878</v>
      </c>
      <c r="F23" s="474" t="n">
        <f aca="false">B23-E23</f>
        <v>9816.71065167067</v>
      </c>
      <c r="G23" s="474" t="n">
        <f aca="false">G22+E23</f>
        <v>60880.6612619685</v>
      </c>
      <c r="H23" s="166" t="n">
        <f aca="false">B23/G23</f>
        <v>0.202183013309331</v>
      </c>
    </row>
    <row r="24" s="470" customFormat="true" ht="15.75" hidden="false" customHeight="false" outlineLevel="0" collapsed="false">
      <c r="A24" s="144" t="n">
        <f aca="false">A11</f>
        <v>9</v>
      </c>
      <c r="B24" s="474" t="n">
        <f aca="false">H11</f>
        <v>12550.110286833</v>
      </c>
      <c r="C24" s="474" t="n">
        <f aca="false">B11-B10</f>
        <v>2233.86200653431</v>
      </c>
      <c r="D24" s="476" t="n">
        <f aca="false">'Valuation output'!K57</f>
        <v>1.15</v>
      </c>
      <c r="E24" s="474" t="n">
        <f aca="false">C24/D24</f>
        <v>1942.48870133418</v>
      </c>
      <c r="F24" s="474" t="n">
        <f aca="false">B24-E24</f>
        <v>10607.6215854988</v>
      </c>
      <c r="G24" s="474" t="n">
        <f aca="false">G23+E24</f>
        <v>62823.1499633026</v>
      </c>
      <c r="H24" s="166" t="n">
        <f aca="false">B24/G24</f>
        <v>0.199768879691069</v>
      </c>
    </row>
    <row r="25" s="470" customFormat="true" ht="15.75" hidden="false" customHeight="false" outlineLevel="0" collapsed="false">
      <c r="A25" s="144" t="n">
        <f aca="false">A12</f>
        <v>10</v>
      </c>
      <c r="B25" s="474" t="n">
        <f aca="false">H12</f>
        <v>12501.8406318836</v>
      </c>
      <c r="C25" s="474" t="n">
        <f aca="false">B12-B11</f>
        <v>1448.08964848073</v>
      </c>
      <c r="D25" s="476" t="n">
        <f aca="false">'Valuation output'!L57</f>
        <v>1.15</v>
      </c>
      <c r="E25" s="474" t="n">
        <f aca="false">C25/D25</f>
        <v>1259.20838998324</v>
      </c>
      <c r="F25" s="474" t="n">
        <f aca="false">B25-E25</f>
        <v>11242.6322419004</v>
      </c>
      <c r="G25" s="474" t="n">
        <f aca="false">G24+E25</f>
        <v>64082.3583532859</v>
      </c>
      <c r="H25" s="166" t="n">
        <f aca="false">B25/G25</f>
        <v>0.195090208181182</v>
      </c>
    </row>
    <row r="26" s="470" customFormat="true" ht="16.5" hidden="false" customHeight="false" outlineLevel="0" collapsed="false">
      <c r="A26" s="119"/>
      <c r="B26" s="119"/>
      <c r="C26" s="119"/>
      <c r="D26" s="119"/>
      <c r="E26" s="119"/>
      <c r="F26" s="119"/>
      <c r="G26" s="119"/>
      <c r="H26" s="119"/>
    </row>
    <row r="27" s="470" customFormat="true" ht="34.5" hidden="false" customHeight="false" outlineLevel="0" collapsed="false">
      <c r="A27" s="469" t="s">
        <v>335</v>
      </c>
      <c r="B27" s="469" t="s">
        <v>547</v>
      </c>
      <c r="C27" s="469" t="s">
        <v>548</v>
      </c>
      <c r="D27" s="469" t="s">
        <v>549</v>
      </c>
      <c r="E27" s="469" t="s">
        <v>550</v>
      </c>
      <c r="F27" s="469" t="s">
        <v>551</v>
      </c>
      <c r="G27" s="469" t="s">
        <v>552</v>
      </c>
      <c r="H27" s="469" t="s">
        <v>225</v>
      </c>
    </row>
    <row r="28" customFormat="false" ht="15.75" hidden="false" customHeight="false" outlineLevel="0" collapsed="false">
      <c r="A28" s="49" t="n">
        <f aca="false">A16</f>
        <v>1</v>
      </c>
      <c r="H28" s="477" t="e">
        <f aca="false">'valuation output'!#ref!</f>
        <v>#VALUE!</v>
      </c>
    </row>
    <row r="29" customFormat="false" ht="15.75" hidden="false" customHeight="false" outlineLevel="0" collapsed="false">
      <c r="A29" s="49" t="n">
        <f aca="false">A17</f>
        <v>2</v>
      </c>
      <c r="H29" s="477" t="e">
        <f aca="false">'valuation output'!#ref!</f>
        <v>#VALUE!</v>
      </c>
    </row>
    <row r="30" customFormat="false" ht="15.75" hidden="false" customHeight="false" outlineLevel="0" collapsed="false">
      <c r="A30" s="49" t="n">
        <f aca="false">A18</f>
        <v>3</v>
      </c>
      <c r="H30" s="477" t="e">
        <f aca="false">'valuation output'!#ref!</f>
        <v>#VALUE!</v>
      </c>
    </row>
    <row r="31" customFormat="false" ht="15.75" hidden="false" customHeight="false" outlineLevel="0" collapsed="false">
      <c r="A31" s="49" t="n">
        <f aca="false">A19</f>
        <v>4</v>
      </c>
      <c r="H31" s="477" t="e">
        <f aca="false">'valuation output'!#ref!</f>
        <v>#VALUE!</v>
      </c>
    </row>
    <row r="32" customFormat="false" ht="15.75" hidden="false" customHeight="false" outlineLevel="0" collapsed="false">
      <c r="A32" s="49" t="n">
        <f aca="false">A20</f>
        <v>5</v>
      </c>
      <c r="H32" s="477" t="e">
        <f aca="false">'valuation output'!#ref!</f>
        <v>#VALUE!</v>
      </c>
    </row>
    <row r="33" customFormat="false" ht="15.75" hidden="false" customHeight="false" outlineLevel="0" collapsed="false">
      <c r="A33" s="49" t="n">
        <f aca="false">A21</f>
        <v>6</v>
      </c>
      <c r="H33" s="477" t="e">
        <f aca="false">'valuation output'!#ref!</f>
        <v>#VALUE!</v>
      </c>
    </row>
    <row r="34" customFormat="false" ht="15.75" hidden="false" customHeight="false" outlineLevel="0" collapsed="false">
      <c r="A34" s="49" t="n">
        <f aca="false">A22</f>
        <v>7</v>
      </c>
      <c r="H34" s="477" t="e">
        <f aca="false">'valuation output'!#ref!</f>
        <v>#VALUE!</v>
      </c>
    </row>
    <row r="35" customFormat="false" ht="15.75" hidden="false" customHeight="false" outlineLevel="0" collapsed="false">
      <c r="A35" s="49" t="n">
        <f aca="false">A23</f>
        <v>8</v>
      </c>
      <c r="H35" s="477" t="e">
        <f aca="false">'valuation output'!#ref!</f>
        <v>#VALUE!</v>
      </c>
    </row>
    <row r="36" customFormat="false" ht="15.75" hidden="false" customHeight="false" outlineLevel="0" collapsed="false">
      <c r="A36" s="49" t="n">
        <f aca="false">A24</f>
        <v>9</v>
      </c>
      <c r="H36" s="477" t="e">
        <f aca="false">'valuation output'!#ref!</f>
        <v>#VALUE!</v>
      </c>
    </row>
    <row r="37" customFormat="false" ht="15.75" hidden="false" customHeight="false" outlineLevel="0" collapsed="false">
      <c r="A37" s="49" t="n">
        <f aca="false">A25</f>
        <v>10</v>
      </c>
      <c r="H37" s="477" t="e">
        <f aca="false">'valuation output'!#ref!</f>
        <v>#VALUE!</v>
      </c>
    </row>
    <row r="39" customFormat="false" ht="51" hidden="false" customHeight="false" outlineLevel="0" collapsed="false">
      <c r="A39" s="478" t="s">
        <v>335</v>
      </c>
      <c r="B39" s="478" t="s">
        <v>225</v>
      </c>
      <c r="C39" s="478" t="s">
        <v>553</v>
      </c>
      <c r="D39" s="478" t="s">
        <v>136</v>
      </c>
      <c r="E39" s="478" t="s">
        <v>128</v>
      </c>
      <c r="F39" s="478" t="s">
        <v>346</v>
      </c>
    </row>
    <row r="40" customFormat="false" ht="15.75" hidden="false" customHeight="false" outlineLevel="0" collapsed="false">
      <c r="A40" s="479" t="n">
        <f aca="false">A28</f>
        <v>1</v>
      </c>
      <c r="B40" s="480" t="e">
        <f aca="false">H28</f>
        <v>#VALUE!</v>
      </c>
      <c r="C40" s="481" t="e">
        <f aca="false">(1+'Summary Sheet'!B40)</f>
        <v>#VALUE!</v>
      </c>
      <c r="D40" s="482" t="n">
        <f aca="false">F16</f>
        <v>3251.90386956522</v>
      </c>
      <c r="E40" s="479"/>
      <c r="F40" s="482" t="e">
        <f aca="false">D40/C40</f>
        <v>#VALUE!</v>
      </c>
    </row>
    <row r="41" customFormat="false" ht="15.75" hidden="false" customHeight="false" outlineLevel="0" collapsed="false">
      <c r="A41" s="479" t="n">
        <f aca="false">A29</f>
        <v>2</v>
      </c>
      <c r="B41" s="480" t="e">
        <f aca="false">H29</f>
        <v>#VALUE!</v>
      </c>
      <c r="C41" s="481" t="e">
        <f aca="false">C40*(1+B41)</f>
        <v>#VALUE!</v>
      </c>
      <c r="D41" s="482" t="n">
        <f aca="false">F17</f>
        <v>4073.62599</v>
      </c>
      <c r="E41" s="479"/>
      <c r="F41" s="482" t="e">
        <f aca="false">D41/C41</f>
        <v>#VALUE!</v>
      </c>
    </row>
    <row r="42" customFormat="false" ht="15.75" hidden="false" customHeight="false" outlineLevel="0" collapsed="false">
      <c r="A42" s="479" t="n">
        <f aca="false">A30</f>
        <v>3</v>
      </c>
      <c r="B42" s="480" t="e">
        <f aca="false">H30</f>
        <v>#VALUE!</v>
      </c>
      <c r="C42" s="481" t="e">
        <f aca="false">C41*(1+B42)</f>
        <v>#VALUE!</v>
      </c>
      <c r="D42" s="482" t="n">
        <f aca="false">F18</f>
        <v>4876.683399</v>
      </c>
      <c r="E42" s="479"/>
      <c r="F42" s="482" t="e">
        <f aca="false">D42/C42</f>
        <v>#VALUE!</v>
      </c>
    </row>
    <row r="43" customFormat="false" ht="15.75" hidden="false" customHeight="false" outlineLevel="0" collapsed="false">
      <c r="A43" s="479" t="n">
        <f aca="false">A31</f>
        <v>4</v>
      </c>
      <c r="B43" s="480" t="e">
        <f aca="false">H31</f>
        <v>#VALUE!</v>
      </c>
      <c r="C43" s="481" t="e">
        <f aca="false">C42*(1+B43)</f>
        <v>#VALUE!</v>
      </c>
      <c r="D43" s="482" t="n">
        <f aca="false">F19</f>
        <v>5829.001445925</v>
      </c>
      <c r="E43" s="479"/>
      <c r="F43" s="482" t="e">
        <f aca="false">D43/C43</f>
        <v>#VALUE!</v>
      </c>
    </row>
    <row r="44" customFormat="false" ht="15.75" hidden="false" customHeight="false" outlineLevel="0" collapsed="false">
      <c r="A44" s="479" t="n">
        <f aca="false">A32</f>
        <v>5</v>
      </c>
      <c r="B44" s="480" t="e">
        <f aca="false">H32</f>
        <v>#VALUE!</v>
      </c>
      <c r="C44" s="481" t="e">
        <f aca="false">C43*(1+B44)</f>
        <v>#VALUE!</v>
      </c>
      <c r="D44" s="482" t="n">
        <f aca="false">F20</f>
        <v>6957.28953045</v>
      </c>
      <c r="E44" s="479"/>
      <c r="F44" s="482" t="e">
        <f aca="false">D44/C44</f>
        <v>#VALUE!</v>
      </c>
    </row>
    <row r="45" customFormat="false" ht="15.75" hidden="false" customHeight="false" outlineLevel="0" collapsed="false">
      <c r="A45" s="479" t="n">
        <f aca="false">A33</f>
        <v>6</v>
      </c>
      <c r="B45" s="480" t="e">
        <f aca="false">H33</f>
        <v>#VALUE!</v>
      </c>
      <c r="C45" s="481" t="e">
        <f aca="false">C44*(1+B45)</f>
        <v>#VALUE!</v>
      </c>
      <c r="D45" s="482" t="n">
        <f aca="false">F21</f>
        <v>7947.03929945713</v>
      </c>
      <c r="E45" s="479"/>
      <c r="F45" s="482" t="e">
        <f aca="false">D45/C45</f>
        <v>#VALUE!</v>
      </c>
    </row>
    <row r="46" customFormat="false" ht="15.75" hidden="false" customHeight="false" outlineLevel="0" collapsed="false">
      <c r="A46" s="479" t="n">
        <f aca="false">A34</f>
        <v>7</v>
      </c>
      <c r="B46" s="480" t="e">
        <f aca="false">H34</f>
        <v>#VALUE!</v>
      </c>
      <c r="C46" s="481" t="e">
        <f aca="false">C45*(1+B46)</f>
        <v>#VALUE!</v>
      </c>
      <c r="D46" s="482" t="n">
        <f aca="false">F22</f>
        <v>8914.61344103992</v>
      </c>
      <c r="E46" s="479"/>
      <c r="F46" s="482" t="e">
        <f aca="false">D46/C46</f>
        <v>#VALUE!</v>
      </c>
    </row>
    <row r="47" customFormat="false" ht="15.75" hidden="false" customHeight="false" outlineLevel="0" collapsed="false">
      <c r="A47" s="479" t="n">
        <f aca="false">A35</f>
        <v>8</v>
      </c>
      <c r="B47" s="480" t="e">
        <f aca="false">H35</f>
        <v>#VALUE!</v>
      </c>
      <c r="C47" s="481" t="e">
        <f aca="false">C46*(1+B47)</f>
        <v>#VALUE!</v>
      </c>
      <c r="D47" s="482" t="n">
        <f aca="false">F23</f>
        <v>9816.71065167067</v>
      </c>
      <c r="E47" s="479"/>
      <c r="F47" s="482" t="e">
        <f aca="false">D47/C47</f>
        <v>#VALUE!</v>
      </c>
    </row>
    <row r="48" customFormat="false" ht="15.75" hidden="false" customHeight="false" outlineLevel="0" collapsed="false">
      <c r="A48" s="479" t="n">
        <f aca="false">A36</f>
        <v>9</v>
      </c>
      <c r="B48" s="480" t="e">
        <f aca="false">H36</f>
        <v>#VALUE!</v>
      </c>
      <c r="C48" s="481" t="e">
        <f aca="false">C47*(1+B48)</f>
        <v>#VALUE!</v>
      </c>
      <c r="D48" s="482" t="n">
        <f aca="false">F24</f>
        <v>10607.6215854988</v>
      </c>
      <c r="E48" s="479"/>
      <c r="F48" s="482" t="e">
        <f aca="false">D48/C48</f>
        <v>#VALUE!</v>
      </c>
    </row>
    <row r="49" customFormat="false" ht="15.75" hidden="false" customHeight="false" outlineLevel="0" collapsed="false">
      <c r="A49" s="479" t="n">
        <f aca="false">A37</f>
        <v>10</v>
      </c>
      <c r="B49" s="480" t="e">
        <f aca="false">H37</f>
        <v>#VALUE!</v>
      </c>
      <c r="C49" s="481" t="e">
        <f aca="false">C48*(1+B49)</f>
        <v>#VALUE!</v>
      </c>
      <c r="D49" s="482" t="n">
        <f aca="false">F25</f>
        <v>11242.6322419004</v>
      </c>
      <c r="E49" s="482" t="n">
        <f aca="false">'Valuation output'!B39</f>
        <v>58568.2367942757</v>
      </c>
      <c r="F49" s="482" t="e">
        <f aca="false">(D49+E49)/C49</f>
        <v>#VALUE!</v>
      </c>
    </row>
    <row r="50" customFormat="false" ht="15.75" hidden="false" customHeight="false" outlineLevel="0" collapsed="false">
      <c r="A50" s="49" t="s">
        <v>159</v>
      </c>
      <c r="F50" s="482" t="e">
        <f aca="false">SUM(F40:F49)</f>
        <v>#VALUE!</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94"/>
  <sheetViews>
    <sheetView showFormulas="false" showGridLines="true" showRowColHeaders="true" showZeros="true" rightToLeft="false" tabSelected="false" showOutlineSymbols="true" defaultGridColor="true" view="normal" topLeftCell="A142" colorId="64" zoomScale="100" zoomScaleNormal="100" zoomScalePageLayoutView="100" workbookViewId="0">
      <selection pane="topLeft" activeCell="B195" activeCellId="0" sqref="B195"/>
    </sheetView>
  </sheetViews>
  <sheetFormatPr defaultColWidth="10.65234375" defaultRowHeight="12.75" zeroHeight="false" outlineLevelRow="0" outlineLevelCol="0"/>
  <cols>
    <col collapsed="false" customWidth="true" hidden="false" outlineLevel="0" max="1" min="1" style="0" width="27.5"/>
    <col collapsed="false" customWidth="true" hidden="false" outlineLevel="0" max="2" min="2" style="0" width="15"/>
    <col collapsed="false" customWidth="true" hidden="false" outlineLevel="0" max="3" min="3" style="0" width="18.5"/>
    <col collapsed="false" customWidth="true" hidden="false" outlineLevel="0" max="4" min="4" style="0" width="21"/>
    <col collapsed="false" customWidth="true" hidden="false" outlineLevel="0" max="5" min="5" style="0" width="20"/>
    <col collapsed="false" customWidth="true" hidden="false" outlineLevel="0" max="6" min="6" style="0" width="17.67"/>
    <col collapsed="false" customWidth="true" hidden="false" outlineLevel="0" max="7" min="7" style="0" width="21.17"/>
  </cols>
  <sheetData>
    <row r="1" customFormat="false" ht="12.75" hidden="false" customHeight="false" outlineLevel="0" collapsed="false">
      <c r="A1" s="0" t="s">
        <v>554</v>
      </c>
      <c r="B1" s="409" t="n">
        <v>0.0525</v>
      </c>
      <c r="C1" s="0" t="s">
        <v>555</v>
      </c>
    </row>
    <row r="2" s="483" customFormat="true" ht="13.5" hidden="false" customHeight="false" outlineLevel="0" collapsed="false">
      <c r="A2" s="483" t="s">
        <v>556</v>
      </c>
    </row>
    <row r="4" customFormat="false" ht="15.75" hidden="false" customHeight="false" outlineLevel="0" collapsed="false">
      <c r="A4" s="484" t="s">
        <v>431</v>
      </c>
      <c r="B4" s="485" t="s">
        <v>557</v>
      </c>
      <c r="C4" s="486" t="s">
        <v>558</v>
      </c>
      <c r="D4" s="486" t="s">
        <v>559</v>
      </c>
      <c r="E4" s="487" t="s">
        <v>560</v>
      </c>
      <c r="F4" s="487" t="s">
        <v>561</v>
      </c>
    </row>
    <row r="5" customFormat="false" ht="15.75" hidden="false" customHeight="false" outlineLevel="0" collapsed="false">
      <c r="A5" s="488" t="s">
        <v>562</v>
      </c>
      <c r="B5" s="485" t="s">
        <v>563</v>
      </c>
      <c r="C5" s="489" t="n">
        <v>0.00603990825688074</v>
      </c>
      <c r="D5" s="489" t="n">
        <f aca="false">E5+$B$1</f>
        <v>0.0610200431640072</v>
      </c>
      <c r="E5" s="490" t="n">
        <v>0.00852004316400721</v>
      </c>
      <c r="F5" s="490" t="n">
        <v>0.15</v>
      </c>
    </row>
    <row r="6" customFormat="false" ht="15.75" hidden="false" customHeight="false" outlineLevel="0" collapsed="false">
      <c r="A6" s="488" t="s">
        <v>564</v>
      </c>
      <c r="B6" s="485" t="s">
        <v>565</v>
      </c>
      <c r="C6" s="489" t="n">
        <v>0.0550782110091743</v>
      </c>
      <c r="D6" s="489" t="n">
        <f aca="false">E6+$B$1</f>
        <v>0.130194679328923</v>
      </c>
      <c r="E6" s="490" t="n">
        <v>0.0776946793289229</v>
      </c>
      <c r="F6" s="490" t="n">
        <v>0.15</v>
      </c>
    </row>
    <row r="7" customFormat="false" ht="15.75" hidden="false" customHeight="false" outlineLevel="0" collapsed="false">
      <c r="A7" s="491" t="s">
        <v>566</v>
      </c>
      <c r="B7" s="449" t="s">
        <v>567</v>
      </c>
      <c r="C7" s="492" t="n">
        <v>0.0368146788990826</v>
      </c>
      <c r="D7" s="489" t="n">
        <f aca="false">E7+$B$1</f>
        <v>0.10443169166633</v>
      </c>
      <c r="E7" s="493" t="n">
        <v>0.0519316916663297</v>
      </c>
      <c r="F7" s="494" t="n">
        <v>0.26</v>
      </c>
    </row>
    <row r="8" customFormat="false" ht="15.75" hidden="false" customHeight="false" outlineLevel="0" collapsed="false">
      <c r="A8" s="488" t="s">
        <v>568</v>
      </c>
      <c r="B8" s="485" t="s">
        <v>569</v>
      </c>
      <c r="C8" s="489" t="n">
        <v>0.0232967889908257</v>
      </c>
      <c r="D8" s="489" t="n">
        <f aca="false">E8+$B$1</f>
        <v>0.0853630236325992</v>
      </c>
      <c r="E8" s="490" t="n">
        <v>0.0328630236325992</v>
      </c>
      <c r="F8" s="490" t="n">
        <v>0.1898</v>
      </c>
    </row>
    <row r="9" customFormat="false" ht="15.75" hidden="false" customHeight="false" outlineLevel="0" collapsed="false">
      <c r="A9" s="488" t="s">
        <v>570</v>
      </c>
      <c r="B9" s="485" t="s">
        <v>571</v>
      </c>
      <c r="C9" s="489" t="n">
        <v>0.0795254587155963</v>
      </c>
      <c r="D9" s="489" t="n">
        <f aca="false">E9+$B$1</f>
        <v>0.164680568326095</v>
      </c>
      <c r="E9" s="490" t="n">
        <v>0.112180568326095</v>
      </c>
      <c r="F9" s="490" t="n">
        <v>0.25</v>
      </c>
    </row>
    <row r="10" customFormat="false" ht="15.75" hidden="false" customHeight="false" outlineLevel="0" collapsed="false">
      <c r="A10" s="488" t="s">
        <v>572</v>
      </c>
      <c r="B10" s="485" t="s">
        <v>573</v>
      </c>
      <c r="C10" s="489" t="n">
        <v>0.146827293577982</v>
      </c>
      <c r="D10" s="489" t="n">
        <f aca="false">E10+$B$1</f>
        <v>0.259618192153604</v>
      </c>
      <c r="E10" s="490" t="n">
        <v>0.207118192153604</v>
      </c>
      <c r="F10" s="490" t="n">
        <v>0.35</v>
      </c>
    </row>
    <row r="11" customFormat="false" ht="15.75" hidden="false" customHeight="false" outlineLevel="0" collapsed="false">
      <c r="A11" s="488" t="s">
        <v>574</v>
      </c>
      <c r="B11" s="485" t="s">
        <v>575</v>
      </c>
      <c r="C11" s="489" t="n">
        <v>0.0440050458715596</v>
      </c>
      <c r="D11" s="489" t="n">
        <f aca="false">E11+$B$1</f>
        <v>0.11457460019491</v>
      </c>
      <c r="E11" s="490" t="n">
        <v>0.0620746001949097</v>
      </c>
      <c r="F11" s="490" t="n">
        <v>0.18</v>
      </c>
    </row>
    <row r="12" customFormat="false" ht="15.75" hidden="false" customHeight="false" outlineLevel="0" collapsed="false">
      <c r="A12" s="488" t="s">
        <v>576</v>
      </c>
      <c r="B12" s="485" t="s">
        <v>569</v>
      </c>
      <c r="C12" s="489" t="n">
        <v>0.0232967889908257</v>
      </c>
      <c r="D12" s="489" t="n">
        <f aca="false">E12+$B$1</f>
        <v>0.0853630236325992</v>
      </c>
      <c r="E12" s="490" t="n">
        <v>0.0328630236325992</v>
      </c>
      <c r="F12" s="490" t="n">
        <v>0.25</v>
      </c>
    </row>
    <row r="13" customFormat="false" ht="15.75" hidden="false" customHeight="false" outlineLevel="0" collapsed="false">
      <c r="A13" s="488" t="s">
        <v>577</v>
      </c>
      <c r="B13" s="485" t="s">
        <v>578</v>
      </c>
      <c r="C13" s="489" t="n">
        <v>0</v>
      </c>
      <c r="D13" s="489" t="n">
        <f aca="false">E13+$B$1</f>
        <v>0.0525</v>
      </c>
      <c r="E13" s="490" t="n">
        <v>0</v>
      </c>
      <c r="F13" s="490" t="n">
        <v>0.3</v>
      </c>
    </row>
    <row r="14" customFormat="false" ht="15.75" hidden="false" customHeight="false" outlineLevel="0" collapsed="false">
      <c r="A14" s="488" t="s">
        <v>579</v>
      </c>
      <c r="B14" s="485" t="s">
        <v>580</v>
      </c>
      <c r="C14" s="489" t="n">
        <v>0.0048894495412844</v>
      </c>
      <c r="D14" s="489" t="n">
        <f aca="false">E14+$B$1</f>
        <v>0.0593971777994344</v>
      </c>
      <c r="E14" s="490" t="n">
        <v>0.00689717779943441</v>
      </c>
      <c r="F14" s="490" t="n">
        <v>0.24</v>
      </c>
    </row>
    <row r="15" customFormat="false" ht="15.75" hidden="false" customHeight="false" outlineLevel="0" collapsed="false">
      <c r="A15" s="488" t="s">
        <v>581</v>
      </c>
      <c r="B15" s="485" t="s">
        <v>582</v>
      </c>
      <c r="C15" s="489" t="n">
        <v>0.0306309633027523</v>
      </c>
      <c r="D15" s="489" t="n">
        <f aca="false">E15+$B$1</f>
        <v>0.0957087903317509</v>
      </c>
      <c r="E15" s="490" t="n">
        <v>0.0432087903317509</v>
      </c>
      <c r="F15" s="490" t="n">
        <v>0.2</v>
      </c>
    </row>
    <row r="16" customFormat="false" ht="15.75" hidden="false" customHeight="false" outlineLevel="0" collapsed="false">
      <c r="A16" s="488" t="s">
        <v>583</v>
      </c>
      <c r="B16" s="485" t="s">
        <v>565</v>
      </c>
      <c r="C16" s="489" t="n">
        <v>0.0550782110091743</v>
      </c>
      <c r="D16" s="489" t="n">
        <f aca="false">E16+$B$1</f>
        <v>0.130194679328923</v>
      </c>
      <c r="E16" s="490" t="n">
        <v>0.0776946793289229</v>
      </c>
      <c r="F16" s="490" t="n">
        <v>0</v>
      </c>
    </row>
    <row r="17" customFormat="false" ht="15.75" hidden="false" customHeight="false" outlineLevel="0" collapsed="false">
      <c r="A17" s="488" t="s">
        <v>584</v>
      </c>
      <c r="B17" s="485" t="s">
        <v>585</v>
      </c>
      <c r="C17" s="489" t="n">
        <v>0.0673018348623853</v>
      </c>
      <c r="D17" s="489" t="n">
        <f aca="false">E17+$B$1</f>
        <v>0.147437623827509</v>
      </c>
      <c r="E17" s="490" t="n">
        <v>0.0949376238275089</v>
      </c>
      <c r="F17" s="490" t="n">
        <v>0</v>
      </c>
    </row>
    <row r="18" customFormat="false" ht="15.75" hidden="false" customHeight="false" outlineLevel="0" collapsed="false">
      <c r="A18" s="488" t="s">
        <v>586</v>
      </c>
      <c r="B18" s="485" t="s">
        <v>575</v>
      </c>
      <c r="C18" s="489" t="n">
        <v>0.0440050458715596</v>
      </c>
      <c r="D18" s="489" t="n">
        <f aca="false">E18+$B$1</f>
        <v>0.11457460019491</v>
      </c>
      <c r="E18" s="490" t="n">
        <v>0.0620746001949097</v>
      </c>
      <c r="F18" s="490" t="n">
        <v>0.325</v>
      </c>
    </row>
    <row r="19" customFormat="false" ht="15.75" hidden="false" customHeight="false" outlineLevel="0" collapsed="false">
      <c r="A19" s="488" t="s">
        <v>587</v>
      </c>
      <c r="B19" s="485" t="s">
        <v>588</v>
      </c>
      <c r="C19" s="489" t="n">
        <v>0.0917490825688073</v>
      </c>
      <c r="D19" s="489" t="n">
        <f aca="false">E19+$B$1</f>
        <v>0.181923512824681</v>
      </c>
      <c r="E19" s="490" t="n">
        <v>0.129423512824681</v>
      </c>
      <c r="F19" s="490" t="n">
        <v>0.055</v>
      </c>
    </row>
    <row r="20" customFormat="false" ht="15.75" hidden="false" customHeight="false" outlineLevel="0" collapsed="false">
      <c r="A20" s="488" t="s">
        <v>589</v>
      </c>
      <c r="B20" s="485" t="s">
        <v>573</v>
      </c>
      <c r="C20" s="489" t="n">
        <v>0.146827293577982</v>
      </c>
      <c r="D20" s="489" t="n">
        <f aca="false">E20+$B$1</f>
        <v>0.259618192153604</v>
      </c>
      <c r="E20" s="490" t="n">
        <v>0.207118192153604</v>
      </c>
      <c r="F20" s="490" t="n">
        <v>0.18</v>
      </c>
    </row>
    <row r="21" customFormat="false" ht="15.75" hidden="false" customHeight="false" outlineLevel="0" collapsed="false">
      <c r="A21" s="488" t="s">
        <v>590</v>
      </c>
      <c r="B21" s="485" t="s">
        <v>591</v>
      </c>
      <c r="C21" s="489" t="n">
        <v>0.00733417431192661</v>
      </c>
      <c r="D21" s="489" t="n">
        <f aca="false">E21+$B$1</f>
        <v>0.0628457666991516</v>
      </c>
      <c r="E21" s="490" t="n">
        <v>0.0103457666991516</v>
      </c>
      <c r="F21" s="490" t="n">
        <v>0.25</v>
      </c>
    </row>
    <row r="22" customFormat="false" ht="15.75" hidden="false" customHeight="false" outlineLevel="0" collapsed="false">
      <c r="A22" s="488" t="s">
        <v>592</v>
      </c>
      <c r="B22" s="485" t="s">
        <v>593</v>
      </c>
      <c r="C22" s="489" t="n">
        <v>0.110156422018349</v>
      </c>
      <c r="D22" s="489" t="n">
        <f aca="false">E22+$B$1</f>
        <v>0.207889358657846</v>
      </c>
      <c r="E22" s="490" t="n">
        <v>0.155389358657846</v>
      </c>
      <c r="F22" s="490" t="n">
        <v>0.2718</v>
      </c>
    </row>
    <row r="23" customFormat="false" ht="15.75" hidden="false" customHeight="false" outlineLevel="0" collapsed="false">
      <c r="A23" s="488" t="s">
        <v>594</v>
      </c>
      <c r="B23" s="485" t="s">
        <v>565</v>
      </c>
      <c r="C23" s="489" t="n">
        <v>0.0550782110091743</v>
      </c>
      <c r="D23" s="489" t="n">
        <f aca="false">E23+$B$1</f>
        <v>0.130194679328923</v>
      </c>
      <c r="E23" s="490" t="n">
        <v>0.0776946793289229</v>
      </c>
      <c r="F23" s="490" t="n">
        <v>0.3</v>
      </c>
    </row>
    <row r="24" customFormat="false" ht="15.75" hidden="false" customHeight="false" outlineLevel="0" collapsed="false">
      <c r="A24" s="488" t="s">
        <v>595</v>
      </c>
      <c r="B24" s="485" t="s">
        <v>596</v>
      </c>
      <c r="C24" s="489" t="n">
        <v>0.010354128440367</v>
      </c>
      <c r="D24" s="489" t="n">
        <f aca="false">E24+$B$1</f>
        <v>0.0671057882811552</v>
      </c>
      <c r="E24" s="490" t="n">
        <v>0.0146057882811552</v>
      </c>
      <c r="F24" s="490" t="n">
        <v>0</v>
      </c>
    </row>
    <row r="25" customFormat="false" ht="15.75" hidden="false" customHeight="false" outlineLevel="0" collapsed="false">
      <c r="A25" s="488" t="s">
        <v>597</v>
      </c>
      <c r="B25" s="485" t="s">
        <v>585</v>
      </c>
      <c r="C25" s="489" t="n">
        <v>0.0673018348623853</v>
      </c>
      <c r="D25" s="489" t="n">
        <f aca="false">E25+$B$1</f>
        <v>0.147437623827509</v>
      </c>
      <c r="E25" s="490" t="n">
        <v>0.0949376238275089</v>
      </c>
      <c r="F25" s="490" t="n">
        <v>0.25</v>
      </c>
    </row>
    <row r="26" customFormat="false" ht="15.75" hidden="false" customHeight="false" outlineLevel="0" collapsed="false">
      <c r="A26" s="488" t="s">
        <v>598</v>
      </c>
      <c r="B26" s="485" t="s">
        <v>571</v>
      </c>
      <c r="C26" s="489" t="n">
        <v>0.0795254587155963</v>
      </c>
      <c r="D26" s="489" t="n">
        <f aca="false">E26+$B$1</f>
        <v>0.164680568326095</v>
      </c>
      <c r="E26" s="490" t="n">
        <v>0.112180568326095</v>
      </c>
      <c r="F26" s="490" t="n">
        <v>0.1</v>
      </c>
    </row>
    <row r="27" customFormat="false" ht="15.75" hidden="false" customHeight="false" outlineLevel="0" collapsed="false">
      <c r="A27" s="488" t="s">
        <v>599</v>
      </c>
      <c r="B27" s="485" t="s">
        <v>600</v>
      </c>
      <c r="C27" s="489" t="n">
        <v>0.0146683486238532</v>
      </c>
      <c r="D27" s="489" t="n">
        <f aca="false">E27+$B$1</f>
        <v>0.0731915333983032</v>
      </c>
      <c r="E27" s="490" t="n">
        <v>0.0206915333983032</v>
      </c>
      <c r="F27" s="490" t="n">
        <v>0.22</v>
      </c>
    </row>
    <row r="28" customFormat="false" ht="15.75" hidden="false" customHeight="false" outlineLevel="0" collapsed="false">
      <c r="A28" s="488" t="s">
        <v>601</v>
      </c>
      <c r="B28" s="485" t="s">
        <v>602</v>
      </c>
      <c r="C28" s="489" t="n">
        <v>0.0368146788990826</v>
      </c>
      <c r="D28" s="489" t="n">
        <f aca="false">E28+$B$1</f>
        <v>0.10443169166633</v>
      </c>
      <c r="E28" s="490" t="n">
        <v>0.0519316916663297</v>
      </c>
      <c r="F28" s="490" t="n">
        <v>0.34</v>
      </c>
    </row>
    <row r="29" customFormat="false" ht="15.75" hidden="false" customHeight="false" outlineLevel="0" collapsed="false">
      <c r="A29" s="495" t="s">
        <v>603</v>
      </c>
      <c r="B29" s="449" t="s">
        <v>567</v>
      </c>
      <c r="C29" s="496" t="n">
        <v>0.010354128440367</v>
      </c>
      <c r="D29" s="489" t="n">
        <f aca="false">E29+$B$1</f>
        <v>0.0671057882811552</v>
      </c>
      <c r="E29" s="493" t="n">
        <v>0.0146057882811552</v>
      </c>
      <c r="F29" s="497" t="n">
        <v>0.185</v>
      </c>
    </row>
    <row r="30" customFormat="false" ht="15.75" hidden="false" customHeight="false" outlineLevel="0" collapsed="false">
      <c r="A30" s="488" t="s">
        <v>604</v>
      </c>
      <c r="B30" s="485" t="s">
        <v>605</v>
      </c>
      <c r="C30" s="489" t="n">
        <v>0.0195577981651376</v>
      </c>
      <c r="D30" s="489" t="n">
        <f aca="false">E30+$B$1</f>
        <v>0.0800887111977376</v>
      </c>
      <c r="E30" s="490" t="n">
        <v>0.0275887111977376</v>
      </c>
      <c r="F30" s="490" t="n">
        <v>0.1</v>
      </c>
    </row>
    <row r="31" customFormat="false" ht="15.75" hidden="false" customHeight="false" outlineLevel="0" collapsed="false">
      <c r="A31" s="488" t="s">
        <v>606</v>
      </c>
      <c r="B31" s="485" t="s">
        <v>588</v>
      </c>
      <c r="C31" s="489" t="n">
        <v>0.0917490825688073</v>
      </c>
      <c r="D31" s="489" t="n">
        <f aca="false">E31+$B$1</f>
        <v>0.181923512824681</v>
      </c>
      <c r="E31" s="490" t="n">
        <v>0.129423512824681</v>
      </c>
      <c r="F31" s="490" t="n">
        <v>0.28</v>
      </c>
    </row>
    <row r="32" customFormat="false" ht="15.75" hidden="false" customHeight="false" outlineLevel="0" collapsed="false">
      <c r="A32" s="488" t="s">
        <v>607</v>
      </c>
      <c r="B32" s="485" t="s">
        <v>585</v>
      </c>
      <c r="C32" s="489" t="n">
        <v>0.0673018348623853</v>
      </c>
      <c r="D32" s="489" t="n">
        <f aca="false">E32+$B$1</f>
        <v>0.147437623827509</v>
      </c>
      <c r="E32" s="490" t="n">
        <v>0.0949376238275089</v>
      </c>
      <c r="F32" s="490" t="n">
        <v>0.2</v>
      </c>
    </row>
    <row r="33" customFormat="false" ht="15.75" hidden="false" customHeight="false" outlineLevel="0" collapsed="false">
      <c r="A33" s="488" t="s">
        <v>608</v>
      </c>
      <c r="B33" s="485" t="s">
        <v>585</v>
      </c>
      <c r="C33" s="489" t="n">
        <v>0.0673018348623853</v>
      </c>
      <c r="D33" s="489" t="n">
        <f aca="false">E33+$B$1</f>
        <v>0.147437623827509</v>
      </c>
      <c r="E33" s="490" t="n">
        <v>0.0949376238275089</v>
      </c>
      <c r="F33" s="490" t="n">
        <v>0.33</v>
      </c>
    </row>
    <row r="34" customFormat="false" ht="15.75" hidden="false" customHeight="false" outlineLevel="0" collapsed="false">
      <c r="A34" s="488" t="s">
        <v>609</v>
      </c>
      <c r="B34" s="485" t="s">
        <v>578</v>
      </c>
      <c r="C34" s="489" t="n">
        <v>0</v>
      </c>
      <c r="D34" s="489" t="n">
        <f aca="false">E34+$B$1</f>
        <v>0.0525</v>
      </c>
      <c r="E34" s="490" t="n">
        <v>0</v>
      </c>
      <c r="F34" s="490" t="n">
        <v>0.25</v>
      </c>
    </row>
    <row r="35" customFormat="false" ht="15.75" hidden="false" customHeight="false" outlineLevel="0" collapsed="false">
      <c r="A35" s="488" t="s">
        <v>610</v>
      </c>
      <c r="B35" s="485" t="s">
        <v>571</v>
      </c>
      <c r="C35" s="489" t="n">
        <v>0.0795254587155963</v>
      </c>
      <c r="D35" s="489" t="n">
        <f aca="false">E35+$B$1</f>
        <v>0.164680568326095</v>
      </c>
      <c r="E35" s="490" t="n">
        <v>0.112180568326095</v>
      </c>
      <c r="F35" s="490" t="n">
        <v>0</v>
      </c>
    </row>
    <row r="36" customFormat="false" ht="15.75" hidden="false" customHeight="false" outlineLevel="0" collapsed="false">
      <c r="A36" s="488" t="s">
        <v>611</v>
      </c>
      <c r="B36" s="485" t="s">
        <v>591</v>
      </c>
      <c r="C36" s="489" t="n">
        <v>0.00733417431192661</v>
      </c>
      <c r="D36" s="489" t="n">
        <f aca="false">E36+$B$1</f>
        <v>0.0628457666991516</v>
      </c>
      <c r="E36" s="490" t="n">
        <v>0.0103457666991516</v>
      </c>
      <c r="F36" s="490" t="n">
        <v>0</v>
      </c>
    </row>
    <row r="37" customFormat="false" ht="15.75" hidden="false" customHeight="false" outlineLevel="0" collapsed="false">
      <c r="A37" s="488" t="s">
        <v>612</v>
      </c>
      <c r="B37" s="485" t="s">
        <v>596</v>
      </c>
      <c r="C37" s="489" t="n">
        <v>0.010354128440367</v>
      </c>
      <c r="D37" s="489" t="n">
        <f aca="false">E37+$B$1</f>
        <v>0.0671057882811552</v>
      </c>
      <c r="E37" s="490" t="n">
        <v>0.0146057882811552</v>
      </c>
      <c r="F37" s="490" t="n">
        <v>0.27</v>
      </c>
    </row>
    <row r="38" customFormat="false" ht="15.75" hidden="false" customHeight="false" outlineLevel="0" collapsed="false">
      <c r="A38" s="488" t="s">
        <v>436</v>
      </c>
      <c r="B38" s="485" t="s">
        <v>613</v>
      </c>
      <c r="C38" s="489" t="n">
        <v>0.00862844036697248</v>
      </c>
      <c r="D38" s="489" t="n">
        <f aca="false">E38+$B$1</f>
        <v>0.064671490234296</v>
      </c>
      <c r="E38" s="490" t="n">
        <v>0.012171490234296</v>
      </c>
      <c r="F38" s="490" t="n">
        <v>0.25</v>
      </c>
    </row>
    <row r="39" customFormat="false" ht="15.75" hidden="false" customHeight="false" outlineLevel="0" collapsed="false">
      <c r="A39" s="488" t="s">
        <v>614</v>
      </c>
      <c r="B39" s="485" t="s">
        <v>569</v>
      </c>
      <c r="C39" s="489" t="n">
        <v>0.0232967889908257</v>
      </c>
      <c r="D39" s="489" t="n">
        <f aca="false">E39+$B$1</f>
        <v>0.0853630236325992</v>
      </c>
      <c r="E39" s="490" t="n">
        <v>0.0328630236325992</v>
      </c>
      <c r="F39" s="490" t="n">
        <v>0.35</v>
      </c>
    </row>
    <row r="40" customFormat="false" ht="15.75" hidden="false" customHeight="false" outlineLevel="0" collapsed="false">
      <c r="A40" s="488" t="s">
        <v>615</v>
      </c>
      <c r="B40" s="485" t="s">
        <v>571</v>
      </c>
      <c r="C40" s="489" t="n">
        <v>0.0795254587155963</v>
      </c>
      <c r="D40" s="489" t="n">
        <f aca="false">E40+$B$1</f>
        <v>0.164680568326095</v>
      </c>
      <c r="E40" s="490" t="n">
        <v>0.112180568326095</v>
      </c>
      <c r="F40" s="490" t="n">
        <v>0.3</v>
      </c>
    </row>
    <row r="41" customFormat="false" ht="15.75" hidden="false" customHeight="false" outlineLevel="0" collapsed="false">
      <c r="A41" s="488" t="s">
        <v>616</v>
      </c>
      <c r="B41" s="485" t="s">
        <v>593</v>
      </c>
      <c r="C41" s="489" t="n">
        <v>0.110156422018349</v>
      </c>
      <c r="D41" s="489" t="n">
        <f aca="false">E41+$B$1</f>
        <v>0.207889358657846</v>
      </c>
      <c r="E41" s="490" t="n">
        <v>0.155389358657846</v>
      </c>
      <c r="F41" s="490" t="n">
        <v>0.28</v>
      </c>
    </row>
    <row r="42" customFormat="false" ht="15.75" hidden="false" customHeight="false" outlineLevel="0" collapsed="false">
      <c r="A42" s="488" t="s">
        <v>617</v>
      </c>
      <c r="B42" s="485" t="s">
        <v>565</v>
      </c>
      <c r="C42" s="489" t="n">
        <v>0.0550782110091743</v>
      </c>
      <c r="D42" s="489" t="n">
        <f aca="false">E42+$B$1</f>
        <v>0.130194679328923</v>
      </c>
      <c r="E42" s="490" t="n">
        <v>0.0776946793289229</v>
      </c>
      <c r="F42" s="490" t="n">
        <v>0.2843</v>
      </c>
    </row>
    <row r="43" customFormat="false" ht="15.75" hidden="false" customHeight="false" outlineLevel="0" collapsed="false">
      <c r="A43" s="488" t="s">
        <v>618</v>
      </c>
      <c r="B43" s="485" t="s">
        <v>585</v>
      </c>
      <c r="C43" s="489" t="n">
        <v>0.0673018348623853</v>
      </c>
      <c r="D43" s="489" t="n">
        <f aca="false">E43+$B$1</f>
        <v>0.147437623827509</v>
      </c>
      <c r="E43" s="490" t="n">
        <v>0.0949376238275089</v>
      </c>
      <c r="F43" s="490" t="n">
        <v>0.3</v>
      </c>
    </row>
    <row r="44" customFormat="false" ht="15.75" hidden="false" customHeight="false" outlineLevel="0" collapsed="false">
      <c r="A44" s="488" t="s">
        <v>619</v>
      </c>
      <c r="B44" s="485" t="s">
        <v>575</v>
      </c>
      <c r="C44" s="489" t="n">
        <v>0.0440050458715596</v>
      </c>
      <c r="D44" s="489" t="n">
        <f aca="false">E44+$B$1</f>
        <v>0.11457460019491</v>
      </c>
      <c r="E44" s="490" t="n">
        <v>0.0620746001949097</v>
      </c>
      <c r="F44" s="490" t="n">
        <v>0.25</v>
      </c>
    </row>
    <row r="45" customFormat="false" ht="15.75" hidden="false" customHeight="false" outlineLevel="0" collapsed="false">
      <c r="A45" s="488" t="s">
        <v>620</v>
      </c>
      <c r="B45" s="485" t="s">
        <v>569</v>
      </c>
      <c r="C45" s="489" t="n">
        <v>0.0232967889908257</v>
      </c>
      <c r="D45" s="489" t="n">
        <f aca="false">E45+$B$1</f>
        <v>0.0853630236325992</v>
      </c>
      <c r="E45" s="490" t="n">
        <v>0.0328630236325992</v>
      </c>
      <c r="F45" s="490" t="n">
        <v>0.18</v>
      </c>
    </row>
    <row r="46" customFormat="false" ht="15.75" hidden="false" customHeight="false" outlineLevel="0" collapsed="false">
      <c r="A46" s="488" t="s">
        <v>621</v>
      </c>
      <c r="B46" s="485" t="s">
        <v>573</v>
      </c>
      <c r="C46" s="489" t="n">
        <v>0.146827293577982</v>
      </c>
      <c r="D46" s="489" t="n">
        <f aca="false">E46+$B$1</f>
        <v>0.259618192153604</v>
      </c>
      <c r="E46" s="490" t="n">
        <v>0.207118192153604</v>
      </c>
      <c r="F46" s="490" t="n">
        <v>0.2718</v>
      </c>
    </row>
    <row r="47" customFormat="false" ht="15.75" hidden="false" customHeight="false" outlineLevel="0" collapsed="false">
      <c r="A47" s="488" t="s">
        <v>622</v>
      </c>
      <c r="B47" s="485" t="s">
        <v>569</v>
      </c>
      <c r="C47" s="489" t="n">
        <v>0.0232967889908257</v>
      </c>
      <c r="D47" s="489" t="n">
        <f aca="false">E47+$B$1</f>
        <v>0.0853630236325992</v>
      </c>
      <c r="E47" s="490" t="n">
        <v>0.0328630236325992</v>
      </c>
      <c r="F47" s="490" t="n">
        <v>0.22</v>
      </c>
    </row>
    <row r="48" customFormat="false" ht="15.75" hidden="false" customHeight="false" outlineLevel="0" collapsed="false">
      <c r="A48" s="488" t="s">
        <v>623</v>
      </c>
      <c r="B48" s="485" t="s">
        <v>582</v>
      </c>
      <c r="C48" s="489" t="n">
        <v>0.0306309633027523</v>
      </c>
      <c r="D48" s="489" t="n">
        <f aca="false">E48+$B$1</f>
        <v>0.0957087903317509</v>
      </c>
      <c r="E48" s="490" t="n">
        <v>0.0432087903317509</v>
      </c>
      <c r="F48" s="490" t="n">
        <v>0.125</v>
      </c>
    </row>
    <row r="49" customFormat="false" ht="15.75" hidden="false" customHeight="false" outlineLevel="0" collapsed="false">
      <c r="A49" s="488" t="s">
        <v>624</v>
      </c>
      <c r="B49" s="485" t="s">
        <v>591</v>
      </c>
      <c r="C49" s="489" t="n">
        <v>0.00733417431192661</v>
      </c>
      <c r="D49" s="489" t="n">
        <f aca="false">E49+$B$1</f>
        <v>0.0628457666991516</v>
      </c>
      <c r="E49" s="490" t="n">
        <v>0.0103457666991516</v>
      </c>
      <c r="F49" s="490" t="n">
        <v>0.19</v>
      </c>
    </row>
    <row r="50" customFormat="false" ht="15.75" hidden="false" customHeight="false" outlineLevel="0" collapsed="false">
      <c r="A50" s="488" t="s">
        <v>625</v>
      </c>
      <c r="B50" s="485" t="s">
        <v>578</v>
      </c>
      <c r="C50" s="489" t="n">
        <v>0</v>
      </c>
      <c r="D50" s="489" t="n">
        <f aca="false">E50+$B$1</f>
        <v>0.0525</v>
      </c>
      <c r="E50" s="490" t="n">
        <v>0</v>
      </c>
      <c r="F50" s="490" t="n">
        <v>0.22</v>
      </c>
    </row>
    <row r="51" customFormat="false" ht="15.75" hidden="false" customHeight="false" outlineLevel="0" collapsed="false">
      <c r="A51" s="488" t="s">
        <v>626</v>
      </c>
      <c r="B51" s="485" t="s">
        <v>575</v>
      </c>
      <c r="C51" s="489" t="n">
        <v>0.0440050458715596</v>
      </c>
      <c r="D51" s="489" t="n">
        <f aca="false">E51+$B$1</f>
        <v>0.11457460019491</v>
      </c>
      <c r="E51" s="490" t="n">
        <v>0.0620746001949097</v>
      </c>
      <c r="F51" s="490" t="n">
        <v>0.27</v>
      </c>
    </row>
    <row r="52" customFormat="false" ht="15.75" hidden="false" customHeight="false" outlineLevel="0" collapsed="false">
      <c r="A52" s="488" t="s">
        <v>627</v>
      </c>
      <c r="B52" s="485" t="s">
        <v>628</v>
      </c>
      <c r="C52" s="489" t="n">
        <v>0.12238004587156</v>
      </c>
      <c r="D52" s="489" t="n">
        <f aca="false">E52+$B$1</f>
        <v>0.225132303156432</v>
      </c>
      <c r="E52" s="490" t="n">
        <v>0.172632303156432</v>
      </c>
      <c r="F52" s="490" t="n">
        <v>0.25</v>
      </c>
    </row>
    <row r="53" customFormat="false" ht="15.75" hidden="false" customHeight="false" outlineLevel="0" collapsed="false">
      <c r="A53" s="488" t="s">
        <v>629</v>
      </c>
      <c r="B53" s="485" t="s">
        <v>585</v>
      </c>
      <c r="C53" s="489" t="n">
        <v>0.0673018348623853</v>
      </c>
      <c r="D53" s="489" t="n">
        <f aca="false">E53+$B$1</f>
        <v>0.147437623827509</v>
      </c>
      <c r="E53" s="490" t="n">
        <v>0.0949376238275089</v>
      </c>
      <c r="F53" s="490" t="n">
        <v>0.225</v>
      </c>
    </row>
    <row r="54" customFormat="false" ht="15.75" hidden="false" customHeight="false" outlineLevel="0" collapsed="false">
      <c r="A54" s="488" t="s">
        <v>630</v>
      </c>
      <c r="B54" s="485" t="s">
        <v>628</v>
      </c>
      <c r="C54" s="489" t="n">
        <v>0.12238004587156</v>
      </c>
      <c r="D54" s="489" t="n">
        <f aca="false">E54+$B$1</f>
        <v>0.225132303156432</v>
      </c>
      <c r="E54" s="490" t="n">
        <v>0.172632303156432</v>
      </c>
      <c r="F54" s="490" t="n">
        <v>0.3</v>
      </c>
    </row>
    <row r="55" customFormat="false" ht="15.75" hidden="false" customHeight="false" outlineLevel="0" collapsed="false">
      <c r="A55" s="488" t="s">
        <v>631</v>
      </c>
      <c r="B55" s="485" t="s">
        <v>613</v>
      </c>
      <c r="C55" s="489" t="n">
        <v>0.00862844036697248</v>
      </c>
      <c r="D55" s="489" t="n">
        <f aca="false">E55+$B$1</f>
        <v>0.064671490234296</v>
      </c>
      <c r="E55" s="490" t="n">
        <v>0.012171490234296</v>
      </c>
      <c r="F55" s="490" t="n">
        <v>0.2</v>
      </c>
    </row>
    <row r="56" customFormat="false" ht="15.75" hidden="false" customHeight="false" outlineLevel="0" collapsed="false">
      <c r="A56" s="488" t="s">
        <v>632</v>
      </c>
      <c r="B56" s="485" t="s">
        <v>593</v>
      </c>
      <c r="C56" s="489" t="n">
        <v>0.110156422018349</v>
      </c>
      <c r="D56" s="489" t="n">
        <f aca="false">E56+$B$1</f>
        <v>0.207889358657846</v>
      </c>
      <c r="E56" s="490" t="n">
        <v>0.155389358657846</v>
      </c>
      <c r="F56" s="490" t="n">
        <v>0.3</v>
      </c>
    </row>
    <row r="57" customFormat="false" ht="15.75" hidden="false" customHeight="false" outlineLevel="0" collapsed="false">
      <c r="A57" s="488" t="s">
        <v>633</v>
      </c>
      <c r="B57" s="485" t="s">
        <v>565</v>
      </c>
      <c r="C57" s="489" t="n">
        <v>0.0550782110091743</v>
      </c>
      <c r="D57" s="489" t="n">
        <f aca="false">E57+$B$1</f>
        <v>0.130194679328923</v>
      </c>
      <c r="E57" s="490" t="n">
        <v>0.0776946793289229</v>
      </c>
      <c r="F57" s="490" t="n">
        <v>0.2</v>
      </c>
    </row>
    <row r="58" customFormat="false" ht="15.75" hidden="false" customHeight="false" outlineLevel="0" collapsed="false">
      <c r="A58" s="488" t="s">
        <v>634</v>
      </c>
      <c r="B58" s="485" t="s">
        <v>580</v>
      </c>
      <c r="C58" s="489" t="n">
        <v>0.0048894495412844</v>
      </c>
      <c r="D58" s="489" t="n">
        <f aca="false">E58+$B$1</f>
        <v>0.0593971777994344</v>
      </c>
      <c r="E58" s="490" t="n">
        <v>0.00689717779943441</v>
      </c>
      <c r="F58" s="490" t="n">
        <v>0.2</v>
      </c>
    </row>
    <row r="59" customFormat="false" ht="15.75" hidden="false" customHeight="false" outlineLevel="0" collapsed="false">
      <c r="A59" s="488" t="s">
        <v>635</v>
      </c>
      <c r="B59" s="485" t="s">
        <v>563</v>
      </c>
      <c r="C59" s="489" t="n">
        <v>0.00603990825688074</v>
      </c>
      <c r="D59" s="489" t="n">
        <f aca="false">E59+$B$1</f>
        <v>0.0610200431640072</v>
      </c>
      <c r="E59" s="490" t="n">
        <v>0.00852004316400721</v>
      </c>
      <c r="F59" s="490" t="n">
        <v>0.25</v>
      </c>
    </row>
    <row r="60" customFormat="false" ht="15.75" hidden="false" customHeight="false" outlineLevel="0" collapsed="false">
      <c r="A60" s="488" t="s">
        <v>636</v>
      </c>
      <c r="B60" s="485" t="s">
        <v>588</v>
      </c>
      <c r="C60" s="489" t="n">
        <v>0.0917490825688073</v>
      </c>
      <c r="D60" s="489" t="n">
        <f aca="false">E60+$B$1</f>
        <v>0.181923512824681</v>
      </c>
      <c r="E60" s="490" t="n">
        <v>0.129423512824681</v>
      </c>
      <c r="F60" s="490" t="n">
        <v>0.3</v>
      </c>
    </row>
    <row r="61" customFormat="false" ht="15.75" hidden="false" customHeight="false" outlineLevel="0" collapsed="false">
      <c r="A61" s="491" t="s">
        <v>637</v>
      </c>
      <c r="B61" s="449" t="s">
        <v>567</v>
      </c>
      <c r="C61" s="492" t="n">
        <v>0.0673018348623853</v>
      </c>
      <c r="D61" s="489" t="n">
        <f aca="false">E61+$B$1</f>
        <v>0.147437623827509</v>
      </c>
      <c r="E61" s="493" t="n">
        <v>0.0949376238275089</v>
      </c>
      <c r="F61" s="497" t="n">
        <v>0.31</v>
      </c>
    </row>
    <row r="62" customFormat="false" ht="15.75" hidden="false" customHeight="false" outlineLevel="0" collapsed="false">
      <c r="A62" s="488" t="s">
        <v>638</v>
      </c>
      <c r="B62" s="485" t="s">
        <v>602</v>
      </c>
      <c r="C62" s="489" t="n">
        <v>0.0368146788990826</v>
      </c>
      <c r="D62" s="489" t="n">
        <f aca="false">E62+$B$1</f>
        <v>0.10443169166633</v>
      </c>
      <c r="E62" s="490" t="n">
        <v>0.0519316916663297</v>
      </c>
      <c r="F62" s="490" t="n">
        <v>0.15</v>
      </c>
    </row>
    <row r="63" customFormat="false" ht="15.75" hidden="false" customHeight="false" outlineLevel="0" collapsed="false">
      <c r="A63" s="488" t="s">
        <v>639</v>
      </c>
      <c r="B63" s="485" t="s">
        <v>578</v>
      </c>
      <c r="C63" s="489" t="n">
        <v>0</v>
      </c>
      <c r="D63" s="489" t="n">
        <f aca="false">E63+$B$1</f>
        <v>0.0525</v>
      </c>
      <c r="E63" s="490" t="n">
        <v>0</v>
      </c>
      <c r="F63" s="490" t="n">
        <v>0.3</v>
      </c>
    </row>
    <row r="64" customFormat="false" ht="15.75" hidden="false" customHeight="false" outlineLevel="0" collapsed="false">
      <c r="A64" s="488" t="s">
        <v>640</v>
      </c>
      <c r="B64" s="485" t="s">
        <v>573</v>
      </c>
      <c r="C64" s="489" t="n">
        <v>0.146827293577982</v>
      </c>
      <c r="D64" s="489" t="n">
        <f aca="false">E64+$B$1</f>
        <v>0.259618192153604</v>
      </c>
      <c r="E64" s="490" t="n">
        <v>0.207118192153604</v>
      </c>
      <c r="F64" s="490" t="n">
        <v>0.25</v>
      </c>
    </row>
    <row r="65" customFormat="false" ht="15.75" hidden="false" customHeight="false" outlineLevel="0" collapsed="false">
      <c r="A65" s="488" t="s">
        <v>641</v>
      </c>
      <c r="B65" s="485" t="s">
        <v>575</v>
      </c>
      <c r="C65" s="489" t="n">
        <v>0.0440050458715596</v>
      </c>
      <c r="D65" s="489" t="n">
        <f aca="false">E65+$B$1</f>
        <v>0.11457460019491</v>
      </c>
      <c r="E65" s="490" t="n">
        <v>0.0620746001949097</v>
      </c>
      <c r="F65" s="490" t="n">
        <v>0.22</v>
      </c>
    </row>
    <row r="66" customFormat="false" ht="15.75" hidden="false" customHeight="false" outlineLevel="0" collapsed="false">
      <c r="A66" s="488" t="s">
        <v>642</v>
      </c>
      <c r="B66" s="485" t="s">
        <v>582</v>
      </c>
      <c r="C66" s="489" t="n">
        <v>0.0306309633027523</v>
      </c>
      <c r="D66" s="489" t="n">
        <f aca="false">E66+$B$1</f>
        <v>0.0957087903317509</v>
      </c>
      <c r="E66" s="490" t="n">
        <v>0.0432087903317509</v>
      </c>
      <c r="F66" s="490" t="n">
        <v>0.25</v>
      </c>
    </row>
    <row r="67" customFormat="false" ht="15.75" hidden="false" customHeight="false" outlineLevel="0" collapsed="false">
      <c r="A67" s="488" t="s">
        <v>643</v>
      </c>
      <c r="B67" s="485" t="s">
        <v>578</v>
      </c>
      <c r="C67" s="489" t="n">
        <v>0</v>
      </c>
      <c r="D67" s="489" t="n">
        <f aca="false">E67+$B$1</f>
        <v>0.0525</v>
      </c>
      <c r="E67" s="490" t="n">
        <v>0</v>
      </c>
      <c r="F67" s="490" t="n">
        <v>0</v>
      </c>
    </row>
    <row r="68" customFormat="false" ht="15.75" hidden="false" customHeight="false" outlineLevel="0" collapsed="false">
      <c r="A68" s="495" t="s">
        <v>644</v>
      </c>
      <c r="B68" s="449" t="s">
        <v>567</v>
      </c>
      <c r="C68" s="496" t="n">
        <v>0.110156422018349</v>
      </c>
      <c r="D68" s="489" t="n">
        <f aca="false">E68+$B$1</f>
        <v>0.207889358657846</v>
      </c>
      <c r="E68" s="493" t="n">
        <v>0.155389358657846</v>
      </c>
      <c r="F68" s="497" t="n">
        <v>0.2915</v>
      </c>
    </row>
    <row r="69" customFormat="false" ht="15.75" hidden="false" customHeight="false" outlineLevel="0" collapsed="false">
      <c r="A69" s="491" t="s">
        <v>645</v>
      </c>
      <c r="B69" s="449" t="s">
        <v>567</v>
      </c>
      <c r="C69" s="492" t="n">
        <v>0.0795254587155963</v>
      </c>
      <c r="D69" s="489" t="n">
        <f aca="false">E69+$B$1</f>
        <v>0.164680568326095</v>
      </c>
      <c r="E69" s="493" t="n">
        <v>0.112180568326095</v>
      </c>
      <c r="F69" s="497" t="n">
        <v>0.2915</v>
      </c>
    </row>
    <row r="70" customFormat="false" ht="15.75" hidden="false" customHeight="false" outlineLevel="0" collapsed="false">
      <c r="A70" s="495" t="s">
        <v>646</v>
      </c>
      <c r="B70" s="449" t="s">
        <v>567</v>
      </c>
      <c r="C70" s="496" t="n">
        <v>0.0195577981651376</v>
      </c>
      <c r="D70" s="489" t="n">
        <f aca="false">E70+$B$1</f>
        <v>0.0800887111977376</v>
      </c>
      <c r="E70" s="493" t="n">
        <v>0.0275887111977376</v>
      </c>
      <c r="F70" s="497" t="n">
        <v>0.1864</v>
      </c>
    </row>
    <row r="71" customFormat="false" ht="15.75" hidden="false" customHeight="false" outlineLevel="0" collapsed="false">
      <c r="A71" s="491" t="s">
        <v>647</v>
      </c>
      <c r="B71" s="449" t="s">
        <v>567</v>
      </c>
      <c r="C71" s="492" t="n">
        <v>0.146827293577982</v>
      </c>
      <c r="D71" s="489" t="n">
        <f aca="false">E71+$B$1</f>
        <v>0.259618192153604</v>
      </c>
      <c r="E71" s="493" t="n">
        <v>0.207118192153604</v>
      </c>
      <c r="F71" s="497" t="n">
        <v>0.1864</v>
      </c>
    </row>
    <row r="72" customFormat="false" ht="15.75" hidden="false" customHeight="false" outlineLevel="0" collapsed="false">
      <c r="A72" s="488" t="s">
        <v>648</v>
      </c>
      <c r="B72" s="485" t="s">
        <v>565</v>
      </c>
      <c r="C72" s="489" t="n">
        <v>0.0550782110091743</v>
      </c>
      <c r="D72" s="489" t="n">
        <f aca="false">E72+$B$1</f>
        <v>0.130194679328923</v>
      </c>
      <c r="E72" s="490" t="n">
        <v>0.0776946793289229</v>
      </c>
      <c r="F72" s="490" t="n">
        <v>0.25</v>
      </c>
    </row>
    <row r="73" customFormat="false" ht="15.75" hidden="false" customHeight="false" outlineLevel="0" collapsed="false">
      <c r="A73" s="488" t="s">
        <v>649</v>
      </c>
      <c r="B73" s="485" t="s">
        <v>591</v>
      </c>
      <c r="C73" s="489" t="n">
        <v>0.00733417431192661</v>
      </c>
      <c r="D73" s="489" t="n">
        <f aca="false">E73+$B$1</f>
        <v>0.0628457666991516</v>
      </c>
      <c r="E73" s="490" t="n">
        <v>0.0103457666991516</v>
      </c>
      <c r="F73" s="490" t="n">
        <v>0.165</v>
      </c>
    </row>
    <row r="74" customFormat="false" ht="15.75" hidden="false" customHeight="false" outlineLevel="0" collapsed="false">
      <c r="A74" s="488" t="s">
        <v>650</v>
      </c>
      <c r="B74" s="485" t="s">
        <v>569</v>
      </c>
      <c r="C74" s="489" t="n">
        <v>0.0232967889908257</v>
      </c>
      <c r="D74" s="489" t="n">
        <f aca="false">E74+$B$1</f>
        <v>0.0853630236325992</v>
      </c>
      <c r="E74" s="490" t="n">
        <v>0.0328630236325992</v>
      </c>
      <c r="F74" s="490" t="n">
        <v>0.09</v>
      </c>
    </row>
    <row r="75" customFormat="false" ht="15.75" hidden="false" customHeight="false" outlineLevel="0" collapsed="false">
      <c r="A75" s="488" t="s">
        <v>651</v>
      </c>
      <c r="B75" s="485" t="s">
        <v>596</v>
      </c>
      <c r="C75" s="489" t="n">
        <v>0.010354128440367</v>
      </c>
      <c r="D75" s="489" t="n">
        <f aca="false">E75+$B$1</f>
        <v>0.0671057882811552</v>
      </c>
      <c r="E75" s="490" t="n">
        <v>0.0146057882811552</v>
      </c>
      <c r="F75" s="490" t="n">
        <v>0.2</v>
      </c>
    </row>
    <row r="76" customFormat="false" ht="15.75" hidden="false" customHeight="false" outlineLevel="0" collapsed="false">
      <c r="A76" s="488" t="s">
        <v>652</v>
      </c>
      <c r="B76" s="485" t="s">
        <v>653</v>
      </c>
      <c r="C76" s="489" t="n">
        <v>0.0268919724770642</v>
      </c>
      <c r="D76" s="489" t="n">
        <f aca="false">E76+$B$1</f>
        <v>0.0904344778968892</v>
      </c>
      <c r="E76" s="490" t="n">
        <v>0.0379344778968892</v>
      </c>
      <c r="F76" s="490" t="n">
        <v>0.3</v>
      </c>
    </row>
    <row r="77" customFormat="false" ht="15.75" hidden="false" customHeight="false" outlineLevel="0" collapsed="false">
      <c r="A77" s="488" t="s">
        <v>654</v>
      </c>
      <c r="B77" s="485" t="s">
        <v>569</v>
      </c>
      <c r="C77" s="489" t="n">
        <v>0.0232967889908257</v>
      </c>
      <c r="D77" s="489" t="n">
        <f aca="false">E77+$B$1</f>
        <v>0.0853630236325992</v>
      </c>
      <c r="E77" s="490" t="n">
        <v>0.0328630236325992</v>
      </c>
      <c r="F77" s="490" t="n">
        <v>0.22</v>
      </c>
    </row>
    <row r="78" customFormat="false" ht="15.75" hidden="false" customHeight="false" outlineLevel="0" collapsed="false">
      <c r="A78" s="495" t="s">
        <v>655</v>
      </c>
      <c r="B78" s="449" t="s">
        <v>567</v>
      </c>
      <c r="C78" s="496" t="n">
        <v>0.0550782110091743</v>
      </c>
      <c r="D78" s="489" t="n">
        <f aca="false">E78+$B$1</f>
        <v>0.130194679328923</v>
      </c>
      <c r="E78" s="493" t="n">
        <v>0.0776946793289229</v>
      </c>
      <c r="F78" s="497" t="n">
        <v>0.2023</v>
      </c>
    </row>
    <row r="79" customFormat="false" ht="15.75" hidden="false" customHeight="false" outlineLevel="0" collapsed="false">
      <c r="A79" s="488" t="s">
        <v>656</v>
      </c>
      <c r="B79" s="485" t="s">
        <v>588</v>
      </c>
      <c r="C79" s="489" t="n">
        <v>0.0917490825688073</v>
      </c>
      <c r="D79" s="489" t="n">
        <f aca="false">E79+$B$1</f>
        <v>0.181923512824681</v>
      </c>
      <c r="E79" s="490" t="n">
        <v>0.129423512824681</v>
      </c>
      <c r="F79" s="490" t="n">
        <v>0.15</v>
      </c>
    </row>
    <row r="80" customFormat="false" ht="15.75" hidden="false" customHeight="false" outlineLevel="0" collapsed="false">
      <c r="A80" s="488" t="s">
        <v>657</v>
      </c>
      <c r="B80" s="485" t="s">
        <v>613</v>
      </c>
      <c r="C80" s="489" t="n">
        <v>0.00862844036697248</v>
      </c>
      <c r="D80" s="489" t="n">
        <f aca="false">E80+$B$1</f>
        <v>0.064671490234296</v>
      </c>
      <c r="E80" s="490" t="n">
        <v>0.012171490234296</v>
      </c>
      <c r="F80" s="490" t="n">
        <v>0.125</v>
      </c>
    </row>
    <row r="81" customFormat="false" ht="15.75" hidden="false" customHeight="false" outlineLevel="0" collapsed="false">
      <c r="A81" s="488" t="s">
        <v>658</v>
      </c>
      <c r="B81" s="485" t="s">
        <v>591</v>
      </c>
      <c r="C81" s="489" t="n">
        <v>0.00733417431192661</v>
      </c>
      <c r="D81" s="489" t="n">
        <f aca="false">E81+$B$1</f>
        <v>0.0628457666991516</v>
      </c>
      <c r="E81" s="490" t="n">
        <v>0.0103457666991516</v>
      </c>
      <c r="F81" s="490" t="n">
        <v>0</v>
      </c>
    </row>
    <row r="82" customFormat="false" ht="15.75" hidden="false" customHeight="false" outlineLevel="0" collapsed="false">
      <c r="A82" s="488" t="s">
        <v>659</v>
      </c>
      <c r="B82" s="485" t="s">
        <v>613</v>
      </c>
      <c r="C82" s="489" t="n">
        <v>0.00862844036697248</v>
      </c>
      <c r="D82" s="489" t="n">
        <f aca="false">E82+$B$1</f>
        <v>0.064671490234296</v>
      </c>
      <c r="E82" s="490" t="n">
        <v>0.012171490234296</v>
      </c>
      <c r="F82" s="490" t="n">
        <v>0.23</v>
      </c>
    </row>
    <row r="83" customFormat="false" ht="15.75" hidden="false" customHeight="false" outlineLevel="0" collapsed="false">
      <c r="A83" s="488" t="s">
        <v>660</v>
      </c>
      <c r="B83" s="485" t="s">
        <v>653</v>
      </c>
      <c r="C83" s="489" t="n">
        <v>0.0268919724770642</v>
      </c>
      <c r="D83" s="489" t="n">
        <f aca="false">E83+$B$1</f>
        <v>0.0904344778968892</v>
      </c>
      <c r="E83" s="490" t="n">
        <v>0.0379344778968892</v>
      </c>
      <c r="F83" s="490" t="n">
        <v>0.24</v>
      </c>
    </row>
    <row r="84" customFormat="false" ht="15.75" hidden="false" customHeight="false" outlineLevel="0" collapsed="false">
      <c r="A84" s="488" t="s">
        <v>661</v>
      </c>
      <c r="B84" s="485" t="s">
        <v>585</v>
      </c>
      <c r="C84" s="489" t="n">
        <v>0.0673018348623853</v>
      </c>
      <c r="D84" s="489" t="n">
        <f aca="false">E84+$B$1</f>
        <v>0.147437623827509</v>
      </c>
      <c r="E84" s="490" t="n">
        <v>0.0949376238275089</v>
      </c>
      <c r="F84" s="490" t="n">
        <v>0.25</v>
      </c>
    </row>
    <row r="85" customFormat="false" ht="15.75" hidden="false" customHeight="false" outlineLevel="0" collapsed="false">
      <c r="A85" s="488" t="s">
        <v>509</v>
      </c>
      <c r="B85" s="485" t="s">
        <v>613</v>
      </c>
      <c r="C85" s="489" t="n">
        <v>0.00862844036697248</v>
      </c>
      <c r="D85" s="489" t="n">
        <f aca="false">E85+$B$1</f>
        <v>0.064671490234296</v>
      </c>
      <c r="E85" s="490" t="n">
        <v>0.012171490234296</v>
      </c>
      <c r="F85" s="490" t="n">
        <v>0.232</v>
      </c>
    </row>
    <row r="86" customFormat="false" ht="15.75" hidden="false" customHeight="false" outlineLevel="0" collapsed="false">
      <c r="A86" s="488" t="s">
        <v>662</v>
      </c>
      <c r="B86" s="485" t="s">
        <v>578</v>
      </c>
      <c r="C86" s="489" t="n">
        <v>0</v>
      </c>
      <c r="D86" s="489" t="n">
        <f aca="false">E86+$B$1</f>
        <v>0.0525</v>
      </c>
      <c r="E86" s="490" t="n">
        <v>0</v>
      </c>
      <c r="F86" s="490" t="n">
        <v>0</v>
      </c>
    </row>
    <row r="87" customFormat="false" ht="15.75" hidden="false" customHeight="false" outlineLevel="0" collapsed="false">
      <c r="A87" s="488" t="s">
        <v>663</v>
      </c>
      <c r="B87" s="485" t="s">
        <v>565</v>
      </c>
      <c r="C87" s="489" t="n">
        <v>0.0550782110091743</v>
      </c>
      <c r="D87" s="489" t="n">
        <f aca="false">E87+$B$1</f>
        <v>0.130194679328923</v>
      </c>
      <c r="E87" s="490" t="n">
        <v>0.0776946793289229</v>
      </c>
      <c r="F87" s="490" t="n">
        <v>0.2</v>
      </c>
    </row>
    <row r="88" customFormat="false" ht="15.75" hidden="false" customHeight="false" outlineLevel="0" collapsed="false">
      <c r="A88" s="488" t="s">
        <v>664</v>
      </c>
      <c r="B88" s="485" t="s">
        <v>569</v>
      </c>
      <c r="C88" s="489" t="n">
        <v>0.0232967889908257</v>
      </c>
      <c r="D88" s="489" t="n">
        <f aca="false">E88+$B$1</f>
        <v>0.0853630236325992</v>
      </c>
      <c r="E88" s="490" t="n">
        <v>0.0328630236325992</v>
      </c>
      <c r="F88" s="490" t="n">
        <v>0.2</v>
      </c>
    </row>
    <row r="89" customFormat="false" ht="15.75" hidden="false" customHeight="false" outlineLevel="0" collapsed="false">
      <c r="A89" s="488" t="s">
        <v>665</v>
      </c>
      <c r="B89" s="485" t="s">
        <v>585</v>
      </c>
      <c r="C89" s="489" t="n">
        <v>0.0673018348623853</v>
      </c>
      <c r="D89" s="489" t="n">
        <f aca="false">E89+$B$1</f>
        <v>0.147437623827509</v>
      </c>
      <c r="E89" s="490" t="n">
        <v>0.0949376238275089</v>
      </c>
      <c r="F89" s="490" t="n">
        <v>0.3</v>
      </c>
    </row>
    <row r="90" customFormat="false" ht="15.75" hidden="false" customHeight="false" outlineLevel="0" collapsed="false">
      <c r="A90" s="488" t="s">
        <v>666</v>
      </c>
      <c r="B90" s="485" t="s">
        <v>563</v>
      </c>
      <c r="C90" s="489" t="n">
        <v>0.00603990825688074</v>
      </c>
      <c r="D90" s="489" t="n">
        <f aca="false">E90+$B$1</f>
        <v>0.0610200431640072</v>
      </c>
      <c r="E90" s="490" t="n">
        <v>0.00852004316400721</v>
      </c>
      <c r="F90" s="490" t="n">
        <v>0.25</v>
      </c>
    </row>
    <row r="91" customFormat="false" ht="15.75" hidden="false" customHeight="false" outlineLevel="0" collapsed="false">
      <c r="A91" s="491" t="s">
        <v>667</v>
      </c>
      <c r="B91" s="449" t="s">
        <v>567</v>
      </c>
      <c r="C91" s="492" t="n">
        <v>0.146827293577982</v>
      </c>
      <c r="D91" s="489" t="n">
        <f aca="false">E91+$B$1</f>
        <v>0.259618192153604</v>
      </c>
      <c r="E91" s="493" t="n">
        <v>0.207118192153604</v>
      </c>
      <c r="F91" s="497" t="n">
        <v>0.231</v>
      </c>
    </row>
    <row r="92" customFormat="false" ht="15.75" hidden="false" customHeight="false" outlineLevel="0" collapsed="false">
      <c r="A92" s="488" t="s">
        <v>668</v>
      </c>
      <c r="B92" s="485" t="s">
        <v>613</v>
      </c>
      <c r="C92" s="489" t="n">
        <v>0.00862844036697248</v>
      </c>
      <c r="D92" s="489" t="n">
        <f aca="false">E92+$B$1</f>
        <v>0.064671490234296</v>
      </c>
      <c r="E92" s="490" t="n">
        <v>0.012171490234296</v>
      </c>
      <c r="F92" s="490" t="n">
        <v>0.15</v>
      </c>
    </row>
    <row r="93" customFormat="false" ht="15.75" hidden="false" customHeight="false" outlineLevel="0" collapsed="false">
      <c r="A93" s="488" t="s">
        <v>669</v>
      </c>
      <c r="B93" s="485" t="s">
        <v>571</v>
      </c>
      <c r="C93" s="489" t="n">
        <v>0.0795254587155963</v>
      </c>
      <c r="D93" s="489" t="n">
        <f aca="false">E93+$B$1</f>
        <v>0.164680568326095</v>
      </c>
      <c r="E93" s="490" t="n">
        <v>0.112180568326095</v>
      </c>
      <c r="F93" s="490" t="n">
        <v>0.1</v>
      </c>
    </row>
    <row r="94" customFormat="false" ht="15.75" hidden="false" customHeight="false" outlineLevel="0" collapsed="false">
      <c r="A94" s="488" t="s">
        <v>670</v>
      </c>
      <c r="B94" s="485" t="s">
        <v>628</v>
      </c>
      <c r="C94" s="489" t="n">
        <v>0.12238004587156</v>
      </c>
      <c r="D94" s="489" t="n">
        <f aca="false">E94+$B$1</f>
        <v>0.225132303156432</v>
      </c>
      <c r="E94" s="490" t="n">
        <v>0.172632303156432</v>
      </c>
      <c r="F94" s="490" t="n">
        <v>0.2281</v>
      </c>
    </row>
    <row r="95" customFormat="false" ht="15.75" hidden="false" customHeight="false" outlineLevel="0" collapsed="false">
      <c r="A95" s="488" t="s">
        <v>671</v>
      </c>
      <c r="B95" s="485" t="s">
        <v>600</v>
      </c>
      <c r="C95" s="489" t="n">
        <v>0.0146683486238532</v>
      </c>
      <c r="D95" s="489" t="n">
        <f aca="false">E95+$B$1</f>
        <v>0.0731915333983032</v>
      </c>
      <c r="E95" s="490" t="n">
        <v>0.0206915333983032</v>
      </c>
      <c r="F95" s="490" t="n">
        <v>0.2</v>
      </c>
    </row>
    <row r="96" customFormat="false" ht="15.75" hidden="false" customHeight="false" outlineLevel="0" collapsed="false">
      <c r="A96" s="488" t="s">
        <v>672</v>
      </c>
      <c r="B96" s="485" t="s">
        <v>673</v>
      </c>
      <c r="C96" s="489" t="n">
        <v>0.175</v>
      </c>
      <c r="D96" s="489" t="n">
        <f aca="false">E96+$B$1</f>
        <v>0.299359304858263</v>
      </c>
      <c r="E96" s="490" t="n">
        <v>0.246859304858263</v>
      </c>
      <c r="F96" s="490" t="n">
        <v>0.17</v>
      </c>
    </row>
    <row r="97" customFormat="false" ht="15.75" hidden="false" customHeight="false" outlineLevel="0" collapsed="false">
      <c r="A97" s="495" t="s">
        <v>674</v>
      </c>
      <c r="B97" s="449" t="s">
        <v>567</v>
      </c>
      <c r="C97" s="496" t="n">
        <v>0.110156422018349</v>
      </c>
      <c r="D97" s="489" t="n">
        <f aca="false">E97+$B$1</f>
        <v>0.207889358657846</v>
      </c>
      <c r="E97" s="493" t="n">
        <v>0.155389358657846</v>
      </c>
      <c r="F97" s="497" t="n">
        <v>0.2915</v>
      </c>
    </row>
    <row r="98" customFormat="false" ht="15.75" hidden="false" customHeight="false" outlineLevel="0" collapsed="false">
      <c r="A98" s="491" t="s">
        <v>675</v>
      </c>
      <c r="B98" s="449" t="s">
        <v>567</v>
      </c>
      <c r="C98" s="492" t="n">
        <v>0.0368146788990826</v>
      </c>
      <c r="D98" s="489" t="n">
        <f aca="false">E98+$B$1</f>
        <v>0.10443169166633</v>
      </c>
      <c r="E98" s="493" t="n">
        <v>0.0519316916663297</v>
      </c>
      <c r="F98" s="494" t="n">
        <v>0.2</v>
      </c>
    </row>
    <row r="99" customFormat="false" ht="15.75" hidden="false" customHeight="false" outlineLevel="0" collapsed="false">
      <c r="A99" s="488" t="s">
        <v>676</v>
      </c>
      <c r="B99" s="485" t="s">
        <v>578</v>
      </c>
      <c r="C99" s="489" t="n">
        <v>0</v>
      </c>
      <c r="D99" s="489" t="n">
        <f aca="false">E99+$B$1</f>
        <v>0.0525</v>
      </c>
      <c r="E99" s="490" t="n">
        <v>0</v>
      </c>
      <c r="F99" s="490" t="n">
        <v>0.125</v>
      </c>
    </row>
    <row r="100" customFormat="false" ht="15.75" hidden="false" customHeight="false" outlineLevel="0" collapsed="false">
      <c r="A100" s="488" t="s">
        <v>677</v>
      </c>
      <c r="B100" s="485" t="s">
        <v>596</v>
      </c>
      <c r="C100" s="489" t="n">
        <v>0.010354128440367</v>
      </c>
      <c r="D100" s="489" t="n">
        <f aca="false">E100+$B$1</f>
        <v>0.0671057882811552</v>
      </c>
      <c r="E100" s="490" t="n">
        <v>0.0146057882811552</v>
      </c>
      <c r="F100" s="490" t="n">
        <v>0.15</v>
      </c>
    </row>
    <row r="101" customFormat="false" ht="15.75" hidden="false" customHeight="false" outlineLevel="0" collapsed="false">
      <c r="A101" s="488" t="s">
        <v>678</v>
      </c>
      <c r="B101" s="485" t="s">
        <v>578</v>
      </c>
      <c r="C101" s="489" t="n">
        <v>0</v>
      </c>
      <c r="D101" s="489" t="n">
        <f aca="false">E101+$B$1</f>
        <v>0.0525</v>
      </c>
      <c r="E101" s="490" t="n">
        <v>0</v>
      </c>
      <c r="F101" s="490" t="n">
        <v>0.2494</v>
      </c>
    </row>
    <row r="102" customFormat="false" ht="15.75" hidden="false" customHeight="false" outlineLevel="0" collapsed="false">
      <c r="A102" s="488" t="s">
        <v>679</v>
      </c>
      <c r="B102" s="485" t="s">
        <v>591</v>
      </c>
      <c r="C102" s="489" t="n">
        <v>0.00733417431192661</v>
      </c>
      <c r="D102" s="489" t="n">
        <f aca="false">E102+$B$1</f>
        <v>0.0628457666991516</v>
      </c>
      <c r="E102" s="490" t="n">
        <v>0.0103457666991516</v>
      </c>
      <c r="F102" s="490" t="n">
        <v>0.2281</v>
      </c>
    </row>
    <row r="103" customFormat="false" ht="15.75" hidden="false" customHeight="false" outlineLevel="0" collapsed="false">
      <c r="A103" s="488" t="s">
        <v>680</v>
      </c>
      <c r="B103" s="485" t="s">
        <v>575</v>
      </c>
      <c r="C103" s="489" t="n">
        <v>0.0440050458715596</v>
      </c>
      <c r="D103" s="489" t="n">
        <f aca="false">E103+$B$1</f>
        <v>0.11457460019491</v>
      </c>
      <c r="E103" s="490" t="n">
        <v>0.0620746001949097</v>
      </c>
      <c r="F103" s="490" t="n">
        <v>0.1</v>
      </c>
    </row>
    <row r="104" customFormat="false" ht="15.75" hidden="false" customHeight="false" outlineLevel="0" collapsed="false">
      <c r="A104" s="495" t="s">
        <v>681</v>
      </c>
      <c r="B104" s="449" t="s">
        <v>567</v>
      </c>
      <c r="C104" s="496" t="n">
        <v>0.0795254587155963</v>
      </c>
      <c r="D104" s="489" t="n">
        <f aca="false">E104+$B$1</f>
        <v>0.164680568326095</v>
      </c>
      <c r="E104" s="493" t="n">
        <v>0.112180568326095</v>
      </c>
      <c r="F104" s="497" t="n">
        <v>0.2</v>
      </c>
    </row>
    <row r="105" customFormat="false" ht="15.75" hidden="false" customHeight="false" outlineLevel="0" collapsed="false">
      <c r="A105" s="491" t="s">
        <v>682</v>
      </c>
      <c r="B105" s="449" t="s">
        <v>567</v>
      </c>
      <c r="C105" s="492" t="n">
        <v>0.146827293577982</v>
      </c>
      <c r="D105" s="489" t="n">
        <f aca="false">E105+$B$1</f>
        <v>0.259618192153604</v>
      </c>
      <c r="E105" s="493" t="n">
        <v>0.207118192153604</v>
      </c>
      <c r="F105" s="497" t="n">
        <v>0.3</v>
      </c>
    </row>
    <row r="106" customFormat="false" ht="15.75" hidden="false" customHeight="false" outlineLevel="0" collapsed="false">
      <c r="A106" s="488" t="s">
        <v>683</v>
      </c>
      <c r="B106" s="485" t="s">
        <v>600</v>
      </c>
      <c r="C106" s="489" t="n">
        <v>0.0146683486238532</v>
      </c>
      <c r="D106" s="489" t="n">
        <f aca="false">E106+$B$1</f>
        <v>0.0731915333983032</v>
      </c>
      <c r="E106" s="490" t="n">
        <v>0.0206915333983032</v>
      </c>
      <c r="F106" s="490" t="n">
        <v>0.24</v>
      </c>
    </row>
    <row r="107" customFormat="false" ht="15.75" hidden="false" customHeight="false" outlineLevel="0" collapsed="false">
      <c r="A107" s="488" t="s">
        <v>684</v>
      </c>
      <c r="B107" s="485" t="s">
        <v>588</v>
      </c>
      <c r="C107" s="489" t="n">
        <v>0.0917490825688073</v>
      </c>
      <c r="D107" s="489" t="n">
        <f aca="false">E107+$B$1</f>
        <v>0.181923512824681</v>
      </c>
      <c r="E107" s="490" t="n">
        <v>0.129423512824681</v>
      </c>
      <c r="F107" s="490" t="n">
        <v>0.2281</v>
      </c>
    </row>
    <row r="108" customFormat="false" ht="15.75" hidden="false" customHeight="false" outlineLevel="0" collapsed="false">
      <c r="A108" s="488" t="s">
        <v>685</v>
      </c>
      <c r="B108" s="485" t="s">
        <v>593</v>
      </c>
      <c r="C108" s="489" t="n">
        <v>0.110156422018349</v>
      </c>
      <c r="D108" s="489" t="n">
        <f aca="false">E108+$B$1</f>
        <v>0.207889358657846</v>
      </c>
      <c r="E108" s="490" t="n">
        <v>0.155389358657846</v>
      </c>
      <c r="F108" s="490" t="n">
        <v>0.2281</v>
      </c>
    </row>
    <row r="109" customFormat="false" ht="15.75" hidden="false" customHeight="false" outlineLevel="0" collapsed="false">
      <c r="A109" s="488" t="s">
        <v>686</v>
      </c>
      <c r="B109" s="485" t="s">
        <v>596</v>
      </c>
      <c r="C109" s="489" t="n">
        <v>0.010354128440367</v>
      </c>
      <c r="D109" s="489" t="n">
        <f aca="false">E109+$B$1</f>
        <v>0.0671057882811552</v>
      </c>
      <c r="E109" s="490" t="n">
        <v>0.0146057882811552</v>
      </c>
      <c r="F109" s="490" t="n">
        <v>0.35</v>
      </c>
    </row>
    <row r="110" customFormat="false" ht="15.75" hidden="false" customHeight="false" outlineLevel="0" collapsed="false">
      <c r="A110" s="488" t="s">
        <v>687</v>
      </c>
      <c r="B110" s="485" t="s">
        <v>653</v>
      </c>
      <c r="C110" s="489" t="n">
        <v>0.0268919724770642</v>
      </c>
      <c r="D110" s="489" t="n">
        <f aca="false">E110+$B$1</f>
        <v>0.0904344778968892</v>
      </c>
      <c r="E110" s="490" t="n">
        <v>0.0379344778968892</v>
      </c>
      <c r="F110" s="490" t="n">
        <v>0.15</v>
      </c>
    </row>
    <row r="111" customFormat="false" ht="15.75" hidden="false" customHeight="false" outlineLevel="0" collapsed="false">
      <c r="A111" s="488" t="s">
        <v>688</v>
      </c>
      <c r="B111" s="485" t="s">
        <v>569</v>
      </c>
      <c r="C111" s="489" t="n">
        <v>0.0232967889908257</v>
      </c>
      <c r="D111" s="489" t="n">
        <f aca="false">E111+$B$1</f>
        <v>0.0853630236325992</v>
      </c>
      <c r="E111" s="490" t="n">
        <v>0.0328630236325992</v>
      </c>
      <c r="F111" s="490" t="n">
        <v>0.3</v>
      </c>
    </row>
    <row r="112" customFormat="false" ht="15.75" hidden="false" customHeight="false" outlineLevel="0" collapsed="false">
      <c r="A112" s="488" t="s">
        <v>689</v>
      </c>
      <c r="B112" s="485" t="s">
        <v>571</v>
      </c>
      <c r="C112" s="489" t="n">
        <v>0.0795254587155963</v>
      </c>
      <c r="D112" s="489" t="n">
        <f aca="false">E112+$B$1</f>
        <v>0.164680568326095</v>
      </c>
      <c r="E112" s="490" t="n">
        <v>0.112180568326095</v>
      </c>
      <c r="F112" s="490" t="n">
        <v>0.12</v>
      </c>
    </row>
    <row r="113" customFormat="false" ht="15.75" hidden="false" customHeight="false" outlineLevel="0" collapsed="false">
      <c r="A113" s="488" t="s">
        <v>690</v>
      </c>
      <c r="B113" s="485" t="s">
        <v>571</v>
      </c>
      <c r="C113" s="489" t="n">
        <v>0.0795254587155963</v>
      </c>
      <c r="D113" s="489" t="n">
        <f aca="false">E113+$B$1</f>
        <v>0.164680568326095</v>
      </c>
      <c r="E113" s="490" t="n">
        <v>0.112180568326095</v>
      </c>
      <c r="F113" s="490" t="n">
        <v>0.25</v>
      </c>
    </row>
    <row r="114" customFormat="false" ht="15.75" hidden="false" customHeight="false" outlineLevel="0" collapsed="false">
      <c r="A114" s="488" t="s">
        <v>691</v>
      </c>
      <c r="B114" s="485" t="s">
        <v>565</v>
      </c>
      <c r="C114" s="489" t="n">
        <v>0.0550782110091743</v>
      </c>
      <c r="D114" s="489" t="n">
        <f aca="false">E114+$B$1</f>
        <v>0.130194679328923</v>
      </c>
      <c r="E114" s="490" t="n">
        <v>0.0776946793289229</v>
      </c>
      <c r="F114" s="490" t="n">
        <v>0.15</v>
      </c>
    </row>
    <row r="115" customFormat="false" ht="15.75" hidden="false" customHeight="false" outlineLevel="0" collapsed="false">
      <c r="A115" s="488" t="s">
        <v>692</v>
      </c>
      <c r="B115" s="485" t="s">
        <v>653</v>
      </c>
      <c r="C115" s="489" t="n">
        <v>0.0268919724770642</v>
      </c>
      <c r="D115" s="489" t="n">
        <f aca="false">E115+$B$1</f>
        <v>0.0904344778968892</v>
      </c>
      <c r="E115" s="490" t="n">
        <v>0.0379344778968892</v>
      </c>
      <c r="F115" s="490" t="n">
        <v>0.2718</v>
      </c>
    </row>
    <row r="116" customFormat="false" ht="15.75" hidden="false" customHeight="false" outlineLevel="0" collapsed="false">
      <c r="A116" s="488" t="s">
        <v>693</v>
      </c>
      <c r="B116" s="485" t="s">
        <v>582</v>
      </c>
      <c r="C116" s="489" t="n">
        <v>0.0306309633027523</v>
      </c>
      <c r="D116" s="489" t="n">
        <f aca="false">E116+$B$1</f>
        <v>0.0957087903317509</v>
      </c>
      <c r="E116" s="490" t="n">
        <v>0.0432087903317509</v>
      </c>
      <c r="F116" s="490" t="n">
        <v>0.31</v>
      </c>
    </row>
    <row r="117" customFormat="false" ht="15.75" hidden="false" customHeight="false" outlineLevel="0" collapsed="false">
      <c r="A117" s="488" t="s">
        <v>694</v>
      </c>
      <c r="B117" s="485" t="s">
        <v>593</v>
      </c>
      <c r="C117" s="489" t="n">
        <v>0.110156422018349</v>
      </c>
      <c r="D117" s="489" t="n">
        <f aca="false">E117+$B$1</f>
        <v>0.207889358657846</v>
      </c>
      <c r="E117" s="490" t="n">
        <v>0.155389358657846</v>
      </c>
      <c r="F117" s="490" t="n">
        <v>0.32</v>
      </c>
    </row>
    <row r="118" customFormat="false" ht="15.75" hidden="false" customHeight="false" outlineLevel="0" collapsed="false">
      <c r="A118" s="495" t="s">
        <v>695</v>
      </c>
      <c r="B118" s="449" t="s">
        <v>567</v>
      </c>
      <c r="C118" s="496" t="n">
        <v>0.12238004587156</v>
      </c>
      <c r="D118" s="489" t="n">
        <f aca="false">E118+$B$1</f>
        <v>0.225132303156432</v>
      </c>
      <c r="E118" s="493" t="n">
        <v>0.172632303156432</v>
      </c>
      <c r="F118" s="497" t="n">
        <v>0.25</v>
      </c>
    </row>
    <row r="119" customFormat="false" ht="15.75" hidden="false" customHeight="false" outlineLevel="0" collapsed="false">
      <c r="A119" s="488" t="s">
        <v>696</v>
      </c>
      <c r="B119" s="485" t="s">
        <v>565</v>
      </c>
      <c r="C119" s="489" t="n">
        <v>0.0550782110091743</v>
      </c>
      <c r="D119" s="489" t="n">
        <f aca="false">E119+$B$1</f>
        <v>0.130194679328923</v>
      </c>
      <c r="E119" s="490" t="n">
        <v>0.0776946793289229</v>
      </c>
      <c r="F119" s="490" t="n">
        <v>0.32</v>
      </c>
    </row>
    <row r="120" customFormat="false" ht="15.75" hidden="false" customHeight="false" outlineLevel="0" collapsed="false">
      <c r="A120" s="488" t="s">
        <v>697</v>
      </c>
      <c r="B120" s="485" t="s">
        <v>578</v>
      </c>
      <c r="C120" s="489" t="n">
        <v>0</v>
      </c>
      <c r="D120" s="489" t="n">
        <f aca="false">E120+$B$1</f>
        <v>0.0525</v>
      </c>
      <c r="E120" s="490" t="n">
        <v>0</v>
      </c>
      <c r="F120" s="490" t="n">
        <v>0.258</v>
      </c>
    </row>
    <row r="121" customFormat="false" ht="15.75" hidden="false" customHeight="false" outlineLevel="0" collapsed="false">
      <c r="A121" s="488" t="s">
        <v>698</v>
      </c>
      <c r="B121" s="485" t="s">
        <v>578</v>
      </c>
      <c r="C121" s="489" t="n">
        <v>0</v>
      </c>
      <c r="D121" s="489" t="n">
        <f aca="false">E121+$B$1</f>
        <v>0.0525</v>
      </c>
      <c r="E121" s="490" t="n">
        <v>0</v>
      </c>
      <c r="F121" s="490" t="n">
        <v>0.28</v>
      </c>
    </row>
    <row r="122" customFormat="false" ht="15.75" hidden="false" customHeight="false" outlineLevel="0" collapsed="false">
      <c r="A122" s="488" t="s">
        <v>699</v>
      </c>
      <c r="B122" s="485" t="s">
        <v>571</v>
      </c>
      <c r="C122" s="489" t="n">
        <v>0.0795254587155963</v>
      </c>
      <c r="D122" s="489" t="n">
        <f aca="false">E122+$B$1</f>
        <v>0.164680568326095</v>
      </c>
      <c r="E122" s="490" t="n">
        <v>0.112180568326095</v>
      </c>
      <c r="F122" s="490" t="n">
        <v>0.3</v>
      </c>
    </row>
    <row r="123" customFormat="false" ht="15.75" hidden="false" customHeight="false" outlineLevel="0" collapsed="false">
      <c r="A123" s="488" t="s">
        <v>700</v>
      </c>
      <c r="B123" s="485" t="s">
        <v>571</v>
      </c>
      <c r="C123" s="489" t="n">
        <v>0.0795254587155963</v>
      </c>
      <c r="D123" s="489" t="n">
        <f aca="false">E123+$B$1</f>
        <v>0.164680568326095</v>
      </c>
      <c r="E123" s="490" t="n">
        <v>0.112180568326095</v>
      </c>
      <c r="F123" s="490" t="n">
        <v>0.2281</v>
      </c>
    </row>
    <row r="124" customFormat="false" ht="15.75" hidden="false" customHeight="false" outlineLevel="0" collapsed="false">
      <c r="A124" s="488" t="s">
        <v>701</v>
      </c>
      <c r="B124" s="485" t="s">
        <v>571</v>
      </c>
      <c r="C124" s="489" t="n">
        <v>0.0795254587155963</v>
      </c>
      <c r="D124" s="489" t="n">
        <f aca="false">E124+$B$1</f>
        <v>0.164680568326095</v>
      </c>
      <c r="E124" s="490" t="n">
        <v>0.112180568326095</v>
      </c>
      <c r="F124" s="490" t="n">
        <v>0.3</v>
      </c>
    </row>
    <row r="125" customFormat="false" ht="15.75" hidden="false" customHeight="false" outlineLevel="0" collapsed="false">
      <c r="A125" s="488" t="s">
        <v>702</v>
      </c>
      <c r="B125" s="485" t="s">
        <v>578</v>
      </c>
      <c r="C125" s="489" t="n">
        <v>0</v>
      </c>
      <c r="D125" s="489" t="n">
        <f aca="false">E125+$B$1</f>
        <v>0.0525</v>
      </c>
      <c r="E125" s="490" t="n">
        <v>0</v>
      </c>
      <c r="F125" s="490" t="n">
        <v>0.22</v>
      </c>
    </row>
    <row r="126" customFormat="false" ht="15.75" hidden="false" customHeight="false" outlineLevel="0" collapsed="false">
      <c r="A126" s="488" t="s">
        <v>703</v>
      </c>
      <c r="B126" s="485" t="s">
        <v>575</v>
      </c>
      <c r="C126" s="489" t="n">
        <v>0.0440050458715596</v>
      </c>
      <c r="D126" s="489" t="n">
        <f aca="false">E126+$B$1</f>
        <v>0.11457460019491</v>
      </c>
      <c r="E126" s="490" t="n">
        <v>0.0620746001949097</v>
      </c>
      <c r="F126" s="490" t="n">
        <v>0.15</v>
      </c>
    </row>
    <row r="127" customFormat="false" ht="15.75" hidden="false" customHeight="false" outlineLevel="0" collapsed="false">
      <c r="A127" s="488" t="s">
        <v>704</v>
      </c>
      <c r="B127" s="485" t="s">
        <v>588</v>
      </c>
      <c r="C127" s="489" t="n">
        <v>0.0917490825688073</v>
      </c>
      <c r="D127" s="489" t="n">
        <f aca="false">E127+$B$1</f>
        <v>0.181923512824681</v>
      </c>
      <c r="E127" s="490" t="n">
        <v>0.129423512824681</v>
      </c>
      <c r="F127" s="490" t="n">
        <v>0.29</v>
      </c>
    </row>
    <row r="128" customFormat="false" ht="15.75" hidden="false" customHeight="false" outlineLevel="0" collapsed="false">
      <c r="A128" s="488" t="s">
        <v>705</v>
      </c>
      <c r="B128" s="485" t="s">
        <v>569</v>
      </c>
      <c r="C128" s="489" t="n">
        <v>0.0232967889908257</v>
      </c>
      <c r="D128" s="489" t="n">
        <f aca="false">E128+$B$1</f>
        <v>0.0853630236325992</v>
      </c>
      <c r="E128" s="490" t="n">
        <v>0.0328630236325992</v>
      </c>
      <c r="F128" s="490" t="n">
        <v>0.25</v>
      </c>
    </row>
    <row r="129" customFormat="false" ht="15.75" hidden="false" customHeight="false" outlineLevel="0" collapsed="false">
      <c r="A129" s="488" t="s">
        <v>706</v>
      </c>
      <c r="B129" s="485" t="s">
        <v>585</v>
      </c>
      <c r="C129" s="489" t="n">
        <v>0.0673018348623853</v>
      </c>
      <c r="D129" s="489" t="n">
        <f aca="false">E129+$B$1</f>
        <v>0.147437623827509</v>
      </c>
      <c r="E129" s="490" t="n">
        <v>0.0949376238275089</v>
      </c>
      <c r="F129" s="490" t="n">
        <v>0.3</v>
      </c>
    </row>
    <row r="130" customFormat="false" ht="15.75" hidden="false" customHeight="false" outlineLevel="0" collapsed="false">
      <c r="A130" s="488" t="s">
        <v>707</v>
      </c>
      <c r="B130" s="485" t="s">
        <v>582</v>
      </c>
      <c r="C130" s="489" t="n">
        <v>0.0306309633027523</v>
      </c>
      <c r="D130" s="489" t="n">
        <f aca="false">E130+$B$1</f>
        <v>0.0957087903317509</v>
      </c>
      <c r="E130" s="490" t="n">
        <v>0.0432087903317509</v>
      </c>
      <c r="F130" s="490" t="n">
        <v>0.1</v>
      </c>
    </row>
    <row r="131" customFormat="false" ht="15.75" hidden="false" customHeight="false" outlineLevel="0" collapsed="false">
      <c r="A131" s="488" t="s">
        <v>708</v>
      </c>
      <c r="B131" s="485" t="s">
        <v>605</v>
      </c>
      <c r="C131" s="489" t="n">
        <v>0.0195577981651376</v>
      </c>
      <c r="D131" s="489" t="n">
        <f aca="false">E131+$B$1</f>
        <v>0.0800887111977376</v>
      </c>
      <c r="E131" s="490" t="n">
        <v>0.0275887111977376</v>
      </c>
      <c r="F131" s="490" t="n">
        <v>0.295</v>
      </c>
    </row>
    <row r="132" customFormat="false" ht="15.75" hidden="false" customHeight="false" outlineLevel="0" collapsed="false">
      <c r="A132" s="488" t="s">
        <v>709</v>
      </c>
      <c r="B132" s="485" t="s">
        <v>569</v>
      </c>
      <c r="C132" s="489" t="n">
        <v>0.0232967889908257</v>
      </c>
      <c r="D132" s="489" t="n">
        <f aca="false">E132+$B$1</f>
        <v>0.0853630236325992</v>
      </c>
      <c r="E132" s="490" t="n">
        <v>0.0328630236325992</v>
      </c>
      <c r="F132" s="490" t="n">
        <v>0.25</v>
      </c>
    </row>
    <row r="133" customFormat="false" ht="15.75" hidden="false" customHeight="false" outlineLevel="0" collapsed="false">
      <c r="A133" s="488" t="s">
        <v>710</v>
      </c>
      <c r="B133" s="485" t="s">
        <v>596</v>
      </c>
      <c r="C133" s="489" t="n">
        <v>0.010354128440367</v>
      </c>
      <c r="D133" s="489" t="n">
        <f aca="false">E133+$B$1</f>
        <v>0.0671057882811552</v>
      </c>
      <c r="E133" s="490" t="n">
        <v>0.0146057882811552</v>
      </c>
      <c r="F133" s="490" t="n">
        <v>0.19</v>
      </c>
    </row>
    <row r="134" customFormat="false" ht="15.75" hidden="false" customHeight="false" outlineLevel="0" collapsed="false">
      <c r="A134" s="488" t="s">
        <v>711</v>
      </c>
      <c r="B134" s="485" t="s">
        <v>569</v>
      </c>
      <c r="C134" s="489" t="n">
        <v>0.0232967889908257</v>
      </c>
      <c r="D134" s="489" t="n">
        <f aca="false">E134+$B$1</f>
        <v>0.0853630236325992</v>
      </c>
      <c r="E134" s="490" t="n">
        <v>0.0328630236325992</v>
      </c>
      <c r="F134" s="490" t="n">
        <v>0.21</v>
      </c>
    </row>
    <row r="135" customFormat="false" ht="15.75" hidden="false" customHeight="false" outlineLevel="0" collapsed="false">
      <c r="A135" s="488" t="s">
        <v>712</v>
      </c>
      <c r="B135" s="485" t="s">
        <v>591</v>
      </c>
      <c r="C135" s="489" t="n">
        <v>0.00733417431192661</v>
      </c>
      <c r="D135" s="489" t="n">
        <f aca="false">E135+$B$1</f>
        <v>0.0628457666991516</v>
      </c>
      <c r="E135" s="490" t="n">
        <v>0.0103457666991516</v>
      </c>
      <c r="F135" s="490" t="n">
        <v>0.1</v>
      </c>
    </row>
    <row r="136" customFormat="false" ht="15.75" hidden="false" customHeight="false" outlineLevel="0" collapsed="false">
      <c r="A136" s="488" t="s">
        <v>713</v>
      </c>
      <c r="B136" s="485" t="s">
        <v>600</v>
      </c>
      <c r="C136" s="489" t="n">
        <v>0.0146683486238532</v>
      </c>
      <c r="D136" s="489" t="n">
        <f aca="false">E136+$B$1</f>
        <v>0.0731915333983032</v>
      </c>
      <c r="E136" s="490" t="n">
        <v>0.0206915333983032</v>
      </c>
      <c r="F136" s="490" t="n">
        <v>0</v>
      </c>
    </row>
    <row r="137" customFormat="false" ht="15.75" hidden="false" customHeight="false" outlineLevel="0" collapsed="false">
      <c r="A137" s="488" t="s">
        <v>714</v>
      </c>
      <c r="B137" s="485" t="s">
        <v>653</v>
      </c>
      <c r="C137" s="489" t="n">
        <v>0.0268919724770642</v>
      </c>
      <c r="D137" s="489" t="n">
        <f aca="false">E137+$B$1</f>
        <v>0.0904344778968892</v>
      </c>
      <c r="E137" s="490" t="n">
        <v>0.0379344778968892</v>
      </c>
      <c r="F137" s="490" t="n">
        <v>0.16</v>
      </c>
    </row>
    <row r="138" customFormat="false" ht="15.75" hidden="false" customHeight="false" outlineLevel="0" collapsed="false">
      <c r="A138" s="488" t="s">
        <v>715</v>
      </c>
      <c r="B138" s="485" t="s">
        <v>588</v>
      </c>
      <c r="C138" s="489" t="n">
        <v>0.0917490825688073</v>
      </c>
      <c r="D138" s="489" t="n">
        <f aca="false">E138+$B$1</f>
        <v>0.181923512824681</v>
      </c>
      <c r="E138" s="490" t="n">
        <v>0.129423512824681</v>
      </c>
      <c r="F138" s="490" t="n">
        <v>0.2</v>
      </c>
    </row>
    <row r="139" customFormat="false" ht="15.75" hidden="false" customHeight="false" outlineLevel="0" collapsed="false">
      <c r="A139" s="488" t="s">
        <v>716</v>
      </c>
      <c r="B139" s="485" t="s">
        <v>585</v>
      </c>
      <c r="C139" s="489" t="n">
        <v>0.0673018348623853</v>
      </c>
      <c r="D139" s="489" t="n">
        <f aca="false">E139+$B$1</f>
        <v>0.147437623827509</v>
      </c>
      <c r="E139" s="490" t="n">
        <v>0.0949376238275089</v>
      </c>
      <c r="F139" s="490" t="n">
        <v>0.3</v>
      </c>
    </row>
    <row r="140" customFormat="false" ht="15.75" hidden="false" customHeight="false" outlineLevel="0" collapsed="false">
      <c r="A140" s="488" t="s">
        <v>717</v>
      </c>
      <c r="B140" s="485" t="s">
        <v>613</v>
      </c>
      <c r="C140" s="489" t="n">
        <v>0.00862844036697248</v>
      </c>
      <c r="D140" s="489" t="n">
        <f aca="false">E140+$B$1</f>
        <v>0.064671490234296</v>
      </c>
      <c r="E140" s="490" t="n">
        <v>0.012171490234296</v>
      </c>
      <c r="F140" s="490" t="n">
        <v>0.2</v>
      </c>
    </row>
    <row r="141" customFormat="false" ht="15.75" hidden="false" customHeight="false" outlineLevel="0" collapsed="false">
      <c r="A141" s="488" t="s">
        <v>718</v>
      </c>
      <c r="B141" s="485" t="s">
        <v>575</v>
      </c>
      <c r="C141" s="489" t="n">
        <v>0.0440050458715596</v>
      </c>
      <c r="D141" s="489" t="n">
        <f aca="false">E141+$B$1</f>
        <v>0.11457460019491</v>
      </c>
      <c r="E141" s="490" t="n">
        <v>0.0620746001949097</v>
      </c>
      <c r="F141" s="490" t="n">
        <v>0.3</v>
      </c>
    </row>
    <row r="142" customFormat="false" ht="15.75" hidden="false" customHeight="false" outlineLevel="0" collapsed="false">
      <c r="A142" s="488" t="s">
        <v>719</v>
      </c>
      <c r="B142" s="485" t="s">
        <v>602</v>
      </c>
      <c r="C142" s="489" t="n">
        <v>0.0368146788990826</v>
      </c>
      <c r="D142" s="489" t="n">
        <f aca="false">E142+$B$1</f>
        <v>0.10443169166633</v>
      </c>
      <c r="E142" s="490" t="n">
        <v>0.0519316916663297</v>
      </c>
      <c r="F142" s="490" t="n">
        <v>0.15</v>
      </c>
    </row>
    <row r="143" customFormat="false" ht="15.75" hidden="false" customHeight="false" outlineLevel="0" collapsed="false">
      <c r="A143" s="488" t="s">
        <v>720</v>
      </c>
      <c r="B143" s="485" t="s">
        <v>582</v>
      </c>
      <c r="C143" s="489" t="n">
        <v>0.0306309633027523</v>
      </c>
      <c r="D143" s="489" t="n">
        <f aca="false">E143+$B$1</f>
        <v>0.0957087903317509</v>
      </c>
      <c r="E143" s="490" t="n">
        <v>0.0432087903317509</v>
      </c>
      <c r="F143" s="490" t="n">
        <v>0</v>
      </c>
    </row>
    <row r="144" customFormat="false" ht="15.75" hidden="false" customHeight="false" outlineLevel="0" collapsed="false">
      <c r="A144" s="491" t="s">
        <v>721</v>
      </c>
      <c r="B144" s="449" t="s">
        <v>567</v>
      </c>
      <c r="C144" s="492" t="n">
        <v>0.146827293577982</v>
      </c>
      <c r="D144" s="489" t="n">
        <f aca="false">E144+$B$1</f>
        <v>0.259618192153604</v>
      </c>
      <c r="E144" s="493" t="n">
        <v>0.207118192153604</v>
      </c>
      <c r="F144" s="497" t="n">
        <v>0.3</v>
      </c>
    </row>
    <row r="145" customFormat="false" ht="15.75" hidden="false" customHeight="false" outlineLevel="0" collapsed="false">
      <c r="A145" s="488" t="s">
        <v>722</v>
      </c>
      <c r="B145" s="485" t="s">
        <v>578</v>
      </c>
      <c r="C145" s="489" t="n">
        <v>0</v>
      </c>
      <c r="D145" s="489" t="n">
        <f aca="false">E145+$B$1</f>
        <v>0.0525</v>
      </c>
      <c r="E145" s="490" t="n">
        <v>0</v>
      </c>
      <c r="F145" s="490" t="n">
        <v>0.17</v>
      </c>
    </row>
    <row r="146" customFormat="false" ht="15.75" hidden="false" customHeight="false" outlineLevel="0" collapsed="false">
      <c r="A146" s="488" t="s">
        <v>723</v>
      </c>
      <c r="B146" s="485" t="s">
        <v>596</v>
      </c>
      <c r="C146" s="489" t="n">
        <v>0.010354128440367</v>
      </c>
      <c r="D146" s="489" t="n">
        <f aca="false">E146+$B$1</f>
        <v>0.0671057882811552</v>
      </c>
      <c r="E146" s="490" t="n">
        <v>0.0146057882811552</v>
      </c>
      <c r="F146" s="490" t="n">
        <v>0.21</v>
      </c>
    </row>
    <row r="147" customFormat="false" ht="15.75" hidden="false" customHeight="false" outlineLevel="0" collapsed="false">
      <c r="A147" s="488" t="s">
        <v>724</v>
      </c>
      <c r="B147" s="485" t="s">
        <v>600</v>
      </c>
      <c r="C147" s="489" t="n">
        <v>0.0146683486238532</v>
      </c>
      <c r="D147" s="489" t="n">
        <f aca="false">E147+$B$1</f>
        <v>0.0731915333983032</v>
      </c>
      <c r="E147" s="490" t="n">
        <v>0.0206915333983032</v>
      </c>
      <c r="F147" s="490" t="n">
        <v>0.19</v>
      </c>
    </row>
    <row r="148" customFormat="false" ht="15.75" hidden="false" customHeight="false" outlineLevel="0" collapsed="false">
      <c r="A148" s="488" t="s">
        <v>725</v>
      </c>
      <c r="B148" s="485" t="s">
        <v>588</v>
      </c>
      <c r="C148" s="489" t="n">
        <v>0.0917490825688073</v>
      </c>
      <c r="D148" s="489" t="n">
        <f aca="false">E148+$B$1</f>
        <v>0.181923512824681</v>
      </c>
      <c r="E148" s="490" t="n">
        <v>0.129423512824681</v>
      </c>
      <c r="F148" s="490" t="n">
        <v>0.3</v>
      </c>
    </row>
    <row r="149" customFormat="false" ht="15.75" hidden="false" customHeight="false" outlineLevel="0" collapsed="false">
      <c r="A149" s="495" t="s">
        <v>726</v>
      </c>
      <c r="B149" s="449" t="s">
        <v>567</v>
      </c>
      <c r="C149" s="496" t="n">
        <v>0.146827293577982</v>
      </c>
      <c r="D149" s="489" t="n">
        <f aca="false">E149+$B$1</f>
        <v>0.259618192153604</v>
      </c>
      <c r="E149" s="493" t="n">
        <v>0.207118192153604</v>
      </c>
      <c r="F149" s="497" t="n">
        <v>0.2915</v>
      </c>
    </row>
    <row r="150" customFormat="false" ht="15.75" hidden="false" customHeight="false" outlineLevel="0" collapsed="false">
      <c r="A150" s="488" t="s">
        <v>727</v>
      </c>
      <c r="B150" s="485" t="s">
        <v>602</v>
      </c>
      <c r="C150" s="489" t="n">
        <v>0.0368146788990826</v>
      </c>
      <c r="D150" s="489" t="n">
        <f aca="false">E150+$B$1</f>
        <v>0.10443169166633</v>
      </c>
      <c r="E150" s="490" t="n">
        <v>0.0519316916663297</v>
      </c>
      <c r="F150" s="490" t="n">
        <v>0.27</v>
      </c>
    </row>
    <row r="151" customFormat="false" ht="15.75" hidden="false" customHeight="false" outlineLevel="0" collapsed="false">
      <c r="A151" s="488" t="s">
        <v>728</v>
      </c>
      <c r="B151" s="485" t="s">
        <v>605</v>
      </c>
      <c r="C151" s="489" t="n">
        <v>0.0195577981651376</v>
      </c>
      <c r="D151" s="489" t="n">
        <f aca="false">E151+$B$1</f>
        <v>0.0800887111977376</v>
      </c>
      <c r="E151" s="490" t="n">
        <v>0.0275887111977376</v>
      </c>
      <c r="F151" s="490" t="n">
        <v>0.25</v>
      </c>
    </row>
    <row r="152" customFormat="false" ht="15.75" hidden="false" customHeight="false" outlineLevel="0" collapsed="false">
      <c r="A152" s="488" t="s">
        <v>729</v>
      </c>
      <c r="B152" s="485" t="s">
        <v>573</v>
      </c>
      <c r="C152" s="489" t="n">
        <v>0.146827293577982</v>
      </c>
      <c r="D152" s="489" t="n">
        <f aca="false">E152+$B$1</f>
        <v>0.259618192153604</v>
      </c>
      <c r="E152" s="490" t="n">
        <v>0.207118192153604</v>
      </c>
      <c r="F152" s="490" t="n">
        <v>0.24</v>
      </c>
    </row>
    <row r="153" customFormat="false" ht="15.75" hidden="false" customHeight="false" outlineLevel="0" collapsed="false">
      <c r="A153" s="488" t="s">
        <v>730</v>
      </c>
      <c r="B153" s="485" t="s">
        <v>602</v>
      </c>
      <c r="C153" s="489" t="n">
        <v>0.0368146788990826</v>
      </c>
      <c r="D153" s="489" t="n">
        <f aca="false">E153+$B$1</f>
        <v>0.10443169166633</v>
      </c>
      <c r="E153" s="490" t="n">
        <v>0.0519316916663297</v>
      </c>
      <c r="F153" s="490" t="n">
        <v>0.2718</v>
      </c>
    </row>
    <row r="154" customFormat="false" ht="15.75" hidden="false" customHeight="false" outlineLevel="0" collapsed="false">
      <c r="A154" s="488" t="s">
        <v>731</v>
      </c>
      <c r="B154" s="485" t="s">
        <v>571</v>
      </c>
      <c r="C154" s="489" t="n">
        <v>0.0795254587155963</v>
      </c>
      <c r="D154" s="489" t="n">
        <f aca="false">E154+$B$1</f>
        <v>0.164680568326095</v>
      </c>
      <c r="E154" s="490" t="n">
        <v>0.112180568326095</v>
      </c>
      <c r="F154" s="490" t="n">
        <v>0.2718</v>
      </c>
    </row>
    <row r="155" customFormat="false" ht="15.75" hidden="false" customHeight="false" outlineLevel="0" collapsed="false">
      <c r="A155" s="491" t="s">
        <v>732</v>
      </c>
      <c r="B155" s="449" t="s">
        <v>567</v>
      </c>
      <c r="C155" s="492" t="n">
        <v>0.175</v>
      </c>
      <c r="D155" s="489" t="n">
        <f aca="false">E155+$B$1</f>
        <v>0.299359304858263</v>
      </c>
      <c r="E155" s="493" t="n">
        <v>0.246859304858263</v>
      </c>
      <c r="F155" s="497" t="n">
        <v>0.35</v>
      </c>
    </row>
    <row r="156" customFormat="false" ht="15.75" hidden="false" customHeight="false" outlineLevel="0" collapsed="false">
      <c r="A156" s="488" t="s">
        <v>733</v>
      </c>
      <c r="B156" s="485" t="s">
        <v>628</v>
      </c>
      <c r="C156" s="489" t="n">
        <v>0.12238004587156</v>
      </c>
      <c r="D156" s="489" t="n">
        <f aca="false">E156+$B$1</f>
        <v>0.225132303156432</v>
      </c>
      <c r="E156" s="490" t="n">
        <v>0.172632303156432</v>
      </c>
      <c r="F156" s="490" t="n">
        <v>0.36</v>
      </c>
    </row>
    <row r="157" customFormat="false" ht="15.75" hidden="false" customHeight="false" outlineLevel="0" collapsed="false">
      <c r="A157" s="488" t="s">
        <v>734</v>
      </c>
      <c r="B157" s="485" t="s">
        <v>571</v>
      </c>
      <c r="C157" s="489" t="n">
        <v>0.0795254587155963</v>
      </c>
      <c r="D157" s="489" t="n">
        <f aca="false">E157+$B$1</f>
        <v>0.164680568326095</v>
      </c>
      <c r="E157" s="490" t="n">
        <v>0.112180568326095</v>
      </c>
      <c r="F157" s="490" t="n">
        <v>0.275</v>
      </c>
    </row>
    <row r="158" customFormat="false" ht="15.75" hidden="false" customHeight="false" outlineLevel="0" collapsed="false">
      <c r="A158" s="488" t="s">
        <v>735</v>
      </c>
      <c r="B158" s="485" t="s">
        <v>578</v>
      </c>
      <c r="C158" s="489" t="n">
        <v>0</v>
      </c>
      <c r="D158" s="489" t="n">
        <f aca="false">E158+$B$1</f>
        <v>0.0525</v>
      </c>
      <c r="E158" s="490" t="n">
        <v>0</v>
      </c>
      <c r="F158" s="490" t="n">
        <v>0.206</v>
      </c>
    </row>
    <row r="159" customFormat="false" ht="15.75" hidden="false" customHeight="false" outlineLevel="0" collapsed="false">
      <c r="A159" s="488" t="s">
        <v>736</v>
      </c>
      <c r="B159" s="485" t="s">
        <v>578</v>
      </c>
      <c r="C159" s="489" t="n">
        <v>0</v>
      </c>
      <c r="D159" s="489" t="n">
        <f aca="false">E159+$B$1</f>
        <v>0.0525</v>
      </c>
      <c r="E159" s="490" t="n">
        <v>0</v>
      </c>
      <c r="F159" s="490" t="n">
        <v>0.18</v>
      </c>
    </row>
    <row r="160" customFormat="false" ht="15.75" hidden="false" customHeight="false" outlineLevel="0" collapsed="false">
      <c r="A160" s="495" t="s">
        <v>737</v>
      </c>
      <c r="B160" s="449" t="s">
        <v>567</v>
      </c>
      <c r="C160" s="496" t="n">
        <v>0.175</v>
      </c>
      <c r="D160" s="489" t="n">
        <f aca="false">E160+$B$1</f>
        <v>0.299359304858263</v>
      </c>
      <c r="E160" s="493" t="n">
        <v>0.246859304858263</v>
      </c>
      <c r="F160" s="497" t="n">
        <v>0.28</v>
      </c>
    </row>
    <row r="161" customFormat="false" ht="15.75" hidden="false" customHeight="false" outlineLevel="0" collapsed="false">
      <c r="A161" s="488" t="s">
        <v>437</v>
      </c>
      <c r="B161" s="485" t="s">
        <v>591</v>
      </c>
      <c r="C161" s="489" t="n">
        <v>0.00733417431192661</v>
      </c>
      <c r="D161" s="489" t="n">
        <f aca="false">E161+$B$1</f>
        <v>0.0628457666991516</v>
      </c>
      <c r="E161" s="490" t="n">
        <v>0.0103457666991516</v>
      </c>
      <c r="F161" s="490" t="n">
        <v>0.2</v>
      </c>
    </row>
    <row r="162" customFormat="false" ht="15.75" hidden="false" customHeight="false" outlineLevel="0" collapsed="false">
      <c r="A162" s="488" t="s">
        <v>738</v>
      </c>
      <c r="B162" s="498" t="s">
        <v>571</v>
      </c>
      <c r="C162" s="489" t="n">
        <v>0.0795254587155963</v>
      </c>
      <c r="D162" s="489" t="n">
        <f aca="false">E162+$B$1</f>
        <v>0.164680568326095</v>
      </c>
      <c r="E162" s="499" t="n">
        <v>0.112180568326095</v>
      </c>
      <c r="F162" s="500" t="n">
        <v>0.18</v>
      </c>
    </row>
    <row r="163" customFormat="false" ht="15.75" hidden="false" customHeight="false" outlineLevel="0" collapsed="false">
      <c r="A163" s="488" t="s">
        <v>739</v>
      </c>
      <c r="B163" s="498" t="s">
        <v>585</v>
      </c>
      <c r="C163" s="489" t="n">
        <v>0.0673018348623853</v>
      </c>
      <c r="D163" s="489" t="n">
        <f aca="false">E163+$B$1</f>
        <v>0.147437623827509</v>
      </c>
      <c r="E163" s="499" t="n">
        <v>0.0949376238275089</v>
      </c>
      <c r="F163" s="500" t="n">
        <v>0.3</v>
      </c>
    </row>
    <row r="164" customFormat="false" ht="15.75" hidden="false" customHeight="false" outlineLevel="0" collapsed="false">
      <c r="A164" s="488" t="s">
        <v>740</v>
      </c>
      <c r="B164" s="498" t="s">
        <v>605</v>
      </c>
      <c r="C164" s="489" t="n">
        <v>0.0195577981651376</v>
      </c>
      <c r="D164" s="489" t="n">
        <f aca="false">E164+$B$1</f>
        <v>0.0800887111977376</v>
      </c>
      <c r="E164" s="499" t="n">
        <v>0.0275887111977376</v>
      </c>
      <c r="F164" s="500" t="n">
        <v>0.2</v>
      </c>
    </row>
    <row r="165" customFormat="false" ht="15.75" hidden="false" customHeight="false" outlineLevel="0" collapsed="false">
      <c r="A165" s="488" t="s">
        <v>741</v>
      </c>
      <c r="B165" s="498" t="s">
        <v>571</v>
      </c>
      <c r="C165" s="489" t="n">
        <v>0.0795254587155963</v>
      </c>
      <c r="D165" s="489" t="n">
        <f aca="false">E165+$B$1</f>
        <v>0.164680568326095</v>
      </c>
      <c r="E165" s="499" t="n">
        <v>0.112180568326095</v>
      </c>
      <c r="F165" s="500" t="n">
        <v>0.2281</v>
      </c>
    </row>
    <row r="166" customFormat="false" ht="15.75" hidden="false" customHeight="false" outlineLevel="0" collapsed="false">
      <c r="A166" s="488" t="s">
        <v>742</v>
      </c>
      <c r="B166" s="498" t="s">
        <v>602</v>
      </c>
      <c r="C166" s="489" t="n">
        <v>0.0368146788990826</v>
      </c>
      <c r="D166" s="489" t="n">
        <f aca="false">E166+$B$1</f>
        <v>0.10443169166633</v>
      </c>
      <c r="E166" s="499" t="n">
        <v>0.0519316916663297</v>
      </c>
      <c r="F166" s="500" t="n">
        <v>0.3</v>
      </c>
    </row>
    <row r="167" customFormat="false" ht="15.75" hidden="false" customHeight="false" outlineLevel="0" collapsed="false">
      <c r="A167" s="488" t="s">
        <v>743</v>
      </c>
      <c r="B167" s="498" t="s">
        <v>588</v>
      </c>
      <c r="C167" s="489" t="n">
        <v>0.0917490825688073</v>
      </c>
      <c r="D167" s="489" t="n">
        <f aca="false">E167+$B$1</f>
        <v>0.181923512824681</v>
      </c>
      <c r="E167" s="499" t="n">
        <v>0.129423512824681</v>
      </c>
      <c r="F167" s="500" t="n">
        <v>0.15</v>
      </c>
    </row>
    <row r="168" customFormat="false" ht="15.75" hidden="false" customHeight="false" outlineLevel="0" collapsed="false">
      <c r="A168" s="488" t="s">
        <v>744</v>
      </c>
      <c r="B168" s="498" t="s">
        <v>571</v>
      </c>
      <c r="C168" s="489" t="n">
        <v>0.0795254587155963</v>
      </c>
      <c r="D168" s="489" t="n">
        <f aca="false">E168+$B$1</f>
        <v>0.164680568326095</v>
      </c>
      <c r="E168" s="499" t="n">
        <v>0.112180568326095</v>
      </c>
      <c r="F168" s="500" t="n">
        <v>0.23</v>
      </c>
    </row>
    <row r="169" customFormat="false" ht="15.75" hidden="false" customHeight="false" outlineLevel="0" collapsed="false">
      <c r="A169" s="488" t="s">
        <v>745</v>
      </c>
      <c r="B169" s="498" t="s">
        <v>605</v>
      </c>
      <c r="C169" s="489" t="n">
        <v>0.0195577981651376</v>
      </c>
      <c r="D169" s="489" t="n">
        <f aca="false">E169+$B$1</f>
        <v>0.0800887111977376</v>
      </c>
      <c r="E169" s="499" t="n">
        <v>0.0275887111977376</v>
      </c>
      <c r="F169" s="500" t="n">
        <v>0</v>
      </c>
    </row>
    <row r="170" customFormat="false" ht="15.75" hidden="false" customHeight="false" outlineLevel="0" collapsed="false">
      <c r="A170" s="488" t="s">
        <v>746</v>
      </c>
      <c r="B170" s="498" t="s">
        <v>585</v>
      </c>
      <c r="C170" s="489" t="n">
        <v>0.0673018348623853</v>
      </c>
      <c r="D170" s="489" t="n">
        <f aca="false">E170+$B$1</f>
        <v>0.147437623827509</v>
      </c>
      <c r="E170" s="499" t="n">
        <v>0.0949376238275089</v>
      </c>
      <c r="F170" s="500" t="n">
        <v>0.3</v>
      </c>
    </row>
    <row r="171" customFormat="false" ht="15.75" hidden="false" customHeight="false" outlineLevel="0" collapsed="false">
      <c r="A171" s="488" t="s">
        <v>747</v>
      </c>
      <c r="B171" s="498" t="s">
        <v>628</v>
      </c>
      <c r="C171" s="489" t="n">
        <v>0.12238004587156</v>
      </c>
      <c r="D171" s="489" t="n">
        <f aca="false">E171+$B$1</f>
        <v>0.225132303156432</v>
      </c>
      <c r="E171" s="499" t="n">
        <v>0.172632303156432</v>
      </c>
      <c r="F171" s="500" t="n">
        <v>0.18</v>
      </c>
    </row>
    <row r="172" customFormat="false" ht="15.75" hidden="false" customHeight="false" outlineLevel="0" collapsed="false">
      <c r="A172" s="488" t="s">
        <v>748</v>
      </c>
      <c r="B172" s="498" t="s">
        <v>563</v>
      </c>
      <c r="C172" s="489" t="n">
        <v>0.00603990825688074</v>
      </c>
      <c r="D172" s="489" t="n">
        <f aca="false">E172+$B$1</f>
        <v>0.0610200431640072</v>
      </c>
      <c r="E172" s="499" t="n">
        <v>0.00852004316400721</v>
      </c>
      <c r="F172" s="500" t="n">
        <v>0</v>
      </c>
    </row>
    <row r="173" customFormat="false" ht="15.75" hidden="false" customHeight="false" outlineLevel="0" collapsed="false">
      <c r="A173" s="488" t="s">
        <v>749</v>
      </c>
      <c r="B173" s="498" t="s">
        <v>591</v>
      </c>
      <c r="C173" s="489" t="n">
        <v>0.00733417431192661</v>
      </c>
      <c r="D173" s="489" t="n">
        <f aca="false">E173+$B$1</f>
        <v>0.0628457666991516</v>
      </c>
      <c r="E173" s="499" t="n">
        <v>0.0103457666991516</v>
      </c>
      <c r="F173" s="500" t="n">
        <v>0.25</v>
      </c>
    </row>
    <row r="174" customFormat="false" ht="15.75" hidden="false" customHeight="false" outlineLevel="0" collapsed="false">
      <c r="A174" s="488" t="s">
        <v>12</v>
      </c>
      <c r="B174" s="498" t="s">
        <v>578</v>
      </c>
      <c r="C174" s="489" t="n">
        <v>0</v>
      </c>
      <c r="D174" s="489" t="n">
        <f aca="false">E174+$B$1</f>
        <v>0.0525</v>
      </c>
      <c r="E174" s="499" t="n">
        <v>0</v>
      </c>
      <c r="F174" s="500" t="n">
        <v>0.25</v>
      </c>
    </row>
    <row r="175" customFormat="false" ht="15.75" hidden="false" customHeight="false" outlineLevel="0" collapsed="false">
      <c r="A175" s="488" t="s">
        <v>750</v>
      </c>
      <c r="B175" s="498" t="s">
        <v>569</v>
      </c>
      <c r="C175" s="489" t="n">
        <v>0.0232967889908257</v>
      </c>
      <c r="D175" s="489" t="n">
        <f aca="false">E175+$B$1</f>
        <v>0.0853630236325992</v>
      </c>
      <c r="E175" s="499" t="n">
        <v>0.0328630236325992</v>
      </c>
      <c r="F175" s="500" t="n">
        <v>0.25</v>
      </c>
    </row>
    <row r="176" customFormat="false" ht="15.75" hidden="false" customHeight="false" outlineLevel="0" collapsed="false">
      <c r="A176" s="488" t="s">
        <v>751</v>
      </c>
      <c r="B176" s="498" t="s">
        <v>565</v>
      </c>
      <c r="C176" s="489" t="n">
        <v>0.0550782110091743</v>
      </c>
      <c r="D176" s="489" t="n">
        <f aca="false">E176+$B$1</f>
        <v>0.130194679328923</v>
      </c>
      <c r="E176" s="499" t="n">
        <v>0.0776946793289229</v>
      </c>
      <c r="F176" s="500" t="n">
        <v>0.15</v>
      </c>
    </row>
    <row r="177" customFormat="false" ht="15.75" hidden="false" customHeight="false" outlineLevel="0" collapsed="false">
      <c r="A177" s="488" t="s">
        <v>752</v>
      </c>
      <c r="B177" s="498" t="s">
        <v>673</v>
      </c>
      <c r="C177" s="489" t="n">
        <v>0.175</v>
      </c>
      <c r="D177" s="489" t="n">
        <f aca="false">E177+$B$1</f>
        <v>0.299359304858263</v>
      </c>
      <c r="E177" s="499" t="n">
        <v>0.246859304858263</v>
      </c>
      <c r="F177" s="500" t="n">
        <v>0.34</v>
      </c>
    </row>
    <row r="178" customFormat="false" ht="15.75" hidden="false" customHeight="false" outlineLevel="0" collapsed="false">
      <c r="A178" s="488" t="s">
        <v>753</v>
      </c>
      <c r="B178" s="498" t="s">
        <v>602</v>
      </c>
      <c r="C178" s="489" t="n">
        <v>0.0368146788990826</v>
      </c>
      <c r="D178" s="489" t="n">
        <f aca="false">E178+$B$1</f>
        <v>0.10443169166633</v>
      </c>
      <c r="E178" s="499" t="n">
        <v>0.0519316916663297</v>
      </c>
      <c r="F178" s="500" t="n">
        <v>0.2</v>
      </c>
    </row>
    <row r="179" customFormat="false" ht="15.75" hidden="false" customHeight="false" outlineLevel="0" collapsed="false">
      <c r="A179" s="491" t="s">
        <v>754</v>
      </c>
      <c r="B179" s="501" t="s">
        <v>567</v>
      </c>
      <c r="C179" s="492" t="n">
        <v>0.175</v>
      </c>
      <c r="D179" s="489" t="n">
        <f aca="false">E179+$B$1</f>
        <v>0.299359304858263</v>
      </c>
      <c r="E179" s="502" t="n">
        <v>0.246859304858263</v>
      </c>
      <c r="F179" s="166" t="n">
        <v>0.2</v>
      </c>
    </row>
    <row r="180" customFormat="false" ht="15.75" hidden="false" customHeight="false" outlineLevel="0" collapsed="false">
      <c r="A180" s="488" t="s">
        <v>755</v>
      </c>
      <c r="B180" s="498" t="s">
        <v>573</v>
      </c>
      <c r="C180" s="489" t="n">
        <v>0.146827293577982</v>
      </c>
      <c r="D180" s="489" t="n">
        <f aca="false">E180+$B$1</f>
        <v>0.259618192153604</v>
      </c>
      <c r="E180" s="499" t="n">
        <v>0.207118192153604</v>
      </c>
      <c r="F180" s="500" t="n">
        <v>0.35</v>
      </c>
    </row>
    <row r="181" customFormat="false" ht="15.75" hidden="false" customHeight="false" outlineLevel="0" collapsed="false">
      <c r="A181" s="495" t="s">
        <v>756</v>
      </c>
      <c r="B181" s="501" t="s">
        <v>567</v>
      </c>
      <c r="C181" s="496" t="n">
        <v>0.0917490825688073</v>
      </c>
      <c r="D181" s="489" t="n">
        <f aca="false">E181+$B$1</f>
        <v>0.181923512824681</v>
      </c>
      <c r="E181" s="502" t="n">
        <v>0.129423512824681</v>
      </c>
      <c r="F181" s="166" t="n">
        <v>0.25</v>
      </c>
    </row>
    <row r="184" customFormat="false" ht="12.75" hidden="false" customHeight="false" outlineLevel="0" collapsed="false">
      <c r="A184" s="503" t="s">
        <v>448</v>
      </c>
      <c r="B184" s="504" t="s">
        <v>757</v>
      </c>
      <c r="C184" s="504" t="s">
        <v>758</v>
      </c>
      <c r="D184" s="504" t="s">
        <v>759</v>
      </c>
      <c r="E184" s="504" t="s">
        <v>760</v>
      </c>
    </row>
    <row r="185" customFormat="false" ht="12.75" hidden="false" customHeight="false" outlineLevel="0" collapsed="false">
      <c r="A185" s="505" t="s">
        <v>761</v>
      </c>
      <c r="B185" s="506" t="n">
        <f aca="false">$B$1+E185</f>
        <v>0.148858424808081</v>
      </c>
      <c r="C185" s="506" t="n">
        <v>0.068309048958459</v>
      </c>
      <c r="D185" s="506" t="n">
        <v>0.272689677707697</v>
      </c>
      <c r="E185" s="506" t="n">
        <v>0.0963584248080814</v>
      </c>
    </row>
    <row r="186" customFormat="false" ht="12.75" hidden="false" customHeight="false" outlineLevel="0" collapsed="false">
      <c r="A186" s="505" t="s">
        <v>762</v>
      </c>
      <c r="B186" s="506" t="n">
        <f aca="false">$B$1+E186</f>
        <v>0.0717815466339505</v>
      </c>
      <c r="C186" s="506" t="n">
        <v>0.013668800788687</v>
      </c>
      <c r="D186" s="506" t="n">
        <v>0.245213303177884</v>
      </c>
      <c r="E186" s="506" t="n">
        <v>0.0192815466339505</v>
      </c>
    </row>
    <row r="187" customFormat="false" ht="12.75" hidden="false" customHeight="false" outlineLevel="0" collapsed="false">
      <c r="A187" s="505" t="s">
        <v>763</v>
      </c>
      <c r="B187" s="506" t="n">
        <f aca="false">$B$1+E187</f>
        <v>0.0525000166428064</v>
      </c>
      <c r="C187" s="506" t="n">
        <v>1.179818248698E-008</v>
      </c>
      <c r="D187" s="506" t="n">
        <v>0.297210927250876</v>
      </c>
      <c r="E187" s="506" t="n">
        <v>1.66428064418675E-008</v>
      </c>
    </row>
    <row r="188" customFormat="false" ht="12.75" hidden="false" customHeight="false" outlineLevel="0" collapsed="false">
      <c r="A188" s="505" t="s">
        <v>764</v>
      </c>
      <c r="B188" s="506" t="n">
        <f aca="false">$B$1+E188</f>
        <v>0.16440442097799</v>
      </c>
      <c r="C188" s="506" t="n">
        <v>0.0793296962510374</v>
      </c>
      <c r="D188" s="506" t="n">
        <v>0.25630683338346</v>
      </c>
      <c r="E188" s="506" t="n">
        <v>0.11190442097799</v>
      </c>
    </row>
    <row r="189" customFormat="false" ht="12.75" hidden="false" customHeight="false" outlineLevel="0" collapsed="false">
      <c r="A189" s="505" t="s">
        <v>765</v>
      </c>
      <c r="B189" s="506" t="n">
        <f aca="false">$B$1+E189</f>
        <v>0.118156740610255</v>
      </c>
      <c r="C189" s="506" t="n">
        <v>0.0465444460900175</v>
      </c>
      <c r="D189" s="506" t="n">
        <v>0.314562688743076</v>
      </c>
      <c r="E189" s="506" t="n">
        <v>0.065656740610255</v>
      </c>
    </row>
    <row r="190" customFormat="false" ht="12.75" hidden="false" customHeight="false" outlineLevel="0" collapsed="false">
      <c r="A190" s="505" t="s">
        <v>766</v>
      </c>
      <c r="B190" s="506" t="n">
        <f aca="false">$B$1+E190</f>
        <v>0.130420982129121</v>
      </c>
      <c r="C190" s="506" t="n">
        <v>0.05523863838321</v>
      </c>
      <c r="D190" s="506" t="n">
        <v>0.183474744710879</v>
      </c>
      <c r="E190" s="506" t="n">
        <v>0.0779209821291211</v>
      </c>
    </row>
    <row r="191" customFormat="false" ht="12.75" hidden="false" customHeight="false" outlineLevel="0" collapsed="false">
      <c r="A191" s="505" t="s">
        <v>767</v>
      </c>
      <c r="B191" s="506" t="n">
        <f aca="false">$B$1+E191</f>
        <v>0.0775624755497073</v>
      </c>
      <c r="C191" s="506" t="n">
        <v>0.017766934990427</v>
      </c>
      <c r="D191" s="506" t="n">
        <v>0.151813371674751</v>
      </c>
      <c r="E191" s="506" t="n">
        <v>0.0250624755497073</v>
      </c>
    </row>
    <row r="192" customFormat="false" ht="12.75" hidden="false" customHeight="false" outlineLevel="0" collapsed="false">
      <c r="A192" s="505" t="s">
        <v>768</v>
      </c>
      <c r="B192" s="506" t="n">
        <f aca="false">$B$1+E192</f>
        <v>0.0525</v>
      </c>
      <c r="C192" s="506" t="n">
        <v>0</v>
      </c>
      <c r="D192" s="506" t="n">
        <v>0.25</v>
      </c>
      <c r="E192" s="506" t="n">
        <v>0</v>
      </c>
    </row>
    <row r="193" customFormat="false" ht="12.75" hidden="false" customHeight="false" outlineLevel="0" collapsed="false">
      <c r="A193" s="505" t="s">
        <v>769</v>
      </c>
      <c r="B193" s="506" t="n">
        <f aca="false">$B$1+E193</f>
        <v>0.0675687888920606</v>
      </c>
      <c r="C193" s="506" t="n">
        <v>0.0106823522719741</v>
      </c>
      <c r="D193" s="506" t="n">
        <v>0.248289125760265</v>
      </c>
      <c r="E193" s="506" t="n">
        <v>0.0150687888920606</v>
      </c>
    </row>
    <row r="194" customFormat="false" ht="12.75" hidden="false" customHeight="false" outlineLevel="0" collapsed="false">
      <c r="A194" s="505" t="s">
        <v>510</v>
      </c>
      <c r="B194" s="506" t="n">
        <f aca="false">$B$1+E194</f>
        <v>0.0729330272668804</v>
      </c>
      <c r="C194" s="506" t="n">
        <v>0.0144850921206196</v>
      </c>
      <c r="D194" s="502" t="n">
        <v>0.246723848034001</v>
      </c>
      <c r="E194" s="502" t="n">
        <v>0.0204330272668804</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9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18" activePane="bottomRight" state="frozen"/>
      <selection pane="topLeft" activeCell="A1" activeCellId="0" sqref="A1"/>
      <selection pane="topRight" activeCell="B1" activeCellId="0" sqref="B1"/>
      <selection pane="bottomLeft" activeCell="A18" activeCellId="0" sqref="A18"/>
      <selection pane="bottomRight" activeCell="M79" activeCellId="0" sqref="M79"/>
    </sheetView>
  </sheetViews>
  <sheetFormatPr defaultColWidth="11.50390625" defaultRowHeight="12.75" zeroHeight="false" outlineLevelRow="0" outlineLevelCol="0"/>
  <cols>
    <col collapsed="false" customWidth="true" hidden="false" outlineLevel="0" max="1" min="1" style="0" width="20.31"/>
    <col collapsed="false" customWidth="true" hidden="false" outlineLevel="0" max="3" min="3" style="0" width="9.5"/>
    <col collapsed="false" customWidth="true" hidden="false" outlineLevel="0" max="4" min="4" style="0" width="11.83"/>
    <col collapsed="false" customWidth="true" hidden="false" outlineLevel="0" max="5" min="5" style="0" width="12.51"/>
    <col collapsed="false" customWidth="true" hidden="false" outlineLevel="0" max="6" min="6" style="0" width="10.5"/>
    <col collapsed="false" customWidth="true" hidden="false" outlineLevel="0" max="8" min="8" style="0" width="22.5"/>
    <col collapsed="false" customWidth="true" hidden="false" outlineLevel="0" max="23" min="9" style="0" width="10.83"/>
  </cols>
  <sheetData>
    <row r="1" s="511" customFormat="true" ht="84" hidden="false" customHeight="false" outlineLevel="0" collapsed="false">
      <c r="A1" s="507" t="s">
        <v>770</v>
      </c>
      <c r="B1" s="508" t="s">
        <v>771</v>
      </c>
      <c r="C1" s="509" t="s">
        <v>772</v>
      </c>
      <c r="D1" s="509" t="s">
        <v>773</v>
      </c>
      <c r="E1" s="509" t="s">
        <v>774</v>
      </c>
      <c r="F1" s="508" t="s">
        <v>775</v>
      </c>
      <c r="G1" s="508" t="s">
        <v>471</v>
      </c>
      <c r="H1" s="508" t="s">
        <v>776</v>
      </c>
      <c r="I1" s="508" t="s">
        <v>777</v>
      </c>
      <c r="J1" s="508" t="s">
        <v>778</v>
      </c>
      <c r="K1" s="508" t="s">
        <v>779</v>
      </c>
      <c r="L1" s="508" t="s">
        <v>780</v>
      </c>
      <c r="M1" s="508" t="s">
        <v>148</v>
      </c>
      <c r="N1" s="510" t="s">
        <v>781</v>
      </c>
      <c r="O1" s="508" t="s">
        <v>469</v>
      </c>
      <c r="P1" s="508" t="s">
        <v>782</v>
      </c>
      <c r="Q1" s="508" t="s">
        <v>783</v>
      </c>
      <c r="R1" s="508" t="s">
        <v>784</v>
      </c>
      <c r="S1" s="508" t="s">
        <v>785</v>
      </c>
      <c r="T1" s="508" t="s">
        <v>786</v>
      </c>
      <c r="U1" s="508" t="s">
        <v>787</v>
      </c>
      <c r="V1" s="508" t="s">
        <v>788</v>
      </c>
      <c r="W1" s="508" t="s">
        <v>218</v>
      </c>
      <c r="X1" s="507" t="s">
        <v>789</v>
      </c>
      <c r="Y1" s="507" t="s">
        <v>790</v>
      </c>
      <c r="Z1" s="507" t="s">
        <v>791</v>
      </c>
      <c r="AA1" s="508" t="s">
        <v>792</v>
      </c>
    </row>
    <row r="2" customFormat="false" ht="13.5" hidden="false" customHeight="false" outlineLevel="0" collapsed="false">
      <c r="A2" s="512" t="s">
        <v>793</v>
      </c>
      <c r="B2" s="75" t="n">
        <v>58</v>
      </c>
      <c r="C2" s="513" t="n">
        <v>0.181669523809524</v>
      </c>
      <c r="D2" s="513" t="n">
        <v>0.106171049301388</v>
      </c>
      <c r="E2" s="513" t="n">
        <v>0.366200713775784</v>
      </c>
      <c r="F2" s="513" t="n">
        <v>0.247128678675669</v>
      </c>
      <c r="G2" s="377" t="n">
        <v>1.34589266913012</v>
      </c>
      <c r="H2" s="377" t="n">
        <v>1.63173805953472</v>
      </c>
      <c r="I2" s="513" t="n">
        <v>0.135725240736363</v>
      </c>
      <c r="J2" s="513" t="n">
        <v>0.52722114455333</v>
      </c>
      <c r="K2" s="513" t="n">
        <v>0.0588</v>
      </c>
      <c r="L2" s="513" t="n">
        <v>0.310292242501376</v>
      </c>
      <c r="M2" s="513" t="n">
        <v>0.107294639318548</v>
      </c>
      <c r="N2" s="377" t="n">
        <v>3.51260830484698</v>
      </c>
      <c r="O2" s="377" t="n">
        <v>1.96234411809726</v>
      </c>
      <c r="P2" s="377" t="n">
        <v>10.3602069853387</v>
      </c>
      <c r="Q2" s="377" t="n">
        <v>17.0332337501998</v>
      </c>
      <c r="R2" s="377" t="n">
        <v>4.5860864384364</v>
      </c>
      <c r="S2" s="377" t="n">
        <v>13.9933818375793</v>
      </c>
      <c r="T2" s="513" t="n">
        <v>0.0314144912087931</v>
      </c>
      <c r="U2" s="513" t="n">
        <v>0.035092407254195</v>
      </c>
      <c r="V2" s="513" t="n">
        <v>0.0177503759599097</v>
      </c>
      <c r="W2" s="513" t="n">
        <v>0.555266693484024</v>
      </c>
      <c r="X2" s="513" t="n">
        <v>0.135674155345355</v>
      </c>
      <c r="Y2" s="513" t="n">
        <v>0.676333683553441</v>
      </c>
      <c r="Z2" s="513" t="n">
        <v>0.676333683553441</v>
      </c>
      <c r="AA2" s="514" t="n">
        <v>0.111354680812063</v>
      </c>
    </row>
    <row r="3" customFormat="false" ht="13.5" hidden="false" customHeight="false" outlineLevel="0" collapsed="false">
      <c r="A3" s="512" t="s">
        <v>794</v>
      </c>
      <c r="B3" s="75" t="n">
        <v>77</v>
      </c>
      <c r="C3" s="513" t="n">
        <v>0.0399225581395349</v>
      </c>
      <c r="D3" s="513" t="n">
        <v>0.0863540383271099</v>
      </c>
      <c r="E3" s="513" t="n">
        <v>0.152494798848859</v>
      </c>
      <c r="F3" s="513" t="n">
        <v>0.165147092177924</v>
      </c>
      <c r="G3" s="377" t="n">
        <v>1.22929620909237</v>
      </c>
      <c r="H3" s="377" t="n">
        <v>1.41418228025919</v>
      </c>
      <c r="I3" s="513" t="n">
        <v>0.122802427447396</v>
      </c>
      <c r="J3" s="513" t="n">
        <v>0.375555449537718</v>
      </c>
      <c r="K3" s="513" t="n">
        <v>0.055</v>
      </c>
      <c r="L3" s="513" t="n">
        <v>0.206708836071511</v>
      </c>
      <c r="M3" s="513" t="n">
        <v>0.105944820090938</v>
      </c>
      <c r="N3" s="377" t="n">
        <v>1.86538148457267</v>
      </c>
      <c r="O3" s="377" t="n">
        <v>2.54510758418947</v>
      </c>
      <c r="P3" s="377" t="n">
        <v>14.590340622882</v>
      </c>
      <c r="Q3" s="377" t="n">
        <v>23.9761151416462</v>
      </c>
      <c r="R3" s="377" t="n">
        <v>4.93443536497693</v>
      </c>
      <c r="S3" s="377" t="n">
        <v>53.685999313499</v>
      </c>
      <c r="T3" s="513" t="n">
        <v>0.469129926170435</v>
      </c>
      <c r="U3" s="513" t="n">
        <v>0.0291314970360018</v>
      </c>
      <c r="V3" s="513" t="n">
        <v>0.00627693839596311</v>
      </c>
      <c r="W3" s="513" t="n">
        <v>0.327471824343745</v>
      </c>
      <c r="X3" s="513" t="n">
        <v>0.0987258808260477</v>
      </c>
      <c r="Y3" s="513" t="n">
        <v>0.706968366868592</v>
      </c>
      <c r="Z3" s="513" t="n">
        <v>0.706968366868592</v>
      </c>
      <c r="AA3" s="514" t="n">
        <v>0.0892153138584187</v>
      </c>
    </row>
    <row r="4" customFormat="false" ht="13.5" hidden="false" customHeight="false" outlineLevel="0" collapsed="false">
      <c r="A4" s="512" t="s">
        <v>795</v>
      </c>
      <c r="B4" s="75" t="n">
        <v>21</v>
      </c>
      <c r="C4" s="513" t="n">
        <v>0.0224125</v>
      </c>
      <c r="D4" s="513" t="n">
        <v>0.0211245467449114</v>
      </c>
      <c r="E4" s="513" t="n">
        <v>0.0307510925896807</v>
      </c>
      <c r="F4" s="513" t="n">
        <v>0.359930564329622</v>
      </c>
      <c r="G4" s="377" t="n">
        <v>0.693998003439328</v>
      </c>
      <c r="H4" s="377" t="n">
        <v>1.41596508769665</v>
      </c>
      <c r="I4" s="513" t="n">
        <v>0.122908326209181</v>
      </c>
      <c r="J4" s="513" t="n">
        <v>0.37727498727803</v>
      </c>
      <c r="K4" s="513" t="n">
        <v>0.055</v>
      </c>
      <c r="L4" s="513" t="n">
        <v>0.650757959597101</v>
      </c>
      <c r="M4" s="513" t="n">
        <v>0.0697685204611799</v>
      </c>
      <c r="N4" s="377" t="n">
        <v>1.60152251561795</v>
      </c>
      <c r="O4" s="377" t="n">
        <v>1.01517105563892</v>
      </c>
      <c r="P4" s="377" t="n">
        <v>9.39372808185684</v>
      </c>
      <c r="Q4" s="377" t="n">
        <v>47.4501436370722</v>
      </c>
      <c r="R4" s="377" t="n">
        <v>2.73534148181557</v>
      </c>
      <c r="S4" s="377" t="n">
        <v>71.7939074767527</v>
      </c>
      <c r="T4" s="513" t="n">
        <v>0.0104754547364039</v>
      </c>
      <c r="U4" s="513" t="n">
        <v>0.0916526424186832</v>
      </c>
      <c r="V4" s="513" t="n">
        <v>0.0402862068006871</v>
      </c>
      <c r="W4" s="513" t="n">
        <v>2.09934047368108</v>
      </c>
      <c r="X4" s="513" t="n">
        <v>-0.113688106257363</v>
      </c>
      <c r="Y4" s="513" t="n">
        <v>0</v>
      </c>
      <c r="Z4" s="513" t="n">
        <v>0</v>
      </c>
      <c r="AA4" s="514" t="n">
        <v>0.0213835915486085</v>
      </c>
    </row>
    <row r="5" customFormat="false" ht="13.5" hidden="false" customHeight="false" outlineLevel="0" collapsed="false">
      <c r="A5" s="512" t="s">
        <v>796</v>
      </c>
      <c r="B5" s="75" t="n">
        <v>39</v>
      </c>
      <c r="C5" s="513" t="n">
        <v>0.0583569565217391</v>
      </c>
      <c r="D5" s="513" t="n">
        <v>0.101614252830865</v>
      </c>
      <c r="E5" s="513" t="n">
        <v>0.205667583909916</v>
      </c>
      <c r="F5" s="513" t="n">
        <v>0.205085114583353</v>
      </c>
      <c r="G5" s="377" t="n">
        <v>1.0163797426009</v>
      </c>
      <c r="H5" s="377" t="n">
        <v>1.32469740256416</v>
      </c>
      <c r="I5" s="513" t="n">
        <v>0.117487025712311</v>
      </c>
      <c r="J5" s="513" t="n">
        <v>0.385087469288904</v>
      </c>
      <c r="K5" s="513" t="n">
        <v>0.055</v>
      </c>
      <c r="L5" s="513" t="n">
        <v>0.340249069598209</v>
      </c>
      <c r="M5" s="513" t="n">
        <v>0.0915474486447626</v>
      </c>
      <c r="N5" s="377" t="n">
        <v>2.1037931987292</v>
      </c>
      <c r="O5" s="377" t="n">
        <v>1.15929060240306</v>
      </c>
      <c r="P5" s="377" t="n">
        <v>7.02199982229045</v>
      </c>
      <c r="Q5" s="377" t="n">
        <v>10.3817875502197</v>
      </c>
      <c r="R5" s="377" t="n">
        <v>2.42055886897072</v>
      </c>
      <c r="S5" s="377" t="n">
        <v>13.8045679416795</v>
      </c>
      <c r="T5" s="513" t="n">
        <v>0.262071356467563</v>
      </c>
      <c r="U5" s="513" t="n">
        <v>0.0223250464450971</v>
      </c>
      <c r="V5" s="513" t="n">
        <v>0.0152697410524952</v>
      </c>
      <c r="W5" s="513" t="n">
        <v>1.10251081539148</v>
      </c>
      <c r="X5" s="513" t="n">
        <v>0.13522490180675</v>
      </c>
      <c r="Y5" s="513" t="n">
        <v>0.543158964702381</v>
      </c>
      <c r="Z5" s="513" t="n">
        <v>0.543158964702381</v>
      </c>
      <c r="AA5" s="514" t="n">
        <v>0.111130356342108</v>
      </c>
    </row>
    <row r="6" customFormat="false" ht="13.5" hidden="false" customHeight="false" outlineLevel="0" collapsed="false">
      <c r="A6" s="512" t="s">
        <v>797</v>
      </c>
      <c r="B6" s="75" t="n">
        <v>31</v>
      </c>
      <c r="C6" s="513" t="n">
        <v>0.280595</v>
      </c>
      <c r="D6" s="513" t="n">
        <v>0.0643259591066502</v>
      </c>
      <c r="E6" s="513" t="n">
        <v>0.0646134705451316</v>
      </c>
      <c r="F6" s="513" t="n">
        <v>0.105791079854429</v>
      </c>
      <c r="G6" s="377" t="n">
        <v>1.22553183431714</v>
      </c>
      <c r="H6" s="377" t="n">
        <v>1.54059767505338</v>
      </c>
      <c r="I6" s="513" t="n">
        <v>0.130311501898171</v>
      </c>
      <c r="J6" s="513" t="n">
        <v>0.526141248752484</v>
      </c>
      <c r="K6" s="513" t="n">
        <v>0.0588</v>
      </c>
      <c r="L6" s="513" t="n">
        <v>0.334181070628951</v>
      </c>
      <c r="M6" s="513" t="n">
        <v>0.10150124989331</v>
      </c>
      <c r="N6" s="377" t="n">
        <v>0.945286648635816</v>
      </c>
      <c r="O6" s="377" t="n">
        <v>1.81151105231907</v>
      </c>
      <c r="P6" s="377" t="n">
        <v>12.7452230566936</v>
      </c>
      <c r="Q6" s="377" t="n">
        <v>27.0154690598605</v>
      </c>
      <c r="R6" s="377" t="n">
        <v>2.91732088775322</v>
      </c>
      <c r="S6" s="377" t="n">
        <v>10.3034739792526</v>
      </c>
      <c r="T6" s="513" t="n">
        <v>-0.00263823246294501</v>
      </c>
      <c r="U6" s="513" t="n">
        <v>0.0832265468730608</v>
      </c>
      <c r="V6" s="513" t="n">
        <v>0.0463439530946684</v>
      </c>
      <c r="W6" s="513" t="n">
        <v>0.890830274549387</v>
      </c>
      <c r="X6" s="513" t="n">
        <v>0.15677154224933</v>
      </c>
      <c r="Y6" s="513" t="n">
        <v>0.105498117967206</v>
      </c>
      <c r="Z6" s="513" t="n">
        <v>0.105498117967206</v>
      </c>
      <c r="AA6" s="514" t="n">
        <v>0.0702992355351022</v>
      </c>
    </row>
    <row r="7" customFormat="false" ht="13.5" hidden="false" customHeight="false" outlineLevel="0" collapsed="false">
      <c r="A7" s="512" t="s">
        <v>798</v>
      </c>
      <c r="B7" s="75" t="n">
        <v>37</v>
      </c>
      <c r="C7" s="513" t="n">
        <v>0.0707433333333333</v>
      </c>
      <c r="D7" s="513" t="n">
        <v>0.0506435432008649</v>
      </c>
      <c r="E7" s="513" t="n">
        <v>0.102594650391636</v>
      </c>
      <c r="F7" s="513" t="n">
        <v>0.21559462219926</v>
      </c>
      <c r="G7" s="377" t="n">
        <v>1.20243645845768</v>
      </c>
      <c r="H7" s="377" t="n">
        <v>1.47399181302383</v>
      </c>
      <c r="I7" s="513" t="n">
        <v>0.126355113693616</v>
      </c>
      <c r="J7" s="513" t="n">
        <v>0.395193947712965</v>
      </c>
      <c r="K7" s="513" t="n">
        <v>0.055</v>
      </c>
      <c r="L7" s="513" t="n">
        <v>0.299010082390344</v>
      </c>
      <c r="M7" s="513" t="n">
        <v>0.100907826636248</v>
      </c>
      <c r="N7" s="377" t="n">
        <v>1.97470508860507</v>
      </c>
      <c r="O7" s="377" t="n">
        <v>0.822772427849566</v>
      </c>
      <c r="P7" s="377" t="n">
        <v>7.17962711782199</v>
      </c>
      <c r="Q7" s="377" t="n">
        <v>14.5405479745404</v>
      </c>
      <c r="R7" s="377" t="n">
        <v>1.8900634744419</v>
      </c>
      <c r="S7" s="377" t="n">
        <v>31.6281933676118</v>
      </c>
      <c r="T7" s="513" t="n">
        <v>0.160551722305894</v>
      </c>
      <c r="U7" s="513" t="n">
        <v>0.0361311294778567</v>
      </c>
      <c r="V7" s="513" t="n">
        <v>0.0366959977639591</v>
      </c>
      <c r="W7" s="513" t="n">
        <v>1.62706070860564</v>
      </c>
      <c r="X7" s="513" t="n">
        <v>0.0703387801560853</v>
      </c>
      <c r="Y7" s="513" t="n">
        <v>0.371395212389575</v>
      </c>
      <c r="Z7" s="513" t="n">
        <v>0.371395212389575</v>
      </c>
      <c r="AA7" s="514" t="n">
        <v>0.0567775618858974</v>
      </c>
    </row>
    <row r="8" customFormat="false" ht="13.5" hidden="false" customHeight="false" outlineLevel="0" collapsed="false">
      <c r="A8" s="512" t="s">
        <v>799</v>
      </c>
      <c r="B8" s="75" t="n">
        <v>7</v>
      </c>
      <c r="C8" s="513" t="n">
        <v>0.0194</v>
      </c>
      <c r="D8" s="513" t="n">
        <v>0</v>
      </c>
      <c r="E8" s="513" t="n">
        <v>0.000264456570702313</v>
      </c>
      <c r="F8" s="513" t="n">
        <v>0.171633479677372</v>
      </c>
      <c r="G8" s="377" t="n">
        <v>0.739341430591612</v>
      </c>
      <c r="H8" s="377" t="n">
        <v>1.08010158762877</v>
      </c>
      <c r="I8" s="513" t="n">
        <v>0.102958034305149</v>
      </c>
      <c r="J8" s="513" t="n">
        <v>0.195943234146197</v>
      </c>
      <c r="K8" s="513" t="n">
        <v>0.0473</v>
      </c>
      <c r="L8" s="513" t="n">
        <v>0.683929164378137</v>
      </c>
      <c r="M8" s="513" t="n">
        <v>0.0568044190431272</v>
      </c>
      <c r="N8" s="377" t="n">
        <v>0.317560871675546</v>
      </c>
      <c r="O8" s="377" t="n">
        <v>4.49493456208307</v>
      </c>
      <c r="P8" s="377" t="s">
        <v>800</v>
      </c>
      <c r="Q8" s="377" t="s">
        <v>800</v>
      </c>
      <c r="R8" s="377" t="n">
        <v>0.987555399410782</v>
      </c>
      <c r="S8" s="377" t="n">
        <v>9.51654391032766</v>
      </c>
      <c r="T8" s="513" t="s">
        <v>800</v>
      </c>
      <c r="U8" s="513" t="n">
        <v>0.013070339707981</v>
      </c>
      <c r="V8" s="513" t="n">
        <v>0.013070339707981</v>
      </c>
      <c r="W8" s="513" t="n">
        <v>-128.486073369666</v>
      </c>
      <c r="X8" s="513" t="n">
        <v>0.113450743251856</v>
      </c>
      <c r="Y8" s="513" t="n">
        <v>0.283623435482966</v>
      </c>
      <c r="Z8" s="513" t="n">
        <v>0.283623435482966</v>
      </c>
      <c r="AA8" s="514" t="n">
        <v>0.000994395027199759</v>
      </c>
    </row>
    <row r="9" customFormat="false" ht="13.5" hidden="false" customHeight="false" outlineLevel="0" collapsed="false">
      <c r="A9" s="512" t="s">
        <v>801</v>
      </c>
      <c r="B9" s="75" t="n">
        <v>557</v>
      </c>
      <c r="C9" s="513" t="n">
        <v>0.11019711409396</v>
      </c>
      <c r="D9" s="513" t="n">
        <v>2.69263351477136E-008</v>
      </c>
      <c r="E9" s="513" t="n">
        <v>-0.00036811631590712</v>
      </c>
      <c r="F9" s="513" t="n">
        <v>0.210547659234819</v>
      </c>
      <c r="G9" s="377" t="n">
        <v>0.412980638397071</v>
      </c>
      <c r="H9" s="377" t="n">
        <v>0.504874234756478</v>
      </c>
      <c r="I9" s="513" t="n">
        <v>0.0687895295445348</v>
      </c>
      <c r="J9" s="513" t="n">
        <v>0.16758082918349</v>
      </c>
      <c r="K9" s="513" t="n">
        <v>0.0473</v>
      </c>
      <c r="L9" s="513" t="n">
        <v>0.39253969894843</v>
      </c>
      <c r="M9" s="513" t="n">
        <v>0.0557122541465145</v>
      </c>
      <c r="N9" s="377" t="n">
        <v>0.46900063005241</v>
      </c>
      <c r="O9" s="377" t="n">
        <v>4.3436213032828</v>
      </c>
      <c r="P9" s="377" t="s">
        <v>800</v>
      </c>
      <c r="Q9" s="377" t="s">
        <v>800</v>
      </c>
      <c r="R9" s="377" t="n">
        <v>1.23669981028607</v>
      </c>
      <c r="S9" s="377" t="n">
        <v>24.6012799338734</v>
      </c>
      <c r="T9" s="513" t="s">
        <v>800</v>
      </c>
      <c r="U9" s="513" t="n">
        <v>0.0293637294438972</v>
      </c>
      <c r="V9" s="513" t="n">
        <v>-0.0434516912107991</v>
      </c>
      <c r="W9" s="513" t="s">
        <v>800</v>
      </c>
      <c r="X9" s="513" t="n">
        <v>0.117990588125959</v>
      </c>
      <c r="Y9" s="513" t="n">
        <v>0.291072126250141</v>
      </c>
      <c r="Z9" s="513" t="n">
        <v>0.291072126250141</v>
      </c>
      <c r="AA9" s="514" t="n">
        <v>-0.000967077715591496</v>
      </c>
    </row>
    <row r="10" customFormat="false" ht="13.5" hidden="false" customHeight="false" outlineLevel="0" collapsed="false">
      <c r="A10" s="512" t="s">
        <v>802</v>
      </c>
      <c r="B10" s="75" t="n">
        <v>23</v>
      </c>
      <c r="C10" s="513" t="n">
        <v>0.1254375</v>
      </c>
      <c r="D10" s="513" t="n">
        <v>0.200627853901725</v>
      </c>
      <c r="E10" s="513" t="n">
        <v>0.146576611888148</v>
      </c>
      <c r="F10" s="513" t="n">
        <v>0.349260410145648</v>
      </c>
      <c r="G10" s="377" t="n">
        <v>0.880782291763378</v>
      </c>
      <c r="H10" s="377" t="n">
        <v>1.01297423319964</v>
      </c>
      <c r="I10" s="513" t="n">
        <v>0.0989706694520589</v>
      </c>
      <c r="J10" s="513" t="n">
        <v>0.498746764429893</v>
      </c>
      <c r="K10" s="513" t="n">
        <v>0.055</v>
      </c>
      <c r="L10" s="513" t="n">
        <v>0.186394484850095</v>
      </c>
      <c r="M10" s="513" t="n">
        <v>0.0882118550043398</v>
      </c>
      <c r="N10" s="377" t="n">
        <v>0.802000073246579</v>
      </c>
      <c r="O10" s="377" t="n">
        <v>4.07134281684709</v>
      </c>
      <c r="P10" s="377" t="n">
        <v>15.9051185085164</v>
      </c>
      <c r="Q10" s="377" t="n">
        <v>20.1518793270373</v>
      </c>
      <c r="R10" s="377" t="n">
        <v>3.19243253239811</v>
      </c>
      <c r="S10" s="377" t="n">
        <v>111.501589557173</v>
      </c>
      <c r="T10" s="513" t="n">
        <v>0.153359772429379</v>
      </c>
      <c r="U10" s="513" t="n">
        <v>0.0787635501561306</v>
      </c>
      <c r="V10" s="513" t="n">
        <v>0.0567996896373479</v>
      </c>
      <c r="W10" s="513" t="n">
        <v>0.568218894038157</v>
      </c>
      <c r="X10" s="513" t="n">
        <v>0.0528462358512302</v>
      </c>
      <c r="Y10" s="513" t="n">
        <v>0.7900316485211</v>
      </c>
      <c r="Z10" s="513" t="n">
        <v>0.7900316485211</v>
      </c>
      <c r="AA10" s="514" t="n">
        <v>0.201712806274148</v>
      </c>
    </row>
    <row r="11" customFormat="false" ht="13.5" hidden="false" customHeight="false" outlineLevel="0" collapsed="false">
      <c r="A11" s="512" t="s">
        <v>803</v>
      </c>
      <c r="B11" s="75" t="n">
        <v>31</v>
      </c>
      <c r="C11" s="513" t="n">
        <v>0.150485454545455</v>
      </c>
      <c r="D11" s="513" t="n">
        <v>0.190369991671535</v>
      </c>
      <c r="E11" s="513" t="n">
        <v>0.287193667345686</v>
      </c>
      <c r="F11" s="513" t="n">
        <v>0.181875087931568</v>
      </c>
      <c r="G11" s="377" t="n">
        <v>1.2014134916712</v>
      </c>
      <c r="H11" s="377" t="n">
        <v>1.30344330704355</v>
      </c>
      <c r="I11" s="513" t="n">
        <v>0.116224532438387</v>
      </c>
      <c r="J11" s="513" t="n">
        <v>0.41717146856964</v>
      </c>
      <c r="K11" s="513" t="n">
        <v>0.055</v>
      </c>
      <c r="L11" s="513" t="n">
        <v>0.132464398222978</v>
      </c>
      <c r="M11" s="513" t="n">
        <v>0.106293076116887</v>
      </c>
      <c r="N11" s="377" t="n">
        <v>1.60299007648955</v>
      </c>
      <c r="O11" s="377" t="n">
        <v>4.66685734257846</v>
      </c>
      <c r="P11" s="377" t="n">
        <v>20.0083475277598</v>
      </c>
      <c r="Q11" s="377" t="n">
        <v>24.1371687868788</v>
      </c>
      <c r="R11" s="377" t="n">
        <v>8.22727367662537</v>
      </c>
      <c r="S11" s="377" t="n">
        <v>39.5525944806275</v>
      </c>
      <c r="T11" s="513" t="n">
        <v>-0.0905765649308854</v>
      </c>
      <c r="U11" s="513" t="n">
        <v>0.0466213190425338</v>
      </c>
      <c r="V11" s="513" t="n">
        <v>0.0567716395565213</v>
      </c>
      <c r="W11" s="513" t="n">
        <v>0.291404454211998</v>
      </c>
      <c r="X11" s="513" t="n">
        <v>0.31944669288622</v>
      </c>
      <c r="Y11" s="513" t="n">
        <v>0.565165875273676</v>
      </c>
      <c r="Z11" s="513" t="n">
        <v>0.565165875273676</v>
      </c>
      <c r="AA11" s="514" t="n">
        <v>0.191440073066559</v>
      </c>
    </row>
    <row r="12" customFormat="false" ht="13.5" hidden="false" customHeight="false" outlineLevel="0" collapsed="false">
      <c r="A12" s="512" t="s">
        <v>804</v>
      </c>
      <c r="B12" s="75" t="n">
        <v>26</v>
      </c>
      <c r="C12" s="513" t="n">
        <v>0.195441111111111</v>
      </c>
      <c r="D12" s="513" t="n">
        <v>0.14575123466837</v>
      </c>
      <c r="E12" s="513" t="n">
        <v>0.135171565630453</v>
      </c>
      <c r="F12" s="513" t="n">
        <v>0.219517730688649</v>
      </c>
      <c r="G12" s="377" t="n">
        <v>0.702159959171334</v>
      </c>
      <c r="H12" s="377" t="n">
        <v>1.32205864254722</v>
      </c>
      <c r="I12" s="513" t="n">
        <v>0.117330283367305</v>
      </c>
      <c r="J12" s="513" t="n">
        <v>0.468984145587513</v>
      </c>
      <c r="K12" s="513" t="n">
        <v>0.055</v>
      </c>
      <c r="L12" s="513" t="n">
        <v>0.594866268838992</v>
      </c>
      <c r="M12" s="513" t="n">
        <v>0.072072689068383</v>
      </c>
      <c r="N12" s="377" t="n">
        <v>1.08821855604258</v>
      </c>
      <c r="O12" s="377" t="n">
        <v>1.3273528475011</v>
      </c>
      <c r="P12" s="377" t="n">
        <v>6.55196305240936</v>
      </c>
      <c r="Q12" s="377" t="n">
        <v>8.98424931771724</v>
      </c>
      <c r="R12" s="377" t="n">
        <v>0.881765248388819</v>
      </c>
      <c r="S12" s="377" t="n">
        <v>6.93318863344397</v>
      </c>
      <c r="T12" s="513" t="n">
        <v>0.106208943919591</v>
      </c>
      <c r="U12" s="513" t="n">
        <v>0.024926670267361</v>
      </c>
      <c r="V12" s="513" t="n">
        <v>0.0254680025404599</v>
      </c>
      <c r="W12" s="513" t="n">
        <v>2.10138592377092</v>
      </c>
      <c r="X12" s="513" t="n">
        <v>0.207585838324481</v>
      </c>
      <c r="Y12" s="513" t="n">
        <v>0.143617341007684</v>
      </c>
      <c r="Z12" s="513" t="n">
        <v>0.143617341007684</v>
      </c>
      <c r="AA12" s="514" t="n">
        <v>0.147462106962818</v>
      </c>
    </row>
    <row r="13" customFormat="false" ht="13.5" hidden="false" customHeight="false" outlineLevel="0" collapsed="false">
      <c r="A13" s="512" t="s">
        <v>805</v>
      </c>
      <c r="B13" s="75" t="n">
        <v>30</v>
      </c>
      <c r="C13" s="513" t="n">
        <v>0.1422875</v>
      </c>
      <c r="D13" s="513" t="n">
        <v>0.0040896492810984</v>
      </c>
      <c r="E13" s="513" t="n">
        <v>0.000564509424792623</v>
      </c>
      <c r="F13" s="513" t="n">
        <v>0.208239844889244</v>
      </c>
      <c r="G13" s="377" t="n">
        <v>0.693750562753166</v>
      </c>
      <c r="H13" s="377" t="n">
        <v>1.20480828961802</v>
      </c>
      <c r="I13" s="513" t="n">
        <v>0.11036561240331</v>
      </c>
      <c r="J13" s="513" t="n">
        <v>0.27996249256243</v>
      </c>
      <c r="K13" s="513" t="n">
        <v>0.055</v>
      </c>
      <c r="L13" s="513" t="n">
        <v>0.667871535110385</v>
      </c>
      <c r="M13" s="513" t="n">
        <v>0.0642052622474171</v>
      </c>
      <c r="N13" s="377" t="n">
        <v>0.263907299400291</v>
      </c>
      <c r="O13" s="377" t="n">
        <v>4.45846142336831</v>
      </c>
      <c r="P13" s="377" t="s">
        <v>800</v>
      </c>
      <c r="Q13" s="377" t="s">
        <v>800</v>
      </c>
      <c r="R13" s="377" t="n">
        <v>1.62224024536442</v>
      </c>
      <c r="S13" s="377" t="n">
        <v>15.3988250888402</v>
      </c>
      <c r="T13" s="513" t="s">
        <v>800</v>
      </c>
      <c r="U13" s="513" t="n">
        <v>0.0380569798570824</v>
      </c>
      <c r="V13" s="513" t="n">
        <v>0.025052525387017</v>
      </c>
      <c r="W13" s="513" t="n">
        <v>-106.711291312803</v>
      </c>
      <c r="X13" s="513" t="n">
        <v>0.134336667552373</v>
      </c>
      <c r="Y13" s="513" t="n">
        <v>0.286881409666076</v>
      </c>
      <c r="Z13" s="513" t="n">
        <v>0.286881409666077</v>
      </c>
      <c r="AA13" s="514" t="n">
        <v>0.00261969855087193</v>
      </c>
    </row>
    <row r="14" customFormat="false" ht="13.5" hidden="false" customHeight="false" outlineLevel="0" collapsed="false">
      <c r="A14" s="512" t="s">
        <v>806</v>
      </c>
      <c r="B14" s="75" t="n">
        <v>45</v>
      </c>
      <c r="C14" s="513" t="n">
        <v>0.105975</v>
      </c>
      <c r="D14" s="513" t="n">
        <v>0.138075736808266</v>
      </c>
      <c r="E14" s="513" t="n">
        <v>0.345962034133045</v>
      </c>
      <c r="F14" s="513" t="n">
        <v>0.22045577488666</v>
      </c>
      <c r="G14" s="377" t="n">
        <v>1.09835926033508</v>
      </c>
      <c r="H14" s="377" t="n">
        <v>1.27728009482373</v>
      </c>
      <c r="I14" s="513" t="n">
        <v>0.114670437632529</v>
      </c>
      <c r="J14" s="513" t="n">
        <v>0.291899138471621</v>
      </c>
      <c r="K14" s="513" t="n">
        <v>0.055</v>
      </c>
      <c r="L14" s="513" t="n">
        <v>0.224362515202402</v>
      </c>
      <c r="M14" s="513" t="n">
        <v>0.0981976435780341</v>
      </c>
      <c r="N14" s="377" t="n">
        <v>2.96465680346883</v>
      </c>
      <c r="O14" s="377" t="n">
        <v>1.35998310518228</v>
      </c>
      <c r="P14" s="377" t="n">
        <v>7.84954473727042</v>
      </c>
      <c r="Q14" s="377" t="n">
        <v>9.7338715959223</v>
      </c>
      <c r="R14" s="377" t="n">
        <v>3.18925636907078</v>
      </c>
      <c r="S14" s="377" t="n">
        <v>15.7317971087971</v>
      </c>
      <c r="T14" s="513" t="n">
        <v>0.182128929555365</v>
      </c>
      <c r="U14" s="513" t="n">
        <v>0.0245823897131263</v>
      </c>
      <c r="V14" s="513" t="n">
        <v>0.0467874260762279</v>
      </c>
      <c r="W14" s="513" t="n">
        <v>0.729917002538682</v>
      </c>
      <c r="X14" s="513" t="n">
        <v>0.327287768396036</v>
      </c>
      <c r="Y14" s="513" t="n">
        <v>0.129539638766911</v>
      </c>
      <c r="Z14" s="513" t="n">
        <v>0.129539638766911</v>
      </c>
      <c r="AA14" s="514" t="n">
        <v>0.139988498915117</v>
      </c>
    </row>
    <row r="15" customFormat="false" ht="13.5" hidden="false" customHeight="false" outlineLevel="0" collapsed="false">
      <c r="A15" s="512" t="s">
        <v>807</v>
      </c>
      <c r="B15" s="75" t="n">
        <v>164</v>
      </c>
      <c r="C15" s="513" t="n">
        <v>0.0846428</v>
      </c>
      <c r="D15" s="513" t="n">
        <v>0.0902838598104877</v>
      </c>
      <c r="E15" s="513" t="n">
        <v>0.23990816674376</v>
      </c>
      <c r="F15" s="513" t="n">
        <v>0.225372331648219</v>
      </c>
      <c r="G15" s="377" t="n">
        <v>1.01986877347307</v>
      </c>
      <c r="H15" s="377" t="n">
        <v>1.17092002045299</v>
      </c>
      <c r="I15" s="513" t="n">
        <v>0.108352649214908</v>
      </c>
      <c r="J15" s="513" t="n">
        <v>0.457824937097068</v>
      </c>
      <c r="K15" s="513" t="n">
        <v>0.055</v>
      </c>
      <c r="L15" s="513" t="n">
        <v>0.215525155088784</v>
      </c>
      <c r="M15" s="513" t="n">
        <v>0.0938903403359965</v>
      </c>
      <c r="N15" s="377" t="n">
        <v>2.8046731724829</v>
      </c>
      <c r="O15" s="377" t="n">
        <v>2.05482957377769</v>
      </c>
      <c r="P15" s="377" t="n">
        <v>13.1782672690087</v>
      </c>
      <c r="Q15" s="377" t="n">
        <v>21.7913131205506</v>
      </c>
      <c r="R15" s="377" t="n">
        <v>3.90023355217002</v>
      </c>
      <c r="S15" s="377" t="n">
        <v>33.7199397579495</v>
      </c>
      <c r="T15" s="513" t="n">
        <v>0.130386973821933</v>
      </c>
      <c r="U15" s="513" t="n">
        <v>0.0284213009660969</v>
      </c>
      <c r="V15" s="513" t="n">
        <v>0.0571875612772039</v>
      </c>
      <c r="W15" s="513" t="n">
        <v>1.02038383165545</v>
      </c>
      <c r="X15" s="513" t="n">
        <v>0.128504281494828</v>
      </c>
      <c r="Y15" s="513" t="n">
        <v>0.28225571869971</v>
      </c>
      <c r="Z15" s="513" t="n">
        <v>0.28225571869971</v>
      </c>
      <c r="AA15" s="514" t="n">
        <v>0.094231210499159</v>
      </c>
    </row>
    <row r="16" customFormat="false" ht="13.5" hidden="false" customHeight="false" outlineLevel="0" collapsed="false">
      <c r="A16" s="512" t="s">
        <v>808</v>
      </c>
      <c r="B16" s="75" t="n">
        <v>10</v>
      </c>
      <c r="C16" s="513" t="n">
        <v>0.200488888888889</v>
      </c>
      <c r="D16" s="513" t="n">
        <v>0.198956618892856</v>
      </c>
      <c r="E16" s="513" t="n">
        <v>0.121260788776761</v>
      </c>
      <c r="F16" s="513" t="n">
        <v>0.298167279631681</v>
      </c>
      <c r="G16" s="377" t="n">
        <v>0.705920244285196</v>
      </c>
      <c r="H16" s="377" t="n">
        <v>1.25516419610183</v>
      </c>
      <c r="I16" s="513" t="n">
        <v>0.113356753248449</v>
      </c>
      <c r="J16" s="513" t="n">
        <v>0.2540691750565</v>
      </c>
      <c r="K16" s="513" t="n">
        <v>0.055</v>
      </c>
      <c r="L16" s="513" t="n">
        <v>0.517527838767052</v>
      </c>
      <c r="M16" s="513" t="n">
        <v>0.07603950107927</v>
      </c>
      <c r="N16" s="377" t="n">
        <v>0.795487220951141</v>
      </c>
      <c r="O16" s="377" t="n">
        <v>2.4271351695921</v>
      </c>
      <c r="P16" s="377" t="n">
        <v>7.38834136632044</v>
      </c>
      <c r="Q16" s="377" t="n">
        <v>12.4349656074455</v>
      </c>
      <c r="R16" s="377" t="n">
        <v>2.0421096097889</v>
      </c>
      <c r="S16" s="377" t="n">
        <v>11.0318115987057</v>
      </c>
      <c r="T16" s="513" t="n">
        <v>0.00593443180070667</v>
      </c>
      <c r="U16" s="513" t="n">
        <v>0.110496085751652</v>
      </c>
      <c r="V16" s="513" t="n">
        <v>-0.00486558487760943</v>
      </c>
      <c r="W16" s="513" t="n">
        <v>0.0151844882062198</v>
      </c>
      <c r="X16" s="513" t="n">
        <v>0.121375654463761</v>
      </c>
      <c r="Y16" s="513" t="n">
        <v>0.290506590835708</v>
      </c>
      <c r="Z16" s="513" t="n">
        <v>0.290506590835708</v>
      </c>
      <c r="AA16" s="514" t="n">
        <v>0.195276288877385</v>
      </c>
    </row>
    <row r="17" customFormat="false" ht="13.5" hidden="false" customHeight="false" outlineLevel="0" collapsed="false">
      <c r="A17" s="512" t="s">
        <v>809</v>
      </c>
      <c r="B17" s="75" t="n">
        <v>38</v>
      </c>
      <c r="C17" s="513" t="n">
        <v>0.2702</v>
      </c>
      <c r="D17" s="513" t="n">
        <v>0.130533910474085</v>
      </c>
      <c r="E17" s="513" t="n">
        <v>0.25379383032265</v>
      </c>
      <c r="F17" s="513" t="n">
        <v>0.209666077614061</v>
      </c>
      <c r="G17" s="377" t="n">
        <v>0.958990030846578</v>
      </c>
      <c r="H17" s="377" t="n">
        <v>1.24710147709979</v>
      </c>
      <c r="I17" s="513" t="n">
        <v>0.112877827739728</v>
      </c>
      <c r="J17" s="513" t="n">
        <v>0.465790044217599</v>
      </c>
      <c r="K17" s="513" t="n">
        <v>0.055</v>
      </c>
      <c r="L17" s="513" t="n">
        <v>0.325693745935613</v>
      </c>
      <c r="M17" s="513" t="n">
        <v>0.0895490922099449</v>
      </c>
      <c r="N17" s="377" t="n">
        <v>2.14053956173405</v>
      </c>
      <c r="O17" s="377" t="n">
        <v>0.887990682860344</v>
      </c>
      <c r="P17" s="377" t="n">
        <v>4.91886271492945</v>
      </c>
      <c r="Q17" s="377" t="n">
        <v>6.65855664669951</v>
      </c>
      <c r="R17" s="377" t="n">
        <v>1.94069257462286</v>
      </c>
      <c r="S17" s="377" t="n">
        <v>9.95077208253024</v>
      </c>
      <c r="T17" s="513" t="n">
        <v>0.135018699284781</v>
      </c>
      <c r="U17" s="513" t="n">
        <v>0.0469461559659227</v>
      </c>
      <c r="V17" s="513" t="n">
        <v>0.0525851567712896</v>
      </c>
      <c r="W17" s="513" t="n">
        <v>0.585515396628855</v>
      </c>
      <c r="X17" s="513" t="n">
        <v>0.34777022369023</v>
      </c>
      <c r="Y17" s="513" t="n">
        <v>0.27395285947542</v>
      </c>
      <c r="Z17" s="513" t="n">
        <v>0.27395285947542</v>
      </c>
      <c r="AA17" s="514" t="n">
        <v>0.131485142788428</v>
      </c>
    </row>
    <row r="18" customFormat="false" ht="13.5" hidden="false" customHeight="false" outlineLevel="0" collapsed="false">
      <c r="A18" s="512" t="s">
        <v>810</v>
      </c>
      <c r="B18" s="75" t="n">
        <v>4</v>
      </c>
      <c r="C18" s="513" t="n">
        <v>0.017525</v>
      </c>
      <c r="D18" s="513" t="n">
        <v>0.135163712287684</v>
      </c>
      <c r="E18" s="513" t="n">
        <v>0.203498375960656</v>
      </c>
      <c r="F18" s="513" t="n">
        <v>0.175527575811314</v>
      </c>
      <c r="G18" s="377" t="n">
        <v>1.09025656549882</v>
      </c>
      <c r="H18" s="377" t="n">
        <v>1.41259123056009</v>
      </c>
      <c r="I18" s="513" t="n">
        <v>0.12270791909527</v>
      </c>
      <c r="J18" s="513" t="n">
        <v>0.394931761400363</v>
      </c>
      <c r="K18" s="513" t="n">
        <v>0.055</v>
      </c>
      <c r="L18" s="513" t="n">
        <v>0.368056992888392</v>
      </c>
      <c r="M18" s="513" t="n">
        <v>0.0927267623461187</v>
      </c>
      <c r="N18" s="377" t="n">
        <v>1.69607304415279</v>
      </c>
      <c r="O18" s="377" t="n">
        <v>0.910381123993981</v>
      </c>
      <c r="P18" s="377" t="n">
        <v>5.01571786147059</v>
      </c>
      <c r="Q18" s="377" t="n">
        <v>6.70701164259086</v>
      </c>
      <c r="R18" s="377" t="n">
        <v>1.88925729900564</v>
      </c>
      <c r="S18" s="377" t="n">
        <v>4.91363503665297</v>
      </c>
      <c r="T18" s="513" t="n">
        <v>0.144688584298254</v>
      </c>
      <c r="U18" s="513" t="n">
        <v>0.0379629349135591</v>
      </c>
      <c r="V18" s="513" t="n">
        <v>0.00040905351903939</v>
      </c>
      <c r="W18" s="513" t="n">
        <v>0.231800435316084</v>
      </c>
      <c r="X18" s="513" t="n">
        <v>0.434362310815799</v>
      </c>
      <c r="Y18" s="513" t="n">
        <v>0.14606681893026</v>
      </c>
      <c r="Z18" s="513" t="n">
        <v>0.14606681893026</v>
      </c>
      <c r="AA18" s="514" t="n">
        <v>0.136292827508509</v>
      </c>
    </row>
    <row r="19" customFormat="false" ht="13.5" hidden="false" customHeight="false" outlineLevel="0" collapsed="false">
      <c r="A19" s="512" t="s">
        <v>811</v>
      </c>
      <c r="B19" s="75" t="n">
        <v>76</v>
      </c>
      <c r="C19" s="513" t="n">
        <v>0.0948224489795918</v>
      </c>
      <c r="D19" s="513" t="n">
        <v>0.146209943704531</v>
      </c>
      <c r="E19" s="513" t="n">
        <v>0.178262520085787</v>
      </c>
      <c r="F19" s="513" t="n">
        <v>0.215184379004789</v>
      </c>
      <c r="G19" s="377" t="n">
        <v>1.1152530501631</v>
      </c>
      <c r="H19" s="377" t="n">
        <v>1.27729470793057</v>
      </c>
      <c r="I19" s="513" t="n">
        <v>0.114671305651076</v>
      </c>
      <c r="J19" s="513" t="n">
        <v>0.423204690921436</v>
      </c>
      <c r="K19" s="513" t="n">
        <v>0.055</v>
      </c>
      <c r="L19" s="513" t="n">
        <v>0.215097332884089</v>
      </c>
      <c r="M19" s="513" t="n">
        <v>0.0988785786286619</v>
      </c>
      <c r="N19" s="377" t="n">
        <v>1.3003828372798</v>
      </c>
      <c r="O19" s="377" t="n">
        <v>2.47848334468726</v>
      </c>
      <c r="P19" s="377" t="n">
        <v>10.5300804168471</v>
      </c>
      <c r="Q19" s="377" t="n">
        <v>16.5331529331355</v>
      </c>
      <c r="R19" s="377" t="n">
        <v>2.82960164878646</v>
      </c>
      <c r="S19" s="377" t="n">
        <v>34.7255276460295</v>
      </c>
      <c r="T19" s="513" t="n">
        <v>0.227107146980094</v>
      </c>
      <c r="U19" s="513" t="n">
        <v>0.0592701889883797</v>
      </c>
      <c r="V19" s="513" t="n">
        <v>0.0621554891809583</v>
      </c>
      <c r="W19" s="513" t="n">
        <v>0.918716200511902</v>
      </c>
      <c r="X19" s="513" t="n">
        <v>0.114285703971039</v>
      </c>
      <c r="Y19" s="513" t="n">
        <v>0.404624756532797</v>
      </c>
      <c r="Z19" s="513" t="n">
        <v>0.404624756532797</v>
      </c>
      <c r="AA19" s="514" t="n">
        <v>0.15299911402623</v>
      </c>
    </row>
    <row r="20" customFormat="false" ht="13.5" hidden="false" customHeight="false" outlineLevel="0" collapsed="false">
      <c r="A20" s="512" t="s">
        <v>812</v>
      </c>
      <c r="B20" s="75" t="n">
        <v>19</v>
      </c>
      <c r="C20" s="513" t="n">
        <v>-0.037149</v>
      </c>
      <c r="D20" s="513" t="n">
        <v>0.221545196364764</v>
      </c>
      <c r="E20" s="513" t="n">
        <v>0.417859281998402</v>
      </c>
      <c r="F20" s="513" t="n">
        <v>0.057877792248144</v>
      </c>
      <c r="G20" s="377" t="n">
        <v>1.42891458809632</v>
      </c>
      <c r="H20" s="377" t="n">
        <v>1.45217888188087</v>
      </c>
      <c r="I20" s="513" t="n">
        <v>0.125059425583724</v>
      </c>
      <c r="J20" s="513" t="n">
        <v>0.619567394049993</v>
      </c>
      <c r="K20" s="513" t="n">
        <v>0.0588</v>
      </c>
      <c r="L20" s="513" t="n">
        <v>0.17836697027389</v>
      </c>
      <c r="M20" s="513" t="n">
        <v>0.11061893812724</v>
      </c>
      <c r="N20" s="377" t="n">
        <v>1.91446497092842</v>
      </c>
      <c r="O20" s="377" t="n">
        <v>1.43173476210687</v>
      </c>
      <c r="P20" s="377" t="n">
        <v>3.81372259811711</v>
      </c>
      <c r="Q20" s="377" t="n">
        <v>5.31349789180005</v>
      </c>
      <c r="R20" s="377" t="n">
        <v>2.45757981722153</v>
      </c>
      <c r="S20" s="377" t="n">
        <v>70.1002173464594</v>
      </c>
      <c r="T20" s="513" t="n">
        <v>0.0719332976682721</v>
      </c>
      <c r="U20" s="513" t="n">
        <v>0.066544699090671</v>
      </c>
      <c r="V20" s="513" t="n">
        <v>0.0134081671256972</v>
      </c>
      <c r="W20" s="513" t="n">
        <v>0.16330024899959</v>
      </c>
      <c r="X20" s="513" t="n">
        <v>0.740839030252333</v>
      </c>
      <c r="Y20" s="513" t="n">
        <v>0.204337177912159</v>
      </c>
      <c r="Z20" s="513" t="n">
        <v>0.204337177912159</v>
      </c>
      <c r="AA20" s="514" t="n">
        <v>0.223310857999542</v>
      </c>
    </row>
    <row r="21" customFormat="false" ht="13.5" hidden="false" customHeight="false" outlineLevel="0" collapsed="false">
      <c r="A21" s="512" t="s">
        <v>813</v>
      </c>
      <c r="B21" s="75" t="n">
        <v>80</v>
      </c>
      <c r="C21" s="513" t="n">
        <v>0.104793076923077</v>
      </c>
      <c r="D21" s="513" t="n">
        <v>0.0657248414118898</v>
      </c>
      <c r="E21" s="513" t="n">
        <v>0.283931817001025</v>
      </c>
      <c r="F21" s="513" t="n">
        <v>0.209021092760474</v>
      </c>
      <c r="G21" s="377" t="n">
        <v>0.993221795032654</v>
      </c>
      <c r="H21" s="377" t="n">
        <v>1.17138693228896</v>
      </c>
      <c r="I21" s="513" t="n">
        <v>0.108380383777965</v>
      </c>
      <c r="J21" s="513" t="n">
        <v>0.477753001690207</v>
      </c>
      <c r="K21" s="513" t="n">
        <v>0.055</v>
      </c>
      <c r="L21" s="513" t="n">
        <v>0.245641991629205</v>
      </c>
      <c r="M21" s="513" t="n">
        <v>0.0918903426079125</v>
      </c>
      <c r="N21" s="377" t="n">
        <v>4.36212705769429</v>
      </c>
      <c r="O21" s="377" t="n">
        <v>1.17055165096228</v>
      </c>
      <c r="P21" s="377" t="n">
        <v>10.5631616234411</v>
      </c>
      <c r="Q21" s="377" t="n">
        <v>16.7233924228774</v>
      </c>
      <c r="R21" s="377" t="n">
        <v>4.03272970946335</v>
      </c>
      <c r="S21" s="377" t="n">
        <v>16.8266180088204</v>
      </c>
      <c r="T21" s="513" t="n">
        <v>0.155914373768237</v>
      </c>
      <c r="U21" s="513" t="n">
        <v>0.0122970955609222</v>
      </c>
      <c r="V21" s="513" t="n">
        <v>-0.00220743870175818</v>
      </c>
      <c r="W21" s="513" t="n">
        <v>0.306572949456314</v>
      </c>
      <c r="X21" s="513" t="n">
        <v>0.121492301285463</v>
      </c>
      <c r="Y21" s="513" t="n">
        <v>0.935827852769172</v>
      </c>
      <c r="Z21" s="513" t="n">
        <v>0.935827852769172</v>
      </c>
      <c r="AA21" s="514" t="n">
        <v>0.0695477033117417</v>
      </c>
    </row>
    <row r="22" customFormat="false" ht="13.5" hidden="false" customHeight="false" outlineLevel="0" collapsed="false">
      <c r="A22" s="512" t="s">
        <v>814</v>
      </c>
      <c r="B22" s="75" t="n">
        <v>42</v>
      </c>
      <c r="C22" s="513" t="n">
        <v>0.163571481481481</v>
      </c>
      <c r="D22" s="513" t="n">
        <v>0.214095678609084</v>
      </c>
      <c r="E22" s="513" t="n">
        <v>0.426275707818137</v>
      </c>
      <c r="F22" s="513" t="n">
        <v>0.167014126649875</v>
      </c>
      <c r="G22" s="377" t="n">
        <v>1.22704237221301</v>
      </c>
      <c r="H22" s="377" t="n">
        <v>1.29108636483818</v>
      </c>
      <c r="I22" s="513" t="n">
        <v>0.115490530071388</v>
      </c>
      <c r="J22" s="513" t="n">
        <v>0.487254443559567</v>
      </c>
      <c r="K22" s="513" t="n">
        <v>0.055</v>
      </c>
      <c r="L22" s="513" t="n">
        <v>0.0869472632701858</v>
      </c>
      <c r="M22" s="513" t="n">
        <v>0.109035519157953</v>
      </c>
      <c r="N22" s="377" t="n">
        <v>2.12396319511638</v>
      </c>
      <c r="O22" s="377" t="n">
        <v>3.66751544785831</v>
      </c>
      <c r="P22" s="377" t="n">
        <v>14.7335253498569</v>
      </c>
      <c r="Q22" s="377" t="n">
        <v>17.080897524012</v>
      </c>
      <c r="R22" s="377" t="n">
        <v>25.5613970893378</v>
      </c>
      <c r="S22" s="377" t="n">
        <v>60.3719860753715</v>
      </c>
      <c r="T22" s="513" t="n">
        <v>-0.0876178566950052</v>
      </c>
      <c r="U22" s="513" t="n">
        <v>0.0304284767825414</v>
      </c>
      <c r="V22" s="513" t="n">
        <v>0.0181602397544023</v>
      </c>
      <c r="W22" s="513" t="n">
        <v>0.0627499738738938</v>
      </c>
      <c r="X22" s="513" t="n">
        <v>0.962601783592746</v>
      </c>
      <c r="Y22" s="513" t="n">
        <v>0.169473566524804</v>
      </c>
      <c r="Z22" s="513" t="n">
        <v>0.169473566524804</v>
      </c>
      <c r="AA22" s="514" t="n">
        <v>0.220265341670264</v>
      </c>
    </row>
    <row r="23" customFormat="false" ht="13.5" hidden="false" customHeight="false" outlineLevel="0" collapsed="false">
      <c r="A23" s="512" t="s">
        <v>815</v>
      </c>
      <c r="B23" s="75" t="n">
        <v>49</v>
      </c>
      <c r="C23" s="513" t="n">
        <v>0.0501678125</v>
      </c>
      <c r="D23" s="513" t="n">
        <v>0.111321131471325</v>
      </c>
      <c r="E23" s="513" t="n">
        <v>0.145474741337644</v>
      </c>
      <c r="F23" s="513" t="n">
        <v>0.211490946259476</v>
      </c>
      <c r="G23" s="377" t="n">
        <v>1.07606105339227</v>
      </c>
      <c r="H23" s="377" t="n">
        <v>1.26439600286022</v>
      </c>
      <c r="I23" s="513" t="n">
        <v>0.113905122569897</v>
      </c>
      <c r="J23" s="513" t="n">
        <v>0.351116452838821</v>
      </c>
      <c r="K23" s="513" t="n">
        <v>0.055</v>
      </c>
      <c r="L23" s="513" t="n">
        <v>0.231515707888363</v>
      </c>
      <c r="M23" s="513" t="n">
        <v>0.0970843204364117</v>
      </c>
      <c r="N23" s="377" t="n">
        <v>1.41718281258231</v>
      </c>
      <c r="O23" s="377" t="n">
        <v>2.1491300729514</v>
      </c>
      <c r="P23" s="377" t="n">
        <v>12.9341606719277</v>
      </c>
      <c r="Q23" s="377" t="n">
        <v>18.7494090056664</v>
      </c>
      <c r="R23" s="377" t="n">
        <v>3.65591342873353</v>
      </c>
      <c r="S23" s="377" t="n">
        <v>23.6701765779056</v>
      </c>
      <c r="T23" s="513" t="n">
        <v>0.203133249602206</v>
      </c>
      <c r="U23" s="513" t="n">
        <v>0.0534324572242859</v>
      </c>
      <c r="V23" s="513" t="n">
        <v>0.0603971754413972</v>
      </c>
      <c r="W23" s="513" t="n">
        <v>1.13902697344103</v>
      </c>
      <c r="X23" s="513" t="n">
        <v>0.18776605314362</v>
      </c>
      <c r="Y23" s="513" t="n">
        <v>0.321556520131287</v>
      </c>
      <c r="Z23" s="513" t="n">
        <v>0.321556520131287</v>
      </c>
      <c r="AA23" s="514" t="n">
        <v>0.114393310492453</v>
      </c>
    </row>
    <row r="24" customFormat="false" ht="13.5" hidden="false" customHeight="false" outlineLevel="0" collapsed="false">
      <c r="A24" s="512" t="s">
        <v>816</v>
      </c>
      <c r="B24" s="75" t="n">
        <v>23</v>
      </c>
      <c r="C24" s="513" t="n">
        <v>0.07692</v>
      </c>
      <c r="D24" s="513" t="n">
        <v>0.0344185411414363</v>
      </c>
      <c r="E24" s="513" t="n">
        <v>0.0284514137755217</v>
      </c>
      <c r="F24" s="513" t="n">
        <v>0.159692156498181</v>
      </c>
      <c r="G24" s="377" t="n">
        <v>0.939496413823634</v>
      </c>
      <c r="H24" s="377" t="n">
        <v>1.03822847477909</v>
      </c>
      <c r="I24" s="513" t="n">
        <v>0.100470771401878</v>
      </c>
      <c r="J24" s="513" t="n">
        <v>0.578444387307465</v>
      </c>
      <c r="K24" s="513" t="n">
        <v>0.0588</v>
      </c>
      <c r="L24" s="513" t="n">
        <v>0.175166375267379</v>
      </c>
      <c r="M24" s="513" t="n">
        <v>0.0905965077043848</v>
      </c>
      <c r="N24" s="377" t="n">
        <v>0.809135585220317</v>
      </c>
      <c r="O24" s="377" t="n">
        <v>2.49707333784771</v>
      </c>
      <c r="P24" s="377" t="n">
        <v>30.9551095438044</v>
      </c>
      <c r="Q24" s="377" t="n">
        <v>69.4410938597647</v>
      </c>
      <c r="R24" s="377" t="n">
        <v>1.84589848785717</v>
      </c>
      <c r="S24" s="377" t="n">
        <v>14.4583446826546</v>
      </c>
      <c r="T24" s="513" t="n">
        <v>0.076139744625111</v>
      </c>
      <c r="U24" s="513" t="n">
        <v>0.0425013938883248</v>
      </c>
      <c r="V24" s="513" t="n">
        <v>0.0276219002205922</v>
      </c>
      <c r="W24" s="513" t="n">
        <v>1.70189688387218</v>
      </c>
      <c r="X24" s="513" t="n">
        <v>0.00824960012711776</v>
      </c>
      <c r="Y24" s="513" t="n">
        <v>1.50677938946209</v>
      </c>
      <c r="Z24" s="513" t="n">
        <v>1.50677938946209</v>
      </c>
      <c r="AA24" s="514" t="n">
        <v>0.0362327833504738</v>
      </c>
    </row>
    <row r="25" customFormat="false" ht="13.5" hidden="false" customHeight="false" outlineLevel="0" collapsed="false">
      <c r="A25" s="512" t="s">
        <v>817</v>
      </c>
      <c r="B25" s="75" t="n">
        <v>598</v>
      </c>
      <c r="C25" s="513" t="n">
        <v>0.272303536585366</v>
      </c>
      <c r="D25" s="513" t="n">
        <v>0.120189715663306</v>
      </c>
      <c r="E25" s="513" t="n">
        <v>0.064930486901624</v>
      </c>
      <c r="F25" s="513" t="n">
        <v>0.142512329857379</v>
      </c>
      <c r="G25" s="377" t="n">
        <v>1.19944895790849</v>
      </c>
      <c r="H25" s="377" t="n">
        <v>1.24174228007061</v>
      </c>
      <c r="I25" s="513" t="n">
        <v>0.112559491436194</v>
      </c>
      <c r="J25" s="513" t="n">
        <v>0.584140933082109</v>
      </c>
      <c r="K25" s="513" t="n">
        <v>0.0588</v>
      </c>
      <c r="L25" s="513" t="n">
        <v>0.132854226479077</v>
      </c>
      <c r="M25" s="513" t="n">
        <v>0.103464358656288</v>
      </c>
      <c r="N25" s="377" t="n">
        <v>0.458857259371701</v>
      </c>
      <c r="O25" s="377" t="n">
        <v>6.18483746896643</v>
      </c>
      <c r="P25" s="377" t="n">
        <v>11.0292606928232</v>
      </c>
      <c r="Q25" s="377" t="n">
        <v>40.6824218188479</v>
      </c>
      <c r="R25" s="377" t="n">
        <v>5.80097216584943</v>
      </c>
      <c r="S25" s="377" t="n">
        <v>113.80317420122</v>
      </c>
      <c r="T25" s="513" t="n">
        <v>0.129969620846325</v>
      </c>
      <c r="U25" s="513" t="n">
        <v>0.035583539077648</v>
      </c>
      <c r="V25" s="513" t="n">
        <v>-0.000205519124342126</v>
      </c>
      <c r="W25" s="513" t="n">
        <v>0.409991269362738</v>
      </c>
      <c r="X25" s="513" t="n">
        <v>0.00677590783683316</v>
      </c>
      <c r="Y25" s="513" t="n">
        <v>0.000569192545431251</v>
      </c>
      <c r="Z25" s="513" t="n">
        <v>0.000569192545431196</v>
      </c>
      <c r="AA25" s="514" t="n">
        <v>0.142616457040632</v>
      </c>
    </row>
    <row r="26" customFormat="false" ht="13.5" hidden="false" customHeight="false" outlineLevel="0" collapsed="false">
      <c r="A26" s="512" t="s">
        <v>818</v>
      </c>
      <c r="B26" s="75" t="n">
        <v>281</v>
      </c>
      <c r="C26" s="513" t="n">
        <v>0.423456338028169</v>
      </c>
      <c r="D26" s="513" t="n">
        <v>0.273874801261921</v>
      </c>
      <c r="E26" s="513" t="n">
        <v>0.19583591126441</v>
      </c>
      <c r="F26" s="513" t="n">
        <v>0.121521738854422</v>
      </c>
      <c r="G26" s="377" t="n">
        <v>1.18080609462825</v>
      </c>
      <c r="H26" s="377" t="n">
        <v>1.26800615551969</v>
      </c>
      <c r="I26" s="513" t="n">
        <v>0.11411956563787</v>
      </c>
      <c r="J26" s="513" t="n">
        <v>0.648835539504517</v>
      </c>
      <c r="K26" s="513" t="n">
        <v>0.0588</v>
      </c>
      <c r="L26" s="513" t="n">
        <v>0.119838975949616</v>
      </c>
      <c r="M26" s="513" t="n">
        <v>0.10572849259539</v>
      </c>
      <c r="N26" s="377" t="n">
        <v>0.753868300629899</v>
      </c>
      <c r="O26" s="377" t="n">
        <v>4.85079726021243</v>
      </c>
      <c r="P26" s="377" t="n">
        <v>12.3367464750805</v>
      </c>
      <c r="Q26" s="377" t="n">
        <v>17.3749659224252</v>
      </c>
      <c r="R26" s="377" t="n">
        <v>5.28223187417939</v>
      </c>
      <c r="S26" s="377" t="n">
        <v>17.7656532828138</v>
      </c>
      <c r="T26" s="513" t="n">
        <v>0.194488633950552</v>
      </c>
      <c r="U26" s="513" t="n">
        <v>0.0454444974594313</v>
      </c>
      <c r="V26" s="513" t="n">
        <v>0.0273289385518787</v>
      </c>
      <c r="W26" s="513" t="n">
        <v>0.233144220564823</v>
      </c>
      <c r="X26" s="513" t="n">
        <v>0.245401898755845</v>
      </c>
      <c r="Y26" s="513" t="n">
        <v>0.513600801794866</v>
      </c>
      <c r="Z26" s="513" t="n">
        <v>0.513600801794866</v>
      </c>
      <c r="AA26" s="514" t="n">
        <v>0.266272254813102</v>
      </c>
    </row>
    <row r="27" customFormat="false" ht="13.5" hidden="false" customHeight="false" outlineLevel="0" collapsed="false">
      <c r="A27" s="512" t="s">
        <v>819</v>
      </c>
      <c r="B27" s="75" t="n">
        <v>33</v>
      </c>
      <c r="C27" s="513" t="n">
        <v>0.041291875</v>
      </c>
      <c r="D27" s="513" t="n">
        <v>0.0527631167193786</v>
      </c>
      <c r="E27" s="513" t="n">
        <v>0.0677418706027327</v>
      </c>
      <c r="F27" s="513" t="n">
        <v>0.288287585776669</v>
      </c>
      <c r="G27" s="377" t="n">
        <v>0.99371608027377</v>
      </c>
      <c r="H27" s="377" t="n">
        <v>1.10082888931948</v>
      </c>
      <c r="I27" s="513" t="n">
        <v>0.104189236025577</v>
      </c>
      <c r="J27" s="513" t="n">
        <v>0.418126018550588</v>
      </c>
      <c r="K27" s="513" t="n">
        <v>0.055</v>
      </c>
      <c r="L27" s="513" t="n">
        <v>0.234364307247969</v>
      </c>
      <c r="M27" s="513" t="n">
        <v>0.0894385255757264</v>
      </c>
      <c r="N27" s="377" t="n">
        <v>1.24008920156861</v>
      </c>
      <c r="O27" s="377" t="n">
        <v>1.84993123644055</v>
      </c>
      <c r="P27" s="377" t="n">
        <v>9.65021566586409</v>
      </c>
      <c r="Q27" s="377" t="n">
        <v>30.359718234591</v>
      </c>
      <c r="R27" s="377" t="n">
        <v>1.81380698120419</v>
      </c>
      <c r="S27" s="377" t="n">
        <v>18.2134025592977</v>
      </c>
      <c r="T27" s="513" t="n">
        <v>0.0795750566023429</v>
      </c>
      <c r="U27" s="513" t="n">
        <v>0.032093203022036</v>
      </c>
      <c r="V27" s="513" t="n">
        <v>0.092404200428599</v>
      </c>
      <c r="W27" s="513" t="n">
        <v>3.5636046330702</v>
      </c>
      <c r="X27" s="513" t="n">
        <v>0.0319007145682919</v>
      </c>
      <c r="Y27" s="513" t="n">
        <v>0.174392580952067</v>
      </c>
      <c r="Z27" s="513" t="n">
        <v>0.174392580952067</v>
      </c>
      <c r="AA27" s="514" t="n">
        <v>0.0582892557385095</v>
      </c>
    </row>
    <row r="28" customFormat="false" ht="13.5" hidden="false" customHeight="false" outlineLevel="0" collapsed="false">
      <c r="A28" s="512" t="s">
        <v>820</v>
      </c>
      <c r="B28" s="75" t="n">
        <v>110</v>
      </c>
      <c r="C28" s="513" t="n">
        <v>0.138975</v>
      </c>
      <c r="D28" s="513" t="n">
        <v>0.0996677347032065</v>
      </c>
      <c r="E28" s="513" t="n">
        <v>0.184032845637186</v>
      </c>
      <c r="F28" s="513" t="n">
        <v>0.201038290404313</v>
      </c>
      <c r="G28" s="377" t="n">
        <v>1.43265487983239</v>
      </c>
      <c r="H28" s="377" t="n">
        <v>1.58966866195112</v>
      </c>
      <c r="I28" s="513" t="n">
        <v>0.133226318519897</v>
      </c>
      <c r="J28" s="513" t="n">
        <v>0.585548594366345</v>
      </c>
      <c r="K28" s="513" t="n">
        <v>0.0588</v>
      </c>
      <c r="L28" s="513" t="n">
        <v>0.183792716401175</v>
      </c>
      <c r="M28" s="513" t="n">
        <v>0.116845550336289</v>
      </c>
      <c r="N28" s="377" t="n">
        <v>1.78417539726103</v>
      </c>
      <c r="O28" s="377" t="n">
        <v>2.76691156666249</v>
      </c>
      <c r="P28" s="377" t="n">
        <v>12.6877826520215</v>
      </c>
      <c r="Q28" s="377" t="n">
        <v>22.7177899447375</v>
      </c>
      <c r="R28" s="377" t="n">
        <v>3.13114396404966</v>
      </c>
      <c r="S28" s="377" t="n">
        <v>50.3502478516785</v>
      </c>
      <c r="T28" s="513" t="n">
        <v>0.255465985172736</v>
      </c>
      <c r="U28" s="513" t="n">
        <v>0.0526852425626358</v>
      </c>
      <c r="V28" s="513" t="n">
        <v>0.149968010544379</v>
      </c>
      <c r="W28" s="513" t="n">
        <v>2.79285755113042</v>
      </c>
      <c r="X28" s="513" t="n">
        <v>0.132030993409586</v>
      </c>
      <c r="Y28" s="513" t="n">
        <v>0.344604546332926</v>
      </c>
      <c r="Z28" s="513" t="n">
        <v>0.344604546332926</v>
      </c>
      <c r="AA28" s="514" t="n">
        <v>0.107726630001053</v>
      </c>
    </row>
    <row r="29" customFormat="false" ht="13.5" hidden="false" customHeight="false" outlineLevel="0" collapsed="false">
      <c r="A29" s="512" t="s">
        <v>821</v>
      </c>
      <c r="B29" s="75" t="n">
        <v>16</v>
      </c>
      <c r="C29" s="513" t="n">
        <v>-0.00473</v>
      </c>
      <c r="D29" s="513" t="n">
        <v>0.0185329700356455</v>
      </c>
      <c r="E29" s="513" t="n">
        <v>0.0546389144556</v>
      </c>
      <c r="F29" s="513" t="n">
        <v>0.100648833238475</v>
      </c>
      <c r="G29" s="377" t="n">
        <v>1.61305969901781</v>
      </c>
      <c r="H29" s="377" t="n">
        <v>1.53891912408894</v>
      </c>
      <c r="I29" s="513" t="n">
        <v>0.130211795970883</v>
      </c>
      <c r="J29" s="513" t="n">
        <v>0.395647132450166</v>
      </c>
      <c r="K29" s="513" t="n">
        <v>0.055</v>
      </c>
      <c r="L29" s="513" t="n">
        <v>0.141294903310688</v>
      </c>
      <c r="M29" s="513" t="n">
        <v>0.117641947610832</v>
      </c>
      <c r="N29" s="377" t="n">
        <v>2.22529348102059</v>
      </c>
      <c r="O29" s="377" t="n">
        <v>0.776290310148583</v>
      </c>
      <c r="P29" s="377" t="n">
        <v>10.4340167181782</v>
      </c>
      <c r="Q29" s="377" t="n">
        <v>27.8277556719464</v>
      </c>
      <c r="R29" s="377" t="n">
        <v>1.86512089392196</v>
      </c>
      <c r="S29" s="377" t="n">
        <v>78.6062213401292</v>
      </c>
      <c r="T29" s="513" t="n">
        <v>0.136813251523478</v>
      </c>
      <c r="U29" s="513" t="n">
        <v>0.0137102042366263</v>
      </c>
      <c r="V29" s="513" t="n">
        <v>0.0240979516900662</v>
      </c>
      <c r="W29" s="513" t="n">
        <v>4.48298046957305</v>
      </c>
      <c r="X29" s="513" t="n">
        <v>0.0127503026614788</v>
      </c>
      <c r="Y29" s="513" t="n">
        <v>0</v>
      </c>
      <c r="Z29" s="513" t="n">
        <v>0</v>
      </c>
      <c r="AA29" s="514" t="n">
        <v>0.0253944374213195</v>
      </c>
    </row>
    <row r="30" customFormat="false" ht="13.5" hidden="false" customHeight="false" outlineLevel="0" collapsed="false">
      <c r="A30" s="512" t="s">
        <v>822</v>
      </c>
      <c r="B30" s="75" t="n">
        <v>138</v>
      </c>
      <c r="C30" s="513" t="n">
        <v>0.106349294117647</v>
      </c>
      <c r="D30" s="513" t="n">
        <v>0.0973606008204959</v>
      </c>
      <c r="E30" s="513" t="n">
        <v>0.17474664762348</v>
      </c>
      <c r="F30" s="513" t="n">
        <v>0.189994420524329</v>
      </c>
      <c r="G30" s="377" t="n">
        <v>1.11616326062408</v>
      </c>
      <c r="H30" s="377" t="n">
        <v>1.20125276475571</v>
      </c>
      <c r="I30" s="513" t="n">
        <v>0.110154414226489</v>
      </c>
      <c r="J30" s="513" t="n">
        <v>0.449375866701406</v>
      </c>
      <c r="K30" s="513" t="n">
        <v>0.055</v>
      </c>
      <c r="L30" s="513" t="n">
        <v>0.158357528340312</v>
      </c>
      <c r="M30" s="513" t="n">
        <v>0.0992428814978455</v>
      </c>
      <c r="N30" s="377" t="n">
        <v>1.82935331319144</v>
      </c>
      <c r="O30" s="377" t="n">
        <v>1.93761945892568</v>
      </c>
      <c r="P30" s="377" t="n">
        <v>11.9162937551165</v>
      </c>
      <c r="Q30" s="377" t="n">
        <v>19.2495742404448</v>
      </c>
      <c r="R30" s="377" t="n">
        <v>3.06148540224128</v>
      </c>
      <c r="S30" s="377" t="n">
        <v>58.2521710644617</v>
      </c>
      <c r="T30" s="513" t="n">
        <v>0.224220072535207</v>
      </c>
      <c r="U30" s="513" t="n">
        <v>0.0452948333366378</v>
      </c>
      <c r="V30" s="513" t="n">
        <v>0.135804483090312</v>
      </c>
      <c r="W30" s="513" t="n">
        <v>2.23412796903867</v>
      </c>
      <c r="X30" s="513" t="n">
        <v>0.124175200192935</v>
      </c>
      <c r="Y30" s="513" t="n">
        <v>0.106088782160218</v>
      </c>
      <c r="Z30" s="513" t="n">
        <v>0.106088782160218</v>
      </c>
      <c r="AA30" s="514" t="n">
        <v>0.101707148849998</v>
      </c>
    </row>
    <row r="31" customFormat="false" ht="13.5" hidden="false" customHeight="false" outlineLevel="0" collapsed="false">
      <c r="A31" s="512" t="s">
        <v>823</v>
      </c>
      <c r="B31" s="75" t="n">
        <v>43</v>
      </c>
      <c r="C31" s="513" t="n">
        <v>0.121383448275862</v>
      </c>
      <c r="D31" s="513" t="n">
        <v>0.0442223490872262</v>
      </c>
      <c r="E31" s="513" t="n">
        <v>0.138346217129375</v>
      </c>
      <c r="F31" s="513" t="n">
        <v>0.228833805175681</v>
      </c>
      <c r="G31" s="377" t="n">
        <v>1.0176246718468</v>
      </c>
      <c r="H31" s="377" t="n">
        <v>1.19676401383199</v>
      </c>
      <c r="I31" s="513" t="n">
        <v>0.10988778242162</v>
      </c>
      <c r="J31" s="513" t="n">
        <v>0.351668481439537</v>
      </c>
      <c r="K31" s="513" t="n">
        <v>0.055</v>
      </c>
      <c r="L31" s="513" t="n">
        <v>0.240076343019611</v>
      </c>
      <c r="M31" s="513" t="n">
        <v>0.0934094746248619</v>
      </c>
      <c r="N31" s="377" t="n">
        <v>3.39885320522326</v>
      </c>
      <c r="O31" s="377" t="n">
        <v>1.08307558802899</v>
      </c>
      <c r="P31" s="377" t="n">
        <v>13.1695807183775</v>
      </c>
      <c r="Q31" s="377" t="n">
        <v>22.9872803185099</v>
      </c>
      <c r="R31" s="377" t="n">
        <v>2.81818607019487</v>
      </c>
      <c r="S31" s="377" t="n">
        <v>29.0625946747814</v>
      </c>
      <c r="T31" s="513" t="n">
        <v>0.200145226007341</v>
      </c>
      <c r="U31" s="513" t="n">
        <v>0.0311654387089101</v>
      </c>
      <c r="V31" s="513" t="n">
        <v>0.0792501681739788</v>
      </c>
      <c r="W31" s="513" t="n">
        <v>3.00783088214857</v>
      </c>
      <c r="X31" s="513" t="n">
        <v>0.0749578820831902</v>
      </c>
      <c r="Y31" s="513" t="n">
        <v>0.16885746296449</v>
      </c>
      <c r="Z31" s="513" t="n">
        <v>0.16885746296449</v>
      </c>
      <c r="AA31" s="514" t="n">
        <v>0.0469376014861302</v>
      </c>
    </row>
    <row r="32" customFormat="false" ht="13.5" hidden="false" customHeight="false" outlineLevel="0" collapsed="false">
      <c r="A32" s="512" t="s">
        <v>824</v>
      </c>
      <c r="B32" s="75" t="n">
        <v>110</v>
      </c>
      <c r="C32" s="513" t="n">
        <v>0.28593125</v>
      </c>
      <c r="D32" s="513" t="n">
        <v>0.0751245818843322</v>
      </c>
      <c r="E32" s="513" t="n">
        <v>0.112348255276847</v>
      </c>
      <c r="F32" s="513" t="n">
        <v>0.210945065631138</v>
      </c>
      <c r="G32" s="377" t="n">
        <v>1.24622240800927</v>
      </c>
      <c r="H32" s="377" t="n">
        <v>1.44979501695938</v>
      </c>
      <c r="I32" s="513" t="n">
        <v>0.124917824007387</v>
      </c>
      <c r="J32" s="513" t="n">
        <v>0.578095571351251</v>
      </c>
      <c r="K32" s="513" t="n">
        <v>0.0588</v>
      </c>
      <c r="L32" s="513" t="n">
        <v>0.24970269532216</v>
      </c>
      <c r="M32" s="513" t="n">
        <v>0.104737395522671</v>
      </c>
      <c r="N32" s="377" t="n">
        <v>1.46457546126793</v>
      </c>
      <c r="O32" s="377" t="n">
        <v>3.05981237320846</v>
      </c>
      <c r="P32" s="377" t="n">
        <v>17.4621875207356</v>
      </c>
      <c r="Q32" s="377" t="n">
        <v>39.9590714994279</v>
      </c>
      <c r="R32" s="377" t="n">
        <v>2.22493136085378</v>
      </c>
      <c r="S32" s="377" t="n">
        <v>47.7367186321851</v>
      </c>
      <c r="T32" s="513" t="n">
        <v>0.0419181823509467</v>
      </c>
      <c r="U32" s="513" t="n">
        <v>0.0441600332522085</v>
      </c>
      <c r="V32" s="513" t="n">
        <v>-0.00497930334695237</v>
      </c>
      <c r="W32" s="513" t="n">
        <v>0.0405002489061339</v>
      </c>
      <c r="X32" s="513" t="n">
        <v>0.0118122323232714</v>
      </c>
      <c r="Y32" s="513" t="n">
        <v>0.504205300396235</v>
      </c>
      <c r="Z32" s="513" t="n">
        <v>0.504205300396235</v>
      </c>
      <c r="AA32" s="514" t="n">
        <v>0.07927768866245</v>
      </c>
    </row>
    <row r="33" customFormat="false" ht="13.5" hidden="false" customHeight="false" outlineLevel="0" collapsed="false">
      <c r="A33" s="512" t="s">
        <v>825</v>
      </c>
      <c r="B33" s="75" t="n">
        <v>62</v>
      </c>
      <c r="C33" s="513" t="n">
        <v>0.1013404</v>
      </c>
      <c r="D33" s="513" t="n">
        <v>0.125944482911109</v>
      </c>
      <c r="E33" s="513" t="n">
        <v>0.283222874900942</v>
      </c>
      <c r="F33" s="513" t="n">
        <v>0.22114200170439</v>
      </c>
      <c r="G33" s="377" t="n">
        <v>0.859110952762927</v>
      </c>
      <c r="H33" s="377" t="n">
        <v>1.0153454106827</v>
      </c>
      <c r="I33" s="513" t="n">
        <v>0.0991115173945521</v>
      </c>
      <c r="J33" s="513" t="n">
        <v>0.480873467677462</v>
      </c>
      <c r="K33" s="513" t="n">
        <v>0.055</v>
      </c>
      <c r="L33" s="513" t="n">
        <v>0.203418839132163</v>
      </c>
      <c r="M33" s="513" t="n">
        <v>0.0873413946957269</v>
      </c>
      <c r="N33" s="377" t="n">
        <v>2.33087223868495</v>
      </c>
      <c r="O33" s="377" t="n">
        <v>3.03464077910893</v>
      </c>
      <c r="P33" s="377" t="n">
        <v>14.0224121253382</v>
      </c>
      <c r="Q33" s="377" t="n">
        <v>23.3884297607102</v>
      </c>
      <c r="R33" s="377" t="n">
        <v>5.29204089516484</v>
      </c>
      <c r="S33" s="377" t="n">
        <v>76.987307293928</v>
      </c>
      <c r="T33" s="513" t="n">
        <v>0.10044659986152</v>
      </c>
      <c r="U33" s="513" t="n">
        <v>0.0791397272675094</v>
      </c>
      <c r="V33" s="513" t="n">
        <v>0.096284714664775</v>
      </c>
      <c r="W33" s="513" t="n">
        <v>1.10077794327715</v>
      </c>
      <c r="X33" s="513" t="n">
        <v>0.164738746872901</v>
      </c>
      <c r="Y33" s="513" t="n">
        <v>0.462590545844777</v>
      </c>
      <c r="Z33" s="513" t="n">
        <v>0.462590545844777</v>
      </c>
      <c r="AA33" s="514" t="n">
        <v>0.128474227400558</v>
      </c>
    </row>
    <row r="34" customFormat="false" ht="13.5" hidden="false" customHeight="false" outlineLevel="0" collapsed="false">
      <c r="A34" s="512" t="s">
        <v>826</v>
      </c>
      <c r="B34" s="75" t="n">
        <v>39</v>
      </c>
      <c r="C34" s="513" t="n">
        <v>0.175709444444444</v>
      </c>
      <c r="D34" s="513" t="n">
        <v>0.0762159072320464</v>
      </c>
      <c r="E34" s="513" t="n">
        <v>0.151728335545046</v>
      </c>
      <c r="F34" s="513" t="n">
        <v>0.20033571011302</v>
      </c>
      <c r="G34" s="377" t="n">
        <v>0.931049706808292</v>
      </c>
      <c r="H34" s="377" t="n">
        <v>1.14031357616757</v>
      </c>
      <c r="I34" s="513" t="n">
        <v>0.106534626424354</v>
      </c>
      <c r="J34" s="513" t="n">
        <v>0.544267095861737</v>
      </c>
      <c r="K34" s="513" t="n">
        <v>0.0588</v>
      </c>
      <c r="L34" s="513" t="n">
        <v>0.252988123154105</v>
      </c>
      <c r="M34" s="513" t="n">
        <v>0.0907394074654289</v>
      </c>
      <c r="N34" s="377" t="n">
        <v>2.05177656861502</v>
      </c>
      <c r="O34" s="377" t="n">
        <v>1.22483824134177</v>
      </c>
      <c r="P34" s="377" t="n">
        <v>12.6089310824601</v>
      </c>
      <c r="Q34" s="377" t="n">
        <v>15.581328911599</v>
      </c>
      <c r="R34" s="377" t="n">
        <v>3.4691348828249</v>
      </c>
      <c r="S34" s="377" t="n">
        <v>22.1205711362022</v>
      </c>
      <c r="T34" s="513" t="n">
        <v>0.148285660567493</v>
      </c>
      <c r="U34" s="513" t="n">
        <v>0.0290700363557841</v>
      </c>
      <c r="V34" s="513" t="n">
        <v>0.0333575359777512</v>
      </c>
      <c r="W34" s="513" t="n">
        <v>1.4678368468898</v>
      </c>
      <c r="X34" s="513" t="n">
        <v>0.23648187908031</v>
      </c>
      <c r="Y34" s="513" t="n">
        <v>0.210282389129698</v>
      </c>
      <c r="Z34" s="513" t="n">
        <v>0.210282389129698</v>
      </c>
      <c r="AA34" s="514" t="n">
        <v>0.0791145549964509</v>
      </c>
    </row>
    <row r="35" customFormat="false" ht="13.5" hidden="false" customHeight="false" outlineLevel="0" collapsed="false">
      <c r="A35" s="512" t="s">
        <v>827</v>
      </c>
      <c r="B35" s="75" t="n">
        <v>223</v>
      </c>
      <c r="C35" s="513" t="n">
        <v>0.104404057971014</v>
      </c>
      <c r="D35" s="513" t="n">
        <v>0.158882281585538</v>
      </c>
      <c r="E35" s="513" t="n">
        <v>0.00653756529463728</v>
      </c>
      <c r="F35" s="513" t="n">
        <v>0.20880689467458</v>
      </c>
      <c r="G35" s="377" t="n">
        <v>0.106174745101921</v>
      </c>
      <c r="H35" s="377" t="n">
        <v>0.885725073637715</v>
      </c>
      <c r="I35" s="513" t="n">
        <v>0.0914120693740803</v>
      </c>
      <c r="J35" s="513" t="n">
        <v>0.271453065037068</v>
      </c>
      <c r="K35" s="513" t="n">
        <v>0.055</v>
      </c>
      <c r="L35" s="513" t="n">
        <v>0.909452796251953</v>
      </c>
      <c r="M35" s="513" t="n">
        <v>0.0457920351160385</v>
      </c>
      <c r="N35" s="377" t="n">
        <v>0.0471679248921301</v>
      </c>
      <c r="O35" s="377" t="n">
        <v>23.4867870158593</v>
      </c>
      <c r="P35" s="377" t="n">
        <v>91.8802715079639</v>
      </c>
      <c r="Q35" s="377" t="n">
        <v>90.6305365837681</v>
      </c>
      <c r="R35" s="377" t="n">
        <v>1.68750815217562</v>
      </c>
      <c r="S35" s="377" t="n">
        <v>32.6963005985433</v>
      </c>
      <c r="T35" s="513" t="s">
        <v>800</v>
      </c>
      <c r="U35" s="513" t="n">
        <v>0.0253351167012384</v>
      </c>
      <c r="V35" s="513" t="n">
        <v>0.0363726286874478</v>
      </c>
      <c r="W35" s="513" t="n">
        <v>0.218481707555792</v>
      </c>
      <c r="X35" s="513" t="n">
        <v>0.480750650147657</v>
      </c>
      <c r="Y35" s="513" t="n">
        <v>0.136487334672165</v>
      </c>
      <c r="Z35" s="513" t="n">
        <v>0.136487334672165</v>
      </c>
      <c r="AA35" s="514" t="n">
        <v>0.161806836259944</v>
      </c>
    </row>
    <row r="36" customFormat="false" ht="13.5" hidden="false" customHeight="false" outlineLevel="0" collapsed="false">
      <c r="A36" s="512" t="s">
        <v>828</v>
      </c>
      <c r="B36" s="75" t="n">
        <v>92</v>
      </c>
      <c r="C36" s="513" t="n">
        <v>0.252102244897959</v>
      </c>
      <c r="D36" s="513" t="n">
        <v>0.117689654723061</v>
      </c>
      <c r="E36" s="513" t="n">
        <v>0.185993544713547</v>
      </c>
      <c r="F36" s="513" t="n">
        <v>0.198957403907894</v>
      </c>
      <c r="G36" s="377" t="n">
        <v>0.768672675648648</v>
      </c>
      <c r="H36" s="377" t="n">
        <v>0.917520233117396</v>
      </c>
      <c r="I36" s="513" t="n">
        <v>0.0933007018471733</v>
      </c>
      <c r="J36" s="513" t="n">
        <v>0.342287834154332</v>
      </c>
      <c r="K36" s="513" t="n">
        <v>0.055</v>
      </c>
      <c r="L36" s="513" t="n">
        <v>0.223951164319959</v>
      </c>
      <c r="M36" s="513" t="n">
        <v>0.0816438865648278</v>
      </c>
      <c r="N36" s="377" t="n">
        <v>1.68598152077169</v>
      </c>
      <c r="O36" s="377" t="n">
        <v>2.09954108226258</v>
      </c>
      <c r="P36" s="377" t="n">
        <v>13.2427422504603</v>
      </c>
      <c r="Q36" s="377" t="n">
        <v>17.4013401652556</v>
      </c>
      <c r="R36" s="377" t="n">
        <v>2.60652426367973</v>
      </c>
      <c r="S36" s="377" t="n">
        <v>52.4744488653646</v>
      </c>
      <c r="T36" s="513" t="n">
        <v>0.06761507012217</v>
      </c>
      <c r="U36" s="513" t="n">
        <v>0.0370215423556243</v>
      </c>
      <c r="V36" s="513" t="n">
        <v>0.0371265175925436</v>
      </c>
      <c r="W36" s="513" t="n">
        <v>0.575437213113257</v>
      </c>
      <c r="X36" s="513" t="n">
        <v>0.11538895815608</v>
      </c>
      <c r="Y36" s="513" t="n">
        <v>0.537790593447689</v>
      </c>
      <c r="Z36" s="513" t="n">
        <v>0.537790593447689</v>
      </c>
      <c r="AA36" s="514" t="n">
        <v>0.119553698649536</v>
      </c>
    </row>
    <row r="37" customFormat="false" ht="13.5" hidden="false" customHeight="false" outlineLevel="0" collapsed="false">
      <c r="A37" s="512" t="s">
        <v>829</v>
      </c>
      <c r="B37" s="75" t="n">
        <v>14</v>
      </c>
      <c r="C37" s="513" t="n">
        <v>0.09836</v>
      </c>
      <c r="D37" s="513" t="n">
        <v>0.0210241244995349</v>
      </c>
      <c r="E37" s="513" t="n">
        <v>0.155356449431815</v>
      </c>
      <c r="F37" s="513" t="n">
        <v>0.222542796691671</v>
      </c>
      <c r="G37" s="377" t="n">
        <v>0.845704717450376</v>
      </c>
      <c r="H37" s="377" t="n">
        <v>1.12370582728541</v>
      </c>
      <c r="I37" s="513" t="n">
        <v>0.105548126140753</v>
      </c>
      <c r="J37" s="513" t="n">
        <v>0.324183087335515</v>
      </c>
      <c r="K37" s="513" t="n">
        <v>0.055</v>
      </c>
      <c r="L37" s="513" t="n">
        <v>0.315801705223295</v>
      </c>
      <c r="M37" s="513" t="n">
        <v>0.0852426682628408</v>
      </c>
      <c r="N37" s="377" t="n">
        <v>8.41164132562244</v>
      </c>
      <c r="O37" s="377" t="n">
        <v>0.414618009758078</v>
      </c>
      <c r="P37" s="377" t="n">
        <v>12.0159148368476</v>
      </c>
      <c r="Q37" s="377" t="n">
        <v>19.7082686166237</v>
      </c>
      <c r="R37" s="377" t="n">
        <v>4.53601622485111</v>
      </c>
      <c r="S37" s="377" t="n">
        <v>25.1379220653384</v>
      </c>
      <c r="T37" s="513" t="n">
        <v>0.0634278954832252</v>
      </c>
      <c r="U37" s="513" t="n">
        <v>0.0082950791892442</v>
      </c>
      <c r="V37" s="513" t="n">
        <v>0.00903487425743722</v>
      </c>
      <c r="W37" s="513" t="n">
        <v>1.29459841959771</v>
      </c>
      <c r="X37" s="513" t="n">
        <v>0.189841998836198</v>
      </c>
      <c r="Y37" s="513" t="n">
        <v>0.435945163765344</v>
      </c>
      <c r="Z37" s="513" t="n">
        <v>0.435945163765344</v>
      </c>
      <c r="AA37" s="514" t="n">
        <v>0.0209727955809301</v>
      </c>
    </row>
    <row r="38" customFormat="false" ht="13.5" hidden="false" customHeight="false" outlineLevel="0" collapsed="false">
      <c r="A38" s="512" t="s">
        <v>830</v>
      </c>
      <c r="B38" s="75" t="n">
        <v>32</v>
      </c>
      <c r="C38" s="513" t="n">
        <v>0.14448380952381</v>
      </c>
      <c r="D38" s="513" t="n">
        <v>0.0765936312548692</v>
      </c>
      <c r="E38" s="513" t="n">
        <v>0.15236680821066</v>
      </c>
      <c r="F38" s="513" t="n">
        <v>0.327823251187716</v>
      </c>
      <c r="G38" s="377" t="n">
        <v>0.951912232224516</v>
      </c>
      <c r="H38" s="377" t="n">
        <v>1.2708955631991</v>
      </c>
      <c r="I38" s="513" t="n">
        <v>0.114291196454027</v>
      </c>
      <c r="J38" s="513" t="n">
        <v>0.419118422059058</v>
      </c>
      <c r="K38" s="513" t="n">
        <v>0.055</v>
      </c>
      <c r="L38" s="513" t="n">
        <v>0.358712093537583</v>
      </c>
      <c r="M38" s="513" t="n">
        <v>0.088090435959513</v>
      </c>
      <c r="N38" s="377" t="n">
        <v>2.19023644093739</v>
      </c>
      <c r="O38" s="377" t="n">
        <v>0.879355241105733</v>
      </c>
      <c r="P38" s="377" t="n">
        <v>6.2839190200647</v>
      </c>
      <c r="Q38" s="377" t="n">
        <v>10.0461271298449</v>
      </c>
      <c r="R38" s="377" t="n">
        <v>1.82277079553389</v>
      </c>
      <c r="S38" s="377" t="n">
        <v>14.0301326542346</v>
      </c>
      <c r="T38" s="513" t="n">
        <v>0.158422128459583</v>
      </c>
      <c r="U38" s="513" t="n">
        <v>0.0380076827526391</v>
      </c>
      <c r="V38" s="513" t="n">
        <v>0.0380041109890913</v>
      </c>
      <c r="W38" s="513" t="n">
        <v>1.5065223416694</v>
      </c>
      <c r="X38" s="513" t="n">
        <v>0.0544645654757785</v>
      </c>
      <c r="Y38" s="513" t="n">
        <v>0.680197015221108</v>
      </c>
      <c r="Z38" s="513" t="n">
        <v>0.680197015221108</v>
      </c>
      <c r="AA38" s="514" t="n">
        <v>0.0795608807838231</v>
      </c>
    </row>
    <row r="39" customFormat="false" ht="13.5" hidden="false" customHeight="false" outlineLevel="0" collapsed="false">
      <c r="A39" s="512" t="s">
        <v>831</v>
      </c>
      <c r="B39" s="75" t="n">
        <v>19</v>
      </c>
      <c r="C39" s="513" t="n">
        <v>-0.147136666666667</v>
      </c>
      <c r="D39" s="513" t="n">
        <v>0.260956619525612</v>
      </c>
      <c r="E39" s="513" t="n">
        <v>0.0468163900584941</v>
      </c>
      <c r="F39" s="513" t="n">
        <v>0.140442458896321</v>
      </c>
      <c r="G39" s="377" t="n">
        <v>0.877192318524217</v>
      </c>
      <c r="H39" s="377" t="n">
        <v>1.60070111091836</v>
      </c>
      <c r="I39" s="513" t="n">
        <v>0.133881645988551</v>
      </c>
      <c r="J39" s="513" t="n">
        <v>0.675983591999963</v>
      </c>
      <c r="K39" s="513" t="n">
        <v>0.0701</v>
      </c>
      <c r="L39" s="513" t="n">
        <v>0.547749518231799</v>
      </c>
      <c r="M39" s="513" t="n">
        <v>0.0893459698192786</v>
      </c>
      <c r="N39" s="377" t="n">
        <v>0.205392941577715</v>
      </c>
      <c r="O39" s="377" t="n">
        <v>7.78526934108578</v>
      </c>
      <c r="P39" s="377" t="n">
        <v>12.7012314897432</v>
      </c>
      <c r="Q39" s="377" t="n">
        <v>31.2821792068393</v>
      </c>
      <c r="R39" s="377" t="n">
        <v>1.0789864566846</v>
      </c>
      <c r="S39" s="377" t="n">
        <v>34.6205749224453</v>
      </c>
      <c r="T39" s="513" t="n">
        <v>-0.611127823434204</v>
      </c>
      <c r="U39" s="513" t="n">
        <v>0.459570070874604</v>
      </c>
      <c r="V39" s="513" t="n">
        <v>0.269124024097735</v>
      </c>
      <c r="W39" s="513" t="n">
        <v>1.58396590277869</v>
      </c>
      <c r="X39" s="513" t="n">
        <v>0.182660483152379</v>
      </c>
      <c r="Y39" s="513" t="n">
        <v>0.568476646082791</v>
      </c>
      <c r="Z39" s="513" t="n">
        <v>0.568476646082791</v>
      </c>
      <c r="AA39" s="514" t="n">
        <v>0.244405486695376</v>
      </c>
    </row>
    <row r="40" customFormat="false" ht="13.5" hidden="false" customHeight="false" outlineLevel="0" collapsed="false">
      <c r="A40" s="512" t="s">
        <v>832</v>
      </c>
      <c r="B40" s="75" t="n">
        <v>254</v>
      </c>
      <c r="C40" s="513" t="n">
        <v>0.199007593984962</v>
      </c>
      <c r="D40" s="513" t="n">
        <v>0.150152384913287</v>
      </c>
      <c r="E40" s="513" t="n">
        <v>0.158786073974</v>
      </c>
      <c r="F40" s="513" t="n">
        <v>0.154981619730778</v>
      </c>
      <c r="G40" s="377" t="n">
        <v>1.09710297198821</v>
      </c>
      <c r="H40" s="377" t="n">
        <v>1.1623831948691</v>
      </c>
      <c r="I40" s="513" t="n">
        <v>0.107845561775224</v>
      </c>
      <c r="J40" s="513" t="n">
        <v>0.5094012253761</v>
      </c>
      <c r="K40" s="513" t="n">
        <v>0.0588</v>
      </c>
      <c r="L40" s="513" t="n">
        <v>0.111922669521019</v>
      </c>
      <c r="M40" s="513" t="n">
        <v>0.100710988331224</v>
      </c>
      <c r="N40" s="377" t="n">
        <v>1.03391379940932</v>
      </c>
      <c r="O40" s="377" t="n">
        <v>5.15284829263527</v>
      </c>
      <c r="P40" s="377" t="n">
        <v>19.0899786272016</v>
      </c>
      <c r="Q40" s="377" t="n">
        <v>32.0245886894561</v>
      </c>
      <c r="R40" s="377" t="n">
        <v>4.70121804705116</v>
      </c>
      <c r="S40" s="377" t="n">
        <v>62.9589737418229</v>
      </c>
      <c r="T40" s="513" t="n">
        <v>0.244916431801106</v>
      </c>
      <c r="U40" s="513" t="n">
        <v>0.0485776652700954</v>
      </c>
      <c r="V40" s="513" t="n">
        <v>0.125937345585974</v>
      </c>
      <c r="W40" s="513" t="n">
        <v>1.29306729564926</v>
      </c>
      <c r="X40" s="513" t="n">
        <v>0.0709192296782496</v>
      </c>
      <c r="Y40" s="513" t="n">
        <v>0.46131410743618</v>
      </c>
      <c r="Z40" s="513" t="n">
        <v>0.46131410743618</v>
      </c>
      <c r="AA40" s="514" t="n">
        <v>0.159170881715564</v>
      </c>
    </row>
    <row r="41" customFormat="false" ht="13.5" hidden="false" customHeight="false" outlineLevel="0" collapsed="false">
      <c r="A41" s="512" t="s">
        <v>833</v>
      </c>
      <c r="B41" s="75" t="n">
        <v>131</v>
      </c>
      <c r="C41" s="513" t="n">
        <v>0.2015675</v>
      </c>
      <c r="D41" s="513" t="n">
        <v>0.0407152575988963</v>
      </c>
      <c r="E41" s="513" t="n">
        <v>0.337863010825393</v>
      </c>
      <c r="F41" s="513" t="n">
        <v>0.220317999388171</v>
      </c>
      <c r="G41" s="377" t="n">
        <v>1.07254718799986</v>
      </c>
      <c r="H41" s="377" t="n">
        <v>1.16036527605929</v>
      </c>
      <c r="I41" s="513" t="n">
        <v>0.107725697397922</v>
      </c>
      <c r="J41" s="513" t="n">
        <v>0.477925084513122</v>
      </c>
      <c r="K41" s="513" t="n">
        <v>0.055</v>
      </c>
      <c r="L41" s="513" t="n">
        <v>0.190974108049997</v>
      </c>
      <c r="M41" s="513" t="n">
        <v>0.0950305603803522</v>
      </c>
      <c r="N41" s="377" t="n">
        <v>9.02527693073578</v>
      </c>
      <c r="O41" s="377" t="n">
        <v>0.688728945514862</v>
      </c>
      <c r="P41" s="377" t="n">
        <v>12.1604375236613</v>
      </c>
      <c r="Q41" s="377" t="n">
        <v>16.7762475714948</v>
      </c>
      <c r="R41" s="377" t="n">
        <v>3.60066105302761</v>
      </c>
      <c r="S41" s="377" t="n">
        <v>45.9080145521062</v>
      </c>
      <c r="T41" s="513" t="n">
        <v>-0.071402598028057</v>
      </c>
      <c r="U41" s="513" t="n">
        <v>0.00732565899396062</v>
      </c>
      <c r="V41" s="513" t="n">
        <v>0.00802134678913528</v>
      </c>
      <c r="W41" s="513" t="n">
        <v>0.303402271323211</v>
      </c>
      <c r="X41" s="513" t="n">
        <v>0.123373799626929</v>
      </c>
      <c r="Y41" s="513" t="n">
        <v>0.330421080155877</v>
      </c>
      <c r="Z41" s="513" t="n">
        <v>0.330421080155877</v>
      </c>
      <c r="AA41" s="514" t="n">
        <v>0.0401333612432254</v>
      </c>
    </row>
    <row r="42" customFormat="false" ht="13.5" hidden="false" customHeight="false" outlineLevel="0" collapsed="false">
      <c r="A42" s="512" t="s">
        <v>834</v>
      </c>
      <c r="B42" s="75" t="n">
        <v>138</v>
      </c>
      <c r="C42" s="513" t="n">
        <v>0.204520350877193</v>
      </c>
      <c r="D42" s="513" t="n">
        <v>0.169315451443925</v>
      </c>
      <c r="E42" s="513" t="n">
        <v>0.19103562594036</v>
      </c>
      <c r="F42" s="513" t="n">
        <v>0.158207365893864</v>
      </c>
      <c r="G42" s="377" t="n">
        <v>1.37073618781632</v>
      </c>
      <c r="H42" s="377" t="n">
        <v>1.47150945412154</v>
      </c>
      <c r="I42" s="513" t="n">
        <v>0.126207661574819</v>
      </c>
      <c r="J42" s="513" t="n">
        <v>0.538717376224906</v>
      </c>
      <c r="K42" s="513" t="n">
        <v>0.0588</v>
      </c>
      <c r="L42" s="513" t="n">
        <v>0.124405700200833</v>
      </c>
      <c r="M42" s="513" t="n">
        <v>0.115993000444751</v>
      </c>
      <c r="N42" s="377" t="n">
        <v>1.13330373781807</v>
      </c>
      <c r="O42" s="377" t="n">
        <v>5.3325294190233</v>
      </c>
      <c r="P42" s="377" t="n">
        <v>19.362951181106</v>
      </c>
      <c r="Q42" s="377" t="n">
        <v>30.4859449492796</v>
      </c>
      <c r="R42" s="377" t="n">
        <v>4.32615533314918</v>
      </c>
      <c r="S42" s="377" t="n">
        <v>48.3411375012886</v>
      </c>
      <c r="T42" s="513" t="n">
        <v>0.224869250505197</v>
      </c>
      <c r="U42" s="513" t="n">
        <v>0.0491359343562613</v>
      </c>
      <c r="V42" s="513" t="n">
        <v>0.147694195797281</v>
      </c>
      <c r="W42" s="513" t="n">
        <v>1.29679859078869</v>
      </c>
      <c r="X42" s="513" t="n">
        <v>-0.00287898133103323</v>
      </c>
      <c r="Y42" s="513" t="n">
        <v>0.00043282833182668</v>
      </c>
      <c r="Z42" s="513" t="n">
        <v>0.000432828331826673</v>
      </c>
      <c r="AA42" s="514" t="n">
        <v>0.175884091019186</v>
      </c>
    </row>
    <row r="43" customFormat="false" ht="13.5" hidden="false" customHeight="false" outlineLevel="0" collapsed="false">
      <c r="A43" s="512" t="s">
        <v>835</v>
      </c>
      <c r="B43" s="75" t="n">
        <v>32</v>
      </c>
      <c r="C43" s="513" t="n">
        <v>0.158222727272727</v>
      </c>
      <c r="D43" s="513" t="n">
        <v>0.187631592391102</v>
      </c>
      <c r="E43" s="513" t="n">
        <v>0.28173702467387</v>
      </c>
      <c r="F43" s="513" t="n">
        <v>0.231246192232921</v>
      </c>
      <c r="G43" s="377" t="n">
        <v>1.33315583082578</v>
      </c>
      <c r="H43" s="377" t="n">
        <v>1.50220713836593</v>
      </c>
      <c r="I43" s="513" t="n">
        <v>0.128031104018936</v>
      </c>
      <c r="J43" s="513" t="n">
        <v>0.333303871296302</v>
      </c>
      <c r="K43" s="513" t="n">
        <v>0.055</v>
      </c>
      <c r="L43" s="513" t="n">
        <v>0.244346207867305</v>
      </c>
      <c r="M43" s="513" t="n">
        <v>0.106826470337371</v>
      </c>
      <c r="N43" s="377" t="n">
        <v>1.82395784029151</v>
      </c>
      <c r="O43" s="377" t="n">
        <v>0.852863843142125</v>
      </c>
      <c r="P43" s="377" t="n">
        <v>4.38906201520831</v>
      </c>
      <c r="Q43" s="377" t="n">
        <v>4.53640312763989</v>
      </c>
      <c r="R43" s="377" t="n">
        <v>1.28633598140955</v>
      </c>
      <c r="S43" s="377" t="n">
        <v>5.08453714018357</v>
      </c>
      <c r="T43" s="513" t="n">
        <v>0.632546214393334</v>
      </c>
      <c r="U43" s="513" t="n">
        <v>0.00509434465851962</v>
      </c>
      <c r="V43" s="513" t="n">
        <v>0.0136023879910198</v>
      </c>
      <c r="W43" s="513" t="n">
        <v>0.6995946775077</v>
      </c>
      <c r="X43" s="513" t="n">
        <v>0.307475107089731</v>
      </c>
      <c r="Y43" s="513" t="n">
        <v>0.054486024996358</v>
      </c>
      <c r="Z43" s="513" t="n">
        <v>0.0544860249963579</v>
      </c>
      <c r="AA43" s="514" t="n">
        <v>0.187946683206171</v>
      </c>
    </row>
    <row r="44" customFormat="false" ht="13.5" hidden="false" customHeight="false" outlineLevel="0" collapsed="false">
      <c r="A44" s="512" t="s">
        <v>836</v>
      </c>
      <c r="B44" s="75" t="n">
        <v>34</v>
      </c>
      <c r="C44" s="513" t="n">
        <v>0.0159673684210526</v>
      </c>
      <c r="D44" s="513" t="n">
        <v>0.116151642321453</v>
      </c>
      <c r="E44" s="513" t="n">
        <v>0.204528366908926</v>
      </c>
      <c r="F44" s="513" t="n">
        <v>0.241135340726539</v>
      </c>
      <c r="G44" s="377" t="n">
        <v>0.723079475810483</v>
      </c>
      <c r="H44" s="377" t="n">
        <v>1.1740014449538</v>
      </c>
      <c r="I44" s="513" t="n">
        <v>0.108535685830256</v>
      </c>
      <c r="J44" s="513" t="n">
        <v>0.511944232650248</v>
      </c>
      <c r="K44" s="513" t="n">
        <v>0.0588</v>
      </c>
      <c r="L44" s="513" t="n">
        <v>0.465918742065092</v>
      </c>
      <c r="M44" s="513" t="n">
        <v>0.0785138921441216</v>
      </c>
      <c r="N44" s="377" t="n">
        <v>1.94604690841531</v>
      </c>
      <c r="O44" s="377" t="n">
        <v>1.56903994431041</v>
      </c>
      <c r="P44" s="377" t="n">
        <v>8.7043988675182</v>
      </c>
      <c r="Q44" s="377" t="n">
        <v>13.4821853300211</v>
      </c>
      <c r="R44" s="377" t="n">
        <v>5.3262709154663</v>
      </c>
      <c r="S44" s="377" t="n">
        <v>105.594426139952</v>
      </c>
      <c r="T44" s="513" t="n">
        <v>0.10445838743237</v>
      </c>
      <c r="U44" s="513" t="n">
        <v>0.060329489055506</v>
      </c>
      <c r="V44" s="513" t="n">
        <v>0.0363215463116251</v>
      </c>
      <c r="W44" s="513" t="n">
        <v>0.634422869650494</v>
      </c>
      <c r="X44" s="513" t="n">
        <v>0.490376653454443</v>
      </c>
      <c r="Y44" s="513" t="n">
        <v>0.135572203269733</v>
      </c>
      <c r="Z44" s="513" t="n">
        <v>0.135572203269733</v>
      </c>
      <c r="AA44" s="514" t="n">
        <v>0.116205739501036</v>
      </c>
    </row>
    <row r="45" customFormat="false" ht="13.5" hidden="false" customHeight="false" outlineLevel="0" collapsed="false">
      <c r="A45" s="512" t="s">
        <v>837</v>
      </c>
      <c r="B45" s="75" t="n">
        <v>69</v>
      </c>
      <c r="C45" s="513" t="n">
        <v>0.0758418918918919</v>
      </c>
      <c r="D45" s="513" t="n">
        <v>0.0724911355698957</v>
      </c>
      <c r="E45" s="513" t="n">
        <v>0.0233856083587788</v>
      </c>
      <c r="F45" s="513" t="n">
        <v>0.238454239642912</v>
      </c>
      <c r="G45" s="377" t="n">
        <v>1.06096492776328</v>
      </c>
      <c r="H45" s="377" t="n">
        <v>1.45997653701566</v>
      </c>
      <c r="I45" s="513" t="n">
        <v>0.12552260629873</v>
      </c>
      <c r="J45" s="513" t="n">
        <v>0.380513591854362</v>
      </c>
      <c r="K45" s="513" t="n">
        <v>0.055</v>
      </c>
      <c r="L45" s="513" t="n">
        <v>0.399677780316369</v>
      </c>
      <c r="M45" s="513" t="n">
        <v>0.0918407180717784</v>
      </c>
      <c r="N45" s="377" t="n">
        <v>0.64787039431886</v>
      </c>
      <c r="O45" s="377" t="n">
        <v>4.20490472712404</v>
      </c>
      <c r="P45" s="377" t="n">
        <v>15.1876167168132</v>
      </c>
      <c r="Q45" s="377" t="n">
        <v>82.5771639593269</v>
      </c>
      <c r="R45" s="377" t="n">
        <v>6.77313003653712</v>
      </c>
      <c r="S45" s="377" t="n">
        <v>17.5468568424277</v>
      </c>
      <c r="T45" s="513" t="n">
        <v>0.075087689542084</v>
      </c>
      <c r="U45" s="513" t="n">
        <v>0.0807858882626002</v>
      </c>
      <c r="V45" s="513" t="n">
        <v>0.0454909028799324</v>
      </c>
      <c r="W45" s="513" t="n">
        <v>2.5582638357879</v>
      </c>
      <c r="X45" s="513" t="n">
        <v>0.0253194293593366</v>
      </c>
      <c r="Y45" s="513" t="n">
        <v>0.49425325285812</v>
      </c>
      <c r="Z45" s="513" t="n">
        <v>0.49425325285812</v>
      </c>
      <c r="AA45" s="514" t="n">
        <v>0.0395429210903551</v>
      </c>
    </row>
    <row r="46" customFormat="false" ht="13.5" hidden="false" customHeight="false" outlineLevel="0" collapsed="false">
      <c r="A46" s="512" t="s">
        <v>838</v>
      </c>
      <c r="B46" s="75" t="n">
        <v>127</v>
      </c>
      <c r="C46" s="513" t="n">
        <v>0.115510425531915</v>
      </c>
      <c r="D46" s="513" t="n">
        <v>0.169909194211374</v>
      </c>
      <c r="E46" s="513" t="n">
        <v>0.349162454279937</v>
      </c>
      <c r="F46" s="513" t="n">
        <v>0.201598866818551</v>
      </c>
      <c r="G46" s="377" t="n">
        <v>1.05787984687834</v>
      </c>
      <c r="H46" s="377" t="n">
        <v>1.15500098361752</v>
      </c>
      <c r="I46" s="513" t="n">
        <v>0.107407058426881</v>
      </c>
      <c r="J46" s="513" t="n">
        <v>0.568275249431107</v>
      </c>
      <c r="K46" s="513" t="n">
        <v>0.0588</v>
      </c>
      <c r="L46" s="513" t="n">
        <v>0.134378823319002</v>
      </c>
      <c r="M46" s="513" t="n">
        <v>0.0988999304076891</v>
      </c>
      <c r="N46" s="377" t="n">
        <v>2.18544670109018</v>
      </c>
      <c r="O46" s="377" t="n">
        <v>3.64642033716319</v>
      </c>
      <c r="P46" s="377" t="n">
        <v>16.8473391814186</v>
      </c>
      <c r="Q46" s="377" t="n">
        <v>21.1872047974327</v>
      </c>
      <c r="R46" s="377" t="n">
        <v>9.16732840535465</v>
      </c>
      <c r="S46" s="377" t="n">
        <v>124.193936910124</v>
      </c>
      <c r="T46" s="513" t="n">
        <v>0.0855712492684925</v>
      </c>
      <c r="U46" s="513" t="n">
        <v>0.0372840362913012</v>
      </c>
      <c r="V46" s="513" t="n">
        <v>0.0215265850036228</v>
      </c>
      <c r="W46" s="513" t="n">
        <v>0.300869727003317</v>
      </c>
      <c r="X46" s="513" t="n">
        <v>0.331789703030311</v>
      </c>
      <c r="Y46" s="513" t="n">
        <v>0.636945906385516</v>
      </c>
      <c r="Z46" s="513" t="n">
        <v>0.636945906385516</v>
      </c>
      <c r="AA46" s="514" t="n">
        <v>0.17128481786523</v>
      </c>
    </row>
    <row r="47" customFormat="false" ht="13.5" hidden="false" customHeight="false" outlineLevel="0" collapsed="false">
      <c r="A47" s="512" t="s">
        <v>839</v>
      </c>
      <c r="B47" s="75" t="n">
        <v>73</v>
      </c>
      <c r="C47" s="513" t="n">
        <v>0.110551351351351</v>
      </c>
      <c r="D47" s="513" t="n">
        <v>0.240233932613575</v>
      </c>
      <c r="E47" s="513" t="n">
        <v>0.328857797907536</v>
      </c>
      <c r="F47" s="513" t="n">
        <v>0.191050101556215</v>
      </c>
      <c r="G47" s="377" t="n">
        <v>1.33344361829334</v>
      </c>
      <c r="H47" s="377" t="n">
        <v>1.40471287893326</v>
      </c>
      <c r="I47" s="513" t="n">
        <v>0.122239945008636</v>
      </c>
      <c r="J47" s="513" t="n">
        <v>0.451093705804951</v>
      </c>
      <c r="K47" s="513" t="n">
        <v>0.055</v>
      </c>
      <c r="L47" s="513" t="n">
        <v>0.115504148992328</v>
      </c>
      <c r="M47" s="513" t="n">
        <v>0.112885270333478</v>
      </c>
      <c r="N47" s="377" t="n">
        <v>1.51418752301452</v>
      </c>
      <c r="O47" s="377" t="n">
        <v>6.25656200340796</v>
      </c>
      <c r="P47" s="377" t="n">
        <v>18.3825367100128</v>
      </c>
      <c r="Q47" s="377" t="n">
        <v>24.5641480673413</v>
      </c>
      <c r="R47" s="377" t="n">
        <v>5.97296453208662</v>
      </c>
      <c r="S47" s="377" t="n">
        <v>60.496023071559</v>
      </c>
      <c r="T47" s="513" t="n">
        <v>0.0306577009261528</v>
      </c>
      <c r="U47" s="513" t="n">
        <v>0.0297588772063989</v>
      </c>
      <c r="V47" s="513" t="n">
        <v>0.0254486411621494</v>
      </c>
      <c r="W47" s="513" t="n">
        <v>0.217944073983036</v>
      </c>
      <c r="X47" s="513" t="n">
        <v>0.177423262583222</v>
      </c>
      <c r="Y47" s="513" t="n">
        <v>0.280728617971894</v>
      </c>
      <c r="Z47" s="513" t="n">
        <v>0.280728617971894</v>
      </c>
      <c r="AA47" s="514" t="n">
        <v>0.24732602294107</v>
      </c>
    </row>
    <row r="48" customFormat="false" ht="13.5" hidden="false" customHeight="false" outlineLevel="0" collapsed="false">
      <c r="A48" s="512" t="s">
        <v>840</v>
      </c>
      <c r="B48" s="75" t="n">
        <v>21</v>
      </c>
      <c r="C48" s="513" t="n">
        <v>0.0690090909090909</v>
      </c>
      <c r="D48" s="513" t="n">
        <v>0.218217971647495</v>
      </c>
      <c r="E48" s="513" t="n">
        <v>0.193065605660745</v>
      </c>
      <c r="F48" s="513" t="n">
        <v>0.20378651559005</v>
      </c>
      <c r="G48" s="377" t="n">
        <v>1.02693859362757</v>
      </c>
      <c r="H48" s="377" t="n">
        <v>1.22776135385994</v>
      </c>
      <c r="I48" s="513" t="n">
        <v>0.111729024419281</v>
      </c>
      <c r="J48" s="513" t="n">
        <v>0.4376102850667</v>
      </c>
      <c r="K48" s="513" t="n">
        <v>0.055</v>
      </c>
      <c r="L48" s="513" t="n">
        <v>0.233651710724461</v>
      </c>
      <c r="M48" s="513" t="n">
        <v>0.0952614797935246</v>
      </c>
      <c r="N48" s="377" t="n">
        <v>0.984152498699773</v>
      </c>
      <c r="O48" s="377" t="n">
        <v>2.1601068304802</v>
      </c>
      <c r="P48" s="377" t="n">
        <v>7.43427547771283</v>
      </c>
      <c r="Q48" s="377" t="n">
        <v>9.80733419571885</v>
      </c>
      <c r="R48" s="377" t="n">
        <v>2.59326048262105</v>
      </c>
      <c r="S48" s="377" t="n">
        <v>213.167529183728</v>
      </c>
      <c r="T48" s="513" t="n">
        <v>0.02413963891033</v>
      </c>
      <c r="U48" s="513" t="n">
        <v>0.0091472409962912</v>
      </c>
      <c r="V48" s="513" t="n">
        <v>0.00956512604250991</v>
      </c>
      <c r="W48" s="513" t="n">
        <v>0.679081899164317</v>
      </c>
      <c r="X48" s="513" t="n">
        <v>0.174298374164891</v>
      </c>
      <c r="Y48" s="513" t="n">
        <v>0.168504563881468</v>
      </c>
      <c r="Z48" s="513" t="n">
        <v>0.168504563881468</v>
      </c>
      <c r="AA48" s="514" t="n">
        <v>0.2186082929585</v>
      </c>
    </row>
    <row r="49" customFormat="false" ht="13.5" hidden="false" customHeight="false" outlineLevel="0" collapsed="false">
      <c r="A49" s="512" t="s">
        <v>841</v>
      </c>
      <c r="B49" s="75" t="n">
        <v>27</v>
      </c>
      <c r="C49" s="513" t="n">
        <v>0.08287</v>
      </c>
      <c r="D49" s="513" t="n">
        <v>0.0834073673127815</v>
      </c>
      <c r="E49" s="513" t="n">
        <v>0.0482841413950658</v>
      </c>
      <c r="F49" s="513" t="n">
        <v>0.145487145140284</v>
      </c>
      <c r="G49" s="377" t="n">
        <v>0.667464671027123</v>
      </c>
      <c r="H49" s="377" t="n">
        <v>0.939353660314379</v>
      </c>
      <c r="I49" s="513" t="n">
        <v>0.0945976074226741</v>
      </c>
      <c r="J49" s="513" t="n">
        <v>0.288914545305353</v>
      </c>
      <c r="K49" s="513" t="n">
        <v>0.055</v>
      </c>
      <c r="L49" s="513" t="n">
        <v>0.480258142812181</v>
      </c>
      <c r="M49" s="513" t="n">
        <v>0.0689769845583873</v>
      </c>
      <c r="N49" s="377" t="n">
        <v>0.649509191797008</v>
      </c>
      <c r="O49" s="377" t="n">
        <v>1.32520682482792</v>
      </c>
      <c r="P49" s="377" t="n">
        <v>10.6667095899845</v>
      </c>
      <c r="Q49" s="377" t="n">
        <v>12.2477402169967</v>
      </c>
      <c r="R49" s="377" t="n">
        <v>1.72976674483226</v>
      </c>
      <c r="S49" s="377" t="n">
        <v>16.58945156233</v>
      </c>
      <c r="T49" s="513" t="n">
        <v>0.162521071761068</v>
      </c>
      <c r="U49" s="513" t="n">
        <v>0.00153323748281229</v>
      </c>
      <c r="V49" s="513" t="n">
        <v>0.00231151115888526</v>
      </c>
      <c r="W49" s="513" t="n">
        <v>0.00678753302739153</v>
      </c>
      <c r="X49" s="513" t="n">
        <v>0.0557916457381221</v>
      </c>
      <c r="Y49" s="513" t="n">
        <v>0.382422878115089</v>
      </c>
      <c r="Z49" s="513" t="n">
        <v>0.382422878115089</v>
      </c>
      <c r="AA49" s="514" t="n">
        <v>0.0839117102572244</v>
      </c>
    </row>
    <row r="50" customFormat="false" ht="13.5" hidden="false" customHeight="false" outlineLevel="0" collapsed="false">
      <c r="A50" s="512" t="s">
        <v>842</v>
      </c>
      <c r="B50" s="75" t="n">
        <v>51</v>
      </c>
      <c r="C50" s="513" t="n">
        <v>0.0381763636363636</v>
      </c>
      <c r="D50" s="513" t="n">
        <v>0.0640953790830861</v>
      </c>
      <c r="E50" s="513" t="n">
        <v>0.0707619000900866</v>
      </c>
      <c r="F50" s="513" t="n">
        <v>0.198720180139815</v>
      </c>
      <c r="G50" s="377" t="n">
        <v>0.729538547497567</v>
      </c>
      <c r="H50" s="377" t="n">
        <v>0.803301362824696</v>
      </c>
      <c r="I50" s="513" t="n">
        <v>0.0865161009517869</v>
      </c>
      <c r="J50" s="513" t="n">
        <v>0.276671833072616</v>
      </c>
      <c r="K50" s="513" t="n">
        <v>0.055</v>
      </c>
      <c r="L50" s="513" t="n">
        <v>0.17672400294711</v>
      </c>
      <c r="M50" s="513" t="n">
        <v>0.0785164943937791</v>
      </c>
      <c r="N50" s="377" t="n">
        <v>1.2235917495745</v>
      </c>
      <c r="O50" s="377" t="n">
        <v>1.39184090073166</v>
      </c>
      <c r="P50" s="377" t="n">
        <v>14.6151231570028</v>
      </c>
      <c r="Q50" s="377" t="n">
        <v>21.0163282863224</v>
      </c>
      <c r="R50" s="377" t="n">
        <v>2.19914364169271</v>
      </c>
      <c r="S50" s="377" t="n">
        <v>20.230973091308</v>
      </c>
      <c r="T50" s="513" t="n">
        <v>-0.511150763124508</v>
      </c>
      <c r="U50" s="513" t="n">
        <v>0.00940137773905287</v>
      </c>
      <c r="V50" s="513" t="n">
        <v>0.00577512941346667</v>
      </c>
      <c r="W50" s="513" t="n">
        <v>0.489091339092821</v>
      </c>
      <c r="X50" s="513" t="n">
        <v>0.0570986733820145</v>
      </c>
      <c r="Y50" s="513" t="n">
        <v>0.733194119943281</v>
      </c>
      <c r="Z50" s="513" t="n">
        <v>0.733194119943281</v>
      </c>
      <c r="AA50" s="514" t="n">
        <v>0.0649235951089916</v>
      </c>
    </row>
    <row r="51" customFormat="false" ht="13.5" hidden="false" customHeight="false" outlineLevel="0" collapsed="false">
      <c r="A51" s="512" t="s">
        <v>843</v>
      </c>
      <c r="B51" s="75" t="n">
        <v>600</v>
      </c>
      <c r="C51" s="513" t="n">
        <v>0.107890909090909</v>
      </c>
      <c r="D51" s="513" t="n">
        <v>0.183629348860993</v>
      </c>
      <c r="E51" s="513" t="n">
        <v>0.0916188585181556</v>
      </c>
      <c r="F51" s="513" t="n">
        <v>0.182014741079934</v>
      </c>
      <c r="G51" s="377" t="n">
        <v>0.537753086430546</v>
      </c>
      <c r="H51" s="377" t="n">
        <v>0.623612954479096</v>
      </c>
      <c r="I51" s="513" t="n">
        <v>0.0758426094960583</v>
      </c>
      <c r="J51" s="513" t="n">
        <v>0.0990642673998256</v>
      </c>
      <c r="K51" s="513" t="n">
        <v>0.0473</v>
      </c>
      <c r="L51" s="513" t="n">
        <v>0.277179353742124</v>
      </c>
      <c r="M51" s="513" t="n">
        <v>0.0646535415838264</v>
      </c>
      <c r="N51" s="377" t="n">
        <v>0.52461323393523</v>
      </c>
      <c r="O51" s="377" t="n">
        <v>5.16496139512725</v>
      </c>
      <c r="P51" s="377" t="n">
        <v>18.342065712597</v>
      </c>
      <c r="Q51" s="377" t="n">
        <v>22.4431383974077</v>
      </c>
      <c r="R51" s="377" t="n">
        <v>2.12848876077985</v>
      </c>
      <c r="S51" s="377" t="n">
        <v>413.138812929384</v>
      </c>
      <c r="T51" s="513" t="s">
        <v>800</v>
      </c>
      <c r="U51" s="513" t="n">
        <v>0.0283937204051168</v>
      </c>
      <c r="V51" s="513" t="n">
        <v>0.0744774085036554</v>
      </c>
      <c r="W51" s="513" t="n">
        <v>0.598641430106833</v>
      </c>
      <c r="X51" s="513" t="n">
        <v>0.171655410032223</v>
      </c>
      <c r="Y51" s="513" t="n">
        <v>0.426855093009417</v>
      </c>
      <c r="Z51" s="513" t="n">
        <v>0.426855093009417</v>
      </c>
      <c r="AA51" s="514" t="n">
        <v>0.181922624021368</v>
      </c>
    </row>
    <row r="52" customFormat="false" ht="13.5" hidden="false" customHeight="false" outlineLevel="0" collapsed="false">
      <c r="A52" s="512" t="s">
        <v>844</v>
      </c>
      <c r="B52" s="75" t="n">
        <v>116</v>
      </c>
      <c r="C52" s="513" t="n">
        <v>0.085045652173913</v>
      </c>
      <c r="D52" s="513" t="n">
        <v>0.137970993541201</v>
      </c>
      <c r="E52" s="513" t="n">
        <v>0.274408952257587</v>
      </c>
      <c r="F52" s="513" t="n">
        <v>0.209845811891721</v>
      </c>
      <c r="G52" s="377" t="n">
        <v>1.09382508031499</v>
      </c>
      <c r="H52" s="377" t="n">
        <v>1.22481689943204</v>
      </c>
      <c r="I52" s="513" t="n">
        <v>0.111554123826263</v>
      </c>
      <c r="J52" s="513" t="n">
        <v>0.323620335736492</v>
      </c>
      <c r="K52" s="513" t="n">
        <v>0.055</v>
      </c>
      <c r="L52" s="513" t="n">
        <v>0.172476526234421</v>
      </c>
      <c r="M52" s="513" t="n">
        <v>0.0994283127687549</v>
      </c>
      <c r="N52" s="377" t="n">
        <v>2.16085006917187</v>
      </c>
      <c r="O52" s="377" t="n">
        <v>2.66837023361665</v>
      </c>
      <c r="P52" s="377" t="n">
        <v>14.0830786876</v>
      </c>
      <c r="Q52" s="377" t="n">
        <v>18.8891674362674</v>
      </c>
      <c r="R52" s="377" t="n">
        <v>4.05738528624111</v>
      </c>
      <c r="S52" s="377" t="n">
        <v>43.7731857587888</v>
      </c>
      <c r="T52" s="513" t="n">
        <v>0.259547339608364</v>
      </c>
      <c r="U52" s="513" t="n">
        <v>0.0249159169268001</v>
      </c>
      <c r="V52" s="513" t="n">
        <v>0.10792630698907</v>
      </c>
      <c r="W52" s="513" t="n">
        <v>1.40235587923249</v>
      </c>
      <c r="X52" s="513" t="n">
        <v>0.15486472220664</v>
      </c>
      <c r="Y52" s="513" t="n">
        <v>0.367072146888421</v>
      </c>
      <c r="Z52" s="513" t="n">
        <v>0.367072146888421</v>
      </c>
      <c r="AA52" s="514" t="n">
        <v>0.141508660991874</v>
      </c>
    </row>
    <row r="53" customFormat="false" ht="13.5" hidden="false" customHeight="false" outlineLevel="0" collapsed="false">
      <c r="A53" s="512" t="s">
        <v>845</v>
      </c>
      <c r="B53" s="75" t="n">
        <v>68</v>
      </c>
      <c r="C53" s="513" t="n">
        <v>0.0588307692307692</v>
      </c>
      <c r="D53" s="513" t="n">
        <v>0.228905226319013</v>
      </c>
      <c r="E53" s="513" t="n">
        <v>0.347249698899156</v>
      </c>
      <c r="F53" s="513" t="n">
        <v>0.384070169961192</v>
      </c>
      <c r="G53" s="377" t="n">
        <v>1.2191906966167</v>
      </c>
      <c r="H53" s="377" t="n">
        <v>1.29005346431588</v>
      </c>
      <c r="I53" s="513" t="n">
        <v>0.115429175780364</v>
      </c>
      <c r="J53" s="513" t="n">
        <v>0.700562395011939</v>
      </c>
      <c r="K53" s="513" t="n">
        <v>0.0701</v>
      </c>
      <c r="L53" s="513" t="n">
        <v>0.177258984774757</v>
      </c>
      <c r="M53" s="513" t="n">
        <v>0.104287708392682</v>
      </c>
      <c r="N53" s="377" t="n">
        <v>1.58479834849753</v>
      </c>
      <c r="O53" s="377" t="n">
        <v>2.06019019810721</v>
      </c>
      <c r="P53" s="377" t="n">
        <v>6.57939713745895</v>
      </c>
      <c r="Q53" s="377" t="n">
        <v>8.85438891283644</v>
      </c>
      <c r="R53" s="377" t="n">
        <v>2.75338852442077</v>
      </c>
      <c r="S53" s="377" t="n">
        <v>17.597890904343</v>
      </c>
      <c r="T53" s="513" t="n">
        <v>0.120508467578099</v>
      </c>
      <c r="U53" s="513" t="n">
        <v>0.0849307716237814</v>
      </c>
      <c r="V53" s="513" t="n">
        <v>0.0233874758927355</v>
      </c>
      <c r="W53" s="513" t="n">
        <v>0.302541338551599</v>
      </c>
      <c r="X53" s="513" t="n">
        <v>0.210975921513228</v>
      </c>
      <c r="Y53" s="513" t="n">
        <v>0.625011594063279</v>
      </c>
      <c r="Z53" s="513" t="n">
        <v>0.625011594063279</v>
      </c>
      <c r="AA53" s="514" t="n">
        <v>0.228586059434862</v>
      </c>
    </row>
    <row r="54" customFormat="false" ht="13.5" hidden="false" customHeight="false" outlineLevel="0" collapsed="false">
      <c r="A54" s="512" t="s">
        <v>846</v>
      </c>
      <c r="B54" s="75" t="n">
        <v>16</v>
      </c>
      <c r="C54" s="513" t="n">
        <v>0.157919285714286</v>
      </c>
      <c r="D54" s="513" t="n">
        <v>0.0594376398242431</v>
      </c>
      <c r="E54" s="513" t="n">
        <v>0.121910632236977</v>
      </c>
      <c r="F54" s="513" t="n">
        <v>0.24228527607362</v>
      </c>
      <c r="G54" s="377" t="n">
        <v>0.844837075192658</v>
      </c>
      <c r="H54" s="377" t="n">
        <v>1.17709467003286</v>
      </c>
      <c r="I54" s="513" t="n">
        <v>0.108719423399952</v>
      </c>
      <c r="J54" s="513" t="n">
        <v>0.352209345538403</v>
      </c>
      <c r="K54" s="513" t="n">
        <v>0.055</v>
      </c>
      <c r="L54" s="513" t="n">
        <v>0.400484729440036</v>
      </c>
      <c r="M54" s="513" t="n">
        <v>0.0816989496241471</v>
      </c>
      <c r="N54" s="377" t="n">
        <v>2.38042118224598</v>
      </c>
      <c r="O54" s="377" t="n">
        <v>0.932885941726554</v>
      </c>
      <c r="P54" s="377" t="n">
        <v>8.44876451690469</v>
      </c>
      <c r="Q54" s="377" t="n">
        <v>14.9061663933146</v>
      </c>
      <c r="R54" s="377" t="n">
        <v>2.02245991995733</v>
      </c>
      <c r="S54" s="377" t="n">
        <v>23.3529461885478</v>
      </c>
      <c r="T54" s="513" t="n">
        <v>0.105800647919995</v>
      </c>
      <c r="U54" s="513" t="n">
        <v>0.023993627737332</v>
      </c>
      <c r="V54" s="513" t="n">
        <v>0.0573512135132745</v>
      </c>
      <c r="W54" s="513" t="n">
        <v>2.07505543674246</v>
      </c>
      <c r="X54" s="513" t="n">
        <v>0.0796024671666953</v>
      </c>
      <c r="Y54" s="513" t="n">
        <v>0.82958172172553</v>
      </c>
      <c r="Z54" s="513" t="n">
        <v>0.82958172172553</v>
      </c>
      <c r="AA54" s="514" t="n">
        <v>0.0634338801630091</v>
      </c>
    </row>
    <row r="55" customFormat="false" ht="13.5" hidden="false" customHeight="false" outlineLevel="0" collapsed="false">
      <c r="A55" s="512" t="s">
        <v>847</v>
      </c>
      <c r="B55" s="75" t="n">
        <v>4</v>
      </c>
      <c r="C55" s="513" t="n">
        <v>0.121225</v>
      </c>
      <c r="D55" s="513" t="n">
        <v>0.173232163935194</v>
      </c>
      <c r="E55" s="513" t="n">
        <v>0.223711796653866</v>
      </c>
      <c r="F55" s="513" t="n">
        <v>0.231286771281847</v>
      </c>
      <c r="G55" s="377" t="n">
        <v>0.946268369906833</v>
      </c>
      <c r="H55" s="377" t="n">
        <v>0.977485892749068</v>
      </c>
      <c r="I55" s="513" t="n">
        <v>0.0968626620292946</v>
      </c>
      <c r="J55" s="513" t="n">
        <v>0.305489444346433</v>
      </c>
      <c r="K55" s="513" t="n">
        <v>0.055</v>
      </c>
      <c r="L55" s="513" t="n">
        <v>0.103169708845608</v>
      </c>
      <c r="M55" s="513" t="n">
        <v>0.0911251198796031</v>
      </c>
      <c r="N55" s="377" t="n">
        <v>1.49559043537673</v>
      </c>
      <c r="O55" s="377" t="n">
        <v>1.39379728984891</v>
      </c>
      <c r="P55" s="377" t="n">
        <v>5.73207754987897</v>
      </c>
      <c r="Q55" s="377" t="n">
        <v>7.9816868353677</v>
      </c>
      <c r="R55" s="377" t="n">
        <v>2.25032506465269</v>
      </c>
      <c r="S55" s="377" t="n">
        <v>6.71231607113451</v>
      </c>
      <c r="T55" s="513" t="n">
        <v>0.0316106162674479</v>
      </c>
      <c r="U55" s="513" t="n">
        <v>0.0480609734317848</v>
      </c>
      <c r="V55" s="513" t="n">
        <v>-0.0123557114079714</v>
      </c>
      <c r="W55" s="513" t="n">
        <v>-0.104053030900058</v>
      </c>
      <c r="X55" s="513" t="n">
        <v>0.324159542575271</v>
      </c>
      <c r="Y55" s="513" t="n">
        <v>0.263567552949415</v>
      </c>
      <c r="Z55" s="513" t="n">
        <v>0.263567552949415</v>
      </c>
      <c r="AA55" s="514" t="n">
        <v>0.174416272209652</v>
      </c>
    </row>
    <row r="56" customFormat="false" ht="13.5" hidden="false" customHeight="false" outlineLevel="0" collapsed="false">
      <c r="A56" s="512" t="s">
        <v>848</v>
      </c>
      <c r="B56" s="75" t="n">
        <v>174</v>
      </c>
      <c r="C56" s="513" t="n">
        <v>0.295658372093023</v>
      </c>
      <c r="D56" s="513" t="n">
        <v>0.355451744321465</v>
      </c>
      <c r="E56" s="513" t="n">
        <v>0.398243403165596</v>
      </c>
      <c r="F56" s="513" t="n">
        <v>0.209552230085631</v>
      </c>
      <c r="G56" s="377" t="n">
        <v>1.13612808421308</v>
      </c>
      <c r="H56" s="377" t="n">
        <v>1.25743155216177</v>
      </c>
      <c r="I56" s="513" t="n">
        <v>0.113491434198409</v>
      </c>
      <c r="J56" s="513" t="n">
        <v>0.569768773700139</v>
      </c>
      <c r="K56" s="513" t="n">
        <v>0.0588</v>
      </c>
      <c r="L56" s="513" t="n">
        <v>0.167244934858332</v>
      </c>
      <c r="M56" s="513" t="n">
        <v>0.10188606830617</v>
      </c>
      <c r="N56" s="377" t="n">
        <v>1.17004395513075</v>
      </c>
      <c r="O56" s="377" t="n">
        <v>2.11918960912792</v>
      </c>
      <c r="P56" s="377" t="n">
        <v>4.27624754288283</v>
      </c>
      <c r="Q56" s="377" t="n">
        <v>5.86930141871881</v>
      </c>
      <c r="R56" s="377" t="n">
        <v>2.43105282451393</v>
      </c>
      <c r="S56" s="377" t="n">
        <v>20.6849449310201</v>
      </c>
      <c r="T56" s="513" t="n">
        <v>-0.0360442773620413</v>
      </c>
      <c r="U56" s="513" t="n">
        <v>0.188567424615299</v>
      </c>
      <c r="V56" s="513" t="n">
        <v>0.107862957435403</v>
      </c>
      <c r="W56" s="513" t="n">
        <v>0.44233129168815</v>
      </c>
      <c r="X56" s="513" t="n">
        <v>0.470000994985958</v>
      </c>
      <c r="Y56" s="513" t="n">
        <v>0.231468642539525</v>
      </c>
      <c r="Z56" s="513" t="n">
        <v>0.231468642539525</v>
      </c>
      <c r="AA56" s="514" t="n">
        <v>0.356792632035933</v>
      </c>
    </row>
    <row r="57" customFormat="false" ht="13.5" hidden="false" customHeight="false" outlineLevel="0" collapsed="false">
      <c r="A57" s="512" t="s">
        <v>849</v>
      </c>
      <c r="B57" s="75" t="n">
        <v>23</v>
      </c>
      <c r="C57" s="513" t="n">
        <v>0.218572727272727</v>
      </c>
      <c r="D57" s="513" t="n">
        <v>0.105545697363837</v>
      </c>
      <c r="E57" s="513" t="n">
        <v>0.0717510430316352</v>
      </c>
      <c r="F57" s="513" t="n">
        <v>0.167322231348368</v>
      </c>
      <c r="G57" s="377" t="n">
        <v>0.656489918658282</v>
      </c>
      <c r="H57" s="377" t="n">
        <v>0.991255331327165</v>
      </c>
      <c r="I57" s="513" t="n">
        <v>0.0976805666808336</v>
      </c>
      <c r="J57" s="513" t="n">
        <v>0.33549336269636</v>
      </c>
      <c r="K57" s="513" t="n">
        <v>0.055</v>
      </c>
      <c r="L57" s="513" t="n">
        <v>0.416606619467542</v>
      </c>
      <c r="M57" s="513" t="n">
        <v>0.0741712190612938</v>
      </c>
      <c r="N57" s="377" t="n">
        <v>0.712037892381361</v>
      </c>
      <c r="O57" s="377" t="n">
        <v>2.59927331485073</v>
      </c>
      <c r="P57" s="377" t="n">
        <v>11.3646034009218</v>
      </c>
      <c r="Q57" s="377" t="n">
        <v>19.4070402951839</v>
      </c>
      <c r="R57" s="377" t="n">
        <v>2.71642606526845</v>
      </c>
      <c r="S57" s="377" t="n">
        <v>17.5269139543257</v>
      </c>
      <c r="T57" s="513" t="n">
        <v>0.0352422947392869</v>
      </c>
      <c r="U57" s="513" t="n">
        <v>0.0799924128053265</v>
      </c>
      <c r="V57" s="513" t="n">
        <v>0.0481831455889754</v>
      </c>
      <c r="W57" s="513" t="n">
        <v>0.671107517805467</v>
      </c>
      <c r="X57" s="513" t="n">
        <v>0.0409320504469101</v>
      </c>
      <c r="Y57" s="513" t="n">
        <v>3.14967761171779</v>
      </c>
      <c r="Z57" s="513" t="n">
        <v>3.14967761171779</v>
      </c>
      <c r="AA57" s="514" t="n">
        <v>0.108237273700005</v>
      </c>
    </row>
    <row r="58" customFormat="false" ht="13.5" hidden="false" customHeight="false" outlineLevel="0" collapsed="false">
      <c r="A58" s="512" t="s">
        <v>850</v>
      </c>
      <c r="B58" s="75" t="n">
        <v>101</v>
      </c>
      <c r="C58" s="513" t="n">
        <v>0.0772133846153846</v>
      </c>
      <c r="D58" s="513" t="n">
        <v>0.0726154910261892</v>
      </c>
      <c r="E58" s="513" t="n">
        <v>0.280894092337497</v>
      </c>
      <c r="F58" s="513" t="n">
        <v>0.210832632776312</v>
      </c>
      <c r="G58" s="377" t="n">
        <v>1.18693870387022</v>
      </c>
      <c r="H58" s="377" t="n">
        <v>1.37515935456884</v>
      </c>
      <c r="I58" s="513" t="n">
        <v>0.120484465661389</v>
      </c>
      <c r="J58" s="513" t="n">
        <v>0.468981073387854</v>
      </c>
      <c r="K58" s="513" t="n">
        <v>0.055</v>
      </c>
      <c r="L58" s="513" t="n">
        <v>0.245875962686081</v>
      </c>
      <c r="M58" s="513" t="n">
        <v>0.101002615138978</v>
      </c>
      <c r="N58" s="377" t="n">
        <v>4.098572921606</v>
      </c>
      <c r="O58" s="377" t="n">
        <v>0.576359422216639</v>
      </c>
      <c r="P58" s="377" t="n">
        <v>5.89889632062051</v>
      </c>
      <c r="Q58" s="377" t="n">
        <v>7.78334975059104</v>
      </c>
      <c r="R58" s="377" t="n">
        <v>2.06686080854504</v>
      </c>
      <c r="S58" s="377" t="n">
        <v>35.4700306742747</v>
      </c>
      <c r="T58" s="513" t="n">
        <v>0.0524528325241798</v>
      </c>
      <c r="U58" s="513" t="n">
        <v>0.0189534043953506</v>
      </c>
      <c r="V58" s="513" t="n">
        <v>0.00286216398698964</v>
      </c>
      <c r="W58" s="513" t="n">
        <v>0.238469896836925</v>
      </c>
      <c r="X58" s="513" t="n">
        <v>0.308210460008422</v>
      </c>
      <c r="Y58" s="513" t="n">
        <v>0.175783977269154</v>
      </c>
      <c r="Z58" s="513" t="n">
        <v>0.175783977269154</v>
      </c>
      <c r="AA58" s="514" t="n">
        <v>0.0737465343742335</v>
      </c>
    </row>
    <row r="59" customFormat="false" ht="13.5" hidden="false" customHeight="false" outlineLevel="0" collapsed="false">
      <c r="A59" s="512" t="s">
        <v>851</v>
      </c>
      <c r="B59" s="75" t="n">
        <v>25</v>
      </c>
      <c r="C59" s="513" t="n">
        <v>0.0590184210526316</v>
      </c>
      <c r="D59" s="513" t="n">
        <v>0.0943261900901271</v>
      </c>
      <c r="E59" s="513" t="n">
        <v>0.160400497904046</v>
      </c>
      <c r="F59" s="513" t="n">
        <v>0.203771365980847</v>
      </c>
      <c r="G59" s="377" t="n">
        <v>0.670499721907897</v>
      </c>
      <c r="H59" s="377" t="n">
        <v>0.952421996912052</v>
      </c>
      <c r="I59" s="513" t="n">
        <v>0.0953738666165759</v>
      </c>
      <c r="J59" s="513" t="n">
        <v>0.24431384085324</v>
      </c>
      <c r="K59" s="513" t="n">
        <v>0.0473</v>
      </c>
      <c r="L59" s="513" t="n">
        <v>0.382585120947745</v>
      </c>
      <c r="M59" s="513" t="n">
        <v>0.0724574514874404</v>
      </c>
      <c r="N59" s="377" t="n">
        <v>1.95178090540973</v>
      </c>
      <c r="O59" s="377" t="n">
        <v>1.24795684571096</v>
      </c>
      <c r="P59" s="377" t="n">
        <v>8.24179957403186</v>
      </c>
      <c r="Q59" s="377" t="n">
        <v>12.9547259864121</v>
      </c>
      <c r="R59" s="377" t="n">
        <v>2.49642292154671</v>
      </c>
      <c r="S59" s="377" t="n">
        <v>13.2323556241968</v>
      </c>
      <c r="T59" s="513" t="n">
        <v>0.103975344772323</v>
      </c>
      <c r="U59" s="513" t="n">
        <v>0.057495724252901</v>
      </c>
      <c r="V59" s="513" t="n">
        <v>0.0442888465537967</v>
      </c>
      <c r="W59" s="513" t="n">
        <v>0.869391750630282</v>
      </c>
      <c r="X59" s="513" t="n">
        <v>0.197455489816109</v>
      </c>
      <c r="Y59" s="513" t="n">
        <v>0.286411738960851</v>
      </c>
      <c r="Z59" s="513" t="n">
        <v>0.286411738960851</v>
      </c>
      <c r="AA59" s="514" t="n">
        <v>0.0963029129189828</v>
      </c>
    </row>
    <row r="60" customFormat="false" ht="13.5" hidden="false" customHeight="false" outlineLevel="0" collapsed="false">
      <c r="A60" s="512" t="s">
        <v>852</v>
      </c>
      <c r="B60" s="75" t="n">
        <v>7</v>
      </c>
      <c r="C60" s="513" t="n">
        <v>0.06995</v>
      </c>
      <c r="D60" s="513" t="n">
        <v>0.184739246685491</v>
      </c>
      <c r="E60" s="513" t="n">
        <v>0.428327509421514</v>
      </c>
      <c r="F60" s="513" t="n">
        <v>0.257973468811741</v>
      </c>
      <c r="G60" s="377" t="n">
        <v>1.12584030348571</v>
      </c>
      <c r="H60" s="377" t="n">
        <v>1.38300667113941</v>
      </c>
      <c r="I60" s="513" t="n">
        <v>0.120950596265681</v>
      </c>
      <c r="J60" s="513" t="n">
        <v>0.428435971309202</v>
      </c>
      <c r="K60" s="513" t="n">
        <v>0.055</v>
      </c>
      <c r="L60" s="513" t="n">
        <v>0.30490399792922</v>
      </c>
      <c r="M60" s="513" t="n">
        <v>0.0966495658269322</v>
      </c>
      <c r="N60" s="377" t="n">
        <v>2.64028742326719</v>
      </c>
      <c r="O60" s="377" t="n">
        <v>0.774460833791707</v>
      </c>
      <c r="P60" s="377" t="n">
        <v>3.43145401195351</v>
      </c>
      <c r="Q60" s="377" t="n">
        <v>4.16008673486581</v>
      </c>
      <c r="R60" s="377" t="n">
        <v>2.84934015695934</v>
      </c>
      <c r="S60" s="377" t="n">
        <v>12.8311328600961</v>
      </c>
      <c r="T60" s="513" t="n">
        <v>0.0795585597181873</v>
      </c>
      <c r="U60" s="513" t="n">
        <v>0.0484088565046168</v>
      </c>
      <c r="V60" s="513" t="n">
        <v>0.0359480627821834</v>
      </c>
      <c r="W60" s="513" t="n">
        <v>0.372261634210643</v>
      </c>
      <c r="X60" s="513" t="n">
        <v>0.468265214797136</v>
      </c>
      <c r="Y60" s="513" t="n">
        <v>0.0788404873775583</v>
      </c>
      <c r="Z60" s="513" t="n">
        <v>0.0788404873775583</v>
      </c>
      <c r="AA60" s="514" t="n">
        <v>0.185938199796932</v>
      </c>
    </row>
    <row r="61" customFormat="false" ht="13.5" hidden="false" customHeight="false" outlineLevel="0" collapsed="false">
      <c r="A61" s="512" t="s">
        <v>853</v>
      </c>
      <c r="B61" s="75" t="n">
        <v>48</v>
      </c>
      <c r="C61" s="513" t="n">
        <v>0.0641269047619047</v>
      </c>
      <c r="D61" s="513" t="n">
        <v>0.155738722184148</v>
      </c>
      <c r="E61" s="513" t="n">
        <v>0.0604208096771536</v>
      </c>
      <c r="F61" s="513" t="n">
        <v>0.134726760537272</v>
      </c>
      <c r="G61" s="377" t="n">
        <v>0.464026390194568</v>
      </c>
      <c r="H61" s="377" t="n">
        <v>0.725000974710239</v>
      </c>
      <c r="I61" s="513" t="n">
        <v>0.0818650578977882</v>
      </c>
      <c r="J61" s="513" t="n">
        <v>0.171781235032933</v>
      </c>
      <c r="K61" s="513" t="n">
        <v>0.0473</v>
      </c>
      <c r="L61" s="513" t="n">
        <v>0.435524966621651</v>
      </c>
      <c r="M61" s="513" t="n">
        <v>0.0616610294802775</v>
      </c>
      <c r="N61" s="377" t="n">
        <v>0.439225164022994</v>
      </c>
      <c r="O61" s="377" t="n">
        <v>3.75303771330842</v>
      </c>
      <c r="P61" s="377" t="n">
        <v>12.9726370408696</v>
      </c>
      <c r="Q61" s="377" t="n">
        <v>23.9482169490216</v>
      </c>
      <c r="R61" s="377" t="n">
        <v>1.98239807320784</v>
      </c>
      <c r="S61" s="377" t="n">
        <v>19.0743229185071</v>
      </c>
      <c r="T61" s="513" t="n">
        <v>0.0657872438932433</v>
      </c>
      <c r="U61" s="513" t="n">
        <v>0.292219021001165</v>
      </c>
      <c r="V61" s="513" t="n">
        <v>0.183960088405608</v>
      </c>
      <c r="W61" s="513" t="n">
        <v>1.45691178445662</v>
      </c>
      <c r="X61" s="513" t="n">
        <v>0.0938980427790403</v>
      </c>
      <c r="Y61" s="513" t="n">
        <v>0.605568915154059</v>
      </c>
      <c r="Z61" s="513" t="n">
        <v>0.605568915154059</v>
      </c>
      <c r="AA61" s="514" t="n">
        <v>0.156833136929648</v>
      </c>
    </row>
    <row r="62" customFormat="false" ht="13.5" hidden="false" customHeight="false" outlineLevel="0" collapsed="false">
      <c r="A62" s="512" t="s">
        <v>854</v>
      </c>
      <c r="B62" s="75" t="n">
        <v>74</v>
      </c>
      <c r="C62" s="513" t="n">
        <v>0.0373857142857143</v>
      </c>
      <c r="D62" s="513" t="n">
        <v>0.100265407070718</v>
      </c>
      <c r="E62" s="513" t="n">
        <v>0.05282254269046</v>
      </c>
      <c r="F62" s="513" t="n">
        <v>0.446125594050513</v>
      </c>
      <c r="G62" s="377" t="n">
        <v>1.18720861712204</v>
      </c>
      <c r="H62" s="377" t="n">
        <v>1.23361903897086</v>
      </c>
      <c r="I62" s="513" t="n">
        <v>0.112076970914869</v>
      </c>
      <c r="J62" s="513" t="n">
        <v>0.725433145458688</v>
      </c>
      <c r="K62" s="513" t="n">
        <v>0.0701</v>
      </c>
      <c r="L62" s="513" t="n">
        <v>0.140349337839227</v>
      </c>
      <c r="M62" s="513" t="n">
        <v>0.103725908696838</v>
      </c>
      <c r="N62" s="377" t="n">
        <v>0.517443768432684</v>
      </c>
      <c r="O62" s="377" t="n">
        <v>3.55315235533516</v>
      </c>
      <c r="P62" s="377" t="n">
        <v>10.8840989256414</v>
      </c>
      <c r="Q62" s="377" t="n">
        <v>33.9246115813027</v>
      </c>
      <c r="R62" s="377" t="n">
        <v>1.67589140355789</v>
      </c>
      <c r="S62" s="377" t="n">
        <v>14.432357858159</v>
      </c>
      <c r="T62" s="513" t="n">
        <v>0.107477238756474</v>
      </c>
      <c r="U62" s="513" t="n">
        <v>0.236915789415036</v>
      </c>
      <c r="V62" s="513" t="n">
        <v>0.0629989896536409</v>
      </c>
      <c r="W62" s="513" t="n">
        <v>1.16482567175493</v>
      </c>
      <c r="X62" s="513" t="n">
        <v>0.0366070716260894</v>
      </c>
      <c r="Y62" s="513" t="n">
        <v>1.60363421964249</v>
      </c>
      <c r="Z62" s="513" t="n">
        <v>1.60363421964249</v>
      </c>
      <c r="AA62" s="514" t="n">
        <v>0.104984329375041</v>
      </c>
    </row>
    <row r="63" customFormat="false" ht="13.5" hidden="false" customHeight="false" outlineLevel="0" collapsed="false">
      <c r="A63" s="512" t="s">
        <v>855</v>
      </c>
      <c r="B63" s="75" t="n">
        <v>20</v>
      </c>
      <c r="C63" s="513" t="n">
        <v>0.0331785714285714</v>
      </c>
      <c r="D63" s="513" t="n">
        <v>0.0772878731417532</v>
      </c>
      <c r="E63" s="513" t="n">
        <v>0.152531439347038</v>
      </c>
      <c r="F63" s="513" t="n">
        <v>0.152981522390364</v>
      </c>
      <c r="G63" s="377" t="n">
        <v>0.91415552689954</v>
      </c>
      <c r="H63" s="377" t="n">
        <v>1.11489577668817</v>
      </c>
      <c r="I63" s="513" t="n">
        <v>0.105024809135277</v>
      </c>
      <c r="J63" s="513" t="n">
        <v>0.309197444012822</v>
      </c>
      <c r="K63" s="513" t="n">
        <v>0.055</v>
      </c>
      <c r="L63" s="513" t="n">
        <v>0.296648275483496</v>
      </c>
      <c r="M63" s="513" t="n">
        <v>0.0861061219860081</v>
      </c>
      <c r="N63" s="377" t="n">
        <v>2.14953608760732</v>
      </c>
      <c r="O63" s="377" t="n">
        <v>1.15851370673119</v>
      </c>
      <c r="P63" s="377" t="n">
        <v>8.39609467223236</v>
      </c>
      <c r="Q63" s="377" t="n">
        <v>14.8588342191499</v>
      </c>
      <c r="R63" s="377" t="n">
        <v>1.57966722118971</v>
      </c>
      <c r="S63" s="377" t="n">
        <v>19.5989592965514</v>
      </c>
      <c r="T63" s="513" t="n">
        <v>0.0987838048067495</v>
      </c>
      <c r="U63" s="513" t="n">
        <v>0.0345280622858652</v>
      </c>
      <c r="V63" s="513" t="n">
        <v>0.0611269993451591</v>
      </c>
      <c r="W63" s="513" t="n">
        <v>1.2037354739181</v>
      </c>
      <c r="X63" s="513" t="n">
        <v>0.0514574909484923</v>
      </c>
      <c r="Y63" s="513" t="n">
        <v>0.5237275948847</v>
      </c>
      <c r="Z63" s="513" t="n">
        <v>0.5237275948847</v>
      </c>
      <c r="AA63" s="514" t="n">
        <v>0.0784487765461153</v>
      </c>
    </row>
    <row r="64" customFormat="false" ht="13.5" hidden="false" customHeight="false" outlineLevel="0" collapsed="false">
      <c r="A64" s="512" t="s">
        <v>856</v>
      </c>
      <c r="B64" s="75" t="n">
        <v>223</v>
      </c>
      <c r="C64" s="513" t="n">
        <v>0.0957203243243243</v>
      </c>
      <c r="D64" s="513" t="n">
        <v>0.254620467739955</v>
      </c>
      <c r="E64" s="513" t="n">
        <v>0.0329195353776493</v>
      </c>
      <c r="F64" s="513" t="n">
        <v>0.0428301301970325</v>
      </c>
      <c r="G64" s="377" t="n">
        <v>0.685556833230237</v>
      </c>
      <c r="H64" s="377" t="n">
        <v>1.06337604300549</v>
      </c>
      <c r="I64" s="513" t="n">
        <v>0.101964536954526</v>
      </c>
      <c r="J64" s="513" t="n">
        <v>0.215415326395666</v>
      </c>
      <c r="K64" s="513" t="n">
        <v>0.0473</v>
      </c>
      <c r="L64" s="513" t="n">
        <v>0.436073052581002</v>
      </c>
      <c r="M64" s="513" t="n">
        <v>0.0729702416100686</v>
      </c>
      <c r="N64" s="377" t="n">
        <v>0.146841163262489</v>
      </c>
      <c r="O64" s="377" t="n">
        <v>11.0623787618652</v>
      </c>
      <c r="P64" s="377" t="n">
        <v>19.8895160187217</v>
      </c>
      <c r="Q64" s="377" t="n">
        <v>43.3614968224715</v>
      </c>
      <c r="R64" s="377" t="n">
        <v>1.92783792171287</v>
      </c>
      <c r="S64" s="377" t="n">
        <v>41.4825515249368</v>
      </c>
      <c r="T64" s="513" t="n">
        <v>1.1802755385536</v>
      </c>
      <c r="U64" s="513" t="n">
        <v>0.0306094714975293</v>
      </c>
      <c r="V64" s="513" t="n">
        <v>-0.0695794433237913</v>
      </c>
      <c r="W64" s="513" t="n">
        <v>-0.309030517973672</v>
      </c>
      <c r="X64" s="513" t="n">
        <v>0.0885296268090544</v>
      </c>
      <c r="Y64" s="513" t="n">
        <v>1.07798484310936</v>
      </c>
      <c r="Z64" s="513" t="n">
        <v>1.07798484310936</v>
      </c>
      <c r="AA64" s="514" t="n">
        <v>0.232030556346958</v>
      </c>
    </row>
    <row r="65" customFormat="false" ht="13.5" hidden="false" customHeight="false" outlineLevel="0" collapsed="false">
      <c r="A65" s="512" t="s">
        <v>857</v>
      </c>
      <c r="B65" s="75" t="n">
        <v>18</v>
      </c>
      <c r="C65" s="513" t="n">
        <v>0.101616666666667</v>
      </c>
      <c r="D65" s="513" t="n">
        <v>0.186432825444369</v>
      </c>
      <c r="E65" s="513" t="n">
        <v>0.0612468704751574</v>
      </c>
      <c r="F65" s="513" t="n">
        <v>0.229628954602755</v>
      </c>
      <c r="G65" s="377" t="n">
        <v>0.883804827440652</v>
      </c>
      <c r="H65" s="377" t="n">
        <v>1.51669244987612</v>
      </c>
      <c r="I65" s="513" t="n">
        <v>0.128891531522642</v>
      </c>
      <c r="J65" s="513" t="n">
        <v>0.512506350021052</v>
      </c>
      <c r="K65" s="513" t="n">
        <v>0.0588</v>
      </c>
      <c r="L65" s="513" t="n">
        <v>0.529536988685742</v>
      </c>
      <c r="M65" s="513" t="n">
        <v>0.0839912792540898</v>
      </c>
      <c r="N65" s="377" t="n">
        <v>0.375336992520846</v>
      </c>
      <c r="O65" s="377" t="n">
        <v>2.80745798568082</v>
      </c>
      <c r="P65" s="377" t="n">
        <v>10.5396310905061</v>
      </c>
      <c r="Q65" s="377" t="n">
        <v>15.4584914827578</v>
      </c>
      <c r="R65" s="377" t="n">
        <v>0.942278243195295</v>
      </c>
      <c r="S65" s="377" t="n">
        <v>10.7244443912679</v>
      </c>
      <c r="T65" s="513" t="n">
        <v>0.0689793276641564</v>
      </c>
      <c r="U65" s="513" t="n">
        <v>0.0166567076034866</v>
      </c>
      <c r="V65" s="513" t="n">
        <v>-0.0423597425733345</v>
      </c>
      <c r="W65" s="513" t="n">
        <v>-0.525668763282105</v>
      </c>
      <c r="X65" s="513" t="n">
        <v>0.105141618857461</v>
      </c>
      <c r="Y65" s="513" t="n">
        <v>0</v>
      </c>
      <c r="Z65" s="513" t="n">
        <v>0</v>
      </c>
      <c r="AA65" s="514" t="n">
        <v>0.174828989991776</v>
      </c>
    </row>
    <row r="66" customFormat="false" ht="13.5" hidden="false" customHeight="false" outlineLevel="0" collapsed="false">
      <c r="A66" s="512" t="s">
        <v>858</v>
      </c>
      <c r="B66" s="75" t="n">
        <v>12</v>
      </c>
      <c r="C66" s="513" t="n">
        <v>0.08742</v>
      </c>
      <c r="D66" s="513" t="n">
        <v>0.18574177746676</v>
      </c>
      <c r="E66" s="513" t="n">
        <v>0.0651249165160998</v>
      </c>
      <c r="F66" s="513" t="n">
        <v>0.228773491199491</v>
      </c>
      <c r="G66" s="377" t="n">
        <v>0.664939158855931</v>
      </c>
      <c r="H66" s="377" t="n">
        <v>0.78980297684165</v>
      </c>
      <c r="I66" s="513" t="n">
        <v>0.085714296824394</v>
      </c>
      <c r="J66" s="513" t="n">
        <v>0.286617492736126</v>
      </c>
      <c r="K66" s="513" t="n">
        <v>0.055</v>
      </c>
      <c r="L66" s="513" t="n">
        <v>0.284788604161326</v>
      </c>
      <c r="M66" s="513" t="n">
        <v>0.07305137179676</v>
      </c>
      <c r="N66" s="377" t="n">
        <v>0.386252098598056</v>
      </c>
      <c r="O66" s="377" t="n">
        <v>4.01564382379066</v>
      </c>
      <c r="P66" s="377" t="n">
        <v>14.8907942399205</v>
      </c>
      <c r="Q66" s="377" t="n">
        <v>21.3909673183684</v>
      </c>
      <c r="R66" s="377" t="n">
        <v>0.96600942934183</v>
      </c>
      <c r="S66" s="377" t="n">
        <v>17.5268676813406</v>
      </c>
      <c r="T66" s="513" t="n">
        <v>2.04592459762071</v>
      </c>
      <c r="U66" s="513" t="n">
        <v>0.018100944716585</v>
      </c>
      <c r="V66" s="513" t="n">
        <v>-0.000339398180545841</v>
      </c>
      <c r="W66" s="513" t="n">
        <v>0.667782529319398</v>
      </c>
      <c r="X66" s="513" t="n">
        <v>0.0668111597878718</v>
      </c>
      <c r="Y66" s="513" t="n">
        <v>0.331998895637769</v>
      </c>
      <c r="Z66" s="513" t="n">
        <v>0.331998895637769</v>
      </c>
      <c r="AA66" s="514" t="n">
        <v>0.186041809069719</v>
      </c>
    </row>
    <row r="67" customFormat="false" ht="13.5" hidden="false" customHeight="false" outlineLevel="0" collapsed="false">
      <c r="A67" s="512" t="s">
        <v>859</v>
      </c>
      <c r="B67" s="75" t="n">
        <v>60</v>
      </c>
      <c r="C67" s="513" t="n">
        <v>0.160037586206897</v>
      </c>
      <c r="D67" s="513" t="n">
        <v>0.0116857625959629</v>
      </c>
      <c r="E67" s="513" t="n">
        <v>0.0107581161202137</v>
      </c>
      <c r="F67" s="513" t="n">
        <v>0.202288281844212</v>
      </c>
      <c r="G67" s="377" t="n">
        <v>0.805020604743318</v>
      </c>
      <c r="H67" s="377" t="n">
        <v>1.34548433021126</v>
      </c>
      <c r="I67" s="513" t="n">
        <v>0.118721769214549</v>
      </c>
      <c r="J67" s="513" t="n">
        <v>0.444342204530637</v>
      </c>
      <c r="K67" s="513" t="n">
        <v>0.055</v>
      </c>
      <c r="L67" s="513" t="n">
        <v>0.522119665042951</v>
      </c>
      <c r="M67" s="513" t="n">
        <v>0.0782722350219638</v>
      </c>
      <c r="N67" s="377" t="n">
        <v>1.56892155648816</v>
      </c>
      <c r="O67" s="377" t="n">
        <v>0.997311012032911</v>
      </c>
      <c r="P67" s="377" t="n">
        <v>8.79714626597379</v>
      </c>
      <c r="Q67" s="377" t="n">
        <v>159.942118871507</v>
      </c>
      <c r="R67" s="377" t="n">
        <v>1.64651446497189</v>
      </c>
      <c r="S67" s="377" t="n">
        <v>39.8001773250744</v>
      </c>
      <c r="T67" s="513" t="n">
        <v>0.151378725762666</v>
      </c>
      <c r="U67" s="513" t="n">
        <v>0.0119490563665297</v>
      </c>
      <c r="V67" s="513" t="n">
        <v>-0.000973355034668099</v>
      </c>
      <c r="W67" s="513" t="s">
        <v>800</v>
      </c>
      <c r="X67" s="513" t="n">
        <v>-0.0357668567520912</v>
      </c>
      <c r="Y67" s="513" t="n">
        <v>0.00335088673322287</v>
      </c>
      <c r="Z67" s="513" t="n">
        <v>0.00335088673322281</v>
      </c>
      <c r="AA67" s="514" t="n">
        <v>0.00712836034992138</v>
      </c>
    </row>
    <row r="68" customFormat="false" ht="13.5" hidden="false" customHeight="false" outlineLevel="0" collapsed="false">
      <c r="A68" s="512" t="s">
        <v>860</v>
      </c>
      <c r="B68" s="75" t="n">
        <v>57</v>
      </c>
      <c r="C68" s="513" t="n">
        <v>0.0778869230769231</v>
      </c>
      <c r="D68" s="513" t="n">
        <v>0.0918726180658401</v>
      </c>
      <c r="E68" s="513" t="n">
        <v>0.122549414569191</v>
      </c>
      <c r="F68" s="513" t="n">
        <v>0.200458372358623</v>
      </c>
      <c r="G68" s="377" t="n">
        <v>1.07549292707017</v>
      </c>
      <c r="H68" s="377" t="n">
        <v>1.41798094416365</v>
      </c>
      <c r="I68" s="513" t="n">
        <v>0.123028068083321</v>
      </c>
      <c r="J68" s="513" t="n">
        <v>0.421311539232298</v>
      </c>
      <c r="K68" s="513" t="n">
        <v>0.055</v>
      </c>
      <c r="L68" s="513" t="n">
        <v>0.342367185550891</v>
      </c>
      <c r="M68" s="513" t="n">
        <v>0.0950299410738451</v>
      </c>
      <c r="N68" s="377" t="n">
        <v>1.5859899092296</v>
      </c>
      <c r="O68" s="377" t="n">
        <v>1.76624648007852</v>
      </c>
      <c r="P68" s="377" t="n">
        <v>9.66227973700297</v>
      </c>
      <c r="Q68" s="377" t="n">
        <v>20.2615676914015</v>
      </c>
      <c r="R68" s="377" t="n">
        <v>3.24399022387623</v>
      </c>
      <c r="S68" s="377" t="n">
        <v>18.7971470329769</v>
      </c>
      <c r="T68" s="513" t="n">
        <v>0.188531379111994</v>
      </c>
      <c r="U68" s="513" t="n">
        <v>0.0631651853574229</v>
      </c>
      <c r="V68" s="513" t="n">
        <v>0.0846337523872951</v>
      </c>
      <c r="W68" s="513" t="n">
        <v>2.4253997212904</v>
      </c>
      <c r="X68" s="513" t="n">
        <v>0.0395234338695212</v>
      </c>
      <c r="Y68" s="513" t="n">
        <v>1.36337986167663</v>
      </c>
      <c r="Z68" s="513" t="n">
        <v>1.36337986167663</v>
      </c>
      <c r="AA68" s="514" t="n">
        <v>0.0851552505150974</v>
      </c>
    </row>
    <row r="69" customFormat="false" ht="13.5" hidden="false" customHeight="false" outlineLevel="0" collapsed="false">
      <c r="A69" s="512" t="s">
        <v>861</v>
      </c>
      <c r="B69" s="75" t="n">
        <v>1</v>
      </c>
      <c r="C69" s="513" t="n">
        <v>0.0563</v>
      </c>
      <c r="D69" s="513" t="n">
        <v>0.0464844231006034</v>
      </c>
      <c r="E69" s="513" t="n">
        <v>0.052526535195568</v>
      </c>
      <c r="F69" s="513" t="n">
        <v>0.0648298217179903</v>
      </c>
      <c r="G69" s="377" t="n">
        <v>0.831607380805963</v>
      </c>
      <c r="H69" s="377" t="n">
        <v>0.829248203416351</v>
      </c>
      <c r="I69" s="513" t="n">
        <v>0.0880573432829313</v>
      </c>
      <c r="J69" s="513" t="n">
        <v>0.193676156744384</v>
      </c>
      <c r="K69" s="513" t="n">
        <v>0.0473</v>
      </c>
      <c r="L69" s="513" t="n">
        <v>0.310813829171018</v>
      </c>
      <c r="M69" s="513" t="n">
        <v>0.0717140238203784</v>
      </c>
      <c r="N69" s="377" t="n">
        <v>1.21020327531465</v>
      </c>
      <c r="O69" s="377" t="n">
        <v>0.632162654784816</v>
      </c>
      <c r="P69" s="377" t="n">
        <v>12.075250898524</v>
      </c>
      <c r="Q69" s="377" t="n">
        <v>13.6206883109262</v>
      </c>
      <c r="R69" s="377" t="n">
        <v>2.53718942025114</v>
      </c>
      <c r="S69" s="377" t="n">
        <v>16.516</v>
      </c>
      <c r="T69" s="513" t="n">
        <v>-0.179349833764315</v>
      </c>
      <c r="U69" s="513" t="n">
        <v>0.00141608176332964</v>
      </c>
      <c r="V69" s="513" t="n">
        <v>-0.00358945942617904</v>
      </c>
      <c r="W69" s="513" t="n">
        <v>0.0591529105427861</v>
      </c>
      <c r="X69" s="513" t="n">
        <v>0.0446255335661622</v>
      </c>
      <c r="Y69" s="513" t="n">
        <v>0.349565217391304</v>
      </c>
      <c r="Z69" s="513" t="n">
        <v>0.349565217391304</v>
      </c>
      <c r="AA69" s="514" t="n">
        <v>0.0464119463241598</v>
      </c>
    </row>
    <row r="70" customFormat="false" ht="13.5" hidden="false" customHeight="false" outlineLevel="0" collapsed="false">
      <c r="A70" s="512" t="s">
        <v>862</v>
      </c>
      <c r="B70" s="75" t="n">
        <v>70</v>
      </c>
      <c r="C70" s="513" t="n">
        <v>0.062767619047619</v>
      </c>
      <c r="D70" s="513" t="n">
        <v>0.154197954998988</v>
      </c>
      <c r="E70" s="513" t="n">
        <v>0.183847549115476</v>
      </c>
      <c r="F70" s="513" t="n">
        <v>0.213028829196147</v>
      </c>
      <c r="G70" s="377" t="n">
        <v>1.16600171054645</v>
      </c>
      <c r="H70" s="377" t="n">
        <v>1.41039786881805</v>
      </c>
      <c r="I70" s="513" t="n">
        <v>0.122577633407792</v>
      </c>
      <c r="J70" s="513" t="n">
        <v>0.411470533916096</v>
      </c>
      <c r="K70" s="513" t="n">
        <v>0.055</v>
      </c>
      <c r="L70" s="513" t="n">
        <v>0.235330409649153</v>
      </c>
      <c r="M70" s="513" t="n">
        <v>0.10343876812214</v>
      </c>
      <c r="N70" s="377" t="n">
        <v>1.57019422399564</v>
      </c>
      <c r="O70" s="377" t="n">
        <v>4.06653837644747</v>
      </c>
      <c r="P70" s="377" t="n">
        <v>16.789677683444</v>
      </c>
      <c r="Q70" s="377" t="n">
        <v>31.7094470421338</v>
      </c>
      <c r="R70" s="377" t="s">
        <v>800</v>
      </c>
      <c r="S70" s="377" t="n">
        <v>32.0603050599561</v>
      </c>
      <c r="T70" s="513" t="n">
        <v>0.0169151038004242</v>
      </c>
      <c r="U70" s="513" t="n">
        <v>0.0551104623677725</v>
      </c>
      <c r="V70" s="513" t="n">
        <v>0.0412027021851602</v>
      </c>
      <c r="W70" s="513" t="n">
        <v>0.450415192470167</v>
      </c>
      <c r="X70" s="513" t="s">
        <v>800</v>
      </c>
      <c r="Y70" s="513" t="n">
        <v>0.618593970797771</v>
      </c>
      <c r="Z70" s="513" t="n">
        <v>0.618593970797771</v>
      </c>
      <c r="AA70" s="514" t="n">
        <v>0.128024720499496</v>
      </c>
    </row>
    <row r="71" customFormat="false" ht="13.5" hidden="false" customHeight="false" outlineLevel="0" collapsed="false">
      <c r="A71" s="512" t="s">
        <v>863</v>
      </c>
      <c r="B71" s="75" t="n">
        <v>30</v>
      </c>
      <c r="C71" s="513" t="n">
        <v>0.171194444444444</v>
      </c>
      <c r="D71" s="513" t="n">
        <v>0.0619277205780081</v>
      </c>
      <c r="E71" s="513" t="n">
        <v>0.156019124071552</v>
      </c>
      <c r="F71" s="513" t="n">
        <v>0.235589026701571</v>
      </c>
      <c r="G71" s="377" t="n">
        <v>1.082726084592</v>
      </c>
      <c r="H71" s="377" t="n">
        <v>1.52019251217686</v>
      </c>
      <c r="I71" s="513" t="n">
        <v>0.129099435223305</v>
      </c>
      <c r="J71" s="513" t="n">
        <v>0.357108959664845</v>
      </c>
      <c r="K71" s="513" t="n">
        <v>0.055</v>
      </c>
      <c r="L71" s="513" t="n">
        <v>0.365026164989497</v>
      </c>
      <c r="M71" s="513" t="n">
        <v>0.097032092787249</v>
      </c>
      <c r="N71" s="377" t="n">
        <v>3.23131095421131</v>
      </c>
      <c r="O71" s="377" t="n">
        <v>0.905605651099191</v>
      </c>
      <c r="P71" s="377" t="n">
        <v>9.75103060049971</v>
      </c>
      <c r="Q71" s="377" t="n">
        <v>15.107260975673</v>
      </c>
      <c r="R71" s="377" t="n">
        <v>6.06522245222493</v>
      </c>
      <c r="S71" s="377" t="n">
        <v>10.0016516149017</v>
      </c>
      <c r="T71" s="513" t="n">
        <v>0.08138642919836</v>
      </c>
      <c r="U71" s="513" t="n">
        <v>0.0177783131481091</v>
      </c>
      <c r="V71" s="513" t="n">
        <v>0.0512598944615365</v>
      </c>
      <c r="W71" s="513" t="n">
        <v>1.33906356368706</v>
      </c>
      <c r="X71" s="513" t="n">
        <v>0.432540802516112</v>
      </c>
      <c r="Y71" s="513" t="n">
        <v>0.0670071520432071</v>
      </c>
      <c r="Z71" s="513" t="n">
        <v>0.0670071520432071</v>
      </c>
      <c r="AA71" s="514" t="n">
        <v>0.0573649709555621</v>
      </c>
    </row>
    <row r="72" customFormat="false" ht="13.5" hidden="false" customHeight="false" outlineLevel="0" collapsed="false">
      <c r="A72" s="512" t="s">
        <v>864</v>
      </c>
      <c r="B72" s="75" t="n">
        <v>15</v>
      </c>
      <c r="C72" s="513" t="n">
        <v>0.130233333333333</v>
      </c>
      <c r="D72" s="513" t="n">
        <v>0.13849542000703</v>
      </c>
      <c r="E72" s="513" t="n">
        <v>0.502848472867621</v>
      </c>
      <c r="F72" s="513" t="n">
        <v>0.249163040032279</v>
      </c>
      <c r="G72" s="377" t="n">
        <v>1.56704196217393</v>
      </c>
      <c r="H72" s="377" t="n">
        <v>1.78917235102225</v>
      </c>
      <c r="I72" s="513" t="n">
        <v>0.145076837650722</v>
      </c>
      <c r="J72" s="513" t="n">
        <v>0.375461837166544</v>
      </c>
      <c r="K72" s="513" t="n">
        <v>0.055</v>
      </c>
      <c r="L72" s="513" t="n">
        <v>0.17500957285413</v>
      </c>
      <c r="M72" s="513" t="n">
        <v>0.126906147142674</v>
      </c>
      <c r="N72" s="377" t="n">
        <v>4.20381760252079</v>
      </c>
      <c r="O72" s="377" t="n">
        <v>1.95634865585461</v>
      </c>
      <c r="P72" s="377" t="n">
        <v>11.4691281201718</v>
      </c>
      <c r="Q72" s="377" t="n">
        <v>14.1610324142376</v>
      </c>
      <c r="R72" s="377" t="s">
        <v>800</v>
      </c>
      <c r="S72" s="377" t="n">
        <v>14.3079305907311</v>
      </c>
      <c r="T72" s="513" t="n">
        <v>0.100004625724565</v>
      </c>
      <c r="U72" s="513" t="n">
        <v>0.0224446779111489</v>
      </c>
      <c r="V72" s="513" t="n">
        <v>0.00631321692160131</v>
      </c>
      <c r="W72" s="513" t="n">
        <v>0.41726625965421</v>
      </c>
      <c r="X72" s="513" t="n">
        <v>0.00477269606279885</v>
      </c>
      <c r="Y72" s="513" t="n">
        <v>0.411550811982697</v>
      </c>
      <c r="Z72" s="513" t="n">
        <v>0.411550811982697</v>
      </c>
      <c r="AA72" s="514" t="n">
        <v>0.13811055980818</v>
      </c>
    </row>
    <row r="73" customFormat="false" ht="13.5" hidden="false" customHeight="false" outlineLevel="0" collapsed="false">
      <c r="A73" s="512" t="s">
        <v>865</v>
      </c>
      <c r="B73" s="75" t="n">
        <v>69</v>
      </c>
      <c r="C73" s="513" t="n">
        <v>0.0732692857142857</v>
      </c>
      <c r="D73" s="513" t="n">
        <v>0.116621389009147</v>
      </c>
      <c r="E73" s="513" t="n">
        <v>0.213426320813471</v>
      </c>
      <c r="F73" s="513" t="n">
        <v>0.234568025654417</v>
      </c>
      <c r="G73" s="377" t="n">
        <v>1.00607436454125</v>
      </c>
      <c r="H73" s="377" t="n">
        <v>1.27524569343888</v>
      </c>
      <c r="I73" s="513" t="n">
        <v>0.114549594190269</v>
      </c>
      <c r="J73" s="513" t="n">
        <v>0.370830107762401</v>
      </c>
      <c r="K73" s="513" t="n">
        <v>0.055</v>
      </c>
      <c r="L73" s="513" t="n">
        <v>0.283499767174576</v>
      </c>
      <c r="M73" s="513" t="n">
        <v>0.093769176303337</v>
      </c>
      <c r="N73" s="377" t="n">
        <v>2.07292808987183</v>
      </c>
      <c r="O73" s="377" t="n">
        <v>1.4491371517416</v>
      </c>
      <c r="P73" s="377" t="n">
        <v>9.43370286654672</v>
      </c>
      <c r="Q73" s="377" t="n">
        <v>11.1896988408955</v>
      </c>
      <c r="R73" s="377" t="n">
        <v>3.35469965309546</v>
      </c>
      <c r="S73" s="377" t="n">
        <v>27.1392804631749</v>
      </c>
      <c r="T73" s="513" t="n">
        <v>0.171410680411951</v>
      </c>
      <c r="U73" s="513" t="n">
        <v>0.060647545579341</v>
      </c>
      <c r="V73" s="513" t="n">
        <v>0.0794936451959049</v>
      </c>
      <c r="W73" s="513" t="n">
        <v>1.32603498396853</v>
      </c>
      <c r="X73" s="513" t="n">
        <v>0.27374436051738</v>
      </c>
      <c r="Y73" s="513" t="n">
        <v>0.2164578249331</v>
      </c>
      <c r="Z73" s="513" t="n">
        <v>0.2164578249331</v>
      </c>
      <c r="AA73" s="514" t="n">
        <v>0.119135713996546</v>
      </c>
    </row>
    <row r="74" customFormat="false" ht="13.5" hidden="false" customHeight="false" outlineLevel="0" collapsed="false">
      <c r="A74" s="512" t="s">
        <v>866</v>
      </c>
      <c r="B74" s="75" t="n">
        <v>15</v>
      </c>
      <c r="C74" s="513" t="n">
        <v>0.0431815384615385</v>
      </c>
      <c r="D74" s="513" t="n">
        <v>0.0434901326960432</v>
      </c>
      <c r="E74" s="513" t="n">
        <v>0.178872586803082</v>
      </c>
      <c r="F74" s="513" t="n">
        <v>0.254070237856947</v>
      </c>
      <c r="G74" s="377" t="n">
        <v>1.22010029715749</v>
      </c>
      <c r="H74" s="377" t="n">
        <v>1.36321361869356</v>
      </c>
      <c r="I74" s="513" t="n">
        <v>0.119774888950398</v>
      </c>
      <c r="J74" s="513" t="n">
        <v>0.315280803193131</v>
      </c>
      <c r="K74" s="513" t="n">
        <v>0.055</v>
      </c>
      <c r="L74" s="513" t="n">
        <v>0.166455783708452</v>
      </c>
      <c r="M74" s="513" t="n">
        <v>0.10670396701954</v>
      </c>
      <c r="N74" s="377" t="n">
        <v>5.51174752338116</v>
      </c>
      <c r="O74" s="377" t="n">
        <v>0.813134499854417</v>
      </c>
      <c r="P74" s="377" t="n">
        <v>11.8955923887049</v>
      </c>
      <c r="Q74" s="377" t="n">
        <v>19.7289798464555</v>
      </c>
      <c r="R74" s="377" t="n">
        <v>5.44719866475949</v>
      </c>
      <c r="S74" s="377" t="n">
        <v>18.5505278653533</v>
      </c>
      <c r="T74" s="513" t="n">
        <v>0.0261653796453651</v>
      </c>
      <c r="U74" s="513" t="n">
        <v>0.0284618654840923</v>
      </c>
      <c r="V74" s="513" t="n">
        <v>0.0126386823920513</v>
      </c>
      <c r="W74" s="513" t="n">
        <v>0.984702087217654</v>
      </c>
      <c r="X74" s="513" t="n">
        <v>0.182901056406308</v>
      </c>
      <c r="Y74" s="513" t="n">
        <v>0.405976544793835</v>
      </c>
      <c r="Z74" s="513" t="n">
        <v>0.405976544793835</v>
      </c>
      <c r="AA74" s="514" t="n">
        <v>0.0412152329305818</v>
      </c>
    </row>
    <row r="75" customFormat="false" ht="13.5" hidden="false" customHeight="false" outlineLevel="0" collapsed="false">
      <c r="A75" s="512" t="s">
        <v>867</v>
      </c>
      <c r="B75" s="75" t="n">
        <v>13</v>
      </c>
      <c r="C75" s="513" t="n">
        <v>0.0496111111111111</v>
      </c>
      <c r="D75" s="513" t="n">
        <v>0.0332293643677859</v>
      </c>
      <c r="E75" s="513" t="n">
        <v>0.127663327631454</v>
      </c>
      <c r="F75" s="513" t="n">
        <v>0.22297163025908</v>
      </c>
      <c r="G75" s="377" t="n">
        <v>0.473174907702832</v>
      </c>
      <c r="H75" s="377" t="n">
        <v>0.66756973306314</v>
      </c>
      <c r="I75" s="513" t="n">
        <v>0.0784536421439505</v>
      </c>
      <c r="J75" s="513" t="n">
        <v>0.28264661461127</v>
      </c>
      <c r="K75" s="513" t="n">
        <v>0.055</v>
      </c>
      <c r="L75" s="513" t="n">
        <v>0.396927612261455</v>
      </c>
      <c r="M75" s="513" t="n">
        <v>0.0636864893003226</v>
      </c>
      <c r="N75" s="377" t="n">
        <v>5.23447585527297</v>
      </c>
      <c r="O75" s="377" t="n">
        <v>0.374719739676593</v>
      </c>
      <c r="P75" s="377" t="n">
        <v>5.89476304542662</v>
      </c>
      <c r="Q75" s="377" t="n">
        <v>12.8203751726267</v>
      </c>
      <c r="R75" s="377" t="n">
        <v>2.74613285538551</v>
      </c>
      <c r="S75" s="377" t="n">
        <v>16.7521020758443</v>
      </c>
      <c r="T75" s="513" t="n">
        <v>-0.00582154887574042</v>
      </c>
      <c r="U75" s="513" t="n">
        <v>0.0216444502609736</v>
      </c>
      <c r="V75" s="513" t="n">
        <v>0.0023337952710875</v>
      </c>
      <c r="W75" s="513" t="n">
        <v>0.424106065999517</v>
      </c>
      <c r="X75" s="513" t="n">
        <v>0.279751670067976</v>
      </c>
      <c r="Y75" s="513" t="n">
        <v>0.198152149893126</v>
      </c>
      <c r="Z75" s="513" t="n">
        <v>0.198152149893126</v>
      </c>
      <c r="AA75" s="514" t="n">
        <v>0.0291926337818951</v>
      </c>
    </row>
    <row r="76" customFormat="false" ht="13.5" hidden="false" customHeight="false" outlineLevel="0" collapsed="false">
      <c r="A76" s="512" t="s">
        <v>868</v>
      </c>
      <c r="B76" s="75" t="n">
        <v>63</v>
      </c>
      <c r="C76" s="513" t="n">
        <v>0.207125217391304</v>
      </c>
      <c r="D76" s="513" t="n">
        <v>0.0230288249061773</v>
      </c>
      <c r="E76" s="513" t="n">
        <v>0.0509395127561826</v>
      </c>
      <c r="F76" s="513" t="n">
        <v>0.00440357025290346</v>
      </c>
      <c r="G76" s="377" t="n">
        <v>1.35598984435052</v>
      </c>
      <c r="H76" s="377" t="n">
        <v>1.48713006946134</v>
      </c>
      <c r="I76" s="513" t="n">
        <v>0.127135526126004</v>
      </c>
      <c r="J76" s="513" t="n">
        <v>0.594103887607587</v>
      </c>
      <c r="K76" s="513" t="n">
        <v>0.0588</v>
      </c>
      <c r="L76" s="513" t="n">
        <v>0.160893946986808</v>
      </c>
      <c r="M76" s="513" t="n">
        <v>0.113775612587465</v>
      </c>
      <c r="N76" s="377" t="n">
        <v>1.34275801502331</v>
      </c>
      <c r="O76" s="377" t="n">
        <v>1.86622559837887</v>
      </c>
      <c r="P76" s="377" t="n">
        <v>16.0709431074008</v>
      </c>
      <c r="Q76" s="377" t="n">
        <v>98.6407383048408</v>
      </c>
      <c r="R76" s="377" t="n">
        <v>6.16198442885351</v>
      </c>
      <c r="S76" s="377" t="n">
        <v>205.211674701412</v>
      </c>
      <c r="T76" s="513" t="n">
        <v>-0.00428482546646858</v>
      </c>
      <c r="U76" s="513" t="n">
        <v>0.11698649326937</v>
      </c>
      <c r="V76" s="513" t="n">
        <v>0.0825165443309914</v>
      </c>
      <c r="W76" s="513" t="n">
        <v>7.09416977032967</v>
      </c>
      <c r="X76" s="513" t="n">
        <v>0.0254242424403255</v>
      </c>
      <c r="Y76" s="513" t="n">
        <v>0.13918756106739</v>
      </c>
      <c r="Z76" s="513" t="n">
        <v>0.13918756106739</v>
      </c>
      <c r="AA76" s="514" t="n">
        <v>0.0386891833387725</v>
      </c>
    </row>
    <row r="77" customFormat="false" ht="13.5" hidden="false" customHeight="false" outlineLevel="0" collapsed="false">
      <c r="A77" s="512" t="s">
        <v>869</v>
      </c>
      <c r="B77" s="75" t="n">
        <v>78</v>
      </c>
      <c r="C77" s="513" t="n">
        <v>0.133229807692308</v>
      </c>
      <c r="D77" s="513" t="n">
        <v>0.054269454417329</v>
      </c>
      <c r="E77" s="513" t="n">
        <v>0.157158435312466</v>
      </c>
      <c r="F77" s="513" t="n">
        <v>0.205740282246641</v>
      </c>
      <c r="G77" s="377" t="n">
        <v>1.18787633319721</v>
      </c>
      <c r="H77" s="377" t="n">
        <v>1.47520738254505</v>
      </c>
      <c r="I77" s="513" t="n">
        <v>0.126427318523176</v>
      </c>
      <c r="J77" s="513" t="n">
        <v>0.385859052257896</v>
      </c>
      <c r="K77" s="513" t="n">
        <v>0.055</v>
      </c>
      <c r="L77" s="513" t="n">
        <v>0.281394299891543</v>
      </c>
      <c r="M77" s="513" t="n">
        <v>0.102458906610708</v>
      </c>
      <c r="N77" s="377" t="n">
        <v>3.22110036158313</v>
      </c>
      <c r="O77" s="377" t="n">
        <v>0.967455019147809</v>
      </c>
      <c r="P77" s="377" t="n">
        <v>8.39990237504564</v>
      </c>
      <c r="Q77" s="377" t="n">
        <v>16.5886613314467</v>
      </c>
      <c r="R77" s="377" t="n">
        <v>4.41823664166577</v>
      </c>
      <c r="S77" s="377" t="n">
        <v>19.9683629369679</v>
      </c>
      <c r="T77" s="513" t="n">
        <v>0.0780756893625751</v>
      </c>
      <c r="U77" s="513" t="n">
        <v>0.0253917640383132</v>
      </c>
      <c r="V77" s="513" t="n">
        <v>0.0160079968700339</v>
      </c>
      <c r="W77" s="513" t="n">
        <v>0.889867077346015</v>
      </c>
      <c r="X77" s="513" t="n">
        <v>0.241649949287388</v>
      </c>
      <c r="Y77" s="513" t="n">
        <v>0.324022041377589</v>
      </c>
      <c r="Z77" s="513" t="n">
        <v>0.324022041377589</v>
      </c>
      <c r="AA77" s="514" t="n">
        <v>0.0574060074781313</v>
      </c>
    </row>
    <row r="78" customFormat="false" ht="13.5" hidden="false" customHeight="false" outlineLevel="0" collapsed="false">
      <c r="A78" s="512" t="s">
        <v>870</v>
      </c>
      <c r="B78" s="75" t="n">
        <v>3</v>
      </c>
      <c r="C78" s="513" t="n">
        <v>0.124233333333333</v>
      </c>
      <c r="D78" s="513" t="n">
        <v>0.0554778921334748</v>
      </c>
      <c r="E78" s="513" t="n">
        <v>0.0961745443021765</v>
      </c>
      <c r="F78" s="513" t="n">
        <v>0</v>
      </c>
      <c r="G78" s="377" t="n">
        <v>0.267665547396446</v>
      </c>
      <c r="H78" s="377" t="n">
        <v>0.838014979629705</v>
      </c>
      <c r="I78" s="513" t="n">
        <v>0.0885780897900045</v>
      </c>
      <c r="J78" s="513" t="n">
        <v>0.397859983974962</v>
      </c>
      <c r="K78" s="513" t="n">
        <v>0.055</v>
      </c>
      <c r="L78" s="513" t="n">
        <v>0.767622337096854</v>
      </c>
      <c r="M78" s="513" t="n">
        <v>0.0522479908950715</v>
      </c>
      <c r="N78" s="377" t="n">
        <v>1.59148031685144</v>
      </c>
      <c r="O78" s="377" t="n">
        <v>0.549946541476143</v>
      </c>
      <c r="P78" s="377" t="n">
        <v>4.81127477402591</v>
      </c>
      <c r="Q78" s="377" t="n">
        <v>9.42230539891849</v>
      </c>
      <c r="R78" s="377" t="n">
        <v>0.549372073523454</v>
      </c>
      <c r="S78" s="377" t="n">
        <v>7.08607803907209</v>
      </c>
      <c r="T78" s="513" t="n">
        <v>0.133324310376725</v>
      </c>
      <c r="U78" s="513" t="n">
        <v>0.0529024546985911</v>
      </c>
      <c r="V78" s="513" t="n">
        <v>0.00856348039454338</v>
      </c>
      <c r="W78" s="513" t="n">
        <v>1.05009680854522</v>
      </c>
      <c r="X78" s="513" t="n">
        <v>0.198097705233718</v>
      </c>
      <c r="Y78" s="513" t="n">
        <v>0</v>
      </c>
      <c r="Z78" s="513" t="n">
        <v>0</v>
      </c>
      <c r="AA78" s="514" t="n">
        <v>0.060430872618297</v>
      </c>
    </row>
    <row r="79" customFormat="false" ht="13.5" hidden="false" customHeight="false" outlineLevel="0" collapsed="false">
      <c r="A79" s="512" t="s">
        <v>14</v>
      </c>
      <c r="B79" s="75" t="n">
        <v>68</v>
      </c>
      <c r="C79" s="513" t="n">
        <v>0.0887989130434782</v>
      </c>
      <c r="D79" s="513" t="n">
        <v>0.254385400350807</v>
      </c>
      <c r="E79" s="513" t="n">
        <v>0.185170790234001</v>
      </c>
      <c r="F79" s="513" t="n">
        <v>0.102127755058399</v>
      </c>
      <c r="G79" s="377" t="n">
        <v>1.53426722020609</v>
      </c>
      <c r="H79" s="377" t="n">
        <v>1.60774625863407</v>
      </c>
      <c r="I79" s="513" t="n">
        <v>0.134300127762864</v>
      </c>
      <c r="J79" s="513" t="n">
        <v>0.384042651176921</v>
      </c>
      <c r="K79" s="513" t="n">
        <v>0.055</v>
      </c>
      <c r="L79" s="513" t="n">
        <v>0.101249851782572</v>
      </c>
      <c r="M79" s="513" t="n">
        <v>0.124878816118524</v>
      </c>
      <c r="N79" s="377" t="n">
        <v>0.722010058861165</v>
      </c>
      <c r="O79" s="377" t="n">
        <v>4.97579828260699</v>
      </c>
      <c r="P79" s="377" t="n">
        <v>12.6550414308954</v>
      </c>
      <c r="Q79" s="377" t="n">
        <v>19.336945230157</v>
      </c>
      <c r="R79" s="377" t="n">
        <v>3.79324626719856</v>
      </c>
      <c r="S79" s="377" t="n">
        <v>29.657290214297</v>
      </c>
      <c r="T79" s="513" t="n">
        <v>0.203316253952481</v>
      </c>
      <c r="U79" s="513" t="n">
        <v>0.168324923972262</v>
      </c>
      <c r="V79" s="513" t="n">
        <v>0.094211405166162</v>
      </c>
      <c r="W79" s="513" t="n">
        <v>0.685618469941525</v>
      </c>
      <c r="X79" s="513" t="n">
        <v>0.227663910589919</v>
      </c>
      <c r="Y79" s="513" t="n">
        <v>0.328441988034146</v>
      </c>
      <c r="Z79" s="513" t="n">
        <v>0.328441988034146</v>
      </c>
      <c r="AA79" s="514" t="n">
        <v>0.27728175935893</v>
      </c>
    </row>
    <row r="80" customFormat="false" ht="13.5" hidden="false" customHeight="false" outlineLevel="0" collapsed="false">
      <c r="A80" s="512" t="s">
        <v>871</v>
      </c>
      <c r="B80" s="75" t="n">
        <v>30</v>
      </c>
      <c r="C80" s="513" t="n">
        <v>0.156969230769231</v>
      </c>
      <c r="D80" s="513" t="n">
        <v>0.272996368532017</v>
      </c>
      <c r="E80" s="513" t="n">
        <v>0.381661662675083</v>
      </c>
      <c r="F80" s="513" t="n">
        <v>0.135037877544536</v>
      </c>
      <c r="G80" s="377" t="n">
        <v>1.68924736107712</v>
      </c>
      <c r="H80" s="377" t="n">
        <v>1.75714272171589</v>
      </c>
      <c r="I80" s="513" t="n">
        <v>0.143174277669924</v>
      </c>
      <c r="J80" s="513" t="n">
        <v>0.415687230296765</v>
      </c>
      <c r="K80" s="513" t="n">
        <v>0.055</v>
      </c>
      <c r="L80" s="513" t="n">
        <v>0.105440196401897</v>
      </c>
      <c r="M80" s="513" t="n">
        <v>0.132427361814286</v>
      </c>
      <c r="N80" s="377" t="n">
        <v>1.5108753291051</v>
      </c>
      <c r="O80" s="377" t="n">
        <v>3.66413024357325</v>
      </c>
      <c r="P80" s="377" t="n">
        <v>11.7772350103805</v>
      </c>
      <c r="Q80" s="377" t="n">
        <v>13.3422948442756</v>
      </c>
      <c r="R80" s="377" t="n">
        <v>6.39778051134692</v>
      </c>
      <c r="S80" s="377" t="n">
        <v>20.0688434916645</v>
      </c>
      <c r="T80" s="513" t="n">
        <v>0.342870199254008</v>
      </c>
      <c r="U80" s="513" t="n">
        <v>0.0449249977571176</v>
      </c>
      <c r="V80" s="513" t="n">
        <v>0.152418949686686</v>
      </c>
      <c r="W80" s="513" t="n">
        <v>1.05898037175258</v>
      </c>
      <c r="X80" s="513" t="n">
        <v>0.46515933713298</v>
      </c>
      <c r="Y80" s="513" t="n">
        <v>0.142470235330398</v>
      </c>
      <c r="Z80" s="513" t="n">
        <v>0.142470235330397</v>
      </c>
      <c r="AA80" s="514" t="n">
        <v>0.282619614915769</v>
      </c>
    </row>
    <row r="81" customFormat="false" ht="13.5" hidden="false" customHeight="false" outlineLevel="0" collapsed="false">
      <c r="A81" s="512" t="s">
        <v>872</v>
      </c>
      <c r="B81" s="75" t="n">
        <v>8</v>
      </c>
      <c r="C81" s="513" t="n">
        <v>0.155366666666667</v>
      </c>
      <c r="D81" s="513" t="n">
        <v>0.25504298331126</v>
      </c>
      <c r="E81" s="513" t="n">
        <v>0.287912534105587</v>
      </c>
      <c r="F81" s="513" t="n">
        <v>0.155551897209396</v>
      </c>
      <c r="G81" s="377" t="n">
        <v>0.780333955637695</v>
      </c>
      <c r="H81" s="377" t="n">
        <v>0.943738631847597</v>
      </c>
      <c r="I81" s="513" t="n">
        <v>0.0948580747317473</v>
      </c>
      <c r="J81" s="513" t="n">
        <v>0.411608786132294</v>
      </c>
      <c r="K81" s="513" t="n">
        <v>0.055</v>
      </c>
      <c r="L81" s="513" t="n">
        <v>0.280671669259351</v>
      </c>
      <c r="M81" s="513" t="n">
        <v>0.0798118069110077</v>
      </c>
      <c r="N81" s="377" t="n">
        <v>1.16613014553648</v>
      </c>
      <c r="O81" s="377" t="n">
        <v>1.07267162921911</v>
      </c>
      <c r="P81" s="377" t="n">
        <v>3.28153620921212</v>
      </c>
      <c r="Q81" s="377" t="n">
        <v>4.06387488005904</v>
      </c>
      <c r="R81" s="377" t="n">
        <v>1.06087766491348</v>
      </c>
      <c r="S81" s="377" t="n">
        <v>10.0155029018105</v>
      </c>
      <c r="T81" s="513" t="n">
        <v>0.0939586157532301</v>
      </c>
      <c r="U81" s="513" t="n">
        <v>0.0518036552720751</v>
      </c>
      <c r="V81" s="513" t="n">
        <v>0.00151167254654922</v>
      </c>
      <c r="W81" s="513" t="n">
        <v>0.00598353316552729</v>
      </c>
      <c r="X81" s="513" t="n">
        <v>0.352900093688783</v>
      </c>
      <c r="Y81" s="513" t="n">
        <v>0.123714823574842</v>
      </c>
      <c r="Z81" s="513" t="n">
        <v>0.123714823574842</v>
      </c>
      <c r="AA81" s="514" t="n">
        <v>0.263305449350808</v>
      </c>
    </row>
    <row r="82" customFormat="false" ht="13.5" hidden="false" customHeight="false" outlineLevel="0" collapsed="false">
      <c r="A82" s="512" t="s">
        <v>873</v>
      </c>
      <c r="B82" s="75" t="n">
        <v>13</v>
      </c>
      <c r="C82" s="513" t="n">
        <v>0.119</v>
      </c>
      <c r="D82" s="513" t="n">
        <v>0.12855202477384</v>
      </c>
      <c r="E82" s="513" t="n">
        <v>0.334239634457676</v>
      </c>
      <c r="F82" s="513" t="n">
        <v>0.14205695165101</v>
      </c>
      <c r="G82" s="377" t="n">
        <v>1.28866738291523</v>
      </c>
      <c r="H82" s="377" t="n">
        <v>1.32769253386487</v>
      </c>
      <c r="I82" s="513" t="n">
        <v>0.117664936511573</v>
      </c>
      <c r="J82" s="513" t="n">
        <v>0.393741859189802</v>
      </c>
      <c r="K82" s="513" t="n">
        <v>0.055</v>
      </c>
      <c r="L82" s="513" t="n">
        <v>0.0826871790079538</v>
      </c>
      <c r="M82" s="513" t="n">
        <v>0.111346400977359</v>
      </c>
      <c r="N82" s="377" t="n">
        <v>2.91427090535035</v>
      </c>
      <c r="O82" s="377" t="n">
        <v>3.21972531084115</v>
      </c>
      <c r="P82" s="377" t="n">
        <v>20.2286668837516</v>
      </c>
      <c r="Q82" s="377" t="n">
        <v>25.0522286961947</v>
      </c>
      <c r="R82" s="377" t="n">
        <v>9.0441903847061</v>
      </c>
      <c r="S82" s="377" t="n">
        <v>13.4941582833768</v>
      </c>
      <c r="T82" s="513" t="n">
        <v>0.249785840949393</v>
      </c>
      <c r="U82" s="513" t="n">
        <v>0.00845520479920594</v>
      </c>
      <c r="V82" s="513" t="n">
        <v>0.0223997771050944</v>
      </c>
      <c r="W82" s="513" t="n">
        <v>0.488181309178904</v>
      </c>
      <c r="X82" s="513" t="n">
        <v>0.362833026208509</v>
      </c>
      <c r="Y82" s="513" t="n">
        <v>0.269142322729812</v>
      </c>
      <c r="Z82" s="513" t="n">
        <v>0.269142322729812</v>
      </c>
      <c r="AA82" s="514" t="n">
        <v>0.128418639628571</v>
      </c>
    </row>
    <row r="83" customFormat="false" ht="13.5" hidden="false" customHeight="false" outlineLevel="0" collapsed="false">
      <c r="A83" s="512" t="s">
        <v>874</v>
      </c>
      <c r="B83" s="75" t="n">
        <v>91</v>
      </c>
      <c r="C83" s="513" t="n">
        <v>0.303797586206896</v>
      </c>
      <c r="D83" s="513" t="n">
        <v>0.25914280028923</v>
      </c>
      <c r="E83" s="513" t="n">
        <v>0.218723621184637</v>
      </c>
      <c r="F83" s="513" t="n">
        <v>0.159168683956476</v>
      </c>
      <c r="G83" s="377" t="n">
        <v>1.35788021037296</v>
      </c>
      <c r="H83" s="377" t="n">
        <v>1.36357573096436</v>
      </c>
      <c r="I83" s="513" t="n">
        <v>0.119796398419283</v>
      </c>
      <c r="J83" s="513" t="n">
        <v>0.587095438715844</v>
      </c>
      <c r="K83" s="513" t="n">
        <v>0.0588</v>
      </c>
      <c r="L83" s="513" t="n">
        <v>0.0458246282864187</v>
      </c>
      <c r="M83" s="513" t="n">
        <v>0.116327639099099</v>
      </c>
      <c r="N83" s="377" t="n">
        <v>0.781397437389893</v>
      </c>
      <c r="O83" s="377" t="n">
        <v>3.59228805479887</v>
      </c>
      <c r="P83" s="377" t="n">
        <v>10.6540850804067</v>
      </c>
      <c r="Q83" s="377" t="n">
        <v>13.7863381946779</v>
      </c>
      <c r="R83" s="377" t="n">
        <v>3.79563258170173</v>
      </c>
      <c r="S83" s="377" t="n">
        <v>105.432982695379</v>
      </c>
      <c r="T83" s="513" t="n">
        <v>0.0668243620831133</v>
      </c>
      <c r="U83" s="513" t="n">
        <v>0.134487579729349</v>
      </c>
      <c r="V83" s="513" t="n">
        <v>0.140390237564136</v>
      </c>
      <c r="W83" s="513" t="n">
        <v>0.671797838994726</v>
      </c>
      <c r="X83" s="513" t="n">
        <v>0.227663417530187</v>
      </c>
      <c r="Y83" s="513" t="n">
        <v>0.000655147729701391</v>
      </c>
      <c r="Z83" s="513" t="n">
        <v>0.000655147729701433</v>
      </c>
      <c r="AA83" s="514" t="n">
        <v>0.289701118297222</v>
      </c>
    </row>
    <row r="84" customFormat="false" ht="13.5" hidden="false" customHeight="false" outlineLevel="0" collapsed="false">
      <c r="A84" s="512" t="s">
        <v>875</v>
      </c>
      <c r="B84" s="75" t="n">
        <v>33</v>
      </c>
      <c r="C84" s="513" t="n">
        <v>0.25943</v>
      </c>
      <c r="D84" s="513" t="n">
        <v>-0.0585317328437394</v>
      </c>
      <c r="E84" s="513" t="n">
        <v>-0.0102508231486196</v>
      </c>
      <c r="F84" s="513" t="n">
        <v>0.191061831210962</v>
      </c>
      <c r="G84" s="377" t="n">
        <v>1.41651140781055</v>
      </c>
      <c r="H84" s="377" t="n">
        <v>1.55130588771072</v>
      </c>
      <c r="I84" s="513" t="n">
        <v>0.130947569730017</v>
      </c>
      <c r="J84" s="513" t="n">
        <v>0.552438375467892</v>
      </c>
      <c r="K84" s="513" t="n">
        <v>0.0588</v>
      </c>
      <c r="L84" s="513" t="n">
        <v>0.150060725696611</v>
      </c>
      <c r="M84" s="513" t="n">
        <v>0.117915160391344</v>
      </c>
      <c r="N84" s="377" t="n">
        <v>0.665069739871589</v>
      </c>
      <c r="O84" s="377" t="n">
        <v>6.33261280809359</v>
      </c>
      <c r="P84" s="377" t="n">
        <v>14.8358726258397</v>
      </c>
      <c r="Q84" s="377" t="s">
        <v>800</v>
      </c>
      <c r="R84" s="377" t="n">
        <v>5.20934695445072</v>
      </c>
      <c r="S84" s="377" t="n">
        <v>28.6982530366495</v>
      </c>
      <c r="T84" s="513" t="n">
        <v>0.113304127134276</v>
      </c>
      <c r="U84" s="513" t="n">
        <v>0.064780861262625</v>
      </c>
      <c r="V84" s="513" t="n">
        <v>0.110330180979181</v>
      </c>
      <c r="W84" s="513" t="s">
        <v>800</v>
      </c>
      <c r="X84" s="513" t="n">
        <v>-0.157308426666963</v>
      </c>
      <c r="Y84" s="513" t="n">
        <v>0</v>
      </c>
      <c r="Z84" s="513" t="n">
        <v>0</v>
      </c>
      <c r="AA84" s="514" t="n">
        <v>-0.0167094127752554</v>
      </c>
    </row>
    <row r="85" customFormat="false" ht="13.5" hidden="false" customHeight="false" outlineLevel="0" collapsed="false">
      <c r="A85" s="512" t="s">
        <v>876</v>
      </c>
      <c r="B85" s="75" t="n">
        <v>390</v>
      </c>
      <c r="C85" s="513" t="n">
        <v>0.201011923076923</v>
      </c>
      <c r="D85" s="513" t="n">
        <v>0.218069801766497</v>
      </c>
      <c r="E85" s="513" t="n">
        <v>0.224707212836647</v>
      </c>
      <c r="F85" s="513" t="n">
        <v>0.177803213313893</v>
      </c>
      <c r="G85" s="377" t="n">
        <v>1.41297094269772</v>
      </c>
      <c r="H85" s="377" t="n">
        <v>1.46977124024783</v>
      </c>
      <c r="I85" s="513" t="n">
        <v>0.126104411670721</v>
      </c>
      <c r="J85" s="513" t="n">
        <v>0.521112101835772</v>
      </c>
      <c r="K85" s="513" t="n">
        <v>0.0588</v>
      </c>
      <c r="L85" s="513" t="n">
        <v>0.0856296143288529</v>
      </c>
      <c r="M85" s="513" t="n">
        <v>0.119082405526093</v>
      </c>
      <c r="N85" s="377" t="n">
        <v>0.959207166594295</v>
      </c>
      <c r="O85" s="377" t="n">
        <v>7.58755022424056</v>
      </c>
      <c r="P85" s="377" t="n">
        <v>21.3278690332516</v>
      </c>
      <c r="Q85" s="377" t="n">
        <v>31.8328288727595</v>
      </c>
      <c r="R85" s="377" t="n">
        <v>8.38781403245339</v>
      </c>
      <c r="S85" s="377" t="n">
        <v>103.735737059846</v>
      </c>
      <c r="T85" s="513" t="n">
        <v>0.130269921149307</v>
      </c>
      <c r="U85" s="513" t="n">
        <v>0.0817222121966031</v>
      </c>
      <c r="V85" s="513" t="n">
        <v>0.213053677098103</v>
      </c>
      <c r="W85" s="513" t="n">
        <v>1.37639458077485</v>
      </c>
      <c r="X85" s="513" t="n">
        <v>0.196832641622106</v>
      </c>
      <c r="Y85" s="513" t="n">
        <v>0.340111768228925</v>
      </c>
      <c r="Z85" s="513" t="n">
        <v>0.340111768228925</v>
      </c>
      <c r="AA85" s="514" t="n">
        <v>0.241698966742379</v>
      </c>
    </row>
    <row r="86" customFormat="false" ht="13.5" hidden="false" customHeight="false" outlineLevel="0" collapsed="false">
      <c r="A86" s="512" t="s">
        <v>877</v>
      </c>
      <c r="B86" s="75" t="n">
        <v>28</v>
      </c>
      <c r="C86" s="513" t="n">
        <v>0.1520936</v>
      </c>
      <c r="D86" s="513" t="n">
        <v>0.198372794052753</v>
      </c>
      <c r="E86" s="513" t="n">
        <v>0.486315388519663</v>
      </c>
      <c r="F86" s="513" t="n">
        <v>0.206264483123579</v>
      </c>
      <c r="G86" s="377" t="n">
        <v>1.21254749285715</v>
      </c>
      <c r="H86" s="377" t="n">
        <v>1.3424843767996</v>
      </c>
      <c r="I86" s="513" t="n">
        <v>0.118543571981896</v>
      </c>
      <c r="J86" s="513" t="n">
        <v>0.382989570111733</v>
      </c>
      <c r="K86" s="513" t="n">
        <v>0.055</v>
      </c>
      <c r="L86" s="513" t="n">
        <v>0.222365408648852</v>
      </c>
      <c r="M86" s="513" t="n">
        <v>0.101356155262212</v>
      </c>
      <c r="N86" s="377" t="n">
        <v>2.87484817768291</v>
      </c>
      <c r="O86" s="377" t="n">
        <v>0.676327691600903</v>
      </c>
      <c r="P86" s="377" t="n">
        <v>2.96046909765031</v>
      </c>
      <c r="Q86" s="377" t="n">
        <v>3.39036480167289</v>
      </c>
      <c r="R86" s="377" t="n">
        <v>1.50775706306258</v>
      </c>
      <c r="S86" s="377" t="n">
        <v>12.7952871929412</v>
      </c>
      <c r="T86" s="513" t="n">
        <v>0.194402389032464</v>
      </c>
      <c r="U86" s="513" t="n">
        <v>0.0405283851493154</v>
      </c>
      <c r="V86" s="513" t="n">
        <v>0.0512979629176749</v>
      </c>
      <c r="W86" s="513" t="n">
        <v>0.487027899066796</v>
      </c>
      <c r="X86" s="513" t="n">
        <v>0.537480679412654</v>
      </c>
      <c r="Y86" s="513" t="n">
        <v>0.0524651923883918</v>
      </c>
      <c r="Z86" s="513" t="n">
        <v>0.0524651923883918</v>
      </c>
      <c r="AA86" s="514" t="n">
        <v>0.198905231885773</v>
      </c>
    </row>
    <row r="87" customFormat="false" ht="13.5" hidden="false" customHeight="false" outlineLevel="0" collapsed="false">
      <c r="A87" s="512" t="s">
        <v>878</v>
      </c>
      <c r="B87" s="75" t="n">
        <v>16</v>
      </c>
      <c r="C87" s="513" t="n">
        <v>0.184977777777778</v>
      </c>
      <c r="D87" s="513" t="n">
        <v>0.140459635738825</v>
      </c>
      <c r="E87" s="513" t="n">
        <v>0.0615188319427798</v>
      </c>
      <c r="F87" s="513" t="n">
        <v>0.0474463716195552</v>
      </c>
      <c r="G87" s="377" t="n">
        <v>0.711358423608037</v>
      </c>
      <c r="H87" s="377" t="n">
        <v>1.03097371026526</v>
      </c>
      <c r="I87" s="513" t="n">
        <v>0.100039838389756</v>
      </c>
      <c r="J87" s="513" t="n">
        <v>0.519210476889995</v>
      </c>
      <c r="K87" s="513" t="n">
        <v>0.0588</v>
      </c>
      <c r="L87" s="513" t="n">
        <v>0.39450630773069</v>
      </c>
      <c r="M87" s="513" t="n">
        <v>0.077971219291562</v>
      </c>
      <c r="N87" s="377" t="n">
        <v>0.521457585225784</v>
      </c>
      <c r="O87" s="377" t="n">
        <v>3.17695759202645</v>
      </c>
      <c r="P87" s="377" t="n">
        <v>8.74089286190526</v>
      </c>
      <c r="Q87" s="377" t="n">
        <v>25.6624920410515</v>
      </c>
      <c r="R87" s="377" t="n">
        <v>2.18793189417313</v>
      </c>
      <c r="S87" s="377" t="n">
        <v>30.2462176854748</v>
      </c>
      <c r="T87" s="513" t="n">
        <v>0.0614378777867187</v>
      </c>
      <c r="U87" s="513" t="n">
        <v>0.171617546247299</v>
      </c>
      <c r="V87" s="513" t="n">
        <v>0.0104004800709548</v>
      </c>
      <c r="W87" s="513" t="n">
        <v>0.62186778246158</v>
      </c>
      <c r="X87" s="513" t="n">
        <v>0.0297080542242605</v>
      </c>
      <c r="Y87" s="513" t="n">
        <v>0.0627732949625411</v>
      </c>
      <c r="Z87" s="513" t="n">
        <v>0.0627732949625411</v>
      </c>
      <c r="AA87" s="514" t="n">
        <v>0.122710961497652</v>
      </c>
    </row>
    <row r="88" customFormat="false" ht="13.5" hidden="false" customHeight="false" outlineLevel="0" collapsed="false">
      <c r="A88" s="512" t="s">
        <v>879</v>
      </c>
      <c r="B88" s="75" t="n">
        <v>79</v>
      </c>
      <c r="C88" s="513" t="n">
        <v>0.0351158490566038</v>
      </c>
      <c r="D88" s="513" t="n">
        <v>0.183406197801619</v>
      </c>
      <c r="E88" s="513" t="n">
        <v>0.259866218160797</v>
      </c>
      <c r="F88" s="513" t="n">
        <v>0.184466328861244</v>
      </c>
      <c r="G88" s="377" t="n">
        <v>1.17848957712427</v>
      </c>
      <c r="H88" s="377" t="n">
        <v>1.23311948720733</v>
      </c>
      <c r="I88" s="513" t="n">
        <v>0.112047297540116</v>
      </c>
      <c r="J88" s="513" t="n">
        <v>0.413487539483015</v>
      </c>
      <c r="K88" s="513" t="n">
        <v>0.055</v>
      </c>
      <c r="L88" s="513" t="n">
        <v>0.104571073485597</v>
      </c>
      <c r="M88" s="513" t="n">
        <v>0.104643948136467</v>
      </c>
      <c r="N88" s="377" t="n">
        <v>1.4179419448565</v>
      </c>
      <c r="O88" s="377" t="n">
        <v>3.56144346107062</v>
      </c>
      <c r="P88" s="377" t="n">
        <v>14.6993551574414</v>
      </c>
      <c r="Q88" s="377" t="n">
        <v>19.0005368793083</v>
      </c>
      <c r="R88" s="377" t="n">
        <v>5.20133390280494</v>
      </c>
      <c r="S88" s="377" t="n">
        <v>36.7272478465782</v>
      </c>
      <c r="T88" s="513" t="n">
        <v>0.231078550606329</v>
      </c>
      <c r="U88" s="513" t="n">
        <v>0.0246019848511246</v>
      </c>
      <c r="V88" s="513" t="n">
        <v>0.035153674659288</v>
      </c>
      <c r="W88" s="513" t="n">
        <v>0.499373353905141</v>
      </c>
      <c r="X88" s="513" t="n">
        <v>0.201291404712952</v>
      </c>
      <c r="Y88" s="513" t="n">
        <v>0.510653044471366</v>
      </c>
      <c r="Z88" s="513" t="n">
        <v>0.510653044471366</v>
      </c>
      <c r="AA88" s="514" t="n">
        <v>0.190829429604456</v>
      </c>
    </row>
    <row r="89" customFormat="false" ht="13.5" hidden="false" customHeight="false" outlineLevel="0" collapsed="false">
      <c r="A89" s="512" t="s">
        <v>880</v>
      </c>
      <c r="B89" s="75" t="n">
        <v>49</v>
      </c>
      <c r="C89" s="513" t="n">
        <v>0.168130434782609</v>
      </c>
      <c r="D89" s="513" t="n">
        <v>0.199834551402252</v>
      </c>
      <c r="E89" s="513" t="n">
        <v>0.123767392175671</v>
      </c>
      <c r="F89" s="513" t="n">
        <v>0.221048184216636</v>
      </c>
      <c r="G89" s="377" t="n">
        <v>0.473906125035456</v>
      </c>
      <c r="H89" s="377" t="n">
        <v>0.88226816528566</v>
      </c>
      <c r="I89" s="513" t="n">
        <v>0.0912067290179682</v>
      </c>
      <c r="J89" s="513" t="n">
        <v>0.553716956215924</v>
      </c>
      <c r="K89" s="513" t="n">
        <v>0.0588</v>
      </c>
      <c r="L89" s="513" t="n">
        <v>0.540689405125109</v>
      </c>
      <c r="M89" s="513" t="n">
        <v>0.0657366197278533</v>
      </c>
      <c r="N89" s="377" t="n">
        <v>0.661729432644501</v>
      </c>
      <c r="O89" s="377" t="n">
        <v>2.17522466112845</v>
      </c>
      <c r="P89" s="377" t="n">
        <v>5.98435411523428</v>
      </c>
      <c r="Q89" s="377" t="n">
        <v>10.8776706759918</v>
      </c>
      <c r="R89" s="377" t="n">
        <v>1.28729588296592</v>
      </c>
      <c r="S89" s="377" t="n">
        <v>145.854113919781</v>
      </c>
      <c r="T89" s="513" t="n">
        <v>0.00367390985386587</v>
      </c>
      <c r="U89" s="513" t="n">
        <v>0.15170847980907</v>
      </c>
      <c r="V89" s="513" t="n">
        <v>0.0576175067314334</v>
      </c>
      <c r="W89" s="513" t="n">
        <v>0.361599941958005</v>
      </c>
      <c r="X89" s="513" t="n">
        <v>0.157579918038155</v>
      </c>
      <c r="Y89" s="513" t="n">
        <v>0.519086211396578</v>
      </c>
      <c r="Z89" s="513" t="n">
        <v>0.519086211396578</v>
      </c>
      <c r="AA89" s="514" t="n">
        <v>0.200074966874699</v>
      </c>
    </row>
    <row r="90" customFormat="false" ht="13.5" hidden="false" customHeight="false" outlineLevel="0" collapsed="false">
      <c r="A90" s="512" t="s">
        <v>881</v>
      </c>
      <c r="B90" s="75" t="n">
        <v>15</v>
      </c>
      <c r="C90" s="513" t="n">
        <v>0.05765</v>
      </c>
      <c r="D90" s="513" t="n">
        <v>0.437646573866603</v>
      </c>
      <c r="E90" s="513" t="n">
        <v>0.708801911376765</v>
      </c>
      <c r="F90" s="513" t="n">
        <v>0.252152578426065</v>
      </c>
      <c r="G90" s="377" t="n">
        <v>1.74425045215589</v>
      </c>
      <c r="H90" s="377" t="n">
        <v>2.00045650283864</v>
      </c>
      <c r="I90" s="513" t="n">
        <v>0.157627116268615</v>
      </c>
      <c r="J90" s="513" t="n">
        <v>0.440592356582597</v>
      </c>
      <c r="K90" s="513" t="n">
        <v>0.055</v>
      </c>
      <c r="L90" s="513" t="n">
        <v>0.193908534851493</v>
      </c>
      <c r="M90" s="513" t="n">
        <v>0.135060600162726</v>
      </c>
      <c r="N90" s="377" t="n">
        <v>1.78368627132191</v>
      </c>
      <c r="O90" s="377" t="n">
        <v>5.04650987092567</v>
      </c>
      <c r="P90" s="377" t="n">
        <v>10.7613897211028</v>
      </c>
      <c r="Q90" s="377" t="n">
        <v>11.4676675975009</v>
      </c>
      <c r="R90" s="377" t="s">
        <v>800</v>
      </c>
      <c r="S90" s="377" t="n">
        <v>13.5507314422702</v>
      </c>
      <c r="T90" s="513" t="n">
        <v>0.11365806683827</v>
      </c>
      <c r="U90" s="513" t="n">
        <v>0.0229299002578189</v>
      </c>
      <c r="V90" s="513" t="n">
        <v>0.0211059742125931</v>
      </c>
      <c r="W90" s="513" t="n">
        <v>0.0789063998419489</v>
      </c>
      <c r="X90" s="513" t="s">
        <v>800</v>
      </c>
      <c r="Y90" s="513" t="n">
        <v>1.07173290397224</v>
      </c>
      <c r="Z90" s="513" t="n">
        <v>1.07173290397224</v>
      </c>
      <c r="AA90" s="514" t="n">
        <v>0.440611900996858</v>
      </c>
    </row>
    <row r="91" customFormat="false" ht="13.5" hidden="false" customHeight="false" outlineLevel="0" collapsed="false">
      <c r="A91" s="512" t="s">
        <v>526</v>
      </c>
      <c r="B91" s="75" t="n">
        <v>18</v>
      </c>
      <c r="C91" s="513" t="n">
        <v>0.149918181818182</v>
      </c>
      <c r="D91" s="513" t="n">
        <v>0.093520310959022</v>
      </c>
      <c r="E91" s="513" t="n">
        <v>0.241953992307827</v>
      </c>
      <c r="F91" s="513" t="n">
        <v>0.221669546319753</v>
      </c>
      <c r="G91" s="377" t="n">
        <v>0.924593818992115</v>
      </c>
      <c r="H91" s="377" t="n">
        <v>1.0582657494304</v>
      </c>
      <c r="I91" s="513" t="n">
        <v>0.101660985516166</v>
      </c>
      <c r="J91" s="513" t="n">
        <v>0.280462868089581</v>
      </c>
      <c r="K91" s="513" t="n">
        <v>0.055</v>
      </c>
      <c r="L91" s="513" t="n">
        <v>0.227859755768356</v>
      </c>
      <c r="M91" s="513" t="n">
        <v>0.0878957531107264</v>
      </c>
      <c r="N91" s="377" t="n">
        <v>3.08578181196737</v>
      </c>
      <c r="O91" s="377" t="n">
        <v>1.08254167053071</v>
      </c>
      <c r="P91" s="377" t="n">
        <v>7.65371134345007</v>
      </c>
      <c r="Q91" s="377" t="n">
        <v>11.5441879547003</v>
      </c>
      <c r="R91" s="377" t="n">
        <v>4.252470295168</v>
      </c>
      <c r="S91" s="377" t="n">
        <v>23.8519719439251</v>
      </c>
      <c r="T91" s="513" t="n">
        <v>0.0721929149262265</v>
      </c>
      <c r="U91" s="513" t="n">
        <v>0.047303289099368</v>
      </c>
      <c r="V91" s="513" t="n">
        <v>0.0233850696452669</v>
      </c>
      <c r="W91" s="513" t="n">
        <v>0.504797877572701</v>
      </c>
      <c r="X91" s="513" t="n">
        <v>0.367817426593308</v>
      </c>
      <c r="Y91" s="513" t="n">
        <v>0.334489041067848</v>
      </c>
      <c r="Z91" s="513" t="n">
        <v>0.334489041067848</v>
      </c>
      <c r="AA91" s="514" t="n">
        <v>0.0937732195253826</v>
      </c>
    </row>
    <row r="92" customFormat="false" ht="13.5" hidden="false" customHeight="false" outlineLevel="0" collapsed="false">
      <c r="A92" s="512" t="s">
        <v>882</v>
      </c>
      <c r="B92" s="75" t="n">
        <v>4</v>
      </c>
      <c r="C92" s="513" t="n">
        <v>0.0378333333333333</v>
      </c>
      <c r="D92" s="513" t="n">
        <v>0.400631300156468</v>
      </c>
      <c r="E92" s="513" t="n">
        <v>0.16937779933759</v>
      </c>
      <c r="F92" s="513" t="n">
        <v>0.222882133794072</v>
      </c>
      <c r="G92" s="377" t="n">
        <v>0.932381533887687</v>
      </c>
      <c r="H92" s="377" t="n">
        <v>1.10783086217145</v>
      </c>
      <c r="I92" s="513" t="n">
        <v>0.104605153212984</v>
      </c>
      <c r="J92" s="513" t="n">
        <v>0.163412690921062</v>
      </c>
      <c r="K92" s="513" t="n">
        <v>0.0473</v>
      </c>
      <c r="L92" s="513" t="n">
        <v>0.215385999025727</v>
      </c>
      <c r="M92" s="513" t="n">
        <v>0.0897154861004038</v>
      </c>
      <c r="N92" s="377" t="n">
        <v>0.509337853202832</v>
      </c>
      <c r="O92" s="377" t="n">
        <v>6.32361457806892</v>
      </c>
      <c r="P92" s="377" t="n">
        <v>12.476631341364</v>
      </c>
      <c r="Q92" s="377" t="n">
        <v>15.8652793666888</v>
      </c>
      <c r="R92" s="377" t="n">
        <v>6.75322561352964</v>
      </c>
      <c r="S92" s="377" t="n">
        <v>17.8615779639985</v>
      </c>
      <c r="T92" s="513" t="n">
        <v>0.0132417922254688</v>
      </c>
      <c r="U92" s="513" t="n">
        <v>0.147967760261051</v>
      </c>
      <c r="V92" s="513" t="n">
        <v>0.0558109279297969</v>
      </c>
      <c r="W92" s="513" t="n">
        <v>0.188572418962807</v>
      </c>
      <c r="X92" s="513" t="n">
        <v>0.335553285922049</v>
      </c>
      <c r="Y92" s="513" t="n">
        <v>0.358794709232193</v>
      </c>
      <c r="Z92" s="513" t="n">
        <v>0.358794709232193</v>
      </c>
      <c r="AA92" s="514" t="n">
        <v>0.398581987238507</v>
      </c>
    </row>
    <row r="93" customFormat="false" ht="13.5" hidden="false" customHeight="false" outlineLevel="0" collapsed="false">
      <c r="A93" s="512" t="s">
        <v>883</v>
      </c>
      <c r="B93" s="75" t="n">
        <v>35</v>
      </c>
      <c r="C93" s="513" t="n">
        <v>0.141598181818182</v>
      </c>
      <c r="D93" s="513" t="n">
        <v>0.0892890864068869</v>
      </c>
      <c r="E93" s="513" t="n">
        <v>0.135292365207738</v>
      </c>
      <c r="F93" s="513" t="n">
        <v>0.244369805795978</v>
      </c>
      <c r="G93" s="377" t="n">
        <v>1.23285574683998</v>
      </c>
      <c r="H93" s="377" t="n">
        <v>1.54512447088531</v>
      </c>
      <c r="I93" s="513" t="n">
        <v>0.130580393570587</v>
      </c>
      <c r="J93" s="513" t="n">
        <v>0.411713245670188</v>
      </c>
      <c r="K93" s="513" t="n">
        <v>0.055</v>
      </c>
      <c r="L93" s="513" t="n">
        <v>0.305138573746287</v>
      </c>
      <c r="M93" s="513" t="n">
        <v>0.103322244684264</v>
      </c>
      <c r="N93" s="377" t="n">
        <v>1.66098080413417</v>
      </c>
      <c r="O93" s="377" t="n">
        <v>1.45133748953783</v>
      </c>
      <c r="P93" s="377" t="n">
        <v>6.3383734793169</v>
      </c>
      <c r="Q93" s="377" t="n">
        <v>11.6361932152168</v>
      </c>
      <c r="R93" s="377" t="n">
        <v>3.52615118560412</v>
      </c>
      <c r="S93" s="377" t="n">
        <v>10.2809242996056</v>
      </c>
      <c r="T93" s="513" t="n">
        <v>0.0544191092311044</v>
      </c>
      <c r="U93" s="513" t="n">
        <v>0.122941700918258</v>
      </c>
      <c r="V93" s="513" t="n">
        <v>0.110413287972916</v>
      </c>
      <c r="W93" s="513" t="n">
        <v>1.92665629841521</v>
      </c>
      <c r="X93" s="513" t="n">
        <v>0.0405361647492955</v>
      </c>
      <c r="Y93" s="513" t="n">
        <v>0.355957446704648</v>
      </c>
      <c r="Z93" s="513" t="n">
        <v>0.355957446704648</v>
      </c>
      <c r="AA93" s="514" t="n">
        <v>0.0950203793053509</v>
      </c>
    </row>
    <row r="94" customFormat="false" ht="13.5" hidden="false" customHeight="false" outlineLevel="0" collapsed="false">
      <c r="A94" s="512" t="s">
        <v>884</v>
      </c>
      <c r="B94" s="75" t="n">
        <v>15</v>
      </c>
      <c r="C94" s="513" t="n">
        <v>0.0404733333333333</v>
      </c>
      <c r="D94" s="513" t="n">
        <v>0.181913809157806</v>
      </c>
      <c r="E94" s="513" t="n">
        <v>0.058204550746344</v>
      </c>
      <c r="F94" s="513" t="n">
        <v>0.166496187683284</v>
      </c>
      <c r="G94" s="377" t="n">
        <v>0.409461781987652</v>
      </c>
      <c r="H94" s="377" t="n">
        <v>0.635139419601648</v>
      </c>
      <c r="I94" s="513" t="n">
        <v>0.0765272815243379</v>
      </c>
      <c r="J94" s="513" t="n">
        <v>0.149707622010175</v>
      </c>
      <c r="K94" s="513" t="n">
        <v>0.0473</v>
      </c>
      <c r="L94" s="513" t="n">
        <v>0.42586480270209</v>
      </c>
      <c r="M94" s="513" t="n">
        <v>0.0590445597525051</v>
      </c>
      <c r="N94" s="377" t="n">
        <v>0.372295458254589</v>
      </c>
      <c r="O94" s="377" t="n">
        <v>4.28339994607903</v>
      </c>
      <c r="P94" s="377" t="n">
        <v>13.7452570530135</v>
      </c>
      <c r="Q94" s="377" t="n">
        <v>23.7623070921024</v>
      </c>
      <c r="R94" s="377" t="n">
        <v>1.91799932011059</v>
      </c>
      <c r="S94" s="377" t="n">
        <v>20.5293721490881</v>
      </c>
      <c r="T94" s="513" t="n">
        <v>0.0892296665420485</v>
      </c>
      <c r="U94" s="513" t="n">
        <v>0.329035169399364</v>
      </c>
      <c r="V94" s="513" t="n">
        <v>0.199716397034863</v>
      </c>
      <c r="W94" s="513" t="n">
        <v>1.50347877913707</v>
      </c>
      <c r="X94" s="513" t="n">
        <v>0.112411186427186</v>
      </c>
      <c r="Y94" s="513" t="n">
        <v>0.592810094436949</v>
      </c>
      <c r="Z94" s="513" t="n">
        <v>0.592810094436949</v>
      </c>
      <c r="AA94" s="514" t="n">
        <v>0.18013952427817</v>
      </c>
    </row>
    <row r="95" customFormat="false" ht="13.5" hidden="false" customHeight="false" outlineLevel="0" collapsed="false">
      <c r="A95" s="512" t="s">
        <v>885</v>
      </c>
      <c r="B95" s="75" t="n">
        <v>16</v>
      </c>
      <c r="C95" s="513" t="n">
        <v>0.143518181818182</v>
      </c>
      <c r="D95" s="513" t="n">
        <v>0.295108130367133</v>
      </c>
      <c r="E95" s="513" t="n">
        <v>0.0690678018279974</v>
      </c>
      <c r="F95" s="513" t="n">
        <v>0.180614059351168</v>
      </c>
      <c r="G95" s="377" t="n">
        <v>0.872520875342439</v>
      </c>
      <c r="H95" s="377" t="n">
        <v>1.15241535362451</v>
      </c>
      <c r="I95" s="513" t="n">
        <v>0.107253472005296</v>
      </c>
      <c r="J95" s="513" t="n">
        <v>0.279613182356374</v>
      </c>
      <c r="K95" s="513" t="n">
        <v>0.055</v>
      </c>
      <c r="L95" s="513" t="n">
        <v>0.30263279217508</v>
      </c>
      <c r="M95" s="513" t="n">
        <v>0.0872786569790836</v>
      </c>
      <c r="N95" s="377" t="n">
        <v>0.256864296613163</v>
      </c>
      <c r="O95" s="377" t="n">
        <v>9.18294457721753</v>
      </c>
      <c r="P95" s="377" t="n">
        <v>20.0029768751094</v>
      </c>
      <c r="Q95" s="377" t="n">
        <v>31.1394593788849</v>
      </c>
      <c r="R95" s="377" t="n">
        <v>3.08720296169029</v>
      </c>
      <c r="S95" s="377" t="n">
        <v>35.13145376761</v>
      </c>
      <c r="T95" s="513" t="n">
        <v>0.118218479666479</v>
      </c>
      <c r="U95" s="513" t="n">
        <v>0.505571174318779</v>
      </c>
      <c r="V95" s="513" t="n">
        <v>0.409213994357781</v>
      </c>
      <c r="W95" s="513" t="n">
        <v>1.78688753033241</v>
      </c>
      <c r="X95" s="513" t="n">
        <v>0.164747000151763</v>
      </c>
      <c r="Y95" s="513" t="n">
        <v>0.453888654841631</v>
      </c>
      <c r="Z95" s="513" t="n">
        <v>0.34685422173963</v>
      </c>
      <c r="AA95" s="514" t="n">
        <v>0.293697806120645</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96"/>
  <sheetViews>
    <sheetView showFormulas="false" showGridLines="true" showRowColHeaders="true" showZeros="true" rightToLeft="false" tabSelected="false" showOutlineSymbols="true" defaultGridColor="true" view="normal" topLeftCell="A22" colorId="64" zoomScale="100" zoomScaleNormal="100" zoomScalePageLayoutView="100" workbookViewId="0">
      <selection pane="topLeft" activeCell="A80" activeCellId="0" sqref="A80"/>
    </sheetView>
  </sheetViews>
  <sheetFormatPr defaultColWidth="10.65234375" defaultRowHeight="12.75" zeroHeight="false" outlineLevelRow="0" outlineLevelCol="0"/>
  <cols>
    <col collapsed="false" customWidth="true" hidden="false" outlineLevel="0" max="1" min="1" style="0" width="41"/>
    <col collapsed="false" customWidth="true" hidden="false" outlineLevel="0" max="18" min="3" style="0" width="14.83"/>
  </cols>
  <sheetData>
    <row r="1" s="191" customFormat="true" ht="15.75" hidden="false" customHeight="false" outlineLevel="0" collapsed="false">
      <c r="A1" s="515"/>
      <c r="B1" s="188"/>
      <c r="C1" s="516" t="s">
        <v>886</v>
      </c>
      <c r="D1" s="516"/>
      <c r="E1" s="516"/>
      <c r="F1" s="516" t="s">
        <v>887</v>
      </c>
      <c r="G1" s="516"/>
      <c r="H1" s="516"/>
      <c r="I1" s="517" t="s">
        <v>888</v>
      </c>
      <c r="J1" s="517"/>
      <c r="K1" s="517"/>
      <c r="L1" s="516" t="s">
        <v>225</v>
      </c>
      <c r="M1" s="516"/>
      <c r="N1" s="516"/>
      <c r="O1" s="188" t="s">
        <v>547</v>
      </c>
      <c r="P1" s="516" t="s">
        <v>889</v>
      </c>
      <c r="Q1" s="516"/>
      <c r="R1" s="516"/>
    </row>
    <row r="2" customFormat="false" ht="16.5" hidden="false" customHeight="false" outlineLevel="0" collapsed="false">
      <c r="A2" s="518" t="s">
        <v>890</v>
      </c>
      <c r="B2" s="519" t="s">
        <v>891</v>
      </c>
      <c r="C2" s="519" t="s">
        <v>892</v>
      </c>
      <c r="D2" s="519" t="s">
        <v>43</v>
      </c>
      <c r="E2" s="519" t="s">
        <v>513</v>
      </c>
      <c r="F2" s="519" t="s">
        <v>892</v>
      </c>
      <c r="G2" s="519" t="s">
        <v>43</v>
      </c>
      <c r="H2" s="519" t="s">
        <v>513</v>
      </c>
      <c r="I2" s="519" t="s">
        <v>892</v>
      </c>
      <c r="J2" s="519" t="s">
        <v>43</v>
      </c>
      <c r="K2" s="519" t="s">
        <v>513</v>
      </c>
      <c r="L2" s="519" t="s">
        <v>892</v>
      </c>
      <c r="M2" s="519" t="s">
        <v>43</v>
      </c>
      <c r="N2" s="519" t="s">
        <v>513</v>
      </c>
      <c r="O2" s="519" t="s">
        <v>893</v>
      </c>
      <c r="P2" s="519" t="s">
        <v>892</v>
      </c>
      <c r="Q2" s="519" t="s">
        <v>43</v>
      </c>
      <c r="R2" s="519" t="s">
        <v>513</v>
      </c>
    </row>
    <row r="3" customFormat="false" ht="15.75" hidden="false" customHeight="false" outlineLevel="0" collapsed="false">
      <c r="A3" s="520" t="s">
        <v>793</v>
      </c>
      <c r="B3" s="521" t="n">
        <v>362</v>
      </c>
      <c r="C3" s="522" t="n">
        <v>-0.0783</v>
      </c>
      <c r="D3" s="522" t="n">
        <v>0.0187</v>
      </c>
      <c r="E3" s="522" t="n">
        <v>0.15</v>
      </c>
      <c r="F3" s="522" t="n">
        <v>0.0405</v>
      </c>
      <c r="G3" s="522" t="n">
        <v>0.0859</v>
      </c>
      <c r="H3" s="522" t="n">
        <v>0.1436</v>
      </c>
      <c r="I3" s="523" t="n">
        <v>1.15</v>
      </c>
      <c r="J3" s="523" t="n">
        <v>3.09</v>
      </c>
      <c r="K3" s="523" t="n">
        <v>5.83</v>
      </c>
      <c r="L3" s="522" t="n">
        <v>0.1141</v>
      </c>
      <c r="M3" s="522" t="n">
        <v>0.121</v>
      </c>
      <c r="N3" s="522" t="n">
        <v>0.1232</v>
      </c>
      <c r="O3" s="524" t="n">
        <v>1.23</v>
      </c>
      <c r="P3" s="522" t="n">
        <v>0.0102</v>
      </c>
      <c r="Q3" s="522" t="n">
        <v>0.091</v>
      </c>
      <c r="R3" s="522" t="n">
        <v>0.2564</v>
      </c>
    </row>
    <row r="4" customFormat="false" ht="15.75" hidden="false" customHeight="false" outlineLevel="0" collapsed="false">
      <c r="A4" s="520" t="s">
        <v>794</v>
      </c>
      <c r="B4" s="521" t="n">
        <v>278</v>
      </c>
      <c r="C4" s="522" t="n">
        <v>-0.0601</v>
      </c>
      <c r="D4" s="522" t="n">
        <v>0.0305</v>
      </c>
      <c r="E4" s="522" t="n">
        <v>0.109</v>
      </c>
      <c r="F4" s="522" t="n">
        <v>0.0561</v>
      </c>
      <c r="G4" s="522" t="n">
        <v>0.0902</v>
      </c>
      <c r="H4" s="522" t="n">
        <v>0.1711</v>
      </c>
      <c r="I4" s="523" t="n">
        <v>0.62</v>
      </c>
      <c r="J4" s="523" t="n">
        <v>1.22</v>
      </c>
      <c r="K4" s="523" t="n">
        <v>1.89</v>
      </c>
      <c r="L4" s="522" t="n">
        <v>0.1011</v>
      </c>
      <c r="M4" s="522" t="n">
        <v>0.1093</v>
      </c>
      <c r="N4" s="522" t="n">
        <v>0.1145</v>
      </c>
      <c r="O4" s="524" t="n">
        <v>1.04</v>
      </c>
      <c r="P4" s="522" t="n">
        <v>0.0103</v>
      </c>
      <c r="Q4" s="522" t="n">
        <v>0.0981</v>
      </c>
      <c r="R4" s="522" t="n">
        <v>0.2526</v>
      </c>
    </row>
    <row r="5" customFormat="false" ht="15.75" hidden="false" customHeight="false" outlineLevel="0" collapsed="false">
      <c r="A5" s="520" t="s">
        <v>795</v>
      </c>
      <c r="B5" s="521" t="n">
        <v>155</v>
      </c>
      <c r="C5" s="522" t="n">
        <v>-0.188</v>
      </c>
      <c r="D5" s="522" t="n">
        <v>-0.0833</v>
      </c>
      <c r="E5" s="522" t="n">
        <v>0.0043</v>
      </c>
      <c r="F5" s="522" t="n">
        <v>0.0717</v>
      </c>
      <c r="G5" s="522" t="n">
        <v>0.1316</v>
      </c>
      <c r="H5" s="522" t="n">
        <v>0.1988</v>
      </c>
      <c r="I5" s="523" t="n">
        <v>0.31</v>
      </c>
      <c r="J5" s="523" t="n">
        <v>0.72</v>
      </c>
      <c r="K5" s="523" t="n">
        <v>1.41</v>
      </c>
      <c r="L5" s="522" t="n">
        <v>0.0856</v>
      </c>
      <c r="M5" s="522" t="n">
        <v>0.0926</v>
      </c>
      <c r="N5" s="522" t="n">
        <v>0.1096</v>
      </c>
      <c r="O5" s="524" t="n">
        <v>1.24</v>
      </c>
      <c r="P5" s="522" t="n">
        <v>0.1688</v>
      </c>
      <c r="Q5" s="522" t="n">
        <v>0.4169</v>
      </c>
      <c r="R5" s="522" t="n">
        <v>0.6706</v>
      </c>
    </row>
    <row r="6" customFormat="false" ht="15.75" hidden="false" customHeight="false" outlineLevel="0" collapsed="false">
      <c r="A6" s="520" t="s">
        <v>796</v>
      </c>
      <c r="B6" s="521" t="n">
        <v>1146</v>
      </c>
      <c r="C6" s="522" t="n">
        <v>-0.0379</v>
      </c>
      <c r="D6" s="522" t="n">
        <v>0.0451</v>
      </c>
      <c r="E6" s="522" t="n">
        <v>0.132</v>
      </c>
      <c r="F6" s="522" t="n">
        <v>0.0392</v>
      </c>
      <c r="G6" s="522" t="n">
        <v>0.077</v>
      </c>
      <c r="H6" s="522" t="n">
        <v>0.1284</v>
      </c>
      <c r="I6" s="523" t="n">
        <v>0.74</v>
      </c>
      <c r="J6" s="523" t="n">
        <v>1.28</v>
      </c>
      <c r="K6" s="523" t="n">
        <v>1.96</v>
      </c>
      <c r="L6" s="522" t="n">
        <v>0.0975</v>
      </c>
      <c r="M6" s="522" t="n">
        <v>0.1156</v>
      </c>
      <c r="N6" s="522" t="n">
        <v>0.1209</v>
      </c>
      <c r="O6" s="524" t="n">
        <v>0.86</v>
      </c>
      <c r="P6" s="522" t="n">
        <v>0.0632</v>
      </c>
      <c r="Q6" s="522" t="n">
        <v>0.2496</v>
      </c>
      <c r="R6" s="522" t="n">
        <v>0.5285</v>
      </c>
    </row>
    <row r="7" customFormat="false" ht="15.75" hidden="false" customHeight="false" outlineLevel="0" collapsed="false">
      <c r="A7" s="520" t="s">
        <v>797</v>
      </c>
      <c r="B7" s="521" t="n">
        <v>154</v>
      </c>
      <c r="C7" s="522" t="n">
        <v>-0.0589</v>
      </c>
      <c r="D7" s="522" t="n">
        <v>0.0514</v>
      </c>
      <c r="E7" s="522" t="n">
        <v>0.151</v>
      </c>
      <c r="F7" s="522" t="n">
        <v>0.0447</v>
      </c>
      <c r="G7" s="522" t="n">
        <v>0.0711</v>
      </c>
      <c r="H7" s="522" t="n">
        <v>0.1217</v>
      </c>
      <c r="I7" s="523" t="n">
        <v>0.65</v>
      </c>
      <c r="J7" s="523" t="n">
        <v>1.54</v>
      </c>
      <c r="K7" s="523" t="n">
        <v>2.91</v>
      </c>
      <c r="L7" s="522" t="n">
        <v>0.1006</v>
      </c>
      <c r="M7" s="522" t="n">
        <v>0.1113</v>
      </c>
      <c r="N7" s="522" t="n">
        <v>0.1253</v>
      </c>
      <c r="O7" s="524" t="n">
        <v>1.35</v>
      </c>
      <c r="P7" s="522" t="n">
        <v>0.0133</v>
      </c>
      <c r="Q7" s="522" t="n">
        <v>0.1565</v>
      </c>
      <c r="R7" s="522" t="n">
        <v>0.4008</v>
      </c>
    </row>
    <row r="8" customFormat="false" ht="15.75" hidden="false" customHeight="false" outlineLevel="0" collapsed="false">
      <c r="A8" s="520" t="s">
        <v>798</v>
      </c>
      <c r="B8" s="521" t="n">
        <v>746</v>
      </c>
      <c r="C8" s="522" t="n">
        <v>-0.0144</v>
      </c>
      <c r="D8" s="522" t="n">
        <v>0.0425</v>
      </c>
      <c r="E8" s="522" t="n">
        <v>0.124</v>
      </c>
      <c r="F8" s="522" t="n">
        <v>0.0292</v>
      </c>
      <c r="G8" s="522" t="n">
        <v>0.0517</v>
      </c>
      <c r="H8" s="522" t="n">
        <v>0.0951</v>
      </c>
      <c r="I8" s="523" t="n">
        <v>0.92</v>
      </c>
      <c r="J8" s="523" t="n">
        <v>1.41</v>
      </c>
      <c r="K8" s="523" t="n">
        <v>2.06</v>
      </c>
      <c r="L8" s="522" t="n">
        <v>0.1225</v>
      </c>
      <c r="M8" s="522" t="n">
        <v>0.1286</v>
      </c>
      <c r="N8" s="522" t="n">
        <v>0.1331</v>
      </c>
      <c r="O8" s="524" t="n">
        <v>1.32</v>
      </c>
      <c r="P8" s="522" t="n">
        <v>0.0624</v>
      </c>
      <c r="Q8" s="522" t="n">
        <v>0.2174</v>
      </c>
      <c r="R8" s="522" t="n">
        <v>0.468</v>
      </c>
    </row>
    <row r="9" customFormat="false" ht="15.75" hidden="false" customHeight="false" outlineLevel="0" collapsed="false">
      <c r="A9" s="520" t="s">
        <v>799</v>
      </c>
      <c r="B9" s="521" t="n">
        <v>596</v>
      </c>
      <c r="C9" s="522" t="n">
        <v>0.0248</v>
      </c>
      <c r="D9" s="522" t="n">
        <v>0.0656</v>
      </c>
      <c r="E9" s="522" t="n">
        <v>0.139</v>
      </c>
      <c r="F9" s="522" t="n">
        <v>0.001</v>
      </c>
      <c r="G9" s="522" t="n">
        <v>0.0021</v>
      </c>
      <c r="H9" s="522" t="n">
        <v>0.0072</v>
      </c>
      <c r="I9" s="523" t="n">
        <v>0.12</v>
      </c>
      <c r="J9" s="523" t="n">
        <v>0.23</v>
      </c>
      <c r="K9" s="523" t="n">
        <v>0.48</v>
      </c>
      <c r="L9" s="522" t="n">
        <v>0.0726</v>
      </c>
      <c r="M9" s="522" t="n">
        <v>0.0836</v>
      </c>
      <c r="N9" s="522" t="n">
        <v>0.1086</v>
      </c>
      <c r="O9" s="524" t="n">
        <v>0.83</v>
      </c>
      <c r="P9" s="522" t="n">
        <v>0.2576</v>
      </c>
      <c r="Q9" s="522" t="n">
        <v>0.5462</v>
      </c>
      <c r="R9" s="522" t="n">
        <v>0.7431</v>
      </c>
    </row>
    <row r="10" customFormat="false" ht="15.75" hidden="false" customHeight="false" outlineLevel="0" collapsed="false">
      <c r="A10" s="520" t="s">
        <v>801</v>
      </c>
      <c r="B10" s="521" t="n">
        <v>800</v>
      </c>
      <c r="C10" s="522" t="n">
        <v>0.0341</v>
      </c>
      <c r="D10" s="522" t="n">
        <v>0.0765</v>
      </c>
      <c r="E10" s="522" t="n">
        <v>0.142</v>
      </c>
      <c r="F10" s="522" t="n">
        <v>0.0009</v>
      </c>
      <c r="G10" s="522" t="n">
        <v>0.0023</v>
      </c>
      <c r="H10" s="522" t="n">
        <v>0.0051</v>
      </c>
      <c r="I10" s="523" t="n">
        <v>0.22</v>
      </c>
      <c r="J10" s="523" t="n">
        <v>0.44</v>
      </c>
      <c r="K10" s="523" t="n">
        <v>0.88</v>
      </c>
      <c r="L10" s="522" t="n">
        <v>0.0578</v>
      </c>
      <c r="M10" s="522" t="n">
        <v>0.0599</v>
      </c>
      <c r="N10" s="522" t="n">
        <v>0.0603</v>
      </c>
      <c r="O10" s="524" t="n">
        <v>0.52</v>
      </c>
      <c r="P10" s="522" t="n">
        <v>0.0875</v>
      </c>
      <c r="Q10" s="522" t="n">
        <v>0.3012</v>
      </c>
      <c r="R10" s="522" t="n">
        <v>0.5681</v>
      </c>
    </row>
    <row r="11" customFormat="false" ht="15.75" hidden="false" customHeight="false" outlineLevel="0" collapsed="false">
      <c r="A11" s="520" t="s">
        <v>802</v>
      </c>
      <c r="B11" s="521" t="n">
        <v>220</v>
      </c>
      <c r="C11" s="522" t="n">
        <v>0.0008</v>
      </c>
      <c r="D11" s="522" t="n">
        <v>0.0541</v>
      </c>
      <c r="E11" s="522" t="n">
        <v>0.139</v>
      </c>
      <c r="F11" s="522" t="n">
        <v>0.0722</v>
      </c>
      <c r="G11" s="522" t="n">
        <v>0.1231</v>
      </c>
      <c r="H11" s="522" t="n">
        <v>0.2115</v>
      </c>
      <c r="I11" s="523" t="n">
        <v>0.58</v>
      </c>
      <c r="J11" s="523" t="n">
        <v>1.06</v>
      </c>
      <c r="K11" s="523" t="n">
        <v>2.02</v>
      </c>
      <c r="L11" s="522" t="n">
        <v>0.0871</v>
      </c>
      <c r="M11" s="522" t="n">
        <v>0.0968</v>
      </c>
      <c r="N11" s="522" t="n">
        <v>0.1168</v>
      </c>
      <c r="O11" s="524" t="n">
        <v>0.79</v>
      </c>
      <c r="P11" s="522" t="n">
        <v>0.0014</v>
      </c>
      <c r="Q11" s="522" t="n">
        <v>0.0656</v>
      </c>
      <c r="R11" s="522" t="n">
        <v>0.275</v>
      </c>
    </row>
    <row r="12" customFormat="false" ht="15.75" hidden="false" customHeight="false" outlineLevel="0" collapsed="false">
      <c r="A12" s="520" t="s">
        <v>803</v>
      </c>
      <c r="B12" s="521" t="n">
        <v>100</v>
      </c>
      <c r="C12" s="522" t="n">
        <v>-0.0128</v>
      </c>
      <c r="D12" s="522" t="n">
        <v>0.0595</v>
      </c>
      <c r="E12" s="522" t="n">
        <v>0.118</v>
      </c>
      <c r="F12" s="522" t="n">
        <v>0.0667</v>
      </c>
      <c r="G12" s="522" t="n">
        <v>0.1011</v>
      </c>
      <c r="H12" s="522" t="n">
        <v>0.1529</v>
      </c>
      <c r="I12" s="523" t="n">
        <v>1.02</v>
      </c>
      <c r="J12" s="523" t="n">
        <v>1.58</v>
      </c>
      <c r="K12" s="523" t="n">
        <v>2.5</v>
      </c>
      <c r="L12" s="522" t="n">
        <v>0.0861</v>
      </c>
      <c r="M12" s="522" t="n">
        <v>0.0942</v>
      </c>
      <c r="N12" s="522" t="n">
        <v>0.1081</v>
      </c>
      <c r="O12" s="524" t="n">
        <v>0.7</v>
      </c>
      <c r="P12" s="522" t="n">
        <v>0.0007</v>
      </c>
      <c r="Q12" s="522" t="n">
        <v>0.0447</v>
      </c>
      <c r="R12" s="522" t="n">
        <v>0.2618</v>
      </c>
    </row>
    <row r="13" customFormat="false" ht="15.75" hidden="false" customHeight="false" outlineLevel="0" collapsed="false">
      <c r="A13" s="520" t="s">
        <v>804</v>
      </c>
      <c r="B13" s="521" t="n">
        <v>135</v>
      </c>
      <c r="C13" s="522" t="n">
        <v>-0.0344</v>
      </c>
      <c r="D13" s="522" t="n">
        <v>0.0037</v>
      </c>
      <c r="E13" s="522" t="n">
        <v>0.0521</v>
      </c>
      <c r="F13" s="522" t="n">
        <v>0.0721</v>
      </c>
      <c r="G13" s="522" t="n">
        <v>0.1198</v>
      </c>
      <c r="H13" s="522" t="n">
        <v>0.192</v>
      </c>
      <c r="I13" s="523" t="n">
        <v>0.56</v>
      </c>
      <c r="J13" s="523" t="n">
        <v>0.86</v>
      </c>
      <c r="K13" s="523" t="n">
        <v>1.57</v>
      </c>
      <c r="L13" s="522" t="n">
        <v>0.0883</v>
      </c>
      <c r="M13" s="522" t="n">
        <v>0.0925</v>
      </c>
      <c r="N13" s="522" t="n">
        <v>0.1111</v>
      </c>
      <c r="O13" s="524" t="n">
        <v>1.02</v>
      </c>
      <c r="P13" s="522" t="n">
        <v>0.0228</v>
      </c>
      <c r="Q13" s="522" t="n">
        <v>0.2332</v>
      </c>
      <c r="R13" s="522" t="n">
        <v>0.5174</v>
      </c>
    </row>
    <row r="14" customFormat="false" ht="15.75" hidden="false" customHeight="false" outlineLevel="0" collapsed="false">
      <c r="A14" s="520" t="s">
        <v>805</v>
      </c>
      <c r="B14" s="521" t="n">
        <v>592</v>
      </c>
      <c r="C14" s="522" t="n">
        <v>-0.024</v>
      </c>
      <c r="D14" s="522" t="n">
        <v>0.119</v>
      </c>
      <c r="E14" s="522" t="n">
        <v>0.279</v>
      </c>
      <c r="F14" s="522" t="n">
        <v>0.0071</v>
      </c>
      <c r="G14" s="522" t="n">
        <v>0.0659</v>
      </c>
      <c r="H14" s="522" t="n">
        <v>0.3379</v>
      </c>
      <c r="I14" s="523" t="n">
        <v>0.08</v>
      </c>
      <c r="J14" s="523" t="n">
        <v>0.21</v>
      </c>
      <c r="K14" s="523" t="n">
        <v>0.87</v>
      </c>
      <c r="L14" s="522" t="n">
        <v>0.0706</v>
      </c>
      <c r="M14" s="522" t="n">
        <v>0.0808</v>
      </c>
      <c r="N14" s="522" t="n">
        <v>0.0843</v>
      </c>
      <c r="O14" s="524" t="n">
        <v>0.97</v>
      </c>
      <c r="P14" s="522" t="n">
        <v>0.0157</v>
      </c>
      <c r="Q14" s="522" t="n">
        <v>0.1931</v>
      </c>
      <c r="R14" s="522" t="n">
        <v>0.567</v>
      </c>
    </row>
    <row r="15" customFormat="false" ht="15.75" hidden="false" customHeight="false" outlineLevel="0" collapsed="false">
      <c r="A15" s="520" t="s">
        <v>806</v>
      </c>
      <c r="B15" s="521" t="n">
        <v>454</v>
      </c>
      <c r="C15" s="522" t="n">
        <v>-0.0056</v>
      </c>
      <c r="D15" s="522" t="n">
        <v>0.0592</v>
      </c>
      <c r="E15" s="522" t="n">
        <v>0.141</v>
      </c>
      <c r="F15" s="522" t="n">
        <v>0.0515</v>
      </c>
      <c r="G15" s="522" t="n">
        <v>0.0903</v>
      </c>
      <c r="H15" s="522" t="n">
        <v>0.1397</v>
      </c>
      <c r="I15" s="523" t="n">
        <v>0.88</v>
      </c>
      <c r="J15" s="523" t="n">
        <v>1.39</v>
      </c>
      <c r="K15" s="523" t="n">
        <v>2.31</v>
      </c>
      <c r="L15" s="522" t="n">
        <v>0.1035</v>
      </c>
      <c r="M15" s="522" t="n">
        <v>0.1094</v>
      </c>
      <c r="N15" s="522" t="n">
        <v>0.1285</v>
      </c>
      <c r="O15" s="524" t="n">
        <v>1.04</v>
      </c>
      <c r="P15" s="522" t="n">
        <v>0.0492</v>
      </c>
      <c r="Q15" s="522" t="n">
        <v>0.1725</v>
      </c>
      <c r="R15" s="522" t="n">
        <v>0.3756</v>
      </c>
    </row>
    <row r="16" customFormat="false" ht="15.75" hidden="false" customHeight="false" outlineLevel="0" collapsed="false">
      <c r="A16" s="520" t="s">
        <v>807</v>
      </c>
      <c r="B16" s="521" t="n">
        <v>961</v>
      </c>
      <c r="C16" s="522" t="n">
        <v>-0.0164</v>
      </c>
      <c r="D16" s="522" t="n">
        <v>0.0563</v>
      </c>
      <c r="E16" s="522" t="n">
        <v>0.152</v>
      </c>
      <c r="F16" s="522" t="n">
        <v>0.0467</v>
      </c>
      <c r="G16" s="522" t="n">
        <v>0.0918</v>
      </c>
      <c r="H16" s="522" t="n">
        <v>0.1684</v>
      </c>
      <c r="I16" s="523" t="n">
        <v>0.91</v>
      </c>
      <c r="J16" s="523" t="n">
        <v>2.08</v>
      </c>
      <c r="K16" s="523" t="n">
        <v>4.88</v>
      </c>
      <c r="L16" s="522" t="n">
        <v>0.0982</v>
      </c>
      <c r="M16" s="522" t="n">
        <v>0.1081</v>
      </c>
      <c r="N16" s="522" t="n">
        <v>0.1103</v>
      </c>
      <c r="O16" s="524" t="n">
        <v>1.03</v>
      </c>
      <c r="P16" s="522" t="n">
        <v>0.0122</v>
      </c>
      <c r="Q16" s="522" t="n">
        <v>0.1127</v>
      </c>
      <c r="R16" s="522" t="n">
        <v>0.3166</v>
      </c>
    </row>
    <row r="17" customFormat="false" ht="15.75" hidden="false" customHeight="false" outlineLevel="0" collapsed="false">
      <c r="A17" s="520" t="s">
        <v>808</v>
      </c>
      <c r="B17" s="521" t="n">
        <v>54</v>
      </c>
      <c r="C17" s="522" t="n">
        <v>-0.0441</v>
      </c>
      <c r="D17" s="522" t="n">
        <v>0.0081</v>
      </c>
      <c r="E17" s="522" t="n">
        <v>0.0755</v>
      </c>
      <c r="F17" s="522" t="n">
        <v>0.0698</v>
      </c>
      <c r="G17" s="522" t="n">
        <v>0.1869</v>
      </c>
      <c r="H17" s="522" t="n">
        <v>0.2521</v>
      </c>
      <c r="I17" s="523" t="n">
        <v>0.35</v>
      </c>
      <c r="J17" s="523" t="n">
        <v>0.69</v>
      </c>
      <c r="K17" s="523" t="n">
        <v>1.2</v>
      </c>
      <c r="L17" s="522" t="n">
        <v>0.075</v>
      </c>
      <c r="M17" s="522" t="n">
        <v>0.0821</v>
      </c>
      <c r="N17" s="522" t="n">
        <v>0.0981</v>
      </c>
      <c r="O17" s="524" t="n">
        <v>1.01</v>
      </c>
      <c r="P17" s="522" t="n">
        <v>0.0664</v>
      </c>
      <c r="Q17" s="522" t="n">
        <v>0.3874</v>
      </c>
      <c r="R17" s="522" t="n">
        <v>0.5898</v>
      </c>
    </row>
    <row r="18" customFormat="false" ht="15.75" hidden="false" customHeight="false" outlineLevel="0" collapsed="false">
      <c r="A18" s="520" t="s">
        <v>809</v>
      </c>
      <c r="B18" s="521" t="n">
        <v>879</v>
      </c>
      <c r="C18" s="522" t="n">
        <v>0.0356</v>
      </c>
      <c r="D18" s="522" t="n">
        <v>0.0958</v>
      </c>
      <c r="E18" s="522" t="n">
        <v>0.201</v>
      </c>
      <c r="F18" s="522" t="n">
        <v>0.0491</v>
      </c>
      <c r="G18" s="522" t="n">
        <v>0.0942</v>
      </c>
      <c r="H18" s="522" t="n">
        <v>0.158</v>
      </c>
      <c r="I18" s="523" t="n">
        <v>0.81</v>
      </c>
      <c r="J18" s="523" t="n">
        <v>1.28</v>
      </c>
      <c r="K18" s="523" t="n">
        <v>1.95</v>
      </c>
      <c r="L18" s="522" t="n">
        <v>0.1059</v>
      </c>
      <c r="M18" s="522" t="n">
        <v>0.1092</v>
      </c>
      <c r="N18" s="522" t="n">
        <v>0.1301</v>
      </c>
      <c r="O18" s="524" t="n">
        <v>1.08</v>
      </c>
      <c r="P18" s="522" t="n">
        <v>0.027</v>
      </c>
      <c r="Q18" s="522" t="n">
        <v>0.1332</v>
      </c>
      <c r="R18" s="522" t="n">
        <v>0.3315</v>
      </c>
    </row>
    <row r="19" customFormat="false" ht="15.75" hidden="false" customHeight="false" outlineLevel="0" collapsed="false">
      <c r="A19" s="520" t="s">
        <v>810</v>
      </c>
      <c r="B19" s="521" t="n">
        <v>68</v>
      </c>
      <c r="C19" s="522" t="n">
        <v>0.0444</v>
      </c>
      <c r="D19" s="522" t="n">
        <v>0.108</v>
      </c>
      <c r="E19" s="522" t="n">
        <v>0.196</v>
      </c>
      <c r="F19" s="522" t="n">
        <v>0.0648</v>
      </c>
      <c r="G19" s="522" t="n">
        <v>0.1032</v>
      </c>
      <c r="H19" s="522" t="n">
        <v>0.1592</v>
      </c>
      <c r="I19" s="523" t="n">
        <v>0.9</v>
      </c>
      <c r="J19" s="523" t="n">
        <v>1.23</v>
      </c>
      <c r="K19" s="523" t="n">
        <v>1.78</v>
      </c>
      <c r="L19" s="522" t="n">
        <v>0.1016</v>
      </c>
      <c r="M19" s="522" t="n">
        <v>0.1051</v>
      </c>
      <c r="N19" s="522" t="n">
        <v>0.1298</v>
      </c>
      <c r="O19" s="524" t="n">
        <v>1.16</v>
      </c>
      <c r="P19" s="522" t="n">
        <v>0.0808</v>
      </c>
      <c r="Q19" s="522" t="n">
        <v>0.2622</v>
      </c>
      <c r="R19" s="522" t="n">
        <v>0.4228</v>
      </c>
    </row>
    <row r="20" customFormat="false" ht="15.75" hidden="false" customHeight="false" outlineLevel="0" collapsed="false">
      <c r="A20" s="520" t="s">
        <v>811</v>
      </c>
      <c r="B20" s="521" t="n">
        <v>922</v>
      </c>
      <c r="C20" s="522" t="n">
        <v>0.0371</v>
      </c>
      <c r="D20" s="522" t="n">
        <v>0.112</v>
      </c>
      <c r="E20" s="522" t="n">
        <v>0.221</v>
      </c>
      <c r="F20" s="522" t="n">
        <v>0.0603</v>
      </c>
      <c r="G20" s="522" t="n">
        <v>0.1094</v>
      </c>
      <c r="H20" s="522" t="n">
        <v>0.1773</v>
      </c>
      <c r="I20" s="523" t="n">
        <v>0.8</v>
      </c>
      <c r="J20" s="523" t="n">
        <v>1.25</v>
      </c>
      <c r="K20" s="523" t="n">
        <v>1.89</v>
      </c>
      <c r="L20" s="522" t="n">
        <v>0.1067</v>
      </c>
      <c r="M20" s="522" t="n">
        <v>0.1112</v>
      </c>
      <c r="N20" s="522" t="n">
        <v>0.1352</v>
      </c>
      <c r="O20" s="524" t="n">
        <v>1.05</v>
      </c>
      <c r="P20" s="522" t="n">
        <v>0.02</v>
      </c>
      <c r="Q20" s="522" t="n">
        <v>0.1103</v>
      </c>
      <c r="R20" s="522" t="n">
        <v>0.2757</v>
      </c>
    </row>
    <row r="21" customFormat="false" ht="15.75" hidden="false" customHeight="false" outlineLevel="0" collapsed="false">
      <c r="A21" s="520" t="s">
        <v>812</v>
      </c>
      <c r="B21" s="521" t="n">
        <v>212</v>
      </c>
      <c r="C21" s="522" t="n">
        <v>0.0257</v>
      </c>
      <c r="D21" s="522" t="n">
        <v>0.163</v>
      </c>
      <c r="E21" s="522" t="n">
        <v>0.269</v>
      </c>
      <c r="F21" s="522" t="n">
        <v>0.1413</v>
      </c>
      <c r="G21" s="522" t="n">
        <v>0.2647</v>
      </c>
      <c r="H21" s="522" t="n">
        <v>0.3749</v>
      </c>
      <c r="I21" s="523" t="n">
        <v>0.57</v>
      </c>
      <c r="J21" s="523" t="n">
        <v>1.22</v>
      </c>
      <c r="K21" s="523" t="n">
        <v>2.57</v>
      </c>
      <c r="L21" s="522" t="n">
        <v>0.1194</v>
      </c>
      <c r="M21" s="522" t="n">
        <v>0.1227</v>
      </c>
      <c r="N21" s="522" t="n">
        <v>0.14</v>
      </c>
      <c r="O21" s="524" t="n">
        <v>1.06</v>
      </c>
      <c r="P21" s="522" t="n">
        <v>0.0005</v>
      </c>
      <c r="Q21" s="522" t="n">
        <v>0.049</v>
      </c>
      <c r="R21" s="522" t="n">
        <v>0.2758</v>
      </c>
    </row>
    <row r="22" customFormat="false" ht="15.75" hidden="false" customHeight="false" outlineLevel="0" collapsed="false">
      <c r="A22" s="520" t="s">
        <v>813</v>
      </c>
      <c r="B22" s="521" t="n">
        <v>1105</v>
      </c>
      <c r="C22" s="522" t="n">
        <v>0.0013</v>
      </c>
      <c r="D22" s="522" t="n">
        <v>0.0778</v>
      </c>
      <c r="E22" s="522" t="n">
        <v>0.171</v>
      </c>
      <c r="F22" s="522" t="n">
        <v>0.0381</v>
      </c>
      <c r="G22" s="522" t="n">
        <v>0.0715</v>
      </c>
      <c r="H22" s="522" t="n">
        <v>0.1213</v>
      </c>
      <c r="I22" s="523" t="n">
        <v>1.31</v>
      </c>
      <c r="J22" s="523" t="n">
        <v>3.07</v>
      </c>
      <c r="K22" s="523" t="n">
        <v>5.82</v>
      </c>
      <c r="L22" s="522" t="n">
        <v>0.1083</v>
      </c>
      <c r="M22" s="522" t="n">
        <v>0.1126</v>
      </c>
      <c r="N22" s="522" t="n">
        <v>0.1261</v>
      </c>
      <c r="O22" s="524" t="n">
        <v>1.02</v>
      </c>
      <c r="P22" s="522" t="n">
        <v>0.0099</v>
      </c>
      <c r="Q22" s="522" t="n">
        <v>0.0752</v>
      </c>
      <c r="R22" s="522" t="n">
        <v>0.2411</v>
      </c>
    </row>
    <row r="23" customFormat="false" ht="15.75" hidden="false" customHeight="false" outlineLevel="0" collapsed="false">
      <c r="A23" s="520" t="s">
        <v>814</v>
      </c>
      <c r="B23" s="521" t="n">
        <v>333</v>
      </c>
      <c r="C23" s="522" t="n">
        <v>-0.0245</v>
      </c>
      <c r="D23" s="522" t="n">
        <v>0.0479</v>
      </c>
      <c r="E23" s="522" t="n">
        <v>0.135</v>
      </c>
      <c r="F23" s="522" t="n">
        <v>0.035</v>
      </c>
      <c r="G23" s="522" t="n">
        <v>0.0698</v>
      </c>
      <c r="H23" s="522" t="n">
        <v>0.1101</v>
      </c>
      <c r="I23" s="523" t="n">
        <v>0.86</v>
      </c>
      <c r="J23" s="523" t="n">
        <v>1.72</v>
      </c>
      <c r="K23" s="523" t="n">
        <v>2.91</v>
      </c>
      <c r="L23" s="522" t="n">
        <v>0.1175</v>
      </c>
      <c r="M23" s="522" t="n">
        <v>0.1225</v>
      </c>
      <c r="N23" s="522" t="n">
        <v>0.1247</v>
      </c>
      <c r="O23" s="524" t="n">
        <v>1.21</v>
      </c>
      <c r="P23" s="522" t="n">
        <v>0.02</v>
      </c>
      <c r="Q23" s="522" t="n">
        <v>0.1291</v>
      </c>
      <c r="R23" s="522" t="n">
        <v>0.3311</v>
      </c>
    </row>
    <row r="24" customFormat="false" ht="15.75" hidden="false" customHeight="false" outlineLevel="0" collapsed="false">
      <c r="A24" s="520" t="s">
        <v>815</v>
      </c>
      <c r="B24" s="521" t="n">
        <v>790</v>
      </c>
      <c r="C24" s="522" t="n">
        <v>-0.0178</v>
      </c>
      <c r="D24" s="522" t="n">
        <v>0.0496</v>
      </c>
      <c r="E24" s="522" t="n">
        <v>0.13</v>
      </c>
      <c r="F24" s="522" t="n">
        <v>0.0423</v>
      </c>
      <c r="G24" s="522" t="n">
        <v>0.0841</v>
      </c>
      <c r="H24" s="522" t="n">
        <v>0.1405</v>
      </c>
      <c r="I24" s="523" t="n">
        <v>0.63</v>
      </c>
      <c r="J24" s="523" t="n">
        <v>1.04</v>
      </c>
      <c r="K24" s="523" t="n">
        <v>1.6</v>
      </c>
      <c r="L24" s="522" t="n">
        <v>0.101</v>
      </c>
      <c r="M24" s="522" t="n">
        <v>0.106</v>
      </c>
      <c r="N24" s="522" t="n">
        <v>0.1292</v>
      </c>
      <c r="O24" s="524" t="n">
        <v>1.07</v>
      </c>
      <c r="P24" s="522" t="n">
        <v>0.047</v>
      </c>
      <c r="Q24" s="522" t="n">
        <v>0.2008</v>
      </c>
      <c r="R24" s="522" t="n">
        <v>0.3968</v>
      </c>
    </row>
    <row r="25" customFormat="false" ht="15.75" hidden="false" customHeight="false" outlineLevel="0" collapsed="false">
      <c r="A25" s="520" t="s">
        <v>816</v>
      </c>
      <c r="B25" s="521" t="n">
        <v>314</v>
      </c>
      <c r="C25" s="522" t="n">
        <v>-0.006</v>
      </c>
      <c r="D25" s="522" t="n">
        <v>0.0778</v>
      </c>
      <c r="E25" s="522" t="n">
        <v>0.174</v>
      </c>
      <c r="F25" s="522" t="n">
        <v>0.0642</v>
      </c>
      <c r="G25" s="522" t="n">
        <v>0.1058</v>
      </c>
      <c r="H25" s="522" t="n">
        <v>0.2081</v>
      </c>
      <c r="I25" s="523" t="n">
        <v>0.31</v>
      </c>
      <c r="J25" s="523" t="n">
        <v>0.78</v>
      </c>
      <c r="K25" s="523" t="n">
        <v>1.63</v>
      </c>
      <c r="L25" s="522" t="n">
        <v>0.0863</v>
      </c>
      <c r="M25" s="522" t="n">
        <v>0.0935</v>
      </c>
      <c r="N25" s="522" t="n">
        <v>0.1107</v>
      </c>
      <c r="O25" s="524" t="n">
        <v>0.97</v>
      </c>
      <c r="P25" s="522" t="n">
        <v>0.0589</v>
      </c>
      <c r="Q25" s="522" t="n">
        <v>0.3114</v>
      </c>
      <c r="R25" s="522" t="n">
        <v>0.5992</v>
      </c>
    </row>
    <row r="26" customFormat="false" ht="15.75" hidden="false" customHeight="false" outlineLevel="0" collapsed="false">
      <c r="A26" s="520" t="s">
        <v>817</v>
      </c>
      <c r="B26" s="521" t="n">
        <v>1267</v>
      </c>
      <c r="C26" s="522" t="n">
        <v>-0.0689</v>
      </c>
      <c r="D26" s="522" t="n">
        <v>0.126</v>
      </c>
      <c r="E26" s="522" t="n">
        <v>0.469</v>
      </c>
      <c r="F26" s="522" t="n">
        <v>0.0869</v>
      </c>
      <c r="G26" s="522" t="n">
        <v>0.2127</v>
      </c>
      <c r="H26" s="522" t="n">
        <v>0.3504</v>
      </c>
      <c r="I26" s="523" t="n">
        <v>0.12</v>
      </c>
      <c r="J26" s="523" t="n">
        <v>0.47</v>
      </c>
      <c r="K26" s="523" t="n">
        <v>1.03</v>
      </c>
      <c r="L26" s="522" t="n">
        <v>0.1126</v>
      </c>
      <c r="M26" s="522" t="n">
        <v>0.1133</v>
      </c>
      <c r="N26" s="522" t="n">
        <v>0.124</v>
      </c>
      <c r="O26" s="524" t="n">
        <v>1.17</v>
      </c>
      <c r="P26" s="522" t="n">
        <v>0.0023</v>
      </c>
      <c r="Q26" s="522" t="n">
        <v>0.0353</v>
      </c>
      <c r="R26" s="522" t="n">
        <v>0.1492</v>
      </c>
    </row>
    <row r="27" customFormat="false" ht="15.75" hidden="false" customHeight="false" outlineLevel="0" collapsed="false">
      <c r="A27" s="520" t="s">
        <v>818</v>
      </c>
      <c r="B27" s="521" t="n">
        <v>1352</v>
      </c>
      <c r="C27" s="522" t="n">
        <v>-0.0039</v>
      </c>
      <c r="D27" s="522" t="n">
        <v>0.0797</v>
      </c>
      <c r="E27" s="522" t="n">
        <v>0.184</v>
      </c>
      <c r="F27" s="522" t="n">
        <v>0.0652</v>
      </c>
      <c r="G27" s="522" t="n">
        <v>0.1238</v>
      </c>
      <c r="H27" s="522" t="n">
        <v>0.1904</v>
      </c>
      <c r="I27" s="523" t="n">
        <v>0.46</v>
      </c>
      <c r="J27" s="523" t="n">
        <v>0.83</v>
      </c>
      <c r="K27" s="523" t="n">
        <v>1.4</v>
      </c>
      <c r="L27" s="522" t="n">
        <v>0.098</v>
      </c>
      <c r="M27" s="522" t="n">
        <v>0.1076</v>
      </c>
      <c r="N27" s="522" t="n">
        <v>0.1103</v>
      </c>
      <c r="O27" s="524" t="n">
        <v>0.97</v>
      </c>
      <c r="P27" s="522" t="n">
        <v>0.0057</v>
      </c>
      <c r="Q27" s="522" t="n">
        <v>0.075</v>
      </c>
      <c r="R27" s="522" t="n">
        <v>0.2553</v>
      </c>
    </row>
    <row r="28" customFormat="false" ht="15.75" hidden="false" customHeight="false" outlineLevel="0" collapsed="false">
      <c r="A28" s="520" t="s">
        <v>819</v>
      </c>
      <c r="B28" s="521" t="n">
        <v>251</v>
      </c>
      <c r="C28" s="522" t="n">
        <v>-0.0304</v>
      </c>
      <c r="D28" s="522" t="n">
        <v>0.063</v>
      </c>
      <c r="E28" s="522" t="n">
        <v>0.168</v>
      </c>
      <c r="F28" s="522" t="n">
        <v>0.079</v>
      </c>
      <c r="G28" s="522" t="n">
        <v>0.137</v>
      </c>
      <c r="H28" s="522" t="n">
        <v>0.2128</v>
      </c>
      <c r="I28" s="523" t="n">
        <v>0.43</v>
      </c>
      <c r="J28" s="523" t="n">
        <v>0.91</v>
      </c>
      <c r="K28" s="523" t="n">
        <v>2.21</v>
      </c>
      <c r="L28" s="522" t="n">
        <v>0.0902</v>
      </c>
      <c r="M28" s="522" t="n">
        <v>0.0944</v>
      </c>
      <c r="N28" s="522" t="n">
        <v>0.1024</v>
      </c>
      <c r="O28" s="524" t="n">
        <v>0.78</v>
      </c>
      <c r="P28" s="522" t="n">
        <v>0.0134</v>
      </c>
      <c r="Q28" s="522" t="n">
        <v>0.1057</v>
      </c>
      <c r="R28" s="522" t="n">
        <v>0.364</v>
      </c>
    </row>
    <row r="29" customFormat="false" ht="15.75" hidden="false" customHeight="false" outlineLevel="0" collapsed="false">
      <c r="A29" s="520" t="s">
        <v>820</v>
      </c>
      <c r="B29" s="521" t="n">
        <v>1045</v>
      </c>
      <c r="C29" s="522" t="n">
        <v>0.0062</v>
      </c>
      <c r="D29" s="522" t="n">
        <v>0.0837</v>
      </c>
      <c r="E29" s="522" t="n">
        <v>0.192</v>
      </c>
      <c r="F29" s="522" t="n">
        <v>0.0411</v>
      </c>
      <c r="G29" s="522" t="n">
        <v>0.0729</v>
      </c>
      <c r="H29" s="522" t="n">
        <v>0.1274</v>
      </c>
      <c r="I29" s="523" t="n">
        <v>0.8</v>
      </c>
      <c r="J29" s="523" t="n">
        <v>1.37</v>
      </c>
      <c r="K29" s="523" t="n">
        <v>2.09</v>
      </c>
      <c r="L29" s="522" t="n">
        <v>0.1116</v>
      </c>
      <c r="M29" s="522" t="n">
        <v>0.1161</v>
      </c>
      <c r="N29" s="522" t="n">
        <v>0.1179</v>
      </c>
      <c r="O29" s="524" t="n">
        <v>1.05</v>
      </c>
      <c r="P29" s="522" t="n">
        <v>0.0162</v>
      </c>
      <c r="Q29" s="522" t="n">
        <v>0.1094</v>
      </c>
      <c r="R29" s="522" t="n">
        <v>0.2772</v>
      </c>
    </row>
    <row r="30" customFormat="false" ht="15.75" hidden="false" customHeight="false" outlineLevel="0" collapsed="false">
      <c r="A30" s="520" t="s">
        <v>821</v>
      </c>
      <c r="B30" s="521" t="n">
        <v>134</v>
      </c>
      <c r="C30" s="522" t="n">
        <v>-0.0581</v>
      </c>
      <c r="D30" s="522" t="n">
        <v>0.0492</v>
      </c>
      <c r="E30" s="522" t="n">
        <v>0.129</v>
      </c>
      <c r="F30" s="522" t="n">
        <v>0.0264</v>
      </c>
      <c r="G30" s="522" t="n">
        <v>0.0502</v>
      </c>
      <c r="H30" s="522" t="n">
        <v>0.1068</v>
      </c>
      <c r="I30" s="523" t="n">
        <v>1.01</v>
      </c>
      <c r="J30" s="523" t="n">
        <v>1.89</v>
      </c>
      <c r="K30" s="523" t="n">
        <v>2.9</v>
      </c>
      <c r="L30" s="522" t="n">
        <v>0.1059</v>
      </c>
      <c r="M30" s="522" t="n">
        <v>0.1138</v>
      </c>
      <c r="N30" s="522" t="n">
        <v>0.1172</v>
      </c>
      <c r="O30" s="524" t="n">
        <v>1.18</v>
      </c>
      <c r="P30" s="522" t="n">
        <v>0.0286</v>
      </c>
      <c r="Q30" s="522" t="n">
        <v>0.1676</v>
      </c>
      <c r="R30" s="522" t="n">
        <v>0.3913</v>
      </c>
    </row>
    <row r="31" customFormat="false" ht="15.75" hidden="false" customHeight="false" outlineLevel="0" collapsed="false">
      <c r="A31" s="520" t="s">
        <v>822</v>
      </c>
      <c r="B31" s="521" t="n">
        <v>1457</v>
      </c>
      <c r="C31" s="522" t="n">
        <v>-0.0126</v>
      </c>
      <c r="D31" s="522" t="n">
        <v>0.0657</v>
      </c>
      <c r="E31" s="522" t="n">
        <v>0.156</v>
      </c>
      <c r="F31" s="522" t="n">
        <v>0.0471</v>
      </c>
      <c r="G31" s="522" t="n">
        <v>0.0859</v>
      </c>
      <c r="H31" s="522" t="n">
        <v>0.1432</v>
      </c>
      <c r="I31" s="523" t="n">
        <v>0.74</v>
      </c>
      <c r="J31" s="523" t="n">
        <v>1.21</v>
      </c>
      <c r="K31" s="523" t="n">
        <v>1.99</v>
      </c>
      <c r="L31" s="522" t="n">
        <v>0.1229</v>
      </c>
      <c r="M31" s="522" t="n">
        <v>0.1279</v>
      </c>
      <c r="N31" s="522" t="n">
        <v>0.1306</v>
      </c>
      <c r="O31" s="524" t="n">
        <v>1.23</v>
      </c>
      <c r="P31" s="522" t="n">
        <v>0.017</v>
      </c>
      <c r="Q31" s="522" t="n">
        <v>0.1022</v>
      </c>
      <c r="R31" s="522" t="n">
        <v>0.2577</v>
      </c>
    </row>
    <row r="32" customFormat="false" ht="15.75" hidden="false" customHeight="false" outlineLevel="0" collapsed="false">
      <c r="A32" s="520" t="s">
        <v>823</v>
      </c>
      <c r="B32" s="521" t="n">
        <v>1269</v>
      </c>
      <c r="C32" s="522" t="n">
        <v>-0.0653</v>
      </c>
      <c r="D32" s="522" t="n">
        <v>0.0182</v>
      </c>
      <c r="E32" s="522" t="n">
        <v>0.116</v>
      </c>
      <c r="F32" s="522" t="n">
        <v>0.0341</v>
      </c>
      <c r="G32" s="522" t="n">
        <v>0.0576</v>
      </c>
      <c r="H32" s="522" t="n">
        <v>0.0965</v>
      </c>
      <c r="I32" s="523" t="n">
        <v>0.7</v>
      </c>
      <c r="J32" s="523" t="n">
        <v>1.44</v>
      </c>
      <c r="K32" s="523" t="n">
        <v>2.75</v>
      </c>
      <c r="L32" s="522" t="n">
        <v>0.0887</v>
      </c>
      <c r="M32" s="522" t="n">
        <v>0.0915</v>
      </c>
      <c r="N32" s="522" t="n">
        <v>0.1091</v>
      </c>
      <c r="O32" s="524" t="n">
        <v>0.95</v>
      </c>
      <c r="P32" s="522" t="n">
        <v>0.0516</v>
      </c>
      <c r="Q32" s="522" t="n">
        <v>0.245</v>
      </c>
      <c r="R32" s="522" t="n">
        <v>0.5164</v>
      </c>
    </row>
    <row r="33" customFormat="false" ht="15.75" hidden="false" customHeight="false" outlineLevel="0" collapsed="false">
      <c r="A33" s="520" t="s">
        <v>824</v>
      </c>
      <c r="B33" s="521" t="n">
        <v>752</v>
      </c>
      <c r="C33" s="522" t="n">
        <v>-0.0944</v>
      </c>
      <c r="D33" s="522" t="n">
        <v>0.0378</v>
      </c>
      <c r="E33" s="522" t="n">
        <v>0.218</v>
      </c>
      <c r="F33" s="522" t="n">
        <v>0.0529</v>
      </c>
      <c r="G33" s="522" t="n">
        <v>0.1156</v>
      </c>
      <c r="H33" s="522" t="n">
        <v>0.23</v>
      </c>
      <c r="I33" s="523" t="n">
        <v>0.42</v>
      </c>
      <c r="J33" s="523" t="n">
        <v>1.01</v>
      </c>
      <c r="K33" s="523" t="n">
        <v>2.38</v>
      </c>
      <c r="L33" s="522" t="n">
        <v>0.1044</v>
      </c>
      <c r="M33" s="522" t="n">
        <v>0.1158</v>
      </c>
      <c r="N33" s="522" t="n">
        <v>0.1206</v>
      </c>
      <c r="O33" s="524" t="n">
        <v>1.15</v>
      </c>
      <c r="P33" s="522" t="n">
        <v>0.0009</v>
      </c>
      <c r="Q33" s="522" t="n">
        <v>0.0501</v>
      </c>
      <c r="R33" s="522" t="n">
        <v>0.2597</v>
      </c>
    </row>
    <row r="34" customFormat="false" ht="15.75" hidden="false" customHeight="false" outlineLevel="0" collapsed="false">
      <c r="A34" s="520" t="s">
        <v>825</v>
      </c>
      <c r="B34" s="521" t="n">
        <v>370</v>
      </c>
      <c r="C34" s="522" t="n">
        <v>-0.0231</v>
      </c>
      <c r="D34" s="522" t="n">
        <v>0.0623</v>
      </c>
      <c r="E34" s="522" t="n">
        <v>0.163</v>
      </c>
      <c r="F34" s="522" t="n">
        <v>0.0553</v>
      </c>
      <c r="G34" s="522" t="n">
        <v>0.1109</v>
      </c>
      <c r="H34" s="522" t="n">
        <v>0.1765</v>
      </c>
      <c r="I34" s="523" t="n">
        <v>0.42</v>
      </c>
      <c r="J34" s="523" t="n">
        <v>1</v>
      </c>
      <c r="K34" s="523" t="n">
        <v>2.43</v>
      </c>
      <c r="L34" s="522" t="n">
        <v>0.0923</v>
      </c>
      <c r="M34" s="522" t="n">
        <v>0.101</v>
      </c>
      <c r="N34" s="522" t="n">
        <v>0.1031</v>
      </c>
      <c r="O34" s="524" t="n">
        <v>0.97</v>
      </c>
      <c r="P34" s="522" t="n">
        <v>0.0281</v>
      </c>
      <c r="Q34" s="522" t="n">
        <v>0.1665</v>
      </c>
      <c r="R34" s="522" t="n">
        <v>0.3637</v>
      </c>
    </row>
    <row r="35" customFormat="false" ht="15.75" hidden="false" customHeight="false" outlineLevel="0" collapsed="false">
      <c r="A35" s="520" t="s">
        <v>826</v>
      </c>
      <c r="B35" s="521" t="n">
        <v>426</v>
      </c>
      <c r="C35" s="522" t="n">
        <v>0.0359</v>
      </c>
      <c r="D35" s="522" t="n">
        <v>0.127</v>
      </c>
      <c r="E35" s="522" t="n">
        <v>0.241</v>
      </c>
      <c r="F35" s="522" t="n">
        <v>0.049</v>
      </c>
      <c r="G35" s="522" t="n">
        <v>0.1048</v>
      </c>
      <c r="H35" s="522" t="n">
        <v>0.2125</v>
      </c>
      <c r="I35" s="523" t="n">
        <v>0.52</v>
      </c>
      <c r="J35" s="523" t="n">
        <v>0.95</v>
      </c>
      <c r="K35" s="523" t="n">
        <v>1.81</v>
      </c>
      <c r="L35" s="522" t="n">
        <v>0.0829</v>
      </c>
      <c r="M35" s="522" t="n">
        <v>0.0912</v>
      </c>
      <c r="N35" s="522" t="n">
        <v>0.1035</v>
      </c>
      <c r="O35" s="524" t="n">
        <v>0.74</v>
      </c>
      <c r="P35" s="522" t="n">
        <v>0.0141</v>
      </c>
      <c r="Q35" s="522" t="n">
        <v>0.1959</v>
      </c>
      <c r="R35" s="522" t="n">
        <v>0.4384</v>
      </c>
    </row>
    <row r="36" customFormat="false" ht="15.75" hidden="false" customHeight="false" outlineLevel="0" collapsed="false">
      <c r="A36" s="520" t="s">
        <v>827</v>
      </c>
      <c r="B36" s="521" t="n">
        <v>1089</v>
      </c>
      <c r="C36" s="522" t="n">
        <v>-0.0271</v>
      </c>
      <c r="D36" s="522" t="n">
        <v>0.072</v>
      </c>
      <c r="E36" s="522" t="n">
        <v>0.184</v>
      </c>
      <c r="F36" s="522" t="n">
        <v>0.0285</v>
      </c>
      <c r="G36" s="522" t="n">
        <v>0.2025</v>
      </c>
      <c r="H36" s="522" t="n">
        <v>0.445</v>
      </c>
      <c r="I36" s="523" t="n">
        <v>0.09</v>
      </c>
      <c r="J36" s="523" t="n">
        <v>0.2</v>
      </c>
      <c r="K36" s="523" t="n">
        <v>0.52</v>
      </c>
      <c r="L36" s="522" t="n">
        <v>0.0484</v>
      </c>
      <c r="M36" s="522" t="n">
        <v>0.0542</v>
      </c>
      <c r="N36" s="522" t="n">
        <v>0.061</v>
      </c>
      <c r="O36" s="524" t="n">
        <v>0.81</v>
      </c>
      <c r="P36" s="522" t="n">
        <v>0.0302</v>
      </c>
      <c r="Q36" s="522" t="n">
        <v>0.3331</v>
      </c>
      <c r="R36" s="522" t="n">
        <v>0.6725</v>
      </c>
    </row>
    <row r="37" customFormat="false" ht="15.75" hidden="false" customHeight="false" outlineLevel="0" collapsed="false">
      <c r="A37" s="520" t="s">
        <v>828</v>
      </c>
      <c r="B37" s="521" t="n">
        <v>1397</v>
      </c>
      <c r="C37" s="522" t="n">
        <v>0.0102</v>
      </c>
      <c r="D37" s="522" t="n">
        <v>0.0769</v>
      </c>
      <c r="E37" s="522" t="n">
        <v>0.162</v>
      </c>
      <c r="F37" s="522" t="n">
        <v>0.0349</v>
      </c>
      <c r="G37" s="522" t="n">
        <v>0.0679</v>
      </c>
      <c r="H37" s="522" t="n">
        <v>0.119</v>
      </c>
      <c r="I37" s="523" t="n">
        <v>0.94</v>
      </c>
      <c r="J37" s="523" t="n">
        <v>1.49</v>
      </c>
      <c r="K37" s="523" t="n">
        <v>2.26</v>
      </c>
      <c r="L37" s="522" t="n">
        <v>0.0858</v>
      </c>
      <c r="M37" s="522" t="n">
        <v>0.0902</v>
      </c>
      <c r="N37" s="522" t="n">
        <v>0.1065</v>
      </c>
      <c r="O37" s="524" t="n">
        <v>0.68</v>
      </c>
      <c r="P37" s="522" t="n">
        <v>0.0391</v>
      </c>
      <c r="Q37" s="522" t="n">
        <v>0.1963</v>
      </c>
      <c r="R37" s="522" t="n">
        <v>0.4117</v>
      </c>
    </row>
    <row r="38" customFormat="false" ht="15.75" hidden="false" customHeight="false" outlineLevel="0" collapsed="false">
      <c r="A38" s="520" t="s">
        <v>829</v>
      </c>
      <c r="B38" s="521" t="n">
        <v>169</v>
      </c>
      <c r="C38" s="522" t="n">
        <v>-0.0406</v>
      </c>
      <c r="D38" s="522" t="n">
        <v>0.0442</v>
      </c>
      <c r="E38" s="522" t="n">
        <v>0.151</v>
      </c>
      <c r="F38" s="522" t="n">
        <v>0.0124</v>
      </c>
      <c r="G38" s="522" t="n">
        <v>0.0287</v>
      </c>
      <c r="H38" s="522" t="n">
        <v>0.0628</v>
      </c>
      <c r="I38" s="523" t="n">
        <v>1.23</v>
      </c>
      <c r="J38" s="523" t="n">
        <v>3.32</v>
      </c>
      <c r="K38" s="523" t="n">
        <v>5.93</v>
      </c>
      <c r="L38" s="522" t="n">
        <v>0.0717</v>
      </c>
      <c r="M38" s="522" t="n">
        <v>0.0749</v>
      </c>
      <c r="N38" s="522" t="n">
        <v>0.0863</v>
      </c>
      <c r="O38" s="524" t="n">
        <v>0.61</v>
      </c>
      <c r="P38" s="522" t="n">
        <v>0.0213</v>
      </c>
      <c r="Q38" s="522" t="n">
        <v>0.211</v>
      </c>
      <c r="R38" s="522" t="n">
        <v>0.4593</v>
      </c>
    </row>
    <row r="39" customFormat="false" ht="15.75" hidden="false" customHeight="false" outlineLevel="0" collapsed="false">
      <c r="A39" s="520" t="s">
        <v>830</v>
      </c>
      <c r="B39" s="521" t="n">
        <v>362</v>
      </c>
      <c r="C39" s="522" t="n">
        <v>-0.005</v>
      </c>
      <c r="D39" s="522" t="n">
        <v>0.0693</v>
      </c>
      <c r="E39" s="522" t="n">
        <v>0.167</v>
      </c>
      <c r="F39" s="522" t="n">
        <v>0.0503</v>
      </c>
      <c r="G39" s="522" t="n">
        <v>0.0785</v>
      </c>
      <c r="H39" s="522" t="n">
        <v>0.1199</v>
      </c>
      <c r="I39" s="523" t="n">
        <v>1.05</v>
      </c>
      <c r="J39" s="523" t="n">
        <v>1.68</v>
      </c>
      <c r="K39" s="523" t="n">
        <v>2.55</v>
      </c>
      <c r="L39" s="522" t="n">
        <v>0.1128</v>
      </c>
      <c r="M39" s="522" t="n">
        <v>0.1167</v>
      </c>
      <c r="N39" s="522" t="n">
        <v>0.1386</v>
      </c>
      <c r="O39" s="524" t="n">
        <v>0.98</v>
      </c>
      <c r="P39" s="522" t="n">
        <v>0.0292</v>
      </c>
      <c r="Q39" s="522" t="n">
        <v>0.1385</v>
      </c>
      <c r="R39" s="522" t="n">
        <v>0.3503</v>
      </c>
    </row>
    <row r="40" customFormat="false" ht="15.75" hidden="false" customHeight="false" outlineLevel="0" collapsed="false">
      <c r="A40" s="520" t="s">
        <v>831</v>
      </c>
      <c r="B40" s="521" t="n">
        <v>248</v>
      </c>
      <c r="C40" s="522" t="n">
        <v>0.0116</v>
      </c>
      <c r="D40" s="522" t="n">
        <v>0.111</v>
      </c>
      <c r="E40" s="522" t="n">
        <v>0.278</v>
      </c>
      <c r="F40" s="522" t="n">
        <v>0.1752</v>
      </c>
      <c r="G40" s="522" t="n">
        <v>0.3238</v>
      </c>
      <c r="H40" s="522" t="n">
        <v>0.4898</v>
      </c>
      <c r="I40" s="523" t="n">
        <v>0.13</v>
      </c>
      <c r="J40" s="523" t="n">
        <v>0.19</v>
      </c>
      <c r="K40" s="523" t="n">
        <v>0.36</v>
      </c>
      <c r="L40" s="522" t="n">
        <v>0.0871</v>
      </c>
      <c r="M40" s="522" t="n">
        <v>0.092</v>
      </c>
      <c r="N40" s="522" t="n">
        <v>0.111</v>
      </c>
      <c r="O40" s="524" t="n">
        <v>0.93</v>
      </c>
      <c r="P40" s="522" t="n">
        <v>0.0877</v>
      </c>
      <c r="Q40" s="522" t="n">
        <v>0.2959</v>
      </c>
      <c r="R40" s="522" t="n">
        <v>0.5035</v>
      </c>
    </row>
    <row r="41" customFormat="false" ht="15.75" hidden="false" customHeight="false" outlineLevel="0" collapsed="false">
      <c r="A41" s="520" t="s">
        <v>832</v>
      </c>
      <c r="B41" s="521" t="n">
        <v>896</v>
      </c>
      <c r="C41" s="522" t="n">
        <v>0.0138</v>
      </c>
      <c r="D41" s="522" t="n">
        <v>0.0946</v>
      </c>
      <c r="E41" s="522" t="n">
        <v>0.231</v>
      </c>
      <c r="F41" s="522" t="n">
        <v>0.089</v>
      </c>
      <c r="G41" s="522" t="n">
        <v>0.1502</v>
      </c>
      <c r="H41" s="522" t="n">
        <v>0.231</v>
      </c>
      <c r="I41" s="523" t="n">
        <v>0.6</v>
      </c>
      <c r="J41" s="523" t="n">
        <v>1.05</v>
      </c>
      <c r="K41" s="523" t="n">
        <v>1.79</v>
      </c>
      <c r="L41" s="522" t="n">
        <v>0.1025</v>
      </c>
      <c r="M41" s="522" t="n">
        <v>0.1083</v>
      </c>
      <c r="N41" s="522" t="n">
        <v>0.1152</v>
      </c>
      <c r="O41" s="524" t="n">
        <v>1.1</v>
      </c>
      <c r="P41" s="522" t="n">
        <v>0.0064</v>
      </c>
      <c r="Q41" s="522" t="n">
        <v>0.0518</v>
      </c>
      <c r="R41" s="522" t="n">
        <v>0.1816</v>
      </c>
    </row>
    <row r="42" customFormat="false" ht="15.75" hidden="false" customHeight="false" outlineLevel="0" collapsed="false">
      <c r="A42" s="520" t="s">
        <v>833</v>
      </c>
      <c r="B42" s="521" t="n">
        <v>460</v>
      </c>
      <c r="C42" s="522" t="n">
        <v>0.0176</v>
      </c>
      <c r="D42" s="522" t="n">
        <v>0.0915</v>
      </c>
      <c r="E42" s="522" t="n">
        <v>0.203</v>
      </c>
      <c r="F42" s="522" t="n">
        <v>0.0368</v>
      </c>
      <c r="G42" s="522" t="n">
        <v>0.0796</v>
      </c>
      <c r="H42" s="522" t="n">
        <v>0.1559</v>
      </c>
      <c r="I42" s="523" t="n">
        <v>1.13</v>
      </c>
      <c r="J42" s="523" t="n">
        <v>2.21</v>
      </c>
      <c r="K42" s="523" t="n">
        <v>4.6</v>
      </c>
      <c r="L42" s="522" t="n">
        <v>0.0935</v>
      </c>
      <c r="M42" s="522" t="n">
        <v>0.1013</v>
      </c>
      <c r="N42" s="522" t="n">
        <v>0.1049</v>
      </c>
      <c r="O42" s="524" t="n">
        <v>0.88</v>
      </c>
      <c r="P42" s="522" t="n">
        <v>0.0185</v>
      </c>
      <c r="Q42" s="522" t="n">
        <v>0.1436</v>
      </c>
      <c r="R42" s="522" t="n">
        <v>0.3412</v>
      </c>
    </row>
    <row r="43" customFormat="false" ht="15.75" hidden="false" customHeight="false" outlineLevel="0" collapsed="false">
      <c r="A43" s="520" t="s">
        <v>834</v>
      </c>
      <c r="B43" s="521" t="n">
        <v>447</v>
      </c>
      <c r="C43" s="522" t="n">
        <v>0.0456</v>
      </c>
      <c r="D43" s="522" t="n">
        <v>0.149</v>
      </c>
      <c r="E43" s="522" t="n">
        <v>0.291</v>
      </c>
      <c r="F43" s="522" t="n">
        <v>0.0821</v>
      </c>
      <c r="G43" s="522" t="n">
        <v>0.1496</v>
      </c>
      <c r="H43" s="522" t="n">
        <v>0.2391</v>
      </c>
      <c r="I43" s="523" t="n">
        <v>0.57</v>
      </c>
      <c r="J43" s="523" t="n">
        <v>1.21</v>
      </c>
      <c r="K43" s="523" t="n">
        <v>2.3</v>
      </c>
      <c r="L43" s="522" t="n">
        <v>0.1139</v>
      </c>
      <c r="M43" s="522" t="n">
        <v>0.1146</v>
      </c>
      <c r="N43" s="522" t="n">
        <v>0.1284</v>
      </c>
      <c r="O43" s="524" t="n">
        <v>1.28</v>
      </c>
      <c r="P43" s="522" t="n">
        <v>0.0047</v>
      </c>
      <c r="Q43" s="522" t="n">
        <v>0.037</v>
      </c>
      <c r="R43" s="522" t="n">
        <v>0.1685</v>
      </c>
    </row>
    <row r="44" customFormat="false" ht="15.75" hidden="false" customHeight="false" outlineLevel="0" collapsed="false">
      <c r="A44" s="520" t="s">
        <v>835</v>
      </c>
      <c r="B44" s="521" t="n">
        <v>171</v>
      </c>
      <c r="C44" s="522" t="n">
        <v>-0.0126</v>
      </c>
      <c r="D44" s="522" t="n">
        <v>0.0604</v>
      </c>
      <c r="E44" s="522" t="n">
        <v>0.155</v>
      </c>
      <c r="F44" s="522" t="n">
        <v>0.0626</v>
      </c>
      <c r="G44" s="522" t="n">
        <v>0.1143</v>
      </c>
      <c r="H44" s="522" t="n">
        <v>0.1698</v>
      </c>
      <c r="I44" s="523" t="n">
        <v>0.61</v>
      </c>
      <c r="J44" s="523" t="n">
        <v>1.31</v>
      </c>
      <c r="K44" s="523" t="n">
        <v>2.08</v>
      </c>
      <c r="L44" s="522" t="n">
        <v>0.0983</v>
      </c>
      <c r="M44" s="522" t="n">
        <v>0.1042</v>
      </c>
      <c r="N44" s="522" t="n">
        <v>0.1092</v>
      </c>
      <c r="O44" s="524" t="n">
        <v>1.09</v>
      </c>
      <c r="P44" s="522" t="n">
        <v>0.1344</v>
      </c>
      <c r="Q44" s="522" t="n">
        <v>0.4169</v>
      </c>
      <c r="R44" s="522" t="n">
        <v>0.6669</v>
      </c>
    </row>
    <row r="45" customFormat="false" ht="15.75" hidden="false" customHeight="false" outlineLevel="0" collapsed="false">
      <c r="A45" s="520" t="s">
        <v>836</v>
      </c>
      <c r="B45" s="521" t="n">
        <v>231</v>
      </c>
      <c r="C45" s="522" t="n">
        <v>0.036</v>
      </c>
      <c r="D45" s="522" t="n">
        <v>0.0861</v>
      </c>
      <c r="E45" s="522" t="n">
        <v>0.168</v>
      </c>
      <c r="F45" s="522" t="n">
        <v>0.075</v>
      </c>
      <c r="G45" s="522" t="n">
        <v>0.1255</v>
      </c>
      <c r="H45" s="522" t="n">
        <v>0.1949</v>
      </c>
      <c r="I45" s="523" t="n">
        <v>0.63</v>
      </c>
      <c r="J45" s="523" t="n">
        <v>1.07</v>
      </c>
      <c r="K45" s="523" t="n">
        <v>1.79</v>
      </c>
      <c r="L45" s="522" t="n">
        <v>0.0731</v>
      </c>
      <c r="M45" s="522" t="n">
        <v>0.0808</v>
      </c>
      <c r="N45" s="522" t="n">
        <v>0.0944</v>
      </c>
      <c r="O45" s="524" t="n">
        <v>0.72</v>
      </c>
      <c r="P45" s="522" t="n">
        <v>0.0447</v>
      </c>
      <c r="Q45" s="522" t="n">
        <v>0.1738</v>
      </c>
      <c r="R45" s="522" t="n">
        <v>0.4109</v>
      </c>
    </row>
    <row r="46" customFormat="false" ht="15.75" hidden="false" customHeight="false" outlineLevel="0" collapsed="false">
      <c r="A46" s="520" t="s">
        <v>837</v>
      </c>
      <c r="B46" s="521" t="n">
        <v>650</v>
      </c>
      <c r="C46" s="522" t="n">
        <v>-0.178</v>
      </c>
      <c r="D46" s="522" t="n">
        <v>-0.0677</v>
      </c>
      <c r="E46" s="522" t="n">
        <v>0.0295</v>
      </c>
      <c r="F46" s="522" t="n">
        <v>0.0694</v>
      </c>
      <c r="G46" s="522" t="n">
        <v>0.1429</v>
      </c>
      <c r="H46" s="522" t="n">
        <v>0.2172</v>
      </c>
      <c r="I46" s="523" t="n">
        <v>0.16</v>
      </c>
      <c r="J46" s="523" t="n">
        <v>0.35</v>
      </c>
      <c r="K46" s="523" t="n">
        <v>0.82</v>
      </c>
      <c r="L46" s="522" t="n">
        <v>0.0895</v>
      </c>
      <c r="M46" s="522" t="n">
        <v>0.0943</v>
      </c>
      <c r="N46" s="522" t="n">
        <v>0.1117</v>
      </c>
      <c r="O46" s="524" t="n">
        <v>0.91</v>
      </c>
      <c r="P46" s="522" t="n">
        <v>0.0342</v>
      </c>
      <c r="Q46" s="522" t="n">
        <v>0.2404</v>
      </c>
      <c r="R46" s="522" t="n">
        <v>0.5251</v>
      </c>
    </row>
    <row r="47" customFormat="false" ht="15.75" hidden="false" customHeight="false" outlineLevel="0" collapsed="false">
      <c r="A47" s="520" t="s">
        <v>838</v>
      </c>
      <c r="B47" s="521" t="n">
        <v>589</v>
      </c>
      <c r="C47" s="522" t="n">
        <v>-0.0232</v>
      </c>
      <c r="D47" s="522" t="n">
        <v>0.0526</v>
      </c>
      <c r="E47" s="522" t="n">
        <v>0.131</v>
      </c>
      <c r="F47" s="522" t="n">
        <v>0.0485</v>
      </c>
      <c r="G47" s="522" t="n">
        <v>0.0913</v>
      </c>
      <c r="H47" s="522" t="n">
        <v>0.1548</v>
      </c>
      <c r="I47" s="523" t="n">
        <v>0.78</v>
      </c>
      <c r="J47" s="523" t="n">
        <v>1.39</v>
      </c>
      <c r="K47" s="523" t="n">
        <v>2.33</v>
      </c>
      <c r="L47" s="522" t="n">
        <v>0.0959</v>
      </c>
      <c r="M47" s="522" t="n">
        <v>0.1057</v>
      </c>
      <c r="N47" s="522" t="n">
        <v>0.1104</v>
      </c>
      <c r="O47" s="524" t="n">
        <v>0.9</v>
      </c>
      <c r="P47" s="522" t="n">
        <v>0.0032</v>
      </c>
      <c r="Q47" s="522" t="n">
        <v>0.0681</v>
      </c>
      <c r="R47" s="522" t="n">
        <v>0.2808</v>
      </c>
    </row>
    <row r="48" customFormat="false" ht="15.75" hidden="false" customHeight="false" outlineLevel="0" collapsed="false">
      <c r="A48" s="520" t="s">
        <v>839</v>
      </c>
      <c r="B48" s="521" t="n">
        <v>242</v>
      </c>
      <c r="C48" s="522" t="n">
        <v>0.0086</v>
      </c>
      <c r="D48" s="522" t="n">
        <v>0.0879</v>
      </c>
      <c r="E48" s="522" t="n">
        <v>0.197</v>
      </c>
      <c r="F48" s="522" t="n">
        <v>0.0723</v>
      </c>
      <c r="G48" s="522" t="n">
        <v>0.1119</v>
      </c>
      <c r="H48" s="522" t="n">
        <v>0.2149</v>
      </c>
      <c r="I48" s="523" t="n">
        <v>1.1</v>
      </c>
      <c r="J48" s="523" t="n">
        <v>2.13</v>
      </c>
      <c r="K48" s="523" t="n">
        <v>4.51</v>
      </c>
      <c r="L48" s="522" t="n">
        <v>0.1184</v>
      </c>
      <c r="M48" s="522" t="n">
        <v>0.1303</v>
      </c>
      <c r="N48" s="522" t="n">
        <v>0.1451</v>
      </c>
      <c r="O48" s="524" t="n">
        <v>1.26</v>
      </c>
      <c r="P48" s="522" t="n">
        <v>0.0079</v>
      </c>
      <c r="Q48" s="522" t="n">
        <v>0.0574</v>
      </c>
      <c r="R48" s="522" t="n">
        <v>0.2512</v>
      </c>
    </row>
    <row r="49" customFormat="false" ht="15.75" hidden="false" customHeight="false" outlineLevel="0" collapsed="false">
      <c r="A49" s="520" t="s">
        <v>840</v>
      </c>
      <c r="B49" s="521" t="n">
        <v>206</v>
      </c>
      <c r="C49" s="522" t="n">
        <v>-0.0175</v>
      </c>
      <c r="D49" s="522" t="n">
        <v>0.0474</v>
      </c>
      <c r="E49" s="522" t="n">
        <v>0.107</v>
      </c>
      <c r="F49" s="522" t="n">
        <v>0.0635</v>
      </c>
      <c r="G49" s="522" t="n">
        <v>0.1081</v>
      </c>
      <c r="H49" s="522" t="n">
        <v>0.1918</v>
      </c>
      <c r="I49" s="523" t="n">
        <v>0.83</v>
      </c>
      <c r="J49" s="523" t="n">
        <v>1.51</v>
      </c>
      <c r="K49" s="523" t="n">
        <v>2.56</v>
      </c>
      <c r="L49" s="522" t="n">
        <v>0.0799</v>
      </c>
      <c r="M49" s="522" t="n">
        <v>0.0845</v>
      </c>
      <c r="N49" s="522" t="n">
        <v>0.1074</v>
      </c>
      <c r="O49" s="524" t="n">
        <v>0.61</v>
      </c>
      <c r="P49" s="522" t="n">
        <v>0</v>
      </c>
      <c r="Q49" s="522" t="n">
        <v>0.0518</v>
      </c>
      <c r="R49" s="522" t="n">
        <v>0.2488</v>
      </c>
    </row>
    <row r="50" customFormat="false" ht="15.75" hidden="false" customHeight="false" outlineLevel="0" collapsed="false">
      <c r="A50" s="520" t="s">
        <v>841</v>
      </c>
      <c r="B50" s="521" t="n">
        <v>142</v>
      </c>
      <c r="C50" s="522" t="n">
        <v>-0.0178</v>
      </c>
      <c r="D50" s="522" t="n">
        <v>0.0356</v>
      </c>
      <c r="E50" s="522" t="n">
        <v>0.132</v>
      </c>
      <c r="F50" s="522" t="n">
        <v>0.0576</v>
      </c>
      <c r="G50" s="522" t="n">
        <v>0.0977</v>
      </c>
      <c r="H50" s="522" t="n">
        <v>0.1704</v>
      </c>
      <c r="I50" s="523" t="n">
        <v>0.49</v>
      </c>
      <c r="J50" s="523" t="n">
        <v>1.09</v>
      </c>
      <c r="K50" s="523" t="n">
        <v>2.75</v>
      </c>
      <c r="L50" s="522" t="n">
        <v>0.0864</v>
      </c>
      <c r="M50" s="522" t="n">
        <v>0.0962</v>
      </c>
      <c r="N50" s="522" t="n">
        <v>0.1285</v>
      </c>
      <c r="O50" s="524" t="n">
        <v>0.89</v>
      </c>
      <c r="P50" s="522" t="n">
        <v>0.0056</v>
      </c>
      <c r="Q50" s="522" t="n">
        <v>0.1232</v>
      </c>
      <c r="R50" s="522" t="n">
        <v>0.4078</v>
      </c>
    </row>
    <row r="51" customFormat="false" ht="15.75" hidden="false" customHeight="false" outlineLevel="0" collapsed="false">
      <c r="A51" s="520" t="s">
        <v>842</v>
      </c>
      <c r="B51" s="521" t="n">
        <v>235</v>
      </c>
      <c r="C51" s="522" t="n">
        <v>0.0036</v>
      </c>
      <c r="D51" s="522" t="n">
        <v>0.0695</v>
      </c>
      <c r="E51" s="522" t="n">
        <v>0.157</v>
      </c>
      <c r="F51" s="522" t="n">
        <v>0.072</v>
      </c>
      <c r="G51" s="522" t="n">
        <v>0.1227</v>
      </c>
      <c r="H51" s="522" t="n">
        <v>0.2214</v>
      </c>
      <c r="I51" s="523" t="n">
        <v>0.68</v>
      </c>
      <c r="J51" s="523" t="n">
        <v>1.19</v>
      </c>
      <c r="K51" s="523" t="n">
        <v>2.06</v>
      </c>
      <c r="L51" s="522" t="n">
        <v>0.0799</v>
      </c>
      <c r="M51" s="522" t="n">
        <v>0.0981</v>
      </c>
      <c r="N51" s="522" t="n">
        <v>0.123</v>
      </c>
      <c r="O51" s="524" t="n">
        <v>0.76</v>
      </c>
      <c r="P51" s="522" t="n">
        <v>0.0001</v>
      </c>
      <c r="Q51" s="522" t="n">
        <v>0.0259</v>
      </c>
      <c r="R51" s="522" t="n">
        <v>0.152</v>
      </c>
    </row>
    <row r="52" customFormat="false" ht="15.75" hidden="false" customHeight="false" outlineLevel="0" collapsed="false">
      <c r="A52" s="520" t="s">
        <v>843</v>
      </c>
      <c r="B52" s="521" t="n">
        <v>1660</v>
      </c>
      <c r="C52" s="522" t="n">
        <v>-0.0313</v>
      </c>
      <c r="D52" s="522" t="n">
        <v>0.0946</v>
      </c>
      <c r="E52" s="522" t="n">
        <v>0.296</v>
      </c>
      <c r="F52" s="522" t="n">
        <v>0.1856</v>
      </c>
      <c r="G52" s="522" t="n">
        <v>0.3796</v>
      </c>
      <c r="H52" s="522" t="n">
        <v>0.783</v>
      </c>
      <c r="I52" s="523" t="n">
        <v>0.06</v>
      </c>
      <c r="J52" s="523" t="n">
        <v>0.25</v>
      </c>
      <c r="K52" s="523" t="n">
        <v>1.04</v>
      </c>
      <c r="L52" s="522" t="n">
        <v>0.0726</v>
      </c>
      <c r="M52" s="522" t="n">
        <v>0.0726</v>
      </c>
      <c r="N52" s="522" t="n">
        <v>0.0795</v>
      </c>
      <c r="O52" s="524" t="n">
        <v>0.52</v>
      </c>
      <c r="P52" s="522" t="n">
        <v>0</v>
      </c>
      <c r="Q52" s="522" t="n">
        <v>0.0005</v>
      </c>
      <c r="R52" s="522" t="n">
        <v>0.0669</v>
      </c>
    </row>
    <row r="53" customFormat="false" ht="15.75" hidden="false" customHeight="false" outlineLevel="0" collapsed="false">
      <c r="A53" s="520" t="s">
        <v>844</v>
      </c>
      <c r="B53" s="521" t="n">
        <v>1463</v>
      </c>
      <c r="C53" s="522" t="n">
        <v>-0.0072</v>
      </c>
      <c r="D53" s="522" t="n">
        <v>0.0529</v>
      </c>
      <c r="E53" s="522" t="n">
        <v>0.136</v>
      </c>
      <c r="F53" s="522" t="n">
        <v>0.0512</v>
      </c>
      <c r="G53" s="522" t="n">
        <v>0.0899</v>
      </c>
      <c r="H53" s="522" t="n">
        <v>0.1408</v>
      </c>
      <c r="I53" s="523" t="n">
        <v>0.81</v>
      </c>
      <c r="J53" s="523" t="n">
        <v>1.22</v>
      </c>
      <c r="K53" s="523" t="n">
        <v>1.89</v>
      </c>
      <c r="L53" s="522" t="n">
        <v>0.1088</v>
      </c>
      <c r="M53" s="522" t="n">
        <v>0.1134</v>
      </c>
      <c r="N53" s="522" t="n">
        <v>0.115</v>
      </c>
      <c r="O53" s="524" t="n">
        <v>1.06</v>
      </c>
      <c r="P53" s="522" t="n">
        <v>0.0184</v>
      </c>
      <c r="Q53" s="522" t="n">
        <v>0.1078</v>
      </c>
      <c r="R53" s="522" t="n">
        <v>0.2704</v>
      </c>
    </row>
    <row r="54" customFormat="false" ht="15.75" hidden="false" customHeight="false" outlineLevel="0" collapsed="false">
      <c r="A54" s="520" t="s">
        <v>845</v>
      </c>
      <c r="B54" s="521" t="n">
        <v>1783</v>
      </c>
      <c r="C54" s="522" t="n">
        <v>0.0115</v>
      </c>
      <c r="D54" s="522" t="n">
        <v>0.133</v>
      </c>
      <c r="E54" s="522" t="n">
        <v>0.273</v>
      </c>
      <c r="F54" s="522" t="n">
        <v>0.0474</v>
      </c>
      <c r="G54" s="522" t="n">
        <v>0.0996</v>
      </c>
      <c r="H54" s="522" t="n">
        <v>0.2182</v>
      </c>
      <c r="I54" s="523" t="n">
        <v>0.09</v>
      </c>
      <c r="J54" s="523" t="n">
        <v>0.89</v>
      </c>
      <c r="K54" s="523" t="n">
        <v>1.76</v>
      </c>
      <c r="L54" s="522" t="n">
        <v>0.1049</v>
      </c>
      <c r="M54" s="522" t="n">
        <v>0.1049</v>
      </c>
      <c r="N54" s="522" t="n">
        <v>0.1108</v>
      </c>
      <c r="O54" s="524" t="n">
        <v>1.13</v>
      </c>
      <c r="P54" s="522" t="n">
        <v>0</v>
      </c>
      <c r="Q54" s="522" t="n">
        <v>0.003</v>
      </c>
      <c r="R54" s="522" t="n">
        <v>0.1027</v>
      </c>
    </row>
    <row r="55" customFormat="false" ht="15.75" hidden="false" customHeight="false" outlineLevel="0" collapsed="false">
      <c r="A55" s="520" t="s">
        <v>846</v>
      </c>
      <c r="B55" s="521" t="n">
        <v>144</v>
      </c>
      <c r="C55" s="522" t="n">
        <v>-0.0309</v>
      </c>
      <c r="D55" s="522" t="n">
        <v>0.0243</v>
      </c>
      <c r="E55" s="522" t="n">
        <v>0.0961</v>
      </c>
      <c r="F55" s="522" t="n">
        <v>0.0343</v>
      </c>
      <c r="G55" s="522" t="n">
        <v>0.0546</v>
      </c>
      <c r="H55" s="522" t="n">
        <v>0.1071</v>
      </c>
      <c r="I55" s="523" t="n">
        <v>0.94</v>
      </c>
      <c r="J55" s="523" t="n">
        <v>1.68</v>
      </c>
      <c r="K55" s="523" t="n">
        <v>2.78</v>
      </c>
      <c r="L55" s="522" t="n">
        <v>0.0945</v>
      </c>
      <c r="M55" s="522" t="n">
        <v>0.0983</v>
      </c>
      <c r="N55" s="522" t="n">
        <v>0.1164</v>
      </c>
      <c r="O55" s="524" t="n">
        <v>0.89</v>
      </c>
      <c r="P55" s="522" t="n">
        <v>0.031</v>
      </c>
      <c r="Q55" s="522" t="n">
        <v>0.1524</v>
      </c>
      <c r="R55" s="522" t="n">
        <v>0.4092</v>
      </c>
    </row>
    <row r="56" customFormat="false" ht="15.75" hidden="false" customHeight="false" outlineLevel="0" collapsed="false">
      <c r="A56" s="520" t="s">
        <v>847</v>
      </c>
      <c r="B56" s="521" t="n">
        <v>36</v>
      </c>
      <c r="C56" s="522" t="n">
        <v>0.106</v>
      </c>
      <c r="D56" s="522" t="n">
        <v>0.16</v>
      </c>
      <c r="E56" s="522" t="n">
        <v>0.246</v>
      </c>
      <c r="F56" s="522" t="n">
        <v>0.1189</v>
      </c>
      <c r="G56" s="522" t="n">
        <v>0.1645</v>
      </c>
      <c r="H56" s="522" t="n">
        <v>0.2916</v>
      </c>
      <c r="I56" s="523" t="n">
        <v>1</v>
      </c>
      <c r="J56" s="523" t="n">
        <v>1.7</v>
      </c>
      <c r="K56" s="523" t="n">
        <v>2.15</v>
      </c>
      <c r="L56" s="522" t="n">
        <v>0.1034</v>
      </c>
      <c r="M56" s="522" t="n">
        <v>0.1097</v>
      </c>
      <c r="N56" s="522" t="n">
        <v>0.1355</v>
      </c>
      <c r="O56" s="524" t="n">
        <v>1.08</v>
      </c>
      <c r="P56" s="522" t="n">
        <v>0.1014</v>
      </c>
      <c r="Q56" s="522" t="n">
        <v>0.3385</v>
      </c>
      <c r="R56" s="522" t="n">
        <v>0.5128</v>
      </c>
    </row>
    <row r="57" customFormat="false" ht="15.75" hidden="false" customHeight="false" outlineLevel="0" collapsed="false">
      <c r="A57" s="520" t="s">
        <v>848</v>
      </c>
      <c r="B57" s="521" t="n">
        <v>616</v>
      </c>
      <c r="C57" s="522" t="n">
        <v>0.0227</v>
      </c>
      <c r="D57" s="522" t="n">
        <v>0.182</v>
      </c>
      <c r="E57" s="522" t="n">
        <v>0.386</v>
      </c>
      <c r="F57" s="522" t="n">
        <v>0.2321</v>
      </c>
      <c r="G57" s="522" t="n">
        <v>0.4099</v>
      </c>
      <c r="H57" s="522" t="n">
        <v>0.5686</v>
      </c>
      <c r="I57" s="523" t="n">
        <v>0.34</v>
      </c>
      <c r="J57" s="523" t="n">
        <v>0.69</v>
      </c>
      <c r="K57" s="523" t="n">
        <v>1.47</v>
      </c>
      <c r="L57" s="522" t="n">
        <v>0.1085</v>
      </c>
      <c r="M57" s="522" t="n">
        <v>0.1086</v>
      </c>
      <c r="N57" s="522" t="n">
        <v>0.1194</v>
      </c>
      <c r="O57" s="524" t="n">
        <v>1.14</v>
      </c>
      <c r="P57" s="522" t="n">
        <v>0</v>
      </c>
      <c r="Q57" s="522" t="n">
        <v>0.0653</v>
      </c>
      <c r="R57" s="522" t="n">
        <v>0.2911</v>
      </c>
    </row>
    <row r="58" customFormat="false" ht="15.75" hidden="false" customHeight="false" outlineLevel="0" collapsed="false">
      <c r="A58" s="520" t="s">
        <v>849</v>
      </c>
      <c r="B58" s="521" t="n">
        <v>166</v>
      </c>
      <c r="C58" s="522" t="n">
        <v>0.0085</v>
      </c>
      <c r="D58" s="522" t="n">
        <v>0.0891</v>
      </c>
      <c r="E58" s="522" t="n">
        <v>0.171</v>
      </c>
      <c r="F58" s="522" t="n">
        <v>0.0391</v>
      </c>
      <c r="G58" s="522" t="n">
        <v>0.1061</v>
      </c>
      <c r="H58" s="522" t="n">
        <v>0.2539</v>
      </c>
      <c r="I58" s="523" t="n">
        <v>0.28</v>
      </c>
      <c r="J58" s="523" t="n">
        <v>0.56</v>
      </c>
      <c r="K58" s="523" t="n">
        <v>1.87</v>
      </c>
      <c r="L58" s="522" t="n">
        <v>0.0793</v>
      </c>
      <c r="M58" s="522" t="n">
        <v>0.0867</v>
      </c>
      <c r="N58" s="522" t="n">
        <v>0.1018</v>
      </c>
      <c r="O58" s="524" t="n">
        <v>0.9</v>
      </c>
      <c r="P58" s="522" t="n">
        <v>0.103</v>
      </c>
      <c r="Q58" s="522" t="n">
        <v>0.3609</v>
      </c>
      <c r="R58" s="522" t="n">
        <v>0.512</v>
      </c>
    </row>
    <row r="59" customFormat="false" ht="15.75" hidden="false" customHeight="false" outlineLevel="0" collapsed="false">
      <c r="A59" s="520" t="s">
        <v>850</v>
      </c>
      <c r="B59" s="521" t="n">
        <v>455</v>
      </c>
      <c r="C59" s="522" t="n">
        <v>-0.0754</v>
      </c>
      <c r="D59" s="522" t="n">
        <v>0.0464</v>
      </c>
      <c r="E59" s="522" t="n">
        <v>0.158</v>
      </c>
      <c r="F59" s="522" t="n">
        <v>0.0288</v>
      </c>
      <c r="G59" s="522" t="n">
        <v>0.0642</v>
      </c>
      <c r="H59" s="522" t="n">
        <v>0.1164</v>
      </c>
      <c r="I59" s="523" t="n">
        <v>0.62</v>
      </c>
      <c r="J59" s="523" t="n">
        <v>1.54</v>
      </c>
      <c r="K59" s="523" t="n">
        <v>3.06</v>
      </c>
      <c r="L59" s="522" t="n">
        <v>0.0936</v>
      </c>
      <c r="M59" s="522" t="n">
        <v>0.1028</v>
      </c>
      <c r="N59" s="522" t="n">
        <v>0.1203</v>
      </c>
      <c r="O59" s="524" t="n">
        <v>1.09</v>
      </c>
      <c r="P59" s="522" t="n">
        <v>0.0448</v>
      </c>
      <c r="Q59" s="522" t="n">
        <v>0.2295</v>
      </c>
      <c r="R59" s="522" t="n">
        <v>0.5248</v>
      </c>
    </row>
    <row r="60" customFormat="false" ht="15.75" hidden="false" customHeight="false" outlineLevel="0" collapsed="false">
      <c r="A60" s="520" t="s">
        <v>851</v>
      </c>
      <c r="B60" s="521" t="n">
        <v>414</v>
      </c>
      <c r="C60" s="522" t="n">
        <v>0.0197</v>
      </c>
      <c r="D60" s="522" t="n">
        <v>0.072</v>
      </c>
      <c r="E60" s="522" t="n">
        <v>0.144</v>
      </c>
      <c r="F60" s="522" t="n">
        <v>0.0419</v>
      </c>
      <c r="G60" s="522" t="n">
        <v>0.0745</v>
      </c>
      <c r="H60" s="522" t="n">
        <v>0.1106</v>
      </c>
      <c r="I60" s="523" t="n">
        <v>0.92</v>
      </c>
      <c r="J60" s="523" t="n">
        <v>1.34</v>
      </c>
      <c r="K60" s="523" t="n">
        <v>1.96</v>
      </c>
      <c r="L60" s="522" t="n">
        <v>0.0835</v>
      </c>
      <c r="M60" s="522" t="n">
        <v>0.0912</v>
      </c>
      <c r="N60" s="522" t="n">
        <v>0.1024</v>
      </c>
      <c r="O60" s="524" t="n">
        <v>0.84</v>
      </c>
      <c r="P60" s="522" t="n">
        <v>0.0619</v>
      </c>
      <c r="Q60" s="522" t="n">
        <v>0.2475</v>
      </c>
      <c r="R60" s="522" t="n">
        <v>0.4664</v>
      </c>
    </row>
    <row r="61" customFormat="false" ht="15.75" hidden="false" customHeight="false" outlineLevel="0" collapsed="false">
      <c r="A61" s="520" t="s">
        <v>852</v>
      </c>
      <c r="B61" s="521" t="n">
        <v>268</v>
      </c>
      <c r="C61" s="522" t="n">
        <v>0.014</v>
      </c>
      <c r="D61" s="522" t="n">
        <v>0.0667</v>
      </c>
      <c r="E61" s="522" t="n">
        <v>0.148</v>
      </c>
      <c r="F61" s="522" t="n">
        <v>0.045</v>
      </c>
      <c r="G61" s="522" t="n">
        <v>0.0768</v>
      </c>
      <c r="H61" s="522" t="n">
        <v>0.154</v>
      </c>
      <c r="I61" s="523" t="n">
        <v>0.69</v>
      </c>
      <c r="J61" s="523" t="n">
        <v>1.02</v>
      </c>
      <c r="K61" s="523" t="n">
        <v>1.64</v>
      </c>
      <c r="L61" s="522" t="n">
        <v>0.0892</v>
      </c>
      <c r="M61" s="522" t="n">
        <v>0.0946</v>
      </c>
      <c r="N61" s="522" t="n">
        <v>0.1118</v>
      </c>
      <c r="O61" s="524" t="n">
        <v>0.97</v>
      </c>
      <c r="P61" s="522" t="n">
        <v>0.1041</v>
      </c>
      <c r="Q61" s="522" t="n">
        <v>0.2681</v>
      </c>
      <c r="R61" s="522" t="n">
        <v>0.5081</v>
      </c>
    </row>
    <row r="62" customFormat="false" ht="15.75" hidden="false" customHeight="false" outlineLevel="0" collapsed="false">
      <c r="A62" s="520" t="s">
        <v>853</v>
      </c>
      <c r="B62" s="521" t="n">
        <v>485</v>
      </c>
      <c r="C62" s="522" t="n">
        <v>0.0301</v>
      </c>
      <c r="D62" s="522" t="n">
        <v>0.0928</v>
      </c>
      <c r="E62" s="522" t="n">
        <v>0.169</v>
      </c>
      <c r="F62" s="522" t="n">
        <v>0.0659</v>
      </c>
      <c r="G62" s="522" t="n">
        <v>0.1286</v>
      </c>
      <c r="H62" s="522" t="n">
        <v>0.2179</v>
      </c>
      <c r="I62" s="523" t="n">
        <v>0.36</v>
      </c>
      <c r="J62" s="523" t="n">
        <v>0.64</v>
      </c>
      <c r="K62" s="523" t="n">
        <v>1.18</v>
      </c>
      <c r="L62" s="522" t="n">
        <v>0.0691</v>
      </c>
      <c r="M62" s="522" t="n">
        <v>0.0732</v>
      </c>
      <c r="N62" s="522" t="n">
        <v>0.0868</v>
      </c>
      <c r="O62" s="524" t="n">
        <v>0.64</v>
      </c>
      <c r="P62" s="522" t="n">
        <v>0.1411</v>
      </c>
      <c r="Q62" s="522" t="n">
        <v>0.3938</v>
      </c>
      <c r="R62" s="522" t="n">
        <v>0.5926</v>
      </c>
    </row>
    <row r="63" customFormat="false" ht="15.75" hidden="false" customHeight="false" outlineLevel="0" collapsed="false">
      <c r="A63" s="520" t="s">
        <v>854</v>
      </c>
      <c r="B63" s="521" t="n">
        <v>930</v>
      </c>
      <c r="C63" s="522" t="n">
        <v>0.0083</v>
      </c>
      <c r="D63" s="522" t="n">
        <v>0.137</v>
      </c>
      <c r="E63" s="522" t="n">
        <v>0.34</v>
      </c>
      <c r="F63" s="522" t="n">
        <v>0.1119</v>
      </c>
      <c r="G63" s="522" t="n">
        <v>0.219</v>
      </c>
      <c r="H63" s="522" t="n">
        <v>0.3414</v>
      </c>
      <c r="I63" s="523" t="n">
        <v>0.1</v>
      </c>
      <c r="J63" s="523" t="n">
        <v>0.55</v>
      </c>
      <c r="K63" s="523" t="n">
        <v>1.04</v>
      </c>
      <c r="L63" s="522" t="n">
        <v>0.1042</v>
      </c>
      <c r="M63" s="522" t="n">
        <v>0.1044</v>
      </c>
      <c r="N63" s="522" t="n">
        <v>0.1044</v>
      </c>
      <c r="O63" s="524" t="n">
        <v>1.12</v>
      </c>
      <c r="P63" s="522" t="n">
        <v>0</v>
      </c>
      <c r="Q63" s="522" t="n">
        <v>0.003</v>
      </c>
      <c r="R63" s="522" t="n">
        <v>0.0843</v>
      </c>
    </row>
    <row r="64" customFormat="false" ht="15.75" hidden="false" customHeight="false" outlineLevel="0" collapsed="false">
      <c r="A64" s="520" t="s">
        <v>855</v>
      </c>
      <c r="B64" s="521" t="n">
        <v>327</v>
      </c>
      <c r="C64" s="522" t="n">
        <v>-0.0567</v>
      </c>
      <c r="D64" s="522" t="n">
        <v>0.0018</v>
      </c>
      <c r="E64" s="522" t="n">
        <v>0.0758</v>
      </c>
      <c r="F64" s="522" t="n">
        <v>0.0401</v>
      </c>
      <c r="G64" s="522" t="n">
        <v>0.0858</v>
      </c>
      <c r="H64" s="522" t="n">
        <v>0.1224</v>
      </c>
      <c r="I64" s="523" t="n">
        <v>0.73</v>
      </c>
      <c r="J64" s="523" t="n">
        <v>1.27</v>
      </c>
      <c r="K64" s="523" t="n">
        <v>2.26</v>
      </c>
      <c r="L64" s="522" t="n">
        <v>0.0979</v>
      </c>
      <c r="M64" s="522" t="n">
        <v>0.101</v>
      </c>
      <c r="N64" s="522" t="n">
        <v>0.1193</v>
      </c>
      <c r="O64" s="524" t="n">
        <v>0.79</v>
      </c>
      <c r="P64" s="522" t="n">
        <v>0.0128</v>
      </c>
      <c r="Q64" s="522" t="n">
        <v>0.1147</v>
      </c>
      <c r="R64" s="522" t="n">
        <v>0.3439</v>
      </c>
    </row>
    <row r="65" customFormat="false" ht="15.75" hidden="false" customHeight="false" outlineLevel="0" collapsed="false">
      <c r="A65" s="520" t="s">
        <v>856</v>
      </c>
      <c r="B65" s="521" t="n">
        <v>792</v>
      </c>
      <c r="C65" s="522" t="n">
        <v>-0.025</v>
      </c>
      <c r="D65" s="522" t="n">
        <v>0.0348</v>
      </c>
      <c r="E65" s="522" t="n">
        <v>0.144</v>
      </c>
      <c r="F65" s="522" t="n">
        <v>0.3438</v>
      </c>
      <c r="G65" s="522" t="n">
        <v>0.539</v>
      </c>
      <c r="H65" s="522" t="n">
        <v>0.68</v>
      </c>
      <c r="I65" s="523" t="n">
        <v>0.06</v>
      </c>
      <c r="J65" s="523" t="n">
        <v>0.08</v>
      </c>
      <c r="K65" s="523" t="n">
        <v>0.13</v>
      </c>
      <c r="L65" s="522" t="n">
        <v>0.0673</v>
      </c>
      <c r="M65" s="522" t="n">
        <v>0.0728</v>
      </c>
      <c r="N65" s="522" t="n">
        <v>0.0834</v>
      </c>
      <c r="O65" s="524" t="n">
        <v>0.81</v>
      </c>
      <c r="P65" s="522" t="n">
        <v>0.2442</v>
      </c>
      <c r="Q65" s="522" t="n">
        <v>0.4037</v>
      </c>
      <c r="R65" s="522" t="n">
        <v>0.5687</v>
      </c>
    </row>
    <row r="66" customFormat="false" ht="15.75" hidden="false" customHeight="false" outlineLevel="0" collapsed="false">
      <c r="A66" s="520" t="s">
        <v>857</v>
      </c>
      <c r="B66" s="521" t="n">
        <v>869</v>
      </c>
      <c r="C66" s="522" t="n">
        <v>-0.13</v>
      </c>
      <c r="D66" s="522" t="n">
        <v>0.0168</v>
      </c>
      <c r="E66" s="522" t="n">
        <v>0.189</v>
      </c>
      <c r="F66" s="522" t="n">
        <v>0.0978</v>
      </c>
      <c r="G66" s="522" t="n">
        <v>0.168</v>
      </c>
      <c r="H66" s="522" t="n">
        <v>0.2914</v>
      </c>
      <c r="I66" s="523" t="n">
        <v>0.11</v>
      </c>
      <c r="J66" s="523" t="n">
        <v>0.25</v>
      </c>
      <c r="K66" s="523" t="n">
        <v>0.54</v>
      </c>
      <c r="L66" s="522" t="n">
        <v>0.075</v>
      </c>
      <c r="M66" s="522" t="n">
        <v>0.082</v>
      </c>
      <c r="N66" s="522" t="n">
        <v>0.0891</v>
      </c>
      <c r="O66" s="524" t="n">
        <v>0.96</v>
      </c>
      <c r="P66" s="522" t="n">
        <v>0.0959</v>
      </c>
      <c r="Q66" s="522" t="n">
        <v>0.4328</v>
      </c>
      <c r="R66" s="522" t="n">
        <v>0.7236</v>
      </c>
    </row>
    <row r="67" customFormat="false" ht="15.75" hidden="false" customHeight="false" outlineLevel="0" collapsed="false">
      <c r="A67" s="520" t="s">
        <v>858</v>
      </c>
      <c r="B67" s="521" t="n">
        <v>342</v>
      </c>
      <c r="C67" s="522" t="n">
        <v>-0.105</v>
      </c>
      <c r="D67" s="522" t="n">
        <v>0.0089</v>
      </c>
      <c r="E67" s="522" t="n">
        <v>0.145</v>
      </c>
      <c r="F67" s="522" t="n">
        <v>0.1047</v>
      </c>
      <c r="G67" s="522" t="n">
        <v>0.2104</v>
      </c>
      <c r="H67" s="522" t="n">
        <v>0.4126</v>
      </c>
      <c r="I67" s="523" t="n">
        <v>0.07</v>
      </c>
      <c r="J67" s="523" t="n">
        <v>0.17</v>
      </c>
      <c r="K67" s="523" t="n">
        <v>0.4</v>
      </c>
      <c r="L67" s="522" t="n">
        <v>0.0746</v>
      </c>
      <c r="M67" s="522" t="n">
        <v>0.0781</v>
      </c>
      <c r="N67" s="522" t="n">
        <v>0.0909</v>
      </c>
      <c r="O67" s="524" t="n">
        <v>0.91</v>
      </c>
      <c r="P67" s="522" t="n">
        <v>0.1588</v>
      </c>
      <c r="Q67" s="522" t="n">
        <v>0.4523</v>
      </c>
      <c r="R67" s="522" t="n">
        <v>0.6641</v>
      </c>
    </row>
    <row r="68" customFormat="false" ht="15.75" hidden="false" customHeight="false" outlineLevel="0" collapsed="false">
      <c r="A68" s="520" t="s">
        <v>859</v>
      </c>
      <c r="B68" s="521" t="n">
        <v>730</v>
      </c>
      <c r="C68" s="522" t="n">
        <v>-0.0397</v>
      </c>
      <c r="D68" s="522" t="n">
        <v>0.0443</v>
      </c>
      <c r="E68" s="522" t="n">
        <v>0.186</v>
      </c>
      <c r="F68" s="522" t="n">
        <v>0.1671</v>
      </c>
      <c r="G68" s="522" t="n">
        <v>0.3981</v>
      </c>
      <c r="H68" s="522" t="n">
        <v>0.6231</v>
      </c>
      <c r="I68" s="523" t="n">
        <v>0.06</v>
      </c>
      <c r="J68" s="523" t="n">
        <v>0.1</v>
      </c>
      <c r="K68" s="523" t="n">
        <v>0.34</v>
      </c>
      <c r="L68" s="522" t="n">
        <v>0.0719</v>
      </c>
      <c r="M68" s="522" t="n">
        <v>0.0777</v>
      </c>
      <c r="N68" s="522" t="n">
        <v>0.0862</v>
      </c>
      <c r="O68" s="524" t="n">
        <v>0.81</v>
      </c>
      <c r="P68" s="522" t="n">
        <v>0.0183</v>
      </c>
      <c r="Q68" s="522" t="n">
        <v>0.3391</v>
      </c>
      <c r="R68" s="522" t="n">
        <v>0.5965</v>
      </c>
    </row>
    <row r="69" customFormat="false" ht="15.75" hidden="false" customHeight="false" outlineLevel="0" collapsed="false">
      <c r="A69" s="520" t="s">
        <v>860</v>
      </c>
      <c r="B69" s="521" t="n">
        <v>323</v>
      </c>
      <c r="C69" s="522" t="n">
        <v>-0.028</v>
      </c>
      <c r="D69" s="522" t="n">
        <v>0.0631</v>
      </c>
      <c r="E69" s="522" t="n">
        <v>0.155</v>
      </c>
      <c r="F69" s="522" t="n">
        <v>0.0679</v>
      </c>
      <c r="G69" s="522" t="n">
        <v>0.1142</v>
      </c>
      <c r="H69" s="522" t="n">
        <v>0.1814</v>
      </c>
      <c r="I69" s="523" t="n">
        <v>0.52</v>
      </c>
      <c r="J69" s="523" t="n">
        <v>1.14</v>
      </c>
      <c r="K69" s="523" t="n">
        <v>2.06</v>
      </c>
      <c r="L69" s="522" t="n">
        <v>0.0976</v>
      </c>
      <c r="M69" s="522" t="n">
        <v>0.106</v>
      </c>
      <c r="N69" s="522" t="n">
        <v>0.1093</v>
      </c>
      <c r="O69" s="524" t="n">
        <v>1.07</v>
      </c>
      <c r="P69" s="522" t="n">
        <v>0.0276</v>
      </c>
      <c r="Q69" s="522" t="n">
        <v>0.1386</v>
      </c>
      <c r="R69" s="522" t="n">
        <v>0.3758</v>
      </c>
    </row>
    <row r="70" customFormat="false" ht="15.75" hidden="false" customHeight="false" outlineLevel="0" collapsed="false">
      <c r="A70" s="520" t="s">
        <v>861</v>
      </c>
      <c r="B70" s="521" t="n">
        <v>34</v>
      </c>
      <c r="C70" s="522" t="n">
        <v>0.0386</v>
      </c>
      <c r="D70" s="522" t="n">
        <v>0.0608</v>
      </c>
      <c r="E70" s="522" t="n">
        <v>0.0884</v>
      </c>
      <c r="F70" s="522" t="n">
        <v>0.0354</v>
      </c>
      <c r="G70" s="522" t="n">
        <v>0.0676</v>
      </c>
      <c r="H70" s="522" t="n">
        <v>0.1297</v>
      </c>
      <c r="I70" s="523" t="n">
        <v>0.7</v>
      </c>
      <c r="J70" s="523" t="n">
        <v>1.08</v>
      </c>
      <c r="K70" s="523" t="n">
        <v>1.79</v>
      </c>
      <c r="L70" s="522" t="n">
        <v>0.1164</v>
      </c>
      <c r="M70" s="522" t="n">
        <v>0.1297</v>
      </c>
      <c r="N70" s="522" t="n">
        <v>0.1397</v>
      </c>
      <c r="O70" s="524" t="n">
        <v>1.02</v>
      </c>
      <c r="P70" s="522" t="n">
        <v>0.0001</v>
      </c>
      <c r="Q70" s="522" t="n">
        <v>0.1312</v>
      </c>
      <c r="R70" s="522" t="n">
        <v>0.3134</v>
      </c>
    </row>
    <row r="71" customFormat="false" ht="15.75" hidden="false" customHeight="false" outlineLevel="0" collapsed="false">
      <c r="A71" s="520" t="s">
        <v>862</v>
      </c>
      <c r="B71" s="521" t="n">
        <v>382</v>
      </c>
      <c r="C71" s="522" t="n">
        <v>-0.092</v>
      </c>
      <c r="D71" s="522" t="n">
        <v>-0.0171</v>
      </c>
      <c r="E71" s="522" t="n">
        <v>0.0502</v>
      </c>
      <c r="F71" s="522" t="n">
        <v>0.03</v>
      </c>
      <c r="G71" s="522" t="n">
        <v>0.0632</v>
      </c>
      <c r="H71" s="522" t="n">
        <v>0.1131</v>
      </c>
      <c r="I71" s="523" t="n">
        <v>0.99</v>
      </c>
      <c r="J71" s="523" t="n">
        <v>1.63</v>
      </c>
      <c r="K71" s="523" t="n">
        <v>2.47</v>
      </c>
      <c r="L71" s="522" t="n">
        <v>0.0888</v>
      </c>
      <c r="M71" s="522" t="n">
        <v>0.0963</v>
      </c>
      <c r="N71" s="522" t="n">
        <v>0.0983</v>
      </c>
      <c r="O71" s="524" t="n">
        <v>0.87</v>
      </c>
      <c r="P71" s="522" t="n">
        <v>0.0974</v>
      </c>
      <c r="Q71" s="522" t="n">
        <v>0.2733</v>
      </c>
      <c r="R71" s="522" t="n">
        <v>0.4657</v>
      </c>
    </row>
    <row r="72" customFormat="false" ht="15.75" hidden="false" customHeight="false" outlineLevel="0" collapsed="false">
      <c r="A72" s="520" t="s">
        <v>863</v>
      </c>
      <c r="B72" s="521" t="n">
        <v>193</v>
      </c>
      <c r="C72" s="522" t="n">
        <v>0.0038</v>
      </c>
      <c r="D72" s="522" t="n">
        <v>0.0648</v>
      </c>
      <c r="E72" s="522" t="n">
        <v>0.16</v>
      </c>
      <c r="F72" s="522" t="n">
        <v>0.0267</v>
      </c>
      <c r="G72" s="522" t="n">
        <v>0.0472</v>
      </c>
      <c r="H72" s="522" t="n">
        <v>0.0701</v>
      </c>
      <c r="I72" s="523" t="n">
        <v>1.55</v>
      </c>
      <c r="J72" s="523" t="n">
        <v>2.64</v>
      </c>
      <c r="K72" s="523" t="n">
        <v>4.5</v>
      </c>
      <c r="L72" s="522" t="n">
        <v>0.0835</v>
      </c>
      <c r="M72" s="522" t="n">
        <v>0.0896</v>
      </c>
      <c r="N72" s="522" t="n">
        <v>0.1061</v>
      </c>
      <c r="O72" s="524" t="n">
        <v>0.93</v>
      </c>
      <c r="P72" s="522" t="n">
        <v>0.0964</v>
      </c>
      <c r="Q72" s="522" t="n">
        <v>0.3167</v>
      </c>
      <c r="R72" s="522" t="n">
        <v>0.5896</v>
      </c>
    </row>
    <row r="73" customFormat="false" ht="15.75" hidden="false" customHeight="false" outlineLevel="0" collapsed="false">
      <c r="A73" s="520" t="s">
        <v>864</v>
      </c>
      <c r="B73" s="521" t="n">
        <v>98</v>
      </c>
      <c r="C73" s="522" t="n">
        <v>0.0032</v>
      </c>
      <c r="D73" s="522" t="n">
        <v>0.0552</v>
      </c>
      <c r="E73" s="522" t="n">
        <v>0.102</v>
      </c>
      <c r="F73" s="522" t="n">
        <v>0.0472</v>
      </c>
      <c r="G73" s="522" t="n">
        <v>0.0756</v>
      </c>
      <c r="H73" s="522" t="n">
        <v>0.1276</v>
      </c>
      <c r="I73" s="523" t="n">
        <v>1.24</v>
      </c>
      <c r="J73" s="523" t="n">
        <v>1.78</v>
      </c>
      <c r="K73" s="523" t="n">
        <v>3.09</v>
      </c>
      <c r="L73" s="522" t="n">
        <v>0.0928</v>
      </c>
      <c r="M73" s="522" t="n">
        <v>0.1007</v>
      </c>
      <c r="N73" s="522" t="n">
        <v>0.1059</v>
      </c>
      <c r="O73" s="524" t="n">
        <v>1.09</v>
      </c>
      <c r="P73" s="522" t="n">
        <v>0.1793</v>
      </c>
      <c r="Q73" s="522" t="n">
        <v>0.3416</v>
      </c>
      <c r="R73" s="522" t="n">
        <v>0.5692</v>
      </c>
    </row>
    <row r="74" customFormat="false" ht="15.75" hidden="false" customHeight="false" outlineLevel="0" collapsed="false">
      <c r="A74" s="520" t="s">
        <v>865</v>
      </c>
      <c r="B74" s="521" t="n">
        <v>1006</v>
      </c>
      <c r="C74" s="522" t="n">
        <v>-0.0269</v>
      </c>
      <c r="D74" s="522" t="n">
        <v>0.0507</v>
      </c>
      <c r="E74" s="522" t="n">
        <v>0.156</v>
      </c>
      <c r="F74" s="522" t="n">
        <v>0.0274</v>
      </c>
      <c r="G74" s="522" t="n">
        <v>0.0591</v>
      </c>
      <c r="H74" s="522" t="n">
        <v>0.1058</v>
      </c>
      <c r="I74" s="523" t="n">
        <v>0.68</v>
      </c>
      <c r="J74" s="523" t="n">
        <v>1.75</v>
      </c>
      <c r="K74" s="523" t="n">
        <v>3.38</v>
      </c>
      <c r="L74" s="522" t="n">
        <v>0.0796</v>
      </c>
      <c r="M74" s="522" t="n">
        <v>0.0833</v>
      </c>
      <c r="N74" s="522" t="n">
        <v>0.0974</v>
      </c>
      <c r="O74" s="524" t="n">
        <v>0.77</v>
      </c>
      <c r="P74" s="522" t="n">
        <v>0.0217</v>
      </c>
      <c r="Q74" s="522" t="n">
        <v>0.1849</v>
      </c>
      <c r="R74" s="522" t="n">
        <v>0.4554</v>
      </c>
    </row>
    <row r="75" customFormat="false" ht="15.75" hidden="false" customHeight="false" outlineLevel="0" collapsed="false">
      <c r="A75" s="520" t="s">
        <v>866</v>
      </c>
      <c r="B75" s="521" t="n">
        <v>189</v>
      </c>
      <c r="C75" s="522" t="n">
        <v>-0.153</v>
      </c>
      <c r="D75" s="522" t="n">
        <v>-0.0034</v>
      </c>
      <c r="E75" s="522" t="n">
        <v>0.0636</v>
      </c>
      <c r="F75" s="522" t="n">
        <v>0.0365</v>
      </c>
      <c r="G75" s="522" t="n">
        <v>0.0676</v>
      </c>
      <c r="H75" s="522" t="n">
        <v>0.1059</v>
      </c>
      <c r="I75" s="523" t="n">
        <v>0.51</v>
      </c>
      <c r="J75" s="523" t="n">
        <v>1.3</v>
      </c>
      <c r="K75" s="523" t="n">
        <v>2.52</v>
      </c>
      <c r="L75" s="522" t="n">
        <v>0.0864</v>
      </c>
      <c r="M75" s="522" t="n">
        <v>0.0899</v>
      </c>
      <c r="N75" s="522" t="n">
        <v>0.0928</v>
      </c>
      <c r="O75" s="524" t="n">
        <v>0.79</v>
      </c>
      <c r="P75" s="522" t="n">
        <v>0.1906</v>
      </c>
      <c r="Q75" s="522" t="n">
        <v>0.4015</v>
      </c>
      <c r="R75" s="522" t="n">
        <v>0.644</v>
      </c>
    </row>
    <row r="76" customFormat="false" ht="15.75" hidden="false" customHeight="false" outlineLevel="0" collapsed="false">
      <c r="A76" s="520" t="s">
        <v>867</v>
      </c>
      <c r="B76" s="521" t="n">
        <v>181</v>
      </c>
      <c r="C76" s="522" t="n">
        <v>0.004</v>
      </c>
      <c r="D76" s="522" t="n">
        <v>0.047</v>
      </c>
      <c r="E76" s="522" t="n">
        <v>0.105</v>
      </c>
      <c r="F76" s="522" t="n">
        <v>0.0232</v>
      </c>
      <c r="G76" s="522" t="n">
        <v>0.0404</v>
      </c>
      <c r="H76" s="522" t="n">
        <v>0.0607</v>
      </c>
      <c r="I76" s="523" t="n">
        <v>1.85</v>
      </c>
      <c r="J76" s="523" t="n">
        <v>2.75</v>
      </c>
      <c r="K76" s="523" t="n">
        <v>4.14</v>
      </c>
      <c r="L76" s="522" t="n">
        <v>0.0742</v>
      </c>
      <c r="M76" s="522" t="n">
        <v>0.0764</v>
      </c>
      <c r="N76" s="522" t="n">
        <v>0.082</v>
      </c>
      <c r="O76" s="524" t="n">
        <v>0.57</v>
      </c>
      <c r="P76" s="522" t="n">
        <v>0.1311</v>
      </c>
      <c r="Q76" s="522" t="n">
        <v>0.2772</v>
      </c>
      <c r="R76" s="522" t="n">
        <v>0.4602</v>
      </c>
    </row>
    <row r="77" customFormat="false" ht="15.75" hidden="false" customHeight="false" outlineLevel="0" collapsed="false">
      <c r="A77" s="520" t="s">
        <v>868</v>
      </c>
      <c r="B77" s="521" t="n">
        <v>342</v>
      </c>
      <c r="C77" s="522" t="n">
        <v>-0.0098</v>
      </c>
      <c r="D77" s="522" t="n">
        <v>0.087</v>
      </c>
      <c r="E77" s="522" t="n">
        <v>0.262</v>
      </c>
      <c r="F77" s="522" t="n">
        <v>0.0242</v>
      </c>
      <c r="G77" s="522" t="n">
        <v>0.0495</v>
      </c>
      <c r="H77" s="522" t="n">
        <v>0.0959</v>
      </c>
      <c r="I77" s="523" t="n">
        <v>1.56</v>
      </c>
      <c r="J77" s="523" t="n">
        <v>3.45</v>
      </c>
      <c r="K77" s="523" t="n">
        <v>8.08</v>
      </c>
      <c r="L77" s="522" t="n">
        <v>0.1272</v>
      </c>
      <c r="M77" s="522" t="n">
        <v>0.14</v>
      </c>
      <c r="N77" s="522" t="n">
        <v>0.1457</v>
      </c>
      <c r="O77" s="524" t="n">
        <v>1.49</v>
      </c>
      <c r="P77" s="522" t="n">
        <v>0.0118</v>
      </c>
      <c r="Q77" s="522" t="n">
        <v>0.1431</v>
      </c>
      <c r="R77" s="522" t="n">
        <v>0.3677</v>
      </c>
    </row>
    <row r="78" customFormat="false" ht="15.75" hidden="false" customHeight="false" outlineLevel="0" collapsed="false">
      <c r="A78" s="520" t="s">
        <v>869</v>
      </c>
      <c r="B78" s="521" t="n">
        <v>495</v>
      </c>
      <c r="C78" s="522" t="n">
        <v>-0.0524</v>
      </c>
      <c r="D78" s="522" t="n">
        <v>0.0263</v>
      </c>
      <c r="E78" s="522" t="n">
        <v>0.105</v>
      </c>
      <c r="F78" s="522" t="n">
        <v>0.0329</v>
      </c>
      <c r="G78" s="522" t="n">
        <v>0.0608</v>
      </c>
      <c r="H78" s="522" t="n">
        <v>0.1082</v>
      </c>
      <c r="I78" s="523" t="n">
        <v>1.32</v>
      </c>
      <c r="J78" s="523" t="n">
        <v>2.26</v>
      </c>
      <c r="K78" s="523" t="n">
        <v>3.54</v>
      </c>
      <c r="L78" s="522" t="n">
        <v>0.0957</v>
      </c>
      <c r="M78" s="522" t="n">
        <v>0.1049</v>
      </c>
      <c r="N78" s="522" t="n">
        <v>0.1099</v>
      </c>
      <c r="O78" s="524" t="n">
        <v>1.01</v>
      </c>
      <c r="P78" s="522" t="n">
        <v>0.093</v>
      </c>
      <c r="Q78" s="522" t="n">
        <v>0.2636</v>
      </c>
      <c r="R78" s="522" t="n">
        <v>0.5157</v>
      </c>
    </row>
    <row r="79" customFormat="false" ht="15.75" hidden="false" customHeight="false" outlineLevel="0" collapsed="false">
      <c r="A79" s="520" t="s">
        <v>870</v>
      </c>
      <c r="B79" s="521" t="n">
        <v>89</v>
      </c>
      <c r="C79" s="522" t="n">
        <v>0.0372</v>
      </c>
      <c r="D79" s="522" t="n">
        <v>0.0671</v>
      </c>
      <c r="E79" s="522" t="n">
        <v>0.118</v>
      </c>
      <c r="F79" s="522" t="n">
        <v>0.0286</v>
      </c>
      <c r="G79" s="522" t="n">
        <v>0.0596</v>
      </c>
      <c r="H79" s="522" t="n">
        <v>0.1078</v>
      </c>
      <c r="I79" s="523" t="n">
        <v>0.91</v>
      </c>
      <c r="J79" s="523" t="n">
        <v>1.21</v>
      </c>
      <c r="K79" s="523" t="n">
        <v>1.6</v>
      </c>
      <c r="L79" s="522" t="n">
        <v>0.1009</v>
      </c>
      <c r="M79" s="522" t="n">
        <v>0.1083</v>
      </c>
      <c r="N79" s="522" t="n">
        <v>0.1288</v>
      </c>
      <c r="O79" s="524" t="n">
        <v>1.06</v>
      </c>
      <c r="P79" s="522" t="n">
        <v>0.1129</v>
      </c>
      <c r="Q79" s="522" t="n">
        <v>0.2839</v>
      </c>
      <c r="R79" s="522" t="n">
        <v>0.5051</v>
      </c>
    </row>
    <row r="80" customFormat="false" ht="16.5" hidden="false" customHeight="true" outlineLevel="0" collapsed="false">
      <c r="A80" s="520" t="s">
        <v>14</v>
      </c>
      <c r="B80" s="521" t="n">
        <v>624</v>
      </c>
      <c r="C80" s="522" t="n">
        <v>0.0234</v>
      </c>
      <c r="D80" s="522" t="n">
        <v>0.128</v>
      </c>
      <c r="E80" s="522" t="n">
        <v>0.244</v>
      </c>
      <c r="F80" s="522" t="n">
        <v>0.0677</v>
      </c>
      <c r="G80" s="522" t="n">
        <v>0.1363</v>
      </c>
      <c r="H80" s="522" t="n">
        <v>0.2285</v>
      </c>
      <c r="I80" s="523" t="n">
        <v>0.7</v>
      </c>
      <c r="J80" s="523" t="n">
        <v>1.15</v>
      </c>
      <c r="K80" s="523" t="n">
        <v>1.94</v>
      </c>
      <c r="L80" s="522" t="n">
        <v>0.1488</v>
      </c>
      <c r="M80" s="522" t="n">
        <v>0.1544</v>
      </c>
      <c r="N80" s="522" t="n">
        <v>0.1564</v>
      </c>
      <c r="O80" s="524" t="n">
        <v>1.7</v>
      </c>
      <c r="P80" s="522" t="n">
        <v>0.0049</v>
      </c>
      <c r="Q80" s="522" t="n">
        <v>0.0571</v>
      </c>
      <c r="R80" s="522" t="n">
        <v>0.1879</v>
      </c>
    </row>
    <row r="81" customFormat="false" ht="15.75" hidden="false" customHeight="false" outlineLevel="0" collapsed="false">
      <c r="A81" s="520" t="s">
        <v>871</v>
      </c>
      <c r="B81" s="521" t="n">
        <v>342</v>
      </c>
      <c r="C81" s="522" t="n">
        <v>0.0552</v>
      </c>
      <c r="D81" s="522" t="n">
        <v>0.161</v>
      </c>
      <c r="E81" s="522" t="n">
        <v>0.272</v>
      </c>
      <c r="F81" s="522" t="n">
        <v>0.0969</v>
      </c>
      <c r="G81" s="522" t="n">
        <v>0.1674</v>
      </c>
      <c r="H81" s="522" t="n">
        <v>0.2494</v>
      </c>
      <c r="I81" s="523" t="n">
        <v>0.78</v>
      </c>
      <c r="J81" s="523" t="n">
        <v>1.21</v>
      </c>
      <c r="K81" s="523" t="n">
        <v>1.89</v>
      </c>
      <c r="L81" s="522" t="n">
        <v>0.1673</v>
      </c>
      <c r="M81" s="522" t="n">
        <v>0.1732</v>
      </c>
      <c r="N81" s="522" t="n">
        <v>0.1776</v>
      </c>
      <c r="O81" s="524" t="n">
        <v>2.07</v>
      </c>
      <c r="P81" s="522" t="n">
        <v>0.01</v>
      </c>
      <c r="Q81" s="522" t="n">
        <v>0.0832</v>
      </c>
      <c r="R81" s="522" t="n">
        <v>0.193</v>
      </c>
    </row>
    <row r="82" customFormat="false" ht="15.75" hidden="false" customHeight="false" outlineLevel="0" collapsed="false">
      <c r="A82" s="520" t="s">
        <v>872</v>
      </c>
      <c r="B82" s="521" t="n">
        <v>349</v>
      </c>
      <c r="C82" s="522" t="n">
        <v>0.0037</v>
      </c>
      <c r="D82" s="522" t="n">
        <v>0.0981</v>
      </c>
      <c r="E82" s="522" t="n">
        <v>0.217</v>
      </c>
      <c r="F82" s="522" t="n">
        <v>0.1051</v>
      </c>
      <c r="G82" s="522" t="n">
        <v>0.1933</v>
      </c>
      <c r="H82" s="522" t="n">
        <v>0.3684</v>
      </c>
      <c r="I82" s="523" t="n">
        <v>0.34</v>
      </c>
      <c r="J82" s="523" t="n">
        <v>0.57</v>
      </c>
      <c r="K82" s="523" t="n">
        <v>1.11</v>
      </c>
      <c r="L82" s="522" t="n">
        <v>0.1084</v>
      </c>
      <c r="M82" s="522" t="n">
        <v>0.1141</v>
      </c>
      <c r="N82" s="522" t="n">
        <v>0.1401</v>
      </c>
      <c r="O82" s="524" t="n">
        <v>1.04</v>
      </c>
      <c r="P82" s="522" t="n">
        <v>0.0852</v>
      </c>
      <c r="Q82" s="522" t="n">
        <v>0.3012</v>
      </c>
      <c r="R82" s="522" t="n">
        <v>0.4943</v>
      </c>
    </row>
    <row r="83" customFormat="false" ht="15.75" hidden="false" customHeight="false" outlineLevel="0" collapsed="false">
      <c r="A83" s="520" t="s">
        <v>873</v>
      </c>
      <c r="B83" s="521" t="n">
        <v>85</v>
      </c>
      <c r="C83" s="522" t="n">
        <v>-0.106</v>
      </c>
      <c r="D83" s="522" t="n">
        <v>0.0224</v>
      </c>
      <c r="E83" s="522" t="n">
        <v>0.139</v>
      </c>
      <c r="F83" s="522" t="n">
        <v>0.0632</v>
      </c>
      <c r="G83" s="522" t="n">
        <v>0.105</v>
      </c>
      <c r="H83" s="522" t="n">
        <v>0.15</v>
      </c>
      <c r="I83" s="523" t="n">
        <v>0.86</v>
      </c>
      <c r="J83" s="523" t="n">
        <v>1.45</v>
      </c>
      <c r="K83" s="523" t="n">
        <v>2.15</v>
      </c>
      <c r="L83" s="522" t="n">
        <v>0.1047</v>
      </c>
      <c r="M83" s="522" t="n">
        <v>0.1085</v>
      </c>
      <c r="N83" s="522" t="n">
        <v>0.1318</v>
      </c>
      <c r="O83" s="524" t="n">
        <v>1.03</v>
      </c>
      <c r="P83" s="522" t="n">
        <v>0.031</v>
      </c>
      <c r="Q83" s="522" t="n">
        <v>0.1292</v>
      </c>
      <c r="R83" s="522" t="n">
        <v>0.4215</v>
      </c>
    </row>
    <row r="84" customFormat="false" ht="15.75" hidden="false" customHeight="false" outlineLevel="0" collapsed="false">
      <c r="A84" s="520" t="s">
        <v>874</v>
      </c>
      <c r="B84" s="521" t="n">
        <v>320</v>
      </c>
      <c r="C84" s="522" t="n">
        <v>-0.0312</v>
      </c>
      <c r="D84" s="522" t="n">
        <v>0.0918</v>
      </c>
      <c r="E84" s="522" t="n">
        <v>0.256</v>
      </c>
      <c r="F84" s="522" t="n">
        <v>0.0592</v>
      </c>
      <c r="G84" s="522" t="n">
        <v>0.1258</v>
      </c>
      <c r="H84" s="522" t="n">
        <v>0.2519</v>
      </c>
      <c r="I84" s="523" t="n">
        <v>1.04</v>
      </c>
      <c r="J84" s="523" t="n">
        <v>2.38</v>
      </c>
      <c r="K84" s="523" t="n">
        <v>6.01</v>
      </c>
      <c r="L84" s="522" t="n">
        <v>0.1256</v>
      </c>
      <c r="M84" s="522" t="n">
        <v>0.1332</v>
      </c>
      <c r="N84" s="522" t="n">
        <v>0.1432</v>
      </c>
      <c r="O84" s="524" t="n">
        <v>1.39</v>
      </c>
      <c r="P84" s="522" t="n">
        <v>0.0009</v>
      </c>
      <c r="Q84" s="522" t="n">
        <v>0.0335</v>
      </c>
      <c r="R84" s="522" t="n">
        <v>0.1658</v>
      </c>
    </row>
    <row r="85" customFormat="false" ht="15.75" hidden="false" customHeight="false" outlineLevel="0" collapsed="false">
      <c r="A85" s="520" t="s">
        <v>875</v>
      </c>
      <c r="B85" s="521" t="n">
        <v>152</v>
      </c>
      <c r="C85" s="522" t="n">
        <v>0.037</v>
      </c>
      <c r="D85" s="522" t="n">
        <v>0.128</v>
      </c>
      <c r="E85" s="522" t="n">
        <v>0.355</v>
      </c>
      <c r="F85" s="522" t="n">
        <v>0.0469</v>
      </c>
      <c r="G85" s="522" t="n">
        <v>0.0961</v>
      </c>
      <c r="H85" s="522" t="n">
        <v>0.188</v>
      </c>
      <c r="I85" s="523" t="n">
        <v>0.71</v>
      </c>
      <c r="J85" s="523" t="n">
        <v>1.49</v>
      </c>
      <c r="K85" s="523" t="n">
        <v>3.24</v>
      </c>
      <c r="L85" s="522" t="n">
        <v>0.1135</v>
      </c>
      <c r="M85" s="522" t="n">
        <v>0.1239</v>
      </c>
      <c r="N85" s="522" t="n">
        <v>0.1291</v>
      </c>
      <c r="O85" s="524" t="n">
        <v>1.3</v>
      </c>
      <c r="P85" s="522" t="n">
        <v>0.017</v>
      </c>
      <c r="Q85" s="522" t="n">
        <v>0.0836</v>
      </c>
      <c r="R85" s="522" t="n">
        <v>0.2391</v>
      </c>
    </row>
    <row r="86" customFormat="false" ht="15.75" hidden="false" customHeight="false" outlineLevel="0" collapsed="false">
      <c r="A86" s="520" t="s">
        <v>876</v>
      </c>
      <c r="B86" s="521" t="n">
        <v>1648</v>
      </c>
      <c r="C86" s="522" t="n">
        <v>0.0068</v>
      </c>
      <c r="D86" s="522" t="n">
        <v>0.107</v>
      </c>
      <c r="E86" s="522" t="n">
        <v>0.244</v>
      </c>
      <c r="F86" s="522" t="n">
        <v>0.0557</v>
      </c>
      <c r="G86" s="522" t="n">
        <v>0.1157</v>
      </c>
      <c r="H86" s="522" t="n">
        <v>0.1958</v>
      </c>
      <c r="I86" s="523" t="n">
        <v>0.78</v>
      </c>
      <c r="J86" s="523" t="n">
        <v>1.79</v>
      </c>
      <c r="K86" s="523" t="n">
        <v>3.71</v>
      </c>
      <c r="L86" s="522" t="n">
        <v>0.1169</v>
      </c>
      <c r="M86" s="522" t="n">
        <v>0.126</v>
      </c>
      <c r="N86" s="522" t="n">
        <v>0.1331</v>
      </c>
      <c r="O86" s="524" t="n">
        <v>1.22</v>
      </c>
      <c r="P86" s="522" t="n">
        <v>0.0022</v>
      </c>
      <c r="Q86" s="522" t="n">
        <v>0.0305</v>
      </c>
      <c r="R86" s="522" t="n">
        <v>0.1437</v>
      </c>
    </row>
    <row r="87" customFormat="false" ht="15.75" hidden="false" customHeight="false" outlineLevel="0" collapsed="false">
      <c r="A87" s="520" t="s">
        <v>877</v>
      </c>
      <c r="B87" s="521" t="n">
        <v>710</v>
      </c>
      <c r="C87" s="522" t="n">
        <v>0.027</v>
      </c>
      <c r="D87" s="522" t="n">
        <v>0.107</v>
      </c>
      <c r="E87" s="522" t="n">
        <v>0.187</v>
      </c>
      <c r="F87" s="522" t="n">
        <v>0.0371</v>
      </c>
      <c r="G87" s="522" t="n">
        <v>0.0742</v>
      </c>
      <c r="H87" s="522" t="n">
        <v>0.1289</v>
      </c>
      <c r="I87" s="523" t="n">
        <v>0.95</v>
      </c>
      <c r="J87" s="523" t="n">
        <v>1.44</v>
      </c>
      <c r="K87" s="523" t="n">
        <v>2.35</v>
      </c>
      <c r="L87" s="522" t="n">
        <v>0.1074</v>
      </c>
      <c r="M87" s="522" t="n">
        <v>0.1132</v>
      </c>
      <c r="N87" s="522" t="n">
        <v>0.1374</v>
      </c>
      <c r="O87" s="524" t="n">
        <v>1.18</v>
      </c>
      <c r="P87" s="522" t="n">
        <v>0.0527</v>
      </c>
      <c r="Q87" s="522" t="n">
        <v>0.2696</v>
      </c>
      <c r="R87" s="522" t="n">
        <v>0.4988</v>
      </c>
    </row>
    <row r="88" customFormat="false" ht="15.75" hidden="false" customHeight="false" outlineLevel="0" collapsed="false">
      <c r="A88" s="520" t="s">
        <v>878</v>
      </c>
      <c r="B88" s="521" t="n">
        <v>99</v>
      </c>
      <c r="C88" s="522" t="n">
        <v>-0.0328</v>
      </c>
      <c r="D88" s="522" t="n">
        <v>0.0239</v>
      </c>
      <c r="E88" s="522" t="n">
        <v>0.101</v>
      </c>
      <c r="F88" s="522" t="n">
        <v>0.0922</v>
      </c>
      <c r="G88" s="522" t="n">
        <v>0.1369</v>
      </c>
      <c r="H88" s="522" t="n">
        <v>0.2068</v>
      </c>
      <c r="I88" s="523" t="n">
        <v>0.55</v>
      </c>
      <c r="J88" s="523" t="n">
        <v>0.8</v>
      </c>
      <c r="K88" s="523" t="n">
        <v>1.45</v>
      </c>
      <c r="L88" s="522" t="n">
        <v>0.078</v>
      </c>
      <c r="M88" s="522" t="n">
        <v>0.082</v>
      </c>
      <c r="N88" s="522" t="n">
        <v>0.0972</v>
      </c>
      <c r="O88" s="524" t="n">
        <v>0.72</v>
      </c>
      <c r="P88" s="522" t="n">
        <v>0.0553</v>
      </c>
      <c r="Q88" s="522" t="n">
        <v>0.187</v>
      </c>
      <c r="R88" s="522" t="n">
        <v>0.438</v>
      </c>
    </row>
    <row r="89" customFormat="false" ht="15.75" hidden="false" customHeight="false" outlineLevel="0" collapsed="false">
      <c r="A89" s="520" t="s">
        <v>879</v>
      </c>
      <c r="B89" s="521" t="n">
        <v>461</v>
      </c>
      <c r="C89" s="522" t="n">
        <v>-0.0545</v>
      </c>
      <c r="D89" s="522" t="n">
        <v>0.0388</v>
      </c>
      <c r="E89" s="522" t="n">
        <v>0.129</v>
      </c>
      <c r="F89" s="522" t="n">
        <v>0.0449</v>
      </c>
      <c r="G89" s="522" t="n">
        <v>0.0873</v>
      </c>
      <c r="H89" s="522" t="n">
        <v>0.1574</v>
      </c>
      <c r="I89" s="523" t="n">
        <v>0.81</v>
      </c>
      <c r="J89" s="523" t="n">
        <v>1.3</v>
      </c>
      <c r="K89" s="523" t="n">
        <v>2.48</v>
      </c>
      <c r="L89" s="522" t="n">
        <v>0.1087</v>
      </c>
      <c r="M89" s="522" t="n">
        <v>0.1195</v>
      </c>
      <c r="N89" s="522" t="n">
        <v>0.1226</v>
      </c>
      <c r="O89" s="524" t="n">
        <v>1.05</v>
      </c>
      <c r="P89" s="522" t="n">
        <v>0.0159</v>
      </c>
      <c r="Q89" s="522" t="n">
        <v>0.0899</v>
      </c>
      <c r="R89" s="522" t="n">
        <v>0.2742</v>
      </c>
    </row>
    <row r="90" customFormat="false" ht="15.75" hidden="false" customHeight="false" outlineLevel="0" collapsed="false">
      <c r="A90" s="520" t="s">
        <v>880</v>
      </c>
      <c r="B90" s="521" t="n">
        <v>295</v>
      </c>
      <c r="C90" s="522" t="n">
        <v>-0.0138</v>
      </c>
      <c r="D90" s="522" t="n">
        <v>0.0445</v>
      </c>
      <c r="E90" s="522" t="n">
        <v>0.144</v>
      </c>
      <c r="F90" s="522" t="n">
        <v>0.07</v>
      </c>
      <c r="G90" s="522" t="n">
        <v>0.1404</v>
      </c>
      <c r="H90" s="522" t="n">
        <v>0.2305</v>
      </c>
      <c r="I90" s="523" t="n">
        <v>0.48</v>
      </c>
      <c r="J90" s="523" t="n">
        <v>0.82</v>
      </c>
      <c r="K90" s="523" t="n">
        <v>1.6</v>
      </c>
      <c r="L90" s="522" t="n">
        <v>0.0707</v>
      </c>
      <c r="M90" s="522" t="n">
        <v>0.0777</v>
      </c>
      <c r="N90" s="522" t="n">
        <v>0.0915</v>
      </c>
      <c r="O90" s="524" t="n">
        <v>0.81</v>
      </c>
      <c r="P90" s="522" t="n">
        <v>0.0488</v>
      </c>
      <c r="Q90" s="522" t="n">
        <v>0.2038</v>
      </c>
      <c r="R90" s="522" t="n">
        <v>0.4255</v>
      </c>
    </row>
    <row r="91" customFormat="false" ht="15.75" hidden="false" customHeight="false" outlineLevel="0" collapsed="false">
      <c r="A91" s="520" t="s">
        <v>881</v>
      </c>
      <c r="B91" s="521" t="n">
        <v>56</v>
      </c>
      <c r="C91" s="522" t="n">
        <v>0.0307</v>
      </c>
      <c r="D91" s="522" t="n">
        <v>0.0648</v>
      </c>
      <c r="E91" s="522" t="n">
        <v>0.142</v>
      </c>
      <c r="F91" s="522" t="n">
        <v>0.1858</v>
      </c>
      <c r="G91" s="522" t="n">
        <v>0.227</v>
      </c>
      <c r="H91" s="522" t="n">
        <v>0.3658</v>
      </c>
      <c r="I91" s="523" t="n">
        <v>1.09</v>
      </c>
      <c r="J91" s="523" t="n">
        <v>1.58</v>
      </c>
      <c r="K91" s="523" t="n">
        <v>2.88</v>
      </c>
      <c r="L91" s="522" t="n">
        <v>0.085</v>
      </c>
      <c r="M91" s="522" t="n">
        <v>0.1</v>
      </c>
      <c r="N91" s="522" t="n">
        <v>0.1289</v>
      </c>
      <c r="O91" s="524" t="n">
        <v>0.59</v>
      </c>
      <c r="P91" s="522" t="n">
        <v>0.0009</v>
      </c>
      <c r="Q91" s="522" t="n">
        <v>0.0393</v>
      </c>
      <c r="R91" s="522" t="n">
        <v>0.3322</v>
      </c>
    </row>
    <row r="92" customFormat="false" ht="15.75" hidden="false" customHeight="false" outlineLevel="0" collapsed="false">
      <c r="A92" s="520" t="s">
        <v>526</v>
      </c>
      <c r="B92" s="521" t="n">
        <v>302</v>
      </c>
      <c r="C92" s="522" t="n">
        <v>0.0177</v>
      </c>
      <c r="D92" s="522" t="n">
        <v>0.091</v>
      </c>
      <c r="E92" s="522" t="n">
        <v>0.203</v>
      </c>
      <c r="F92" s="522" t="n">
        <v>0.0399</v>
      </c>
      <c r="G92" s="522" t="n">
        <v>0.0737</v>
      </c>
      <c r="H92" s="522" t="n">
        <v>0.1922</v>
      </c>
      <c r="I92" s="523" t="n">
        <v>0.45</v>
      </c>
      <c r="J92" s="523" t="n">
        <v>1.56</v>
      </c>
      <c r="K92" s="523" t="n">
        <v>3.25</v>
      </c>
      <c r="L92" s="522" t="n">
        <v>0.0931</v>
      </c>
      <c r="M92" s="522" t="n">
        <v>0.0983</v>
      </c>
      <c r="N92" s="522" t="n">
        <v>0.118</v>
      </c>
      <c r="O92" s="524" t="n">
        <v>0.94</v>
      </c>
      <c r="P92" s="522" t="n">
        <v>0.0852</v>
      </c>
      <c r="Q92" s="522" t="n">
        <v>0.263</v>
      </c>
      <c r="R92" s="522" t="n">
        <v>0.4977</v>
      </c>
    </row>
    <row r="93" customFormat="false" ht="15.75" hidden="false" customHeight="false" outlineLevel="0" collapsed="false">
      <c r="A93" s="520" t="s">
        <v>882</v>
      </c>
      <c r="B93" s="521" t="n">
        <v>50</v>
      </c>
      <c r="C93" s="522" t="n">
        <v>-0.079</v>
      </c>
      <c r="D93" s="522" t="n">
        <v>-0.0306</v>
      </c>
      <c r="E93" s="522" t="n">
        <v>0.0278</v>
      </c>
      <c r="F93" s="522" t="n">
        <v>0.0433</v>
      </c>
      <c r="G93" s="522" t="n">
        <v>0.1028</v>
      </c>
      <c r="H93" s="522" t="n">
        <v>0.2483</v>
      </c>
      <c r="I93" s="523" t="n">
        <v>0.26</v>
      </c>
      <c r="J93" s="523" t="n">
        <v>0.38</v>
      </c>
      <c r="K93" s="523" t="n">
        <v>0.56</v>
      </c>
      <c r="L93" s="522" t="n">
        <v>0.0746</v>
      </c>
      <c r="M93" s="522" t="n">
        <v>0.0764</v>
      </c>
      <c r="N93" s="522" t="n">
        <v>0.0796</v>
      </c>
      <c r="O93" s="524" t="n">
        <v>0.54</v>
      </c>
      <c r="P93" s="522" t="n">
        <v>0.1624</v>
      </c>
      <c r="Q93" s="522" t="n">
        <v>0.3934</v>
      </c>
      <c r="R93" s="522" t="n">
        <v>0.5614</v>
      </c>
    </row>
    <row r="94" customFormat="false" ht="15.75" hidden="false" customHeight="false" outlineLevel="0" collapsed="false">
      <c r="A94" s="520" t="s">
        <v>883</v>
      </c>
      <c r="B94" s="521" t="n">
        <v>220</v>
      </c>
      <c r="C94" s="522" t="n">
        <v>-0.0614</v>
      </c>
      <c r="D94" s="522" t="n">
        <v>0.0309</v>
      </c>
      <c r="E94" s="522" t="n">
        <v>0.12</v>
      </c>
      <c r="F94" s="522" t="n">
        <v>0.0427</v>
      </c>
      <c r="G94" s="522" t="n">
        <v>0.0771</v>
      </c>
      <c r="H94" s="522" t="n">
        <v>0.127</v>
      </c>
      <c r="I94" s="523" t="n">
        <v>0.64</v>
      </c>
      <c r="J94" s="523" t="n">
        <v>1.26</v>
      </c>
      <c r="K94" s="523" t="n">
        <v>2.29</v>
      </c>
      <c r="L94" s="522" t="n">
        <v>0.0875</v>
      </c>
      <c r="M94" s="522" t="n">
        <v>0.095</v>
      </c>
      <c r="N94" s="522" t="n">
        <v>0.1154</v>
      </c>
      <c r="O94" s="524" t="n">
        <v>1.05</v>
      </c>
      <c r="P94" s="522" t="n">
        <v>0.1033</v>
      </c>
      <c r="Q94" s="522" t="n">
        <v>0.2922</v>
      </c>
      <c r="R94" s="522" t="n">
        <v>0.5587</v>
      </c>
    </row>
    <row r="95" customFormat="false" ht="15.75" hidden="false" customHeight="false" outlineLevel="0" collapsed="false">
      <c r="A95" s="520" t="s">
        <v>884</v>
      </c>
      <c r="B95" s="521" t="n">
        <v>51</v>
      </c>
      <c r="C95" s="522" t="n">
        <v>0.0141</v>
      </c>
      <c r="D95" s="522" t="n">
        <v>0.0765</v>
      </c>
      <c r="E95" s="522" t="n">
        <v>0.165</v>
      </c>
      <c r="F95" s="522" t="n">
        <v>0.0849</v>
      </c>
      <c r="G95" s="522" t="n">
        <v>0.1733</v>
      </c>
      <c r="H95" s="522" t="n">
        <v>0.2133</v>
      </c>
      <c r="I95" s="523" t="n">
        <v>0.32</v>
      </c>
      <c r="J95" s="523" t="n">
        <v>0.43</v>
      </c>
      <c r="K95" s="523" t="n">
        <v>1.54</v>
      </c>
      <c r="L95" s="522" t="n">
        <v>0.0641</v>
      </c>
      <c r="M95" s="522" t="n">
        <v>0.065</v>
      </c>
      <c r="N95" s="522" t="n">
        <v>0.0724</v>
      </c>
      <c r="O95" s="524" t="n">
        <v>0.63</v>
      </c>
      <c r="P95" s="522" t="n">
        <v>0.3489</v>
      </c>
      <c r="Q95" s="522" t="n">
        <v>0.4526</v>
      </c>
      <c r="R95" s="522" t="n">
        <v>0.5702</v>
      </c>
    </row>
    <row r="96" customFormat="false" ht="15.75" hidden="false" customHeight="false" outlineLevel="0" collapsed="false">
      <c r="A96" s="520" t="s">
        <v>885</v>
      </c>
      <c r="B96" s="521" t="n">
        <v>104</v>
      </c>
      <c r="C96" s="522" t="n">
        <v>0.0064</v>
      </c>
      <c r="D96" s="522" t="n">
        <v>0.0511</v>
      </c>
      <c r="E96" s="522" t="n">
        <v>0.114</v>
      </c>
      <c r="F96" s="522" t="n">
        <v>0.1301</v>
      </c>
      <c r="G96" s="522" t="n">
        <v>0.2532</v>
      </c>
      <c r="H96" s="522" t="n">
        <v>0.3116</v>
      </c>
      <c r="I96" s="523" t="n">
        <v>0.2</v>
      </c>
      <c r="J96" s="523" t="n">
        <v>0.31</v>
      </c>
      <c r="K96" s="523" t="n">
        <v>0.52</v>
      </c>
      <c r="L96" s="522" t="n">
        <v>0.0692</v>
      </c>
      <c r="M96" s="522" t="n">
        <v>0.0739</v>
      </c>
      <c r="N96" s="522" t="n">
        <v>0.0822</v>
      </c>
      <c r="O96" s="524" t="n">
        <v>0.69</v>
      </c>
      <c r="P96" s="522" t="n">
        <v>0.0668</v>
      </c>
      <c r="Q96" s="522" t="n">
        <v>0.3177</v>
      </c>
      <c r="R96" s="522" t="n">
        <v>0.5544</v>
      </c>
    </row>
  </sheetData>
  <mergeCells count="5">
    <mergeCell ref="C1:E1"/>
    <mergeCell ref="F1:H1"/>
    <mergeCell ref="I1:K1"/>
    <mergeCell ref="L1:N1"/>
    <mergeCell ref="P1:R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9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M79" activeCellId="0" sqref="M79"/>
    </sheetView>
  </sheetViews>
  <sheetFormatPr defaultColWidth="10.65234375" defaultRowHeight="12.75" zeroHeight="false" outlineLevelRow="0" outlineLevelCol="0"/>
  <cols>
    <col collapsed="false" customWidth="true" hidden="false" outlineLevel="0" max="1" min="1" style="0" width="20.31"/>
    <col collapsed="false" customWidth="true" hidden="false" outlineLevel="0" max="2" min="2" style="0" width="11.5"/>
    <col collapsed="false" customWidth="true" hidden="false" outlineLevel="0" max="3" min="3" style="0" width="9.5"/>
    <col collapsed="false" customWidth="true" hidden="false" outlineLevel="0" max="4" min="4" style="0" width="11.83"/>
    <col collapsed="false" customWidth="true" hidden="false" outlineLevel="0" max="5" min="5" style="0" width="12.51"/>
    <col collapsed="false" customWidth="true" hidden="false" outlineLevel="0" max="6" min="6" style="0" width="10.5"/>
    <col collapsed="false" customWidth="true" hidden="false" outlineLevel="0" max="7" min="7" style="0" width="11.5"/>
    <col collapsed="false" customWidth="true" hidden="false" outlineLevel="0" max="8" min="8" style="0" width="22.5"/>
  </cols>
  <sheetData>
    <row r="1" s="508" customFormat="true" ht="84" hidden="false" customHeight="false" outlineLevel="0" collapsed="false">
      <c r="A1" s="507" t="s">
        <v>770</v>
      </c>
      <c r="B1" s="508" t="s">
        <v>771</v>
      </c>
      <c r="C1" s="509" t="s">
        <v>772</v>
      </c>
      <c r="D1" s="509" t="s">
        <v>773</v>
      </c>
      <c r="E1" s="509" t="s">
        <v>774</v>
      </c>
      <c r="F1" s="508" t="s">
        <v>775</v>
      </c>
      <c r="G1" s="508" t="s">
        <v>471</v>
      </c>
      <c r="H1" s="508" t="s">
        <v>776</v>
      </c>
      <c r="I1" s="508" t="s">
        <v>777</v>
      </c>
      <c r="J1" s="508" t="s">
        <v>778</v>
      </c>
      <c r="K1" s="508" t="s">
        <v>779</v>
      </c>
      <c r="L1" s="508" t="s">
        <v>780</v>
      </c>
      <c r="M1" s="508" t="s">
        <v>148</v>
      </c>
      <c r="N1" s="510" t="s">
        <v>781</v>
      </c>
      <c r="O1" s="508" t="s">
        <v>469</v>
      </c>
      <c r="P1" s="508" t="s">
        <v>782</v>
      </c>
      <c r="Q1" s="508" t="s">
        <v>783</v>
      </c>
      <c r="R1" s="508" t="s">
        <v>784</v>
      </c>
      <c r="S1" s="508" t="s">
        <v>785</v>
      </c>
      <c r="T1" s="508" t="s">
        <v>786</v>
      </c>
      <c r="U1" s="508" t="s">
        <v>787</v>
      </c>
      <c r="V1" s="508" t="s">
        <v>788</v>
      </c>
      <c r="W1" s="508" t="s">
        <v>218</v>
      </c>
      <c r="X1" s="507" t="s">
        <v>789</v>
      </c>
      <c r="Y1" s="507" t="s">
        <v>790</v>
      </c>
      <c r="Z1" s="507" t="s">
        <v>791</v>
      </c>
      <c r="AA1" s="508" t="s">
        <v>792</v>
      </c>
    </row>
    <row r="2" s="525" customFormat="true" ht="12.75" hidden="false" customHeight="false" outlineLevel="0" collapsed="false">
      <c r="A2" s="512" t="s">
        <v>793</v>
      </c>
      <c r="B2" s="75" t="n">
        <v>362</v>
      </c>
      <c r="C2" s="513" t="n">
        <v>0.0734967942583732</v>
      </c>
      <c r="D2" s="513" t="n">
        <v>0.090308890940185</v>
      </c>
      <c r="E2" s="513" t="n">
        <v>0.213387231263364</v>
      </c>
      <c r="F2" s="513" t="n">
        <v>0.250721052873748</v>
      </c>
      <c r="G2" s="377" t="n">
        <v>1.174347342429</v>
      </c>
      <c r="H2" s="377" t="n">
        <v>1.29358349253936</v>
      </c>
      <c r="I2" s="513" t="n">
        <v>0.142027962704641</v>
      </c>
      <c r="J2" s="513" t="n">
        <v>0.396957396192513</v>
      </c>
      <c r="K2" s="513" t="n">
        <v>0.0695</v>
      </c>
      <c r="L2" s="513" t="n">
        <v>0.265591166194659</v>
      </c>
      <c r="M2" s="513" t="n">
        <v>0.118211443329527</v>
      </c>
      <c r="N2" s="377" t="n">
        <v>2.71113867245565</v>
      </c>
      <c r="O2" s="377" t="n">
        <v>1.51181711614708</v>
      </c>
      <c r="P2" s="377" t="n">
        <v>10.5494583196666</v>
      </c>
      <c r="Q2" s="377" t="n">
        <v>15.5043679800703</v>
      </c>
      <c r="R2" s="377" t="n">
        <v>2.33546207114935</v>
      </c>
      <c r="S2" s="377" t="n">
        <v>39.7591590589842</v>
      </c>
      <c r="T2" s="513" t="n">
        <v>-0.026059629574481</v>
      </c>
      <c r="U2" s="513" t="n">
        <v>0.0214847484824095</v>
      </c>
      <c r="V2" s="513" t="n">
        <v>0.00721598288747749</v>
      </c>
      <c r="W2" s="513" t="n">
        <v>0.277741099408819</v>
      </c>
      <c r="X2" s="513" t="n">
        <v>0.102008646042622</v>
      </c>
      <c r="Y2" s="513" t="n">
        <v>0.444511433859341</v>
      </c>
      <c r="Z2" s="513" t="n">
        <v>0.444511433859341</v>
      </c>
      <c r="AA2" s="514" t="n">
        <v>0.0922245028320596</v>
      </c>
    </row>
    <row r="3" s="525" customFormat="true" ht="12.75" hidden="false" customHeight="false" outlineLevel="0" collapsed="false">
      <c r="A3" s="512" t="s">
        <v>794</v>
      </c>
      <c r="B3" s="75" t="n">
        <v>278</v>
      </c>
      <c r="C3" s="513" t="n">
        <v>0.073714201183432</v>
      </c>
      <c r="D3" s="513" t="n">
        <v>0.0802440409532544</v>
      </c>
      <c r="E3" s="513" t="n">
        <v>0.12143702063275</v>
      </c>
      <c r="F3" s="513" t="n">
        <v>0.163635782862297</v>
      </c>
      <c r="G3" s="377" t="n">
        <v>1.05736927470523</v>
      </c>
      <c r="H3" s="377" t="n">
        <v>1.1580552633554</v>
      </c>
      <c r="I3" s="513" t="n">
        <v>0.131212810015761</v>
      </c>
      <c r="J3" s="513" t="n">
        <v>0.362293402574119</v>
      </c>
      <c r="K3" s="513" t="n">
        <v>0.0695</v>
      </c>
      <c r="L3" s="513" t="n">
        <v>0.188553167903086</v>
      </c>
      <c r="M3" s="513" t="n">
        <v>0.116343797563831</v>
      </c>
      <c r="N3" s="377" t="n">
        <v>1.69212751538581</v>
      </c>
      <c r="O3" s="377" t="n">
        <v>2.26263562606673</v>
      </c>
      <c r="P3" s="377" t="n">
        <v>15.2663150532742</v>
      </c>
      <c r="Q3" s="377" t="n">
        <v>24.5454484698327</v>
      </c>
      <c r="R3" s="377" t="n">
        <v>4.3573233797525</v>
      </c>
      <c r="S3" s="377" t="n">
        <v>69.8738855101454</v>
      </c>
      <c r="T3" s="513" t="n">
        <v>0.423431013845618</v>
      </c>
      <c r="U3" s="513" t="n">
        <v>0.0339151704393375</v>
      </c>
      <c r="V3" s="513" t="n">
        <v>0.00935307599604076</v>
      </c>
      <c r="W3" s="513" t="n">
        <v>0.413784265595602</v>
      </c>
      <c r="X3" s="513" t="n">
        <v>0.0803551819398715</v>
      </c>
      <c r="Y3" s="513" t="n">
        <v>0.729514934622066</v>
      </c>
      <c r="Z3" s="513" t="n">
        <v>0.729514934622066</v>
      </c>
      <c r="AA3" s="514" t="n">
        <v>0.0799819302472421</v>
      </c>
    </row>
    <row r="4" s="525" customFormat="true" ht="12.75" hidden="false" customHeight="false" outlineLevel="0" collapsed="false">
      <c r="A4" s="512" t="s">
        <v>795</v>
      </c>
      <c r="B4" s="75" t="n">
        <v>155</v>
      </c>
      <c r="C4" s="513" t="n">
        <v>-0.0242025619834711</v>
      </c>
      <c r="D4" s="513" t="n">
        <v>0.01235337891139</v>
      </c>
      <c r="E4" s="513" t="n">
        <v>0.00903552526659476</v>
      </c>
      <c r="F4" s="513" t="n">
        <v>0.130837007725452</v>
      </c>
      <c r="G4" s="377" t="n">
        <v>0.761614227172927</v>
      </c>
      <c r="H4" s="377" t="n">
        <v>1.23542069175153</v>
      </c>
      <c r="I4" s="513" t="n">
        <v>0.137386571201772</v>
      </c>
      <c r="J4" s="513" t="n">
        <v>0.308633118619679</v>
      </c>
      <c r="K4" s="513" t="n">
        <v>0.0695</v>
      </c>
      <c r="L4" s="513" t="n">
        <v>0.523768222811438</v>
      </c>
      <c r="M4" s="513" t="n">
        <v>0.0928493958212107</v>
      </c>
      <c r="N4" s="377" t="n">
        <v>0.805422779862451</v>
      </c>
      <c r="O4" s="377" t="n">
        <v>1.93675101849265</v>
      </c>
      <c r="P4" s="377" t="n">
        <v>10.9804751951136</v>
      </c>
      <c r="Q4" s="377" t="n">
        <v>106.665734205565</v>
      </c>
      <c r="R4" s="377" t="n">
        <v>2.93828947880566</v>
      </c>
      <c r="S4" s="377" t="n">
        <v>75.8560921549031</v>
      </c>
      <c r="T4" s="513" t="n">
        <v>-0.0358175923525552</v>
      </c>
      <c r="U4" s="513" t="n">
        <v>0.0966930654908757</v>
      </c>
      <c r="V4" s="513" t="n">
        <v>0.0325591475100884</v>
      </c>
      <c r="W4" s="513" t="n">
        <v>9.55471259851839</v>
      </c>
      <c r="X4" s="513" t="n">
        <v>-0.0932429468276255</v>
      </c>
      <c r="Y4" s="513" t="n">
        <v>0.00441917518899564</v>
      </c>
      <c r="Z4" s="513" t="n">
        <v>0.00441917518899559</v>
      </c>
      <c r="AA4" s="514" t="n">
        <v>0.0122745937033662</v>
      </c>
    </row>
    <row r="5" s="525" customFormat="true" ht="12.75" hidden="false" customHeight="false" outlineLevel="0" collapsed="false">
      <c r="A5" s="512" t="s">
        <v>796</v>
      </c>
      <c r="B5" s="75" t="n">
        <v>1146</v>
      </c>
      <c r="C5" s="513" t="n">
        <v>0.0461898932384341</v>
      </c>
      <c r="D5" s="513" t="n">
        <v>0.147436272767551</v>
      </c>
      <c r="E5" s="513" t="n">
        <v>0.200934222744655</v>
      </c>
      <c r="F5" s="513" t="n">
        <v>0.237818636235801</v>
      </c>
      <c r="G5" s="377" t="n">
        <v>0.841936020524334</v>
      </c>
      <c r="H5" s="377" t="n">
        <v>0.902378889954118</v>
      </c>
      <c r="I5" s="513" t="n">
        <v>0.110809835418339</v>
      </c>
      <c r="J5" s="513" t="n">
        <v>0.347813544122331</v>
      </c>
      <c r="K5" s="513" t="n">
        <v>0.0695</v>
      </c>
      <c r="L5" s="513" t="n">
        <v>0.153618524018545</v>
      </c>
      <c r="M5" s="513" t="n">
        <v>0.101829990027586</v>
      </c>
      <c r="N5" s="377" t="n">
        <v>1.5806190152149</v>
      </c>
      <c r="O5" s="377" t="n">
        <v>2.35723132283686</v>
      </c>
      <c r="P5" s="377" t="n">
        <v>12.5846659347035</v>
      </c>
      <c r="Q5" s="377" t="n">
        <v>15.486602949047</v>
      </c>
      <c r="R5" s="377" t="n">
        <v>3.63090238378547</v>
      </c>
      <c r="S5" s="377" t="n">
        <v>73.563243904226</v>
      </c>
      <c r="T5" s="513" t="n">
        <v>0.214939443169337</v>
      </c>
      <c r="U5" s="513" t="n">
        <v>0.0366095840787903</v>
      </c>
      <c r="V5" s="513" t="n">
        <v>0.0166667376918564</v>
      </c>
      <c r="W5" s="513" t="n">
        <v>0.489876023275896</v>
      </c>
      <c r="X5" s="513" t="n">
        <v>0.153077226016576</v>
      </c>
      <c r="Y5" s="513" t="n">
        <v>0.42883085768574</v>
      </c>
      <c r="Z5" s="513" t="n">
        <v>0.42883085768574</v>
      </c>
      <c r="AA5" s="514" t="n">
        <v>0.149436576318957</v>
      </c>
    </row>
    <row r="6" s="525" customFormat="true" ht="12.75" hidden="false" customHeight="false" outlineLevel="0" collapsed="false">
      <c r="A6" s="512" t="s">
        <v>797</v>
      </c>
      <c r="B6" s="75" t="n">
        <v>154</v>
      </c>
      <c r="C6" s="513" t="n">
        <v>0.0820659595959596</v>
      </c>
      <c r="D6" s="513" t="n">
        <v>0.0658457638106145</v>
      </c>
      <c r="E6" s="513" t="n">
        <v>0.0533576934537911</v>
      </c>
      <c r="F6" s="513" t="n">
        <v>0.213657458748964</v>
      </c>
      <c r="G6" s="377" t="n">
        <v>1.03383559263711</v>
      </c>
      <c r="H6" s="377" t="n">
        <v>1.35262313491192</v>
      </c>
      <c r="I6" s="513" t="n">
        <v>0.146739326165971</v>
      </c>
      <c r="J6" s="513" t="n">
        <v>0.338967893997729</v>
      </c>
      <c r="K6" s="513" t="n">
        <v>0.0695</v>
      </c>
      <c r="L6" s="513" t="n">
        <v>0.424275929407924</v>
      </c>
      <c r="M6" s="513" t="n">
        <v>0.106694052681009</v>
      </c>
      <c r="N6" s="377" t="n">
        <v>0.924713368794706</v>
      </c>
      <c r="O6" s="377" t="n">
        <v>1.08239251809332</v>
      </c>
      <c r="P6" s="377" t="n">
        <v>9.20308845411393</v>
      </c>
      <c r="Q6" s="377" t="n">
        <v>15.8355545738449</v>
      </c>
      <c r="R6" s="377" t="n">
        <v>1.29243196090245</v>
      </c>
      <c r="S6" s="377" t="n">
        <v>27.7818381753501</v>
      </c>
      <c r="T6" s="513" t="n">
        <v>0.00797130743502571</v>
      </c>
      <c r="U6" s="513" t="n">
        <v>0.0604232650716702</v>
      </c>
      <c r="V6" s="513" t="n">
        <v>0.0275607944210561</v>
      </c>
      <c r="W6" s="513" t="n">
        <v>0.501947218801582</v>
      </c>
      <c r="X6" s="513" t="n">
        <v>0.115181745289709</v>
      </c>
      <c r="Y6" s="513" t="n">
        <v>0.225055955452814</v>
      </c>
      <c r="Z6" s="513" t="n">
        <v>0.225055955452814</v>
      </c>
      <c r="AA6" s="514" t="n">
        <v>0.0651703237606505</v>
      </c>
    </row>
    <row r="7" s="525" customFormat="true" ht="12.75" hidden="false" customHeight="false" outlineLevel="0" collapsed="false">
      <c r="A7" s="512" t="s">
        <v>798</v>
      </c>
      <c r="B7" s="75" t="n">
        <v>746</v>
      </c>
      <c r="C7" s="513" t="n">
        <v>0.0515798611111111</v>
      </c>
      <c r="D7" s="513" t="n">
        <v>0.0364790095614349</v>
      </c>
      <c r="E7" s="513" t="n">
        <v>0.0422286006843443</v>
      </c>
      <c r="F7" s="513" t="n">
        <v>0.257467574229621</v>
      </c>
      <c r="G7" s="377" t="n">
        <v>1.2875467841382</v>
      </c>
      <c r="H7" s="377" t="n">
        <v>1.41301015995809</v>
      </c>
      <c r="I7" s="513" t="n">
        <v>0.151558210764656</v>
      </c>
      <c r="J7" s="513" t="n">
        <v>0.314997514827991</v>
      </c>
      <c r="K7" s="513" t="n">
        <v>0.0695</v>
      </c>
      <c r="L7" s="513" t="n">
        <v>0.260559047212792</v>
      </c>
      <c r="M7" s="513" t="n">
        <v>0.125709747323986</v>
      </c>
      <c r="N7" s="377" t="n">
        <v>1.46898588605818</v>
      </c>
      <c r="O7" s="377" t="n">
        <v>0.830583059177644</v>
      </c>
      <c r="P7" s="377" t="n">
        <v>9.46661965816394</v>
      </c>
      <c r="Q7" s="377" t="n">
        <v>21.8608406013241</v>
      </c>
      <c r="R7" s="377" t="n">
        <v>1.39170990712593</v>
      </c>
      <c r="S7" s="377" t="n">
        <v>39.3018687353166</v>
      </c>
      <c r="T7" s="513" t="n">
        <v>0.131426199279128</v>
      </c>
      <c r="U7" s="513" t="n">
        <v>0.0514119461223163</v>
      </c>
      <c r="V7" s="513" t="n">
        <v>0.0316686085322521</v>
      </c>
      <c r="W7" s="513" t="n">
        <v>2.06476343165053</v>
      </c>
      <c r="X7" s="513" t="n">
        <v>0.0525120791883382</v>
      </c>
      <c r="Y7" s="513" t="n">
        <v>0.518524133859311</v>
      </c>
      <c r="Z7" s="513" t="n">
        <v>0.518524133859311</v>
      </c>
      <c r="AA7" s="514" t="n">
        <v>0.0349434884637979</v>
      </c>
    </row>
    <row r="8" s="525" customFormat="true" ht="12.75" hidden="false" customHeight="false" outlineLevel="0" collapsed="false">
      <c r="A8" s="512" t="s">
        <v>799</v>
      </c>
      <c r="B8" s="75" t="n">
        <v>596</v>
      </c>
      <c r="C8" s="513" t="n">
        <v>0.105348481973435</v>
      </c>
      <c r="D8" s="513" t="n">
        <v>4.17647662002024E-005</v>
      </c>
      <c r="E8" s="513" t="n">
        <v>4.16846163836148E-005</v>
      </c>
      <c r="F8" s="513" t="n">
        <v>0.186773326096199</v>
      </c>
      <c r="G8" s="377" t="n">
        <v>0.437611472160678</v>
      </c>
      <c r="H8" s="377" t="n">
        <v>0.875215474102932</v>
      </c>
      <c r="I8" s="513" t="n">
        <v>0.108642194833414</v>
      </c>
      <c r="J8" s="513" t="n">
        <v>0.216753808510652</v>
      </c>
      <c r="K8" s="513" t="n">
        <v>0.0618</v>
      </c>
      <c r="L8" s="513" t="n">
        <v>0.750255973779564</v>
      </c>
      <c r="M8" s="513" t="n">
        <v>0.0620601107430972</v>
      </c>
      <c r="N8" s="377" t="n">
        <v>0.140233313296514</v>
      </c>
      <c r="O8" s="377" t="n">
        <v>6.68904522191274</v>
      </c>
      <c r="P8" s="377" t="s">
        <v>800</v>
      </c>
      <c r="Q8" s="377" t="s">
        <v>800</v>
      </c>
      <c r="R8" s="377" t="n">
        <v>0.812851903980271</v>
      </c>
      <c r="S8" s="377" t="n">
        <v>13.7391339109749</v>
      </c>
      <c r="T8" s="513" t="s">
        <v>800</v>
      </c>
      <c r="U8" s="513" t="n">
        <v>0.0324044841089691</v>
      </c>
      <c r="V8" s="513" t="n">
        <v>0.0343608410599376</v>
      </c>
      <c r="W8" s="513" t="n">
        <v>84.1898225967792</v>
      </c>
      <c r="X8" s="513" t="n">
        <v>0.010335042863077</v>
      </c>
      <c r="Y8" s="513" t="n">
        <v>0.33483400470597</v>
      </c>
      <c r="Z8" s="513" t="n">
        <v>0.334834004705971</v>
      </c>
      <c r="AA8" s="514" t="n">
        <v>0.00037602747649597</v>
      </c>
    </row>
    <row r="9" s="525" customFormat="true" ht="12.75" hidden="false" customHeight="false" outlineLevel="0" collapsed="false">
      <c r="A9" s="512" t="s">
        <v>801</v>
      </c>
      <c r="B9" s="75" t="n">
        <v>800</v>
      </c>
      <c r="C9" s="513" t="n">
        <v>0.0900587969924812</v>
      </c>
      <c r="D9" s="513" t="n">
        <v>0.000100473312510497</v>
      </c>
      <c r="E9" s="513" t="n">
        <v>-3.66803494558716E-005</v>
      </c>
      <c r="F9" s="513" t="n">
        <v>0.198257988883055</v>
      </c>
      <c r="G9" s="377" t="n">
        <v>0.357756586228231</v>
      </c>
      <c r="H9" s="377" t="n">
        <v>0.563870289429285</v>
      </c>
      <c r="I9" s="513" t="n">
        <v>0.0837968490964569</v>
      </c>
      <c r="J9" s="513" t="n">
        <v>0.178301803466563</v>
      </c>
      <c r="K9" s="513" t="n">
        <v>0.0618</v>
      </c>
      <c r="L9" s="513" t="n">
        <v>0.659194480545608</v>
      </c>
      <c r="M9" s="513" t="n">
        <v>0.0592465289806107</v>
      </c>
      <c r="N9" s="377" t="n">
        <v>0.193529478700257</v>
      </c>
      <c r="O9" s="377" t="n">
        <v>5.50457476435714</v>
      </c>
      <c r="P9" s="377" t="s">
        <v>800</v>
      </c>
      <c r="Q9" s="377" t="s">
        <v>800</v>
      </c>
      <c r="R9" s="377" t="n">
        <v>0.891884173255687</v>
      </c>
      <c r="S9" s="377" t="n">
        <v>20.7119814869249</v>
      </c>
      <c r="T9" s="513" t="s">
        <v>800</v>
      </c>
      <c r="U9" s="513" t="n">
        <v>0.0315802393857179</v>
      </c>
      <c r="V9" s="513" t="n">
        <v>-0.0131154807939718</v>
      </c>
      <c r="W9" s="513" t="s">
        <v>800</v>
      </c>
      <c r="X9" s="513" t="n">
        <v>0.0904369398066659</v>
      </c>
      <c r="Y9" s="513" t="n">
        <v>0.275245000196458</v>
      </c>
      <c r="Z9" s="513" t="n">
        <v>0.275245000196458</v>
      </c>
      <c r="AA9" s="514" t="n">
        <v>-0.000254098484592551</v>
      </c>
    </row>
    <row r="10" s="525" customFormat="true" ht="12.75" hidden="false" customHeight="false" outlineLevel="0" collapsed="false">
      <c r="A10" s="512" t="s">
        <v>802</v>
      </c>
      <c r="B10" s="75" t="n">
        <v>220</v>
      </c>
      <c r="C10" s="513" t="n">
        <v>0.0913293975903614</v>
      </c>
      <c r="D10" s="513" t="n">
        <v>0.219750041833197</v>
      </c>
      <c r="E10" s="513" t="n">
        <v>0.139309251917724</v>
      </c>
      <c r="F10" s="513" t="n">
        <v>0.238137667766442</v>
      </c>
      <c r="G10" s="377" t="n">
        <v>0.810718193165097</v>
      </c>
      <c r="H10" s="377" t="n">
        <v>0.872156443180473</v>
      </c>
      <c r="I10" s="513" t="n">
        <v>0.108398084165802</v>
      </c>
      <c r="J10" s="513" t="n">
        <v>0.285719576252123</v>
      </c>
      <c r="K10" s="513" t="n">
        <v>0.0695</v>
      </c>
      <c r="L10" s="513" t="n">
        <v>0.14071582488908</v>
      </c>
      <c r="M10" s="513" t="n">
        <v>0.100511843882797</v>
      </c>
      <c r="N10" s="377" t="n">
        <v>0.765623326535386</v>
      </c>
      <c r="O10" s="377" t="n">
        <v>4.33229481554417</v>
      </c>
      <c r="P10" s="377" t="n">
        <v>16.172276414424</v>
      </c>
      <c r="Q10" s="377" t="n">
        <v>19.5030780914826</v>
      </c>
      <c r="R10" s="377" t="n">
        <v>3.57367458900538</v>
      </c>
      <c r="S10" s="377" t="n">
        <v>69.3516101194403</v>
      </c>
      <c r="T10" s="513" t="n">
        <v>0.0868714807572964</v>
      </c>
      <c r="U10" s="513" t="n">
        <v>0.0458013602727149</v>
      </c>
      <c r="V10" s="513" t="n">
        <v>0.00941436322783247</v>
      </c>
      <c r="W10" s="513" t="n">
        <v>0.0164957629078825</v>
      </c>
      <c r="X10" s="513" t="n">
        <v>0.144983080428115</v>
      </c>
      <c r="Y10" s="513" t="n">
        <v>0.418040959888137</v>
      </c>
      <c r="Z10" s="513" t="n">
        <v>0.418040959888137</v>
      </c>
      <c r="AA10" s="514" t="n">
        <v>0.219658504889545</v>
      </c>
    </row>
    <row r="11" s="525" customFormat="true" ht="12.75" hidden="false" customHeight="false" outlineLevel="0" collapsed="false">
      <c r="A11" s="512" t="s">
        <v>803</v>
      </c>
      <c r="B11" s="75" t="n">
        <v>100</v>
      </c>
      <c r="C11" s="513" t="n">
        <v>0.0901730508474576</v>
      </c>
      <c r="D11" s="513" t="n">
        <v>0.165494890685713</v>
      </c>
      <c r="E11" s="513" t="n">
        <v>0.226109548185605</v>
      </c>
      <c r="F11" s="513" t="n">
        <v>0.199678696588103</v>
      </c>
      <c r="G11" s="377" t="n">
        <v>0.794718326471324</v>
      </c>
      <c r="H11" s="377" t="n">
        <v>0.85590019190368</v>
      </c>
      <c r="I11" s="513" t="n">
        <v>0.107100835313914</v>
      </c>
      <c r="J11" s="513" t="n">
        <v>0.310523614178902</v>
      </c>
      <c r="K11" s="513" t="n">
        <v>0.0695</v>
      </c>
      <c r="L11" s="513" t="n">
        <v>0.133284977319954</v>
      </c>
      <c r="M11" s="513" t="n">
        <v>0.0998039512605015</v>
      </c>
      <c r="N11" s="377" t="n">
        <v>1.57046452578158</v>
      </c>
      <c r="O11" s="377" t="n">
        <v>3.90337854298458</v>
      </c>
      <c r="P11" s="377" t="n">
        <v>18.7284395226445</v>
      </c>
      <c r="Q11" s="377" t="n">
        <v>23.2658819433553</v>
      </c>
      <c r="R11" s="377" t="n">
        <v>6.61105370612242</v>
      </c>
      <c r="S11" s="377" t="n">
        <v>44.95759960528</v>
      </c>
      <c r="T11" s="513" t="n">
        <v>-0.0649052460109841</v>
      </c>
      <c r="U11" s="513" t="n">
        <v>0.0458246894765546</v>
      </c>
      <c r="V11" s="513" t="n">
        <v>0.0419041578369083</v>
      </c>
      <c r="W11" s="513" t="n">
        <v>0.2583373054335</v>
      </c>
      <c r="X11" s="513" t="n">
        <v>0.247089303278474</v>
      </c>
      <c r="Y11" s="513" t="n">
        <v>0.54691572779078</v>
      </c>
      <c r="Z11" s="513" t="n">
        <v>0.54691572779078</v>
      </c>
      <c r="AA11" s="514" t="n">
        <v>0.166205500434194</v>
      </c>
    </row>
    <row r="12" s="525" customFormat="true" ht="12.75" hidden="false" customHeight="false" outlineLevel="0" collapsed="false">
      <c r="A12" s="512" t="s">
        <v>804</v>
      </c>
      <c r="B12" s="75" t="n">
        <v>135</v>
      </c>
      <c r="C12" s="513" t="n">
        <v>0.0442775454545455</v>
      </c>
      <c r="D12" s="513" t="n">
        <v>0.130843187496257</v>
      </c>
      <c r="E12" s="513" t="n">
        <v>0.108865311019438</v>
      </c>
      <c r="F12" s="513" t="n">
        <v>0.237660541518354</v>
      </c>
      <c r="G12" s="377" t="n">
        <v>0.744429566737366</v>
      </c>
      <c r="H12" s="377" t="n">
        <v>1.05697432723872</v>
      </c>
      <c r="I12" s="513" t="n">
        <v>0.12314655131365</v>
      </c>
      <c r="J12" s="513" t="n">
        <v>0.347166220426743</v>
      </c>
      <c r="K12" s="513" t="n">
        <v>0.0695</v>
      </c>
      <c r="L12" s="513" t="n">
        <v>0.446411955235305</v>
      </c>
      <c r="M12" s="513" t="n">
        <v>0.0915440663098122</v>
      </c>
      <c r="N12" s="377" t="n">
        <v>0.991505650067431</v>
      </c>
      <c r="O12" s="377" t="n">
        <v>1.22370220601635</v>
      </c>
      <c r="P12" s="377" t="n">
        <v>6.46975370393245</v>
      </c>
      <c r="Q12" s="377" t="n">
        <v>9.08630244548657</v>
      </c>
      <c r="R12" s="377" t="n">
        <v>0.812190287975074</v>
      </c>
      <c r="S12" s="377" t="n">
        <v>22.8577403974617</v>
      </c>
      <c r="T12" s="513" t="n">
        <v>0.113787127979464</v>
      </c>
      <c r="U12" s="513" t="n">
        <v>0.0356709566587196</v>
      </c>
      <c r="V12" s="513" t="n">
        <v>0.0175390671161441</v>
      </c>
      <c r="W12" s="513" t="n">
        <v>1.30855603272707</v>
      </c>
      <c r="X12" s="513" t="n">
        <v>0.297811157767533</v>
      </c>
      <c r="Y12" s="513" t="n">
        <v>0.100933238403724</v>
      </c>
      <c r="Z12" s="513" t="n">
        <v>0.100933238403724</v>
      </c>
      <c r="AA12" s="514" t="n">
        <v>0.131503722911322</v>
      </c>
    </row>
    <row r="13" s="525" customFormat="true" ht="12.75" hidden="false" customHeight="false" outlineLevel="0" collapsed="false">
      <c r="A13" s="512" t="s">
        <v>805</v>
      </c>
      <c r="B13" s="75" t="n">
        <v>592</v>
      </c>
      <c r="C13" s="513" t="n">
        <v>0.104019196217494</v>
      </c>
      <c r="D13" s="513" t="n">
        <v>0.00726905017482051</v>
      </c>
      <c r="E13" s="513" t="n">
        <v>0.00112370286574507</v>
      </c>
      <c r="F13" s="513" t="n">
        <v>0.20234958105745</v>
      </c>
      <c r="G13" s="377" t="n">
        <v>0.450950332616977</v>
      </c>
      <c r="H13" s="377" t="n">
        <v>0.991462427763109</v>
      </c>
      <c r="I13" s="513" t="n">
        <v>0.117918701735496</v>
      </c>
      <c r="J13" s="513" t="n">
        <v>0.349876137221484</v>
      </c>
      <c r="K13" s="513" t="n">
        <v>0.0695</v>
      </c>
      <c r="L13" s="513" t="n">
        <v>0.705777883184892</v>
      </c>
      <c r="M13" s="513" t="n">
        <v>0.071644832355228</v>
      </c>
      <c r="N13" s="377" t="n">
        <v>0.193220102655589</v>
      </c>
      <c r="O13" s="377" t="n">
        <v>5.36924398699104</v>
      </c>
      <c r="P13" s="377" t="n">
        <v>197.282913449166</v>
      </c>
      <c r="Q13" s="377" t="s">
        <v>800</v>
      </c>
      <c r="R13" s="377" t="n">
        <v>1.21618135504554</v>
      </c>
      <c r="S13" s="377" t="n">
        <v>60.9495955459226</v>
      </c>
      <c r="T13" s="513" t="s">
        <v>800</v>
      </c>
      <c r="U13" s="513" t="n">
        <v>0.0285642358726333</v>
      </c>
      <c r="V13" s="513" t="n">
        <v>-0.00502294921219683</v>
      </c>
      <c r="W13" s="513" t="n">
        <v>-39.9135849258455</v>
      </c>
      <c r="X13" s="513" t="n">
        <v>0.0920327828612926</v>
      </c>
      <c r="Y13" s="513" t="n">
        <v>0.522399322361873</v>
      </c>
      <c r="Z13" s="513" t="n">
        <v>0.522399322361873</v>
      </c>
      <c r="AA13" s="514" t="n">
        <v>0.00687337540727393</v>
      </c>
    </row>
    <row r="14" s="525" customFormat="true" ht="12.75" hidden="false" customHeight="false" outlineLevel="0" collapsed="false">
      <c r="A14" s="512" t="s">
        <v>806</v>
      </c>
      <c r="B14" s="75" t="n">
        <v>454</v>
      </c>
      <c r="C14" s="513" t="n">
        <v>0.0766257471264368</v>
      </c>
      <c r="D14" s="513" t="n">
        <v>0.107401627010093</v>
      </c>
      <c r="E14" s="513" t="n">
        <v>0.163682974619424</v>
      </c>
      <c r="F14" s="513" t="n">
        <v>0.216415137394282</v>
      </c>
      <c r="G14" s="377" t="n">
        <v>0.997551731829596</v>
      </c>
      <c r="H14" s="377" t="n">
        <v>1.10652922233009</v>
      </c>
      <c r="I14" s="513" t="n">
        <v>0.127101031941941</v>
      </c>
      <c r="J14" s="513" t="n">
        <v>0.298680722164475</v>
      </c>
      <c r="K14" s="513" t="n">
        <v>0.0695</v>
      </c>
      <c r="L14" s="513" t="n">
        <v>0.201770936768808</v>
      </c>
      <c r="M14" s="513" t="n">
        <v>0.112019323906155</v>
      </c>
      <c r="N14" s="377" t="n">
        <v>1.85118427180094</v>
      </c>
      <c r="O14" s="377" t="n">
        <v>1.43906459571822</v>
      </c>
      <c r="P14" s="377" t="n">
        <v>9.6623300164161</v>
      </c>
      <c r="Q14" s="377" t="n">
        <v>13.030558485962</v>
      </c>
      <c r="R14" s="377" t="n">
        <v>2.40627978933985</v>
      </c>
      <c r="S14" s="377" t="n">
        <v>42.279983498124</v>
      </c>
      <c r="T14" s="513" t="n">
        <v>0.173427080244075</v>
      </c>
      <c r="U14" s="513" t="n">
        <v>0.0383068364629448</v>
      </c>
      <c r="V14" s="513" t="n">
        <v>0.0402799690813171</v>
      </c>
      <c r="W14" s="513" t="n">
        <v>0.869268259963652</v>
      </c>
      <c r="X14" s="513" t="n">
        <v>0.151180803094836</v>
      </c>
      <c r="Y14" s="513" t="n">
        <v>0.302968027189363</v>
      </c>
      <c r="Z14" s="513" t="n">
        <v>0.302968027189363</v>
      </c>
      <c r="AA14" s="514" t="n">
        <v>0.107560446027395</v>
      </c>
    </row>
    <row r="15" s="525" customFormat="true" ht="12.75" hidden="false" customHeight="false" outlineLevel="0" collapsed="false">
      <c r="A15" s="512" t="s">
        <v>807</v>
      </c>
      <c r="B15" s="75" t="n">
        <v>961</v>
      </c>
      <c r="C15" s="513" t="n">
        <v>0.077030524590164</v>
      </c>
      <c r="D15" s="513" t="n">
        <v>0.0852104154264359</v>
      </c>
      <c r="E15" s="513" t="n">
        <v>0.194919869395584</v>
      </c>
      <c r="F15" s="513" t="n">
        <v>0.241466721033417</v>
      </c>
      <c r="G15" s="377" t="n">
        <v>0.996748844179311</v>
      </c>
      <c r="H15" s="377" t="n">
        <v>1.0942430346455</v>
      </c>
      <c r="I15" s="513" t="n">
        <v>0.126120594164711</v>
      </c>
      <c r="J15" s="513" t="n">
        <v>0.355080428629542</v>
      </c>
      <c r="K15" s="513" t="n">
        <v>0.0695</v>
      </c>
      <c r="L15" s="513" t="n">
        <v>0.188705533807888</v>
      </c>
      <c r="M15" s="513" t="n">
        <v>0.112200495682606</v>
      </c>
      <c r="N15" s="377" t="n">
        <v>2.6318315409345</v>
      </c>
      <c r="O15" s="377" t="n">
        <v>1.79632702198988</v>
      </c>
      <c r="P15" s="377" t="n">
        <v>13.458680230874</v>
      </c>
      <c r="Q15" s="377" t="n">
        <v>20.232652391501</v>
      </c>
      <c r="R15" s="377" t="n">
        <v>3.55724415346961</v>
      </c>
      <c r="S15" s="377" t="n">
        <v>43.8099528747089</v>
      </c>
      <c r="T15" s="513" t="n">
        <v>0.0976399025160693</v>
      </c>
      <c r="U15" s="513" t="n">
        <v>0.0261161732421969</v>
      </c>
      <c r="V15" s="513" t="n">
        <v>0.0435553978299543</v>
      </c>
      <c r="W15" s="513" t="n">
        <v>0.86727780133183</v>
      </c>
      <c r="X15" s="513" t="n">
        <v>0.101739413063876</v>
      </c>
      <c r="Y15" s="513" t="n">
        <v>0.546714380178204</v>
      </c>
      <c r="Z15" s="513" t="n">
        <v>0.546714380178204</v>
      </c>
      <c r="AA15" s="514" t="n">
        <v>0.0883190915048117</v>
      </c>
    </row>
    <row r="16" s="525" customFormat="true" ht="12.75" hidden="false" customHeight="false" outlineLevel="0" collapsed="false">
      <c r="A16" s="512" t="s">
        <v>808</v>
      </c>
      <c r="B16" s="75" t="n">
        <v>54</v>
      </c>
      <c r="C16" s="513" t="n">
        <v>0.0420679069767442</v>
      </c>
      <c r="D16" s="513" t="n">
        <v>0.192687322960569</v>
      </c>
      <c r="E16" s="513" t="n">
        <v>0.126524661796838</v>
      </c>
      <c r="F16" s="513" t="n">
        <v>0.283906818940416</v>
      </c>
      <c r="G16" s="377" t="n">
        <v>0.605432994647221</v>
      </c>
      <c r="H16" s="377" t="n">
        <v>1.02398337628233</v>
      </c>
      <c r="I16" s="513" t="n">
        <v>0.12051387342733</v>
      </c>
      <c r="J16" s="513" t="n">
        <v>0.262821809988951</v>
      </c>
      <c r="K16" s="513" t="n">
        <v>0.0695</v>
      </c>
      <c r="L16" s="513" t="n">
        <v>0.494509818047644</v>
      </c>
      <c r="M16" s="513" t="n">
        <v>0.0868083198990668</v>
      </c>
      <c r="N16" s="377" t="n">
        <v>0.769195687349449</v>
      </c>
      <c r="O16" s="377" t="n">
        <v>2.49440782857969</v>
      </c>
      <c r="P16" s="377" t="n">
        <v>7.49717538413211</v>
      </c>
      <c r="Q16" s="377" t="n">
        <v>12.9403441817864</v>
      </c>
      <c r="R16" s="377" t="n">
        <v>1.92985010264177</v>
      </c>
      <c r="S16" s="377" t="n">
        <v>29.8201848798574</v>
      </c>
      <c r="T16" s="513" t="n">
        <v>0.0154490655814844</v>
      </c>
      <c r="U16" s="513" t="n">
        <v>0.11558223276504</v>
      </c>
      <c r="V16" s="513" t="n">
        <v>0.00115413578566347</v>
      </c>
      <c r="W16" s="513" t="n">
        <v>0.0611359596384788</v>
      </c>
      <c r="X16" s="513" t="n">
        <v>0.109012673060818</v>
      </c>
      <c r="Y16" s="513" t="n">
        <v>0.353703324203608</v>
      </c>
      <c r="Z16" s="513" t="n">
        <v>0.353703324203608</v>
      </c>
      <c r="AA16" s="514" t="n">
        <v>0.189550836324292</v>
      </c>
    </row>
    <row r="17" s="525" customFormat="true" ht="12.75" hidden="false" customHeight="false" outlineLevel="0" collapsed="false">
      <c r="A17" s="512" t="s">
        <v>809</v>
      </c>
      <c r="B17" s="75" t="n">
        <v>879</v>
      </c>
      <c r="C17" s="513" t="n">
        <v>0.123867877862595</v>
      </c>
      <c r="D17" s="513" t="n">
        <v>0.100204192126656</v>
      </c>
      <c r="E17" s="513" t="n">
        <v>0.107451396173086</v>
      </c>
      <c r="F17" s="513" t="n">
        <v>0.188325147494986</v>
      </c>
      <c r="G17" s="377" t="n">
        <v>0.987786583979131</v>
      </c>
      <c r="H17" s="377" t="n">
        <v>1.13991147895594</v>
      </c>
      <c r="I17" s="513" t="n">
        <v>0.129764936020684</v>
      </c>
      <c r="J17" s="513" t="n">
        <v>0.326494373880831</v>
      </c>
      <c r="K17" s="513" t="n">
        <v>0.0695</v>
      </c>
      <c r="L17" s="513" t="n">
        <v>0.270518441869533</v>
      </c>
      <c r="M17" s="513" t="n">
        <v>0.108823944906161</v>
      </c>
      <c r="N17" s="377" t="n">
        <v>1.26557418334364</v>
      </c>
      <c r="O17" s="377" t="n">
        <v>1.23648557155069</v>
      </c>
      <c r="P17" s="377" t="n">
        <v>8.30586737128921</v>
      </c>
      <c r="Q17" s="377" t="n">
        <v>11.9169178726181</v>
      </c>
      <c r="R17" s="377" t="n">
        <v>1.56334041863464</v>
      </c>
      <c r="S17" s="377" t="n">
        <v>32.4611822040244</v>
      </c>
      <c r="T17" s="513" t="n">
        <v>0.130467716542447</v>
      </c>
      <c r="U17" s="513" t="n">
        <v>0.0774164199349257</v>
      </c>
      <c r="V17" s="513" t="n">
        <v>0.0629027196357911</v>
      </c>
      <c r="W17" s="513" t="n">
        <v>1.19795576651649</v>
      </c>
      <c r="X17" s="513" t="n">
        <v>0.130154406952827</v>
      </c>
      <c r="Y17" s="513" t="n">
        <v>0.464163332415796</v>
      </c>
      <c r="Z17" s="513" t="n">
        <v>0.464163332415796</v>
      </c>
      <c r="AA17" s="514" t="n">
        <v>0.100698125573587</v>
      </c>
    </row>
    <row r="18" s="525" customFormat="true" ht="12.75" hidden="false" customHeight="false" outlineLevel="0" collapsed="false">
      <c r="A18" s="512" t="s">
        <v>810</v>
      </c>
      <c r="B18" s="75" t="n">
        <v>68</v>
      </c>
      <c r="C18" s="513" t="n">
        <v>0.0792588333333333</v>
      </c>
      <c r="D18" s="513" t="n">
        <v>0.102088535355164</v>
      </c>
      <c r="E18" s="513" t="n">
        <v>0.0888605780238721</v>
      </c>
      <c r="F18" s="513" t="n">
        <v>0.221094600046775</v>
      </c>
      <c r="G18" s="377" t="n">
        <v>0.941950695319912</v>
      </c>
      <c r="H18" s="377" t="n">
        <v>1.19582487418776</v>
      </c>
      <c r="I18" s="513" t="n">
        <v>0.134226824960183</v>
      </c>
      <c r="J18" s="513" t="n">
        <v>0.249212649709702</v>
      </c>
      <c r="K18" s="513" t="n">
        <v>0.0618</v>
      </c>
      <c r="L18" s="513" t="n">
        <v>0.342879396888214</v>
      </c>
      <c r="M18" s="513" t="n">
        <v>0.104165599041586</v>
      </c>
      <c r="N18" s="377" t="n">
        <v>1.14663381958513</v>
      </c>
      <c r="O18" s="377" t="n">
        <v>0.94296723858017</v>
      </c>
      <c r="P18" s="377" t="n">
        <v>6.17106417780488</v>
      </c>
      <c r="Q18" s="377" t="n">
        <v>9.16206219781443</v>
      </c>
      <c r="R18" s="377" t="n">
        <v>1.1245367981195</v>
      </c>
      <c r="S18" s="377" t="n">
        <v>13.5087954877366</v>
      </c>
      <c r="T18" s="513" t="n">
        <v>0.172172327912688</v>
      </c>
      <c r="U18" s="513" t="n">
        <v>0.0544749244362555</v>
      </c>
      <c r="V18" s="513" t="n">
        <v>0.0196889746724854</v>
      </c>
      <c r="W18" s="513" t="n">
        <v>0.802389175984454</v>
      </c>
      <c r="X18" s="513" t="n">
        <v>0.136500873851652</v>
      </c>
      <c r="Y18" s="513" t="n">
        <v>0.29292289982848</v>
      </c>
      <c r="Z18" s="513" t="n">
        <v>0.29292289982848</v>
      </c>
      <c r="AA18" s="514" t="n">
        <v>0.0991795632886061</v>
      </c>
    </row>
    <row r="19" s="525" customFormat="true" ht="12.75" hidden="false" customHeight="false" outlineLevel="0" collapsed="false">
      <c r="A19" s="512" t="s">
        <v>811</v>
      </c>
      <c r="B19" s="75" t="n">
        <v>922</v>
      </c>
      <c r="C19" s="513" t="n">
        <v>0.123586918138042</v>
      </c>
      <c r="D19" s="513" t="n">
        <v>0.15472555829816</v>
      </c>
      <c r="E19" s="513" t="n">
        <v>0.171500099675319</v>
      </c>
      <c r="F19" s="513" t="n">
        <v>0.217210787859637</v>
      </c>
      <c r="G19" s="377" t="n">
        <v>1.02120131934079</v>
      </c>
      <c r="H19" s="377" t="n">
        <v>1.1068628177676</v>
      </c>
      <c r="I19" s="513" t="n">
        <v>0.127127652857854</v>
      </c>
      <c r="J19" s="513" t="n">
        <v>0.341491874966305</v>
      </c>
      <c r="K19" s="513" t="n">
        <v>0.0695</v>
      </c>
      <c r="L19" s="513" t="n">
        <v>0.174590793915378</v>
      </c>
      <c r="M19" s="513" t="n">
        <v>0.114072922548226</v>
      </c>
      <c r="N19" s="377" t="n">
        <v>1.30543755046663</v>
      </c>
      <c r="O19" s="377" t="n">
        <v>2.01571176353802</v>
      </c>
      <c r="P19" s="377" t="n">
        <v>9.47947194807708</v>
      </c>
      <c r="Q19" s="377" t="n">
        <v>12.8236056416072</v>
      </c>
      <c r="R19" s="377" t="n">
        <v>2.49906883206443</v>
      </c>
      <c r="S19" s="377" t="n">
        <v>33.6899477198569</v>
      </c>
      <c r="T19" s="513" t="n">
        <v>0.184477658828151</v>
      </c>
      <c r="U19" s="513" t="n">
        <v>0.0674448498887957</v>
      </c>
      <c r="V19" s="513" t="n">
        <v>0.0498381072702927</v>
      </c>
      <c r="W19" s="513" t="n">
        <v>0.757381035167455</v>
      </c>
      <c r="X19" s="513" t="n">
        <v>0.159010470526632</v>
      </c>
      <c r="Y19" s="513" t="n">
        <v>0.33805283025981</v>
      </c>
      <c r="Z19" s="513" t="n">
        <v>0.33805283025981</v>
      </c>
      <c r="AA19" s="514" t="n">
        <v>0.156108205726871</v>
      </c>
    </row>
    <row r="20" s="525" customFormat="true" ht="12.75" hidden="false" customHeight="false" outlineLevel="0" collapsed="false">
      <c r="A20" s="512" t="s">
        <v>812</v>
      </c>
      <c r="B20" s="75" t="n">
        <v>212</v>
      </c>
      <c r="C20" s="513" t="n">
        <v>0.190732477876106</v>
      </c>
      <c r="D20" s="513" t="n">
        <v>0.291237993448152</v>
      </c>
      <c r="E20" s="513" t="n">
        <v>0.386098522918566</v>
      </c>
      <c r="F20" s="513" t="n">
        <v>0.230848347063914</v>
      </c>
      <c r="G20" s="377" t="n">
        <v>1.35283508717105</v>
      </c>
      <c r="H20" s="377" t="n">
        <v>1.21196121262195</v>
      </c>
      <c r="I20" s="513" t="n">
        <v>0.135514504767231</v>
      </c>
      <c r="J20" s="513" t="n">
        <v>0.587269503018182</v>
      </c>
      <c r="K20" s="513" t="n">
        <v>0.0733</v>
      </c>
      <c r="L20" s="513" t="n">
        <v>0.195550452549512</v>
      </c>
      <c r="M20" s="513" t="n">
        <v>0.119812269860853</v>
      </c>
      <c r="N20" s="377" t="n">
        <v>1.46088036043033</v>
      </c>
      <c r="O20" s="377" t="n">
        <v>1.08818349213999</v>
      </c>
      <c r="P20" s="377" t="n">
        <v>3.00889575907272</v>
      </c>
      <c r="Q20" s="377" t="n">
        <v>3.60107604036338</v>
      </c>
      <c r="R20" s="377" t="n">
        <v>1.41592692513308</v>
      </c>
      <c r="S20" s="377" t="n">
        <v>19.3612960599012</v>
      </c>
      <c r="T20" s="513" t="n">
        <v>-0.00829575863876627</v>
      </c>
      <c r="U20" s="513" t="n">
        <v>0.0585821034341745</v>
      </c>
      <c r="V20" s="513" t="n">
        <v>0.0360847163642728</v>
      </c>
      <c r="W20" s="513" t="n">
        <v>0.143013945783199</v>
      </c>
      <c r="X20" s="513" t="n">
        <v>0.314384629412409</v>
      </c>
      <c r="Y20" s="513" t="n">
        <v>0.40895723661896</v>
      </c>
      <c r="Z20" s="513" t="n">
        <v>0.40895723661896</v>
      </c>
      <c r="AA20" s="514" t="n">
        <v>0.292079834053299</v>
      </c>
    </row>
    <row r="21" s="525" customFormat="true" ht="12.75" hidden="false" customHeight="false" outlineLevel="0" collapsed="false">
      <c r="A21" s="512" t="s">
        <v>813</v>
      </c>
      <c r="B21" s="75" t="n">
        <v>1105</v>
      </c>
      <c r="C21" s="513" t="n">
        <v>0.0936456639566397</v>
      </c>
      <c r="D21" s="513" t="n">
        <v>0.0731762669272857</v>
      </c>
      <c r="E21" s="513" t="n">
        <v>0.202529323552963</v>
      </c>
      <c r="F21" s="513" t="n">
        <v>0.230355113434443</v>
      </c>
      <c r="G21" s="377" t="n">
        <v>1.0374271307253</v>
      </c>
      <c r="H21" s="377" t="n">
        <v>1.08824719202808</v>
      </c>
      <c r="I21" s="513" t="n">
        <v>0.125642125923841</v>
      </c>
      <c r="J21" s="513" t="n">
        <v>0.337863735647235</v>
      </c>
      <c r="K21" s="513" t="n">
        <v>0.0695</v>
      </c>
      <c r="L21" s="513" t="n">
        <v>0.140498299387096</v>
      </c>
      <c r="M21" s="513" t="n">
        <v>0.115345318040679</v>
      </c>
      <c r="N21" s="377" t="n">
        <v>3.28187414794912</v>
      </c>
      <c r="O21" s="377" t="n">
        <v>1.30956756990933</v>
      </c>
      <c r="P21" s="377" t="n">
        <v>12.7067190197553</v>
      </c>
      <c r="Q21" s="377" t="n">
        <v>17.2274847496986</v>
      </c>
      <c r="R21" s="377" t="n">
        <v>3.57859945318175</v>
      </c>
      <c r="S21" s="377" t="n">
        <v>49.6768169607102</v>
      </c>
      <c r="T21" s="513" t="n">
        <v>0.165162670281645</v>
      </c>
      <c r="U21" s="513" t="n">
        <v>0.0134891699244795</v>
      </c>
      <c r="V21" s="513" t="n">
        <v>0.0098915425769399</v>
      </c>
      <c r="W21" s="513" t="n">
        <v>0.656601532828821</v>
      </c>
      <c r="X21" s="513" t="n">
        <v>0.138149205726918</v>
      </c>
      <c r="Y21" s="513" t="n">
        <v>0.521947353854746</v>
      </c>
      <c r="Z21" s="513" t="n">
        <v>0.521947353854746</v>
      </c>
      <c r="AA21" s="514" t="n">
        <v>0.0740675761237682</v>
      </c>
    </row>
    <row r="22" s="525" customFormat="true" ht="12.75" hidden="false" customHeight="false" outlineLevel="0" collapsed="false">
      <c r="A22" s="512" t="s">
        <v>814</v>
      </c>
      <c r="B22" s="75" t="n">
        <v>333</v>
      </c>
      <c r="C22" s="513" t="n">
        <v>0.04330488</v>
      </c>
      <c r="D22" s="513" t="n">
        <v>0.13717096964949</v>
      </c>
      <c r="E22" s="513" t="n">
        <v>0.207203169429536</v>
      </c>
      <c r="F22" s="513" t="n">
        <v>0.187041792531618</v>
      </c>
      <c r="G22" s="377" t="n">
        <v>1.22000414114762</v>
      </c>
      <c r="H22" s="377" t="n">
        <v>1.26200519376964</v>
      </c>
      <c r="I22" s="513" t="n">
        <v>0.139508014462817</v>
      </c>
      <c r="J22" s="513" t="n">
        <v>0.329244693277334</v>
      </c>
      <c r="K22" s="513" t="n">
        <v>0.0695</v>
      </c>
      <c r="L22" s="513" t="n">
        <v>0.105922132128553</v>
      </c>
      <c r="M22" s="513" t="n">
        <v>0.130276512500099</v>
      </c>
      <c r="N22" s="377" t="n">
        <v>1.73565038683902</v>
      </c>
      <c r="O22" s="377" t="n">
        <v>2.00561377690584</v>
      </c>
      <c r="P22" s="377" t="n">
        <v>11.1994480150996</v>
      </c>
      <c r="Q22" s="377" t="n">
        <v>14.5098357074767</v>
      </c>
      <c r="R22" s="377" t="n">
        <v>5.20218220395723</v>
      </c>
      <c r="S22" s="377" t="n">
        <v>34.1591407960023</v>
      </c>
      <c r="T22" s="513" t="n">
        <v>0.0321554843566104</v>
      </c>
      <c r="U22" s="513" t="n">
        <v>0.0439976289679669</v>
      </c>
      <c r="V22" s="513" t="n">
        <v>0.0320273345419023</v>
      </c>
      <c r="W22" s="513" t="n">
        <v>0.484204795780772</v>
      </c>
      <c r="X22" s="513" t="n">
        <v>0.279403766743809</v>
      </c>
      <c r="Y22" s="513" t="n">
        <v>0.226506779909764</v>
      </c>
      <c r="Z22" s="513" t="n">
        <v>0.226506779909764</v>
      </c>
      <c r="AA22" s="514" t="n">
        <v>0.138690193216665</v>
      </c>
    </row>
    <row r="23" s="525" customFormat="true" ht="12.75" hidden="false" customHeight="false" outlineLevel="0" collapsed="false">
      <c r="A23" s="512" t="s">
        <v>815</v>
      </c>
      <c r="B23" s="75" t="n">
        <v>790</v>
      </c>
      <c r="C23" s="513" t="n">
        <v>0.0898883416252072</v>
      </c>
      <c r="D23" s="513" t="n">
        <v>0.0792381372224037</v>
      </c>
      <c r="E23" s="513" t="n">
        <v>0.0714577404818125</v>
      </c>
      <c r="F23" s="513" t="n">
        <v>0.220866365699105</v>
      </c>
      <c r="G23" s="377" t="n">
        <v>0.937273996308885</v>
      </c>
      <c r="H23" s="377" t="n">
        <v>1.11685795507728</v>
      </c>
      <c r="I23" s="513" t="n">
        <v>0.127925264815167</v>
      </c>
      <c r="J23" s="513" t="n">
        <v>0.301505119582754</v>
      </c>
      <c r="K23" s="513" t="n">
        <v>0.0695</v>
      </c>
      <c r="L23" s="513" t="n">
        <v>0.311332325185665</v>
      </c>
      <c r="M23" s="513" t="n">
        <v>0.104397596189353</v>
      </c>
      <c r="N23" s="377" t="n">
        <v>1.06716272205561</v>
      </c>
      <c r="O23" s="377" t="n">
        <v>1.35871546928752</v>
      </c>
      <c r="P23" s="377" t="n">
        <v>10.0096062949531</v>
      </c>
      <c r="Q23" s="377" t="n">
        <v>16.0669714575069</v>
      </c>
      <c r="R23" s="377" t="n">
        <v>1.41693314255441</v>
      </c>
      <c r="S23" s="377" t="n">
        <v>42.4990086724883</v>
      </c>
      <c r="T23" s="513" t="n">
        <v>0.18043639079001</v>
      </c>
      <c r="U23" s="513" t="n">
        <v>0.058090137590028</v>
      </c>
      <c r="V23" s="513" t="n">
        <v>0.038623609957873</v>
      </c>
      <c r="W23" s="513" t="n">
        <v>1.07537117280258</v>
      </c>
      <c r="X23" s="513" t="n">
        <v>0.0809224602724597</v>
      </c>
      <c r="Y23" s="513" t="n">
        <v>0.514460263503727</v>
      </c>
      <c r="Z23" s="513" t="n">
        <v>0.514460263503727</v>
      </c>
      <c r="AA23" s="514" t="n">
        <v>0.0787280139839568</v>
      </c>
    </row>
    <row r="24" s="525" customFormat="true" ht="12.75" hidden="false" customHeight="false" outlineLevel="0" collapsed="false">
      <c r="A24" s="512" t="s">
        <v>816</v>
      </c>
      <c r="B24" s="75" t="n">
        <v>314</v>
      </c>
      <c r="C24" s="513" t="n">
        <v>0.0981704081632652</v>
      </c>
      <c r="D24" s="513" t="n">
        <v>0.0934039612150255</v>
      </c>
      <c r="E24" s="513" t="n">
        <v>0.0629528070306068</v>
      </c>
      <c r="F24" s="513" t="n">
        <v>0.171519335223916</v>
      </c>
      <c r="G24" s="377" t="n">
        <v>0.734708745068731</v>
      </c>
      <c r="H24" s="377" t="n">
        <v>0.963925254621319</v>
      </c>
      <c r="I24" s="513" t="n">
        <v>0.115721235318781</v>
      </c>
      <c r="J24" s="513" t="n">
        <v>0.273493733715082</v>
      </c>
      <c r="K24" s="513" t="n">
        <v>0.0695</v>
      </c>
      <c r="L24" s="513" t="n">
        <v>0.3585819888834</v>
      </c>
      <c r="M24" s="513" t="n">
        <v>0.0929990115518264</v>
      </c>
      <c r="N24" s="377" t="n">
        <v>0.784064146431855</v>
      </c>
      <c r="O24" s="377" t="n">
        <v>1.88295300975001</v>
      </c>
      <c r="P24" s="377" t="n">
        <v>13.1556868024823</v>
      </c>
      <c r="Q24" s="377" t="n">
        <v>19.3303388279827</v>
      </c>
      <c r="R24" s="377" t="n">
        <v>1.21350554538415</v>
      </c>
      <c r="S24" s="377" t="n">
        <v>19.4268430952168</v>
      </c>
      <c r="T24" s="513" t="n">
        <v>-0.116509450360475</v>
      </c>
      <c r="U24" s="513" t="n">
        <v>0.0424630438669799</v>
      </c>
      <c r="V24" s="513" t="n">
        <v>0.00763123293613088</v>
      </c>
      <c r="W24" s="513" t="n">
        <v>0.495800748193893</v>
      </c>
      <c r="X24" s="513" t="n">
        <v>0.0581128531367375</v>
      </c>
      <c r="Y24" s="513" t="n">
        <v>0.398401401664198</v>
      </c>
      <c r="Z24" s="513" t="n">
        <v>0.398401401664198</v>
      </c>
      <c r="AA24" s="514" t="n">
        <v>0.0928644843793834</v>
      </c>
    </row>
    <row r="25" s="525" customFormat="true" ht="12.75" hidden="false" customHeight="false" outlineLevel="0" collapsed="false">
      <c r="A25" s="512" t="s">
        <v>817</v>
      </c>
      <c r="B25" s="75" t="n">
        <v>1267</v>
      </c>
      <c r="C25" s="513" t="n">
        <v>0.260303720430107</v>
      </c>
      <c r="D25" s="513" t="n">
        <v>0.08228334754243</v>
      </c>
      <c r="E25" s="513" t="n">
        <v>0.0465269133929214</v>
      </c>
      <c r="F25" s="513" t="n">
        <v>0.147958735649223</v>
      </c>
      <c r="G25" s="377" t="n">
        <v>1.25265328458906</v>
      </c>
      <c r="H25" s="377" t="n">
        <v>1.26826761306415</v>
      </c>
      <c r="I25" s="513" t="n">
        <v>0.140007755522519</v>
      </c>
      <c r="J25" s="513" t="n">
        <v>0.516941946408824</v>
      </c>
      <c r="K25" s="513" t="n">
        <v>0.0733</v>
      </c>
      <c r="L25" s="513" t="n">
        <v>0.113957245433861</v>
      </c>
      <c r="M25" s="513" t="n">
        <v>0.13034522204962</v>
      </c>
      <c r="N25" s="377" t="n">
        <v>0.459832616469003</v>
      </c>
      <c r="O25" s="377" t="n">
        <v>6.558814650895</v>
      </c>
      <c r="P25" s="377" t="n">
        <v>12.9663651728648</v>
      </c>
      <c r="Q25" s="377" t="n">
        <v>61.8642043474145</v>
      </c>
      <c r="R25" s="377" t="n">
        <v>5.07692146306311</v>
      </c>
      <c r="S25" s="377" t="n">
        <v>126.610973458291</v>
      </c>
      <c r="T25" s="513" t="n">
        <v>0.184767560014763</v>
      </c>
      <c r="U25" s="513" t="n">
        <v>0.055489500531843</v>
      </c>
      <c r="V25" s="513" t="n">
        <v>0.0289515105227023</v>
      </c>
      <c r="W25" s="513" t="n">
        <v>1.88065594902148</v>
      </c>
      <c r="X25" s="513" t="n">
        <v>-0.0106370655409672</v>
      </c>
      <c r="Y25" s="513" t="n">
        <v>0.00223181457874778</v>
      </c>
      <c r="Z25" s="513" t="n">
        <v>0.00223181457874777</v>
      </c>
      <c r="AA25" s="514" t="n">
        <v>0.103187109964156</v>
      </c>
    </row>
    <row r="26" s="525" customFormat="true" ht="12.75" hidden="false" customHeight="false" outlineLevel="0" collapsed="false">
      <c r="A26" s="512" t="s">
        <v>818</v>
      </c>
      <c r="B26" s="75" t="n">
        <v>1352</v>
      </c>
      <c r="C26" s="513" t="n">
        <v>0.171391704697987</v>
      </c>
      <c r="D26" s="513" t="n">
        <v>0.214972485847638</v>
      </c>
      <c r="E26" s="513" t="n">
        <v>0.139571282862205</v>
      </c>
      <c r="F26" s="513" t="n">
        <v>0.140630755848785</v>
      </c>
      <c r="G26" s="377" t="n">
        <v>0.995463542798184</v>
      </c>
      <c r="H26" s="377" t="n">
        <v>1.06358695332436</v>
      </c>
      <c r="I26" s="513" t="n">
        <v>0.123674238875284</v>
      </c>
      <c r="J26" s="513" t="n">
        <v>0.442817207989266</v>
      </c>
      <c r="K26" s="513" t="n">
        <v>0.0695</v>
      </c>
      <c r="L26" s="513" t="n">
        <v>0.131529164901309</v>
      </c>
      <c r="M26" s="513" t="n">
        <v>0.114293593450664</v>
      </c>
      <c r="N26" s="377" t="n">
        <v>0.714877672831956</v>
      </c>
      <c r="O26" s="377" t="n">
        <v>3.980270925448</v>
      </c>
      <c r="P26" s="377" t="n">
        <v>12.690853000619</v>
      </c>
      <c r="Q26" s="377" t="n">
        <v>17.5405634939128</v>
      </c>
      <c r="R26" s="377" t="n">
        <v>3.8038786986768</v>
      </c>
      <c r="S26" s="377" t="n">
        <v>128.876886287346</v>
      </c>
      <c r="T26" s="513" t="n">
        <v>0.148973383386008</v>
      </c>
      <c r="U26" s="513" t="n">
        <v>0.0466160680185402</v>
      </c>
      <c r="V26" s="513" t="n">
        <v>0.0201180632319317</v>
      </c>
      <c r="W26" s="513" t="n">
        <v>0.221188006071533</v>
      </c>
      <c r="X26" s="513" t="n">
        <v>0.161223843699387</v>
      </c>
      <c r="Y26" s="513" t="n">
        <v>0.504058395411396</v>
      </c>
      <c r="Z26" s="513" t="n">
        <v>0.504058395411396</v>
      </c>
      <c r="AA26" s="514" t="n">
        <v>0.216933808468957</v>
      </c>
    </row>
    <row r="27" s="525" customFormat="true" ht="12.75" hidden="false" customHeight="false" outlineLevel="0" collapsed="false">
      <c r="A27" s="512" t="s">
        <v>819</v>
      </c>
      <c r="B27" s="75" t="n">
        <v>251</v>
      </c>
      <c r="C27" s="513" t="n">
        <v>0.0724626666666667</v>
      </c>
      <c r="D27" s="513" t="n">
        <v>0.0852324095366155</v>
      </c>
      <c r="E27" s="513" t="n">
        <v>0.0626031915204139</v>
      </c>
      <c r="F27" s="513" t="n">
        <v>0.202424984890649</v>
      </c>
      <c r="G27" s="377" t="n">
        <v>0.791721709975922</v>
      </c>
      <c r="H27" s="377" t="n">
        <v>0.878767258823877</v>
      </c>
      <c r="I27" s="513" t="n">
        <v>0.108925627254145</v>
      </c>
      <c r="J27" s="513" t="n">
        <v>0.341175551500219</v>
      </c>
      <c r="K27" s="513" t="n">
        <v>0.0695</v>
      </c>
      <c r="L27" s="513" t="n">
        <v>0.24741750017757</v>
      </c>
      <c r="M27" s="513" t="n">
        <v>0.0949289032540725</v>
      </c>
      <c r="N27" s="377" t="n">
        <v>0.851414974109357</v>
      </c>
      <c r="O27" s="377" t="n">
        <v>2.36961469462446</v>
      </c>
      <c r="P27" s="377" t="n">
        <v>10.0014645165457</v>
      </c>
      <c r="Q27" s="377" t="n">
        <v>21.7991308931074</v>
      </c>
      <c r="R27" s="377" t="n">
        <v>1.85553442914771</v>
      </c>
      <c r="S27" s="377" t="n">
        <v>179.053576820424</v>
      </c>
      <c r="T27" s="513" t="n">
        <v>0.00738286799588681</v>
      </c>
      <c r="U27" s="513" t="n">
        <v>0.0727123021692987</v>
      </c>
      <c r="V27" s="513" t="n">
        <v>0.0940700869775425</v>
      </c>
      <c r="W27" s="513" t="n">
        <v>1.94753499052133</v>
      </c>
      <c r="X27" s="513" t="n">
        <v>0.0367977666114509</v>
      </c>
      <c r="Y27" s="513" t="n">
        <v>0.718262454820734</v>
      </c>
      <c r="Z27" s="513" t="n">
        <v>0.718262454820734</v>
      </c>
      <c r="AA27" s="514" t="n">
        <v>0.0848080263831203</v>
      </c>
    </row>
    <row r="28" s="525" customFormat="true" ht="12.75" hidden="false" customHeight="false" outlineLevel="0" collapsed="false">
      <c r="A28" s="512" t="s">
        <v>820</v>
      </c>
      <c r="B28" s="75" t="n">
        <v>1045</v>
      </c>
      <c r="C28" s="513" t="n">
        <v>0.121768794835007</v>
      </c>
      <c r="D28" s="513" t="n">
        <v>0.0665819155860674</v>
      </c>
      <c r="E28" s="513" t="n">
        <v>0.0960696288310038</v>
      </c>
      <c r="F28" s="513" t="n">
        <v>0.181138022713572</v>
      </c>
      <c r="G28" s="377" t="n">
        <v>1.10232368994952</v>
      </c>
      <c r="H28" s="377" t="n">
        <v>1.13601868515378</v>
      </c>
      <c r="I28" s="513" t="n">
        <v>0.129454291075272</v>
      </c>
      <c r="J28" s="513" t="n">
        <v>0.372451081029665</v>
      </c>
      <c r="K28" s="513" t="n">
        <v>0.0695</v>
      </c>
      <c r="L28" s="513" t="n">
        <v>0.143017415081972</v>
      </c>
      <c r="M28" s="513" t="n">
        <v>0.118427656799714</v>
      </c>
      <c r="N28" s="377" t="n">
        <v>1.58796251490164</v>
      </c>
      <c r="O28" s="377" t="n">
        <v>2.0277017833187</v>
      </c>
      <c r="P28" s="377" t="n">
        <v>16.767282753897</v>
      </c>
      <c r="Q28" s="377" t="n">
        <v>27.6750723477864</v>
      </c>
      <c r="R28" s="377" t="n">
        <v>2.83390955849777</v>
      </c>
      <c r="S28" s="377" t="n">
        <v>40.8498480606681</v>
      </c>
      <c r="T28" s="513" t="n">
        <v>0.224527632375829</v>
      </c>
      <c r="U28" s="513" t="n">
        <v>0.0678170335333348</v>
      </c>
      <c r="V28" s="513" t="n">
        <v>0.0650120006630983</v>
      </c>
      <c r="W28" s="513" t="n">
        <v>2.05502139418057</v>
      </c>
      <c r="X28" s="513" t="n">
        <v>0.0900677551681441</v>
      </c>
      <c r="Y28" s="513" t="n">
        <v>0.443541438302193</v>
      </c>
      <c r="Z28" s="513" t="n">
        <v>0.443541438302193</v>
      </c>
      <c r="AA28" s="514" t="n">
        <v>0.0683548257969849</v>
      </c>
    </row>
    <row r="29" s="525" customFormat="true" ht="12.75" hidden="false" customHeight="false" outlineLevel="0" collapsed="false">
      <c r="A29" s="512" t="s">
        <v>821</v>
      </c>
      <c r="B29" s="75" t="n">
        <v>134</v>
      </c>
      <c r="C29" s="513" t="n">
        <v>0.0287333333333333</v>
      </c>
      <c r="D29" s="513" t="n">
        <v>0.0518567530909237</v>
      </c>
      <c r="E29" s="513" t="n">
        <v>0.0601972192903228</v>
      </c>
      <c r="F29" s="513" t="n">
        <v>0.219756195936228</v>
      </c>
      <c r="G29" s="377" t="n">
        <v>1.09550882124861</v>
      </c>
      <c r="H29" s="377" t="n">
        <v>1.27251600605979</v>
      </c>
      <c r="I29" s="513" t="n">
        <v>0.140346777283572</v>
      </c>
      <c r="J29" s="513" t="n">
        <v>0.346325311205769</v>
      </c>
      <c r="K29" s="513" t="n">
        <v>0.0695</v>
      </c>
      <c r="L29" s="513" t="n">
        <v>0.307150947099464</v>
      </c>
      <c r="M29" s="513" t="n">
        <v>0.113319819905842</v>
      </c>
      <c r="N29" s="377" t="n">
        <v>1.28863455451069</v>
      </c>
      <c r="O29" s="377" t="n">
        <v>0.803683224437787</v>
      </c>
      <c r="P29" s="377" t="n">
        <v>7.49797834702939</v>
      </c>
      <c r="Q29" s="377" t="n">
        <v>14.970393372901</v>
      </c>
      <c r="R29" s="377" t="n">
        <v>1.29831087818833</v>
      </c>
      <c r="S29" s="377" t="n">
        <v>52.425310221177</v>
      </c>
      <c r="T29" s="513" t="n">
        <v>0.0553773318145157</v>
      </c>
      <c r="U29" s="513" t="n">
        <v>0.0511236327188187</v>
      </c>
      <c r="V29" s="513" t="n">
        <v>0.0357869193534481</v>
      </c>
      <c r="W29" s="513" t="n">
        <v>1.65727313808344</v>
      </c>
      <c r="X29" s="513" t="n">
        <v>0.0785091040481753</v>
      </c>
      <c r="Y29" s="513" t="n">
        <v>0.303106929929609</v>
      </c>
      <c r="Z29" s="513" t="n">
        <v>0.303106929929609</v>
      </c>
      <c r="AA29" s="514" t="n">
        <v>0.0532369146249134</v>
      </c>
    </row>
    <row r="30" s="525" customFormat="true" ht="12.75" hidden="false" customHeight="false" outlineLevel="0" collapsed="false">
      <c r="A30" s="512" t="s">
        <v>822</v>
      </c>
      <c r="B30" s="75" t="n">
        <v>1457</v>
      </c>
      <c r="C30" s="513" t="n">
        <v>0.0744076716141002</v>
      </c>
      <c r="D30" s="513" t="n">
        <v>0.0697190397043466</v>
      </c>
      <c r="E30" s="513" t="n">
        <v>0.0872069341871789</v>
      </c>
      <c r="F30" s="513" t="n">
        <v>0.191100848257972</v>
      </c>
      <c r="G30" s="377" t="n">
        <v>1.29051241513413</v>
      </c>
      <c r="H30" s="377" t="n">
        <v>1.29552381621091</v>
      </c>
      <c r="I30" s="513" t="n">
        <v>0.14218280053363</v>
      </c>
      <c r="J30" s="513" t="n">
        <v>0.331762659913691</v>
      </c>
      <c r="K30" s="513" t="n">
        <v>0.0695</v>
      </c>
      <c r="L30" s="513" t="n">
        <v>0.163421247003382</v>
      </c>
      <c r="M30" s="513" t="n">
        <v>0.127502923131043</v>
      </c>
      <c r="N30" s="377" t="n">
        <v>1.43843159856143</v>
      </c>
      <c r="O30" s="377" t="n">
        <v>1.3776033874897</v>
      </c>
      <c r="P30" s="377" t="n">
        <v>11.2739657378039</v>
      </c>
      <c r="Q30" s="377" t="n">
        <v>18.8704019969106</v>
      </c>
      <c r="R30" s="377" t="n">
        <v>2.12506705361088</v>
      </c>
      <c r="S30" s="377" t="n">
        <v>84.5280111712047</v>
      </c>
      <c r="T30" s="513" t="n">
        <v>0.2007449918521</v>
      </c>
      <c r="U30" s="513" t="n">
        <v>0.0617566622633361</v>
      </c>
      <c r="V30" s="513" t="n">
        <v>0.0496516040521283</v>
      </c>
      <c r="W30" s="513" t="n">
        <v>1.61155397856482</v>
      </c>
      <c r="X30" s="513" t="n">
        <v>0.0956235180178353</v>
      </c>
      <c r="Y30" s="513" t="n">
        <v>0.393134395466554</v>
      </c>
      <c r="Z30" s="513" t="n">
        <v>0.393134395466554</v>
      </c>
      <c r="AA30" s="514" t="n">
        <v>0.0693254658143617</v>
      </c>
    </row>
    <row r="31" s="525" customFormat="true" ht="12.75" hidden="false" customHeight="false" outlineLevel="0" collapsed="false">
      <c r="A31" s="512" t="s">
        <v>823</v>
      </c>
      <c r="B31" s="75" t="n">
        <v>1269</v>
      </c>
      <c r="C31" s="513" t="n">
        <v>0.0788943705463184</v>
      </c>
      <c r="D31" s="513" t="n">
        <v>0.0482719503946705</v>
      </c>
      <c r="E31" s="513" t="n">
        <v>0.0730146657769934</v>
      </c>
      <c r="F31" s="513" t="n">
        <v>0.224693023501524</v>
      </c>
      <c r="G31" s="377" t="n">
        <v>0.730137452065402</v>
      </c>
      <c r="H31" s="377" t="n">
        <v>1.02956671648464</v>
      </c>
      <c r="I31" s="513" t="n">
        <v>0.120959423975474</v>
      </c>
      <c r="J31" s="513" t="n">
        <v>0.322793859862633</v>
      </c>
      <c r="K31" s="513" t="n">
        <v>0.0695</v>
      </c>
      <c r="L31" s="513" t="n">
        <v>0.510384704275631</v>
      </c>
      <c r="M31" s="513" t="n">
        <v>0.0859444435826939</v>
      </c>
      <c r="N31" s="377" t="n">
        <v>1.79804462996537</v>
      </c>
      <c r="O31" s="377" t="n">
        <v>0.597162465135108</v>
      </c>
      <c r="P31" s="377" t="n">
        <v>8.56022187766398</v>
      </c>
      <c r="Q31" s="377" t="n">
        <v>11.8418334189487</v>
      </c>
      <c r="R31" s="377" t="n">
        <v>0.924384886491546</v>
      </c>
      <c r="S31" s="377" t="n">
        <v>30.7998507381949</v>
      </c>
      <c r="T31" s="513" t="n">
        <v>0.159566637751023</v>
      </c>
      <c r="U31" s="513" t="n">
        <v>0.0319135527475351</v>
      </c>
      <c r="V31" s="513" t="n">
        <v>0.0256506458498417</v>
      </c>
      <c r="W31" s="513" t="n">
        <v>1.73307071342715</v>
      </c>
      <c r="X31" s="513" t="n">
        <v>0.0914491907672821</v>
      </c>
      <c r="Y31" s="513" t="n">
        <v>0.59131516172456</v>
      </c>
      <c r="Z31" s="513" t="n">
        <v>0.59131516172456</v>
      </c>
      <c r="AA31" s="514" t="n">
        <v>0.0483068099791868</v>
      </c>
    </row>
    <row r="32" s="525" customFormat="true" ht="12.75" hidden="false" customHeight="false" outlineLevel="0" collapsed="false">
      <c r="A32" s="512" t="s">
        <v>824</v>
      </c>
      <c r="B32" s="75" t="n">
        <v>752</v>
      </c>
      <c r="C32" s="513" t="n">
        <v>0.10592681498829</v>
      </c>
      <c r="D32" s="513" t="n">
        <v>0.0798703496818433</v>
      </c>
      <c r="E32" s="513" t="n">
        <v>0.096512626423388</v>
      </c>
      <c r="F32" s="513" t="n">
        <v>0.228793505699901</v>
      </c>
      <c r="G32" s="377" t="n">
        <v>1.10164008102575</v>
      </c>
      <c r="H32" s="377" t="n">
        <v>1.20134867875532</v>
      </c>
      <c r="I32" s="513" t="n">
        <v>0.134667624564675</v>
      </c>
      <c r="J32" s="513" t="n">
        <v>0.42673745588287</v>
      </c>
      <c r="K32" s="513" t="n">
        <v>0.0695</v>
      </c>
      <c r="L32" s="513" t="n">
        <v>0.208842768131703</v>
      </c>
      <c r="M32" s="513" t="n">
        <v>0.117477092450603</v>
      </c>
      <c r="N32" s="377" t="n">
        <v>1.2759768911989</v>
      </c>
      <c r="O32" s="377" t="n">
        <v>2.89904436341939</v>
      </c>
      <c r="P32" s="377" t="n">
        <v>16.7342552017777</v>
      </c>
      <c r="Q32" s="377" t="n">
        <v>33.7532894887272</v>
      </c>
      <c r="R32" s="377" t="n">
        <v>2.2420184466493</v>
      </c>
      <c r="S32" s="377" t="n">
        <v>214.52307445927</v>
      </c>
      <c r="T32" s="513" t="n">
        <v>0.0412361873250677</v>
      </c>
      <c r="U32" s="513" t="n">
        <v>0.0377693435936737</v>
      </c>
      <c r="V32" s="513" t="n">
        <v>0.0187537762795063</v>
      </c>
      <c r="W32" s="513" t="n">
        <v>0.507224938155434</v>
      </c>
      <c r="X32" s="513" t="n">
        <v>0.0533438129889931</v>
      </c>
      <c r="Y32" s="513" t="n">
        <v>0.369132574220996</v>
      </c>
      <c r="Z32" s="513" t="n">
        <v>0.369132574220996</v>
      </c>
      <c r="AA32" s="514" t="n">
        <v>0.082532590737817</v>
      </c>
    </row>
    <row r="33" s="525" customFormat="true" ht="12.75" hidden="false" customHeight="false" outlineLevel="0" collapsed="false">
      <c r="A33" s="512" t="s">
        <v>825</v>
      </c>
      <c r="B33" s="75" t="n">
        <v>370</v>
      </c>
      <c r="C33" s="513" t="n">
        <v>0.0837619523809524</v>
      </c>
      <c r="D33" s="513" t="n">
        <v>0.106797716853523</v>
      </c>
      <c r="E33" s="513" t="n">
        <v>0.106180911233114</v>
      </c>
      <c r="F33" s="513" t="n">
        <v>0.218534161701805</v>
      </c>
      <c r="G33" s="377" t="n">
        <v>0.89640526150774</v>
      </c>
      <c r="H33" s="377" t="n">
        <v>1.08808672882761</v>
      </c>
      <c r="I33" s="513" t="n">
        <v>0.125629320960443</v>
      </c>
      <c r="J33" s="513" t="n">
        <v>0.382367076683313</v>
      </c>
      <c r="K33" s="513" t="n">
        <v>0.0695</v>
      </c>
      <c r="L33" s="513" t="n">
        <v>0.272260726261108</v>
      </c>
      <c r="M33" s="513" t="n">
        <v>0.105679424149992</v>
      </c>
      <c r="N33" s="377" t="n">
        <v>1.13020690987772</v>
      </c>
      <c r="O33" s="377" t="n">
        <v>2.63985091156403</v>
      </c>
      <c r="P33" s="377" t="n">
        <v>13.4524431169271</v>
      </c>
      <c r="Q33" s="377" t="n">
        <v>23.2348784088586</v>
      </c>
      <c r="R33" s="377" t="n">
        <v>2.84283852653153</v>
      </c>
      <c r="S33" s="377" t="n">
        <v>42.6249971803501</v>
      </c>
      <c r="T33" s="513" t="n">
        <v>0.132767988392539</v>
      </c>
      <c r="U33" s="513" t="n">
        <v>0.0845620681906364</v>
      </c>
      <c r="V33" s="513" t="n">
        <v>0.0877448543218802</v>
      </c>
      <c r="W33" s="513" t="n">
        <v>1.65149794213215</v>
      </c>
      <c r="X33" s="513" t="n">
        <v>0.0913717250371555</v>
      </c>
      <c r="Y33" s="513" t="n">
        <v>0.558493044475298</v>
      </c>
      <c r="Z33" s="513" t="n">
        <v>0.558493044475298</v>
      </c>
      <c r="AA33" s="514" t="n">
        <v>0.107626910356775</v>
      </c>
    </row>
    <row r="34" s="525" customFormat="true" ht="12.75" hidden="false" customHeight="false" outlineLevel="0" collapsed="false">
      <c r="A34" s="512" t="s">
        <v>826</v>
      </c>
      <c r="B34" s="75" t="n">
        <v>426</v>
      </c>
      <c r="C34" s="513" t="n">
        <v>0.127355960264901</v>
      </c>
      <c r="D34" s="513" t="n">
        <v>0.0742767282907656</v>
      </c>
      <c r="E34" s="513" t="n">
        <v>0.102765358559052</v>
      </c>
      <c r="F34" s="513" t="n">
        <v>0.206307780979626</v>
      </c>
      <c r="G34" s="377" t="n">
        <v>0.659688782675045</v>
      </c>
      <c r="H34" s="377" t="n">
        <v>0.841916895186642</v>
      </c>
      <c r="I34" s="513" t="n">
        <v>0.105984968235894</v>
      </c>
      <c r="J34" s="513" t="n">
        <v>0.341586217183582</v>
      </c>
      <c r="K34" s="513" t="n">
        <v>0.0695</v>
      </c>
      <c r="L34" s="513" t="n">
        <v>0.317148253673804</v>
      </c>
      <c r="M34" s="513" t="n">
        <v>0.0889761113189338</v>
      </c>
      <c r="N34" s="377" t="n">
        <v>1.56649884917967</v>
      </c>
      <c r="O34" s="377" t="n">
        <v>1.13633265681434</v>
      </c>
      <c r="P34" s="377" t="n">
        <v>10.5318834430492</v>
      </c>
      <c r="Q34" s="377" t="n">
        <v>14.629414005607</v>
      </c>
      <c r="R34" s="377" t="n">
        <v>2.15044933436574</v>
      </c>
      <c r="S34" s="377" t="n">
        <v>41.5374775086112</v>
      </c>
      <c r="T34" s="513" t="n">
        <v>0.163524300822629</v>
      </c>
      <c r="U34" s="513" t="n">
        <v>0.0425995193054173</v>
      </c>
      <c r="V34" s="513" t="n">
        <v>0.0345277294085955</v>
      </c>
      <c r="W34" s="513" t="n">
        <v>1.30445376847336</v>
      </c>
      <c r="X34" s="513" t="n">
        <v>0.143625500603212</v>
      </c>
      <c r="Y34" s="513" t="n">
        <v>0.320070155691733</v>
      </c>
      <c r="Z34" s="513" t="n">
        <v>0.320070155691733</v>
      </c>
      <c r="AA34" s="514" t="n">
        <v>0.0750839084739033</v>
      </c>
    </row>
    <row r="35" s="525" customFormat="true" ht="12.75" hidden="false" customHeight="false" outlineLevel="0" collapsed="false">
      <c r="A35" s="512" t="s">
        <v>827</v>
      </c>
      <c r="B35" s="75" t="n">
        <v>1089</v>
      </c>
      <c r="C35" s="513" t="n">
        <v>0.104697216066482</v>
      </c>
      <c r="D35" s="513" t="n">
        <v>0.106516538445599</v>
      </c>
      <c r="E35" s="513" t="n">
        <v>0.00593274527256377</v>
      </c>
      <c r="F35" s="513" t="n">
        <v>0.217003784928159</v>
      </c>
      <c r="G35" s="377" t="n">
        <v>0.155399012857156</v>
      </c>
      <c r="H35" s="377" t="n">
        <v>0.881793676429923</v>
      </c>
      <c r="I35" s="513" t="n">
        <v>0.109167135379108</v>
      </c>
      <c r="J35" s="513" t="n">
        <v>0.331236878492434</v>
      </c>
      <c r="K35" s="513" t="n">
        <v>0.0695</v>
      </c>
      <c r="L35" s="513" t="n">
        <v>0.871932637524256</v>
      </c>
      <c r="M35" s="513" t="n">
        <v>0.0596302135784029</v>
      </c>
      <c r="N35" s="377" t="n">
        <v>0.0647112382015542</v>
      </c>
      <c r="O35" s="377" t="n">
        <v>16.5350973338144</v>
      </c>
      <c r="P35" s="377" t="n">
        <v>63.3049703556233</v>
      </c>
      <c r="Q35" s="377" t="n">
        <v>74.3833147359049</v>
      </c>
      <c r="R35" s="377" t="n">
        <v>1.23800982142781</v>
      </c>
      <c r="S35" s="377" t="n">
        <v>153.156942902998</v>
      </c>
      <c r="T35" s="513" t="s">
        <v>800</v>
      </c>
      <c r="U35" s="513" t="n">
        <v>0.0445033886280754</v>
      </c>
      <c r="V35" s="513" t="n">
        <v>0.0418521327384184</v>
      </c>
      <c r="W35" s="513" t="n">
        <v>0.492788633364131</v>
      </c>
      <c r="X35" s="513" t="n">
        <v>0.142092853426152</v>
      </c>
      <c r="Y35" s="513" t="n">
        <v>0.228642980568193</v>
      </c>
      <c r="Z35" s="513" t="n">
        <v>0.228642980568193</v>
      </c>
      <c r="AA35" s="514" t="n">
        <v>0.108241505073024</v>
      </c>
    </row>
    <row r="36" s="525" customFormat="true" ht="12.75" hidden="false" customHeight="false" outlineLevel="0" collapsed="false">
      <c r="A36" s="512" t="s">
        <v>828</v>
      </c>
      <c r="B36" s="75" t="n">
        <v>1397</v>
      </c>
      <c r="C36" s="513" t="n">
        <v>0.0970760041194644</v>
      </c>
      <c r="D36" s="513" t="n">
        <v>0.0832139720006005</v>
      </c>
      <c r="E36" s="513" t="n">
        <v>0.117875767785343</v>
      </c>
      <c r="F36" s="513" t="n">
        <v>0.204888684266043</v>
      </c>
      <c r="G36" s="377" t="n">
        <v>0.691808046488053</v>
      </c>
      <c r="H36" s="377" t="n">
        <v>0.796038093446062</v>
      </c>
      <c r="I36" s="513" t="n">
        <v>0.102323839856996</v>
      </c>
      <c r="J36" s="513" t="n">
        <v>0.291708878911969</v>
      </c>
      <c r="K36" s="513" t="n">
        <v>0.0695</v>
      </c>
      <c r="L36" s="513" t="n">
        <v>0.22476528833524</v>
      </c>
      <c r="M36" s="513" t="n">
        <v>0.0910924330613232</v>
      </c>
      <c r="N36" s="377" t="n">
        <v>1.66602676822118</v>
      </c>
      <c r="O36" s="377" t="n">
        <v>1.55428048034575</v>
      </c>
      <c r="P36" s="377" t="n">
        <v>13.0428584773821</v>
      </c>
      <c r="Q36" s="377" t="n">
        <v>18.2880131002174</v>
      </c>
      <c r="R36" s="377" t="n">
        <v>2.49906678387554</v>
      </c>
      <c r="S36" s="377" t="n">
        <v>45.0719766739027</v>
      </c>
      <c r="T36" s="513" t="n">
        <v>0.108116312572262</v>
      </c>
      <c r="U36" s="513" t="n">
        <v>0.0451222973932279</v>
      </c>
      <c r="V36" s="513" t="n">
        <v>0.0332950727641846</v>
      </c>
      <c r="W36" s="513" t="n">
        <v>0.79410782944646</v>
      </c>
      <c r="X36" s="513" t="n">
        <v>0.116364523003262</v>
      </c>
      <c r="Y36" s="513" t="n">
        <v>0.515597014982123</v>
      </c>
      <c r="Z36" s="513" t="n">
        <v>0.515597014982123</v>
      </c>
      <c r="AA36" s="514" t="n">
        <v>0.083445314652688</v>
      </c>
    </row>
    <row r="37" s="525" customFormat="true" ht="12.75" hidden="false" customHeight="false" outlineLevel="0" collapsed="false">
      <c r="A37" s="512" t="s">
        <v>829</v>
      </c>
      <c r="B37" s="75" t="n">
        <v>169</v>
      </c>
      <c r="C37" s="513" t="n">
        <v>0.0628754545454546</v>
      </c>
      <c r="D37" s="513" t="n">
        <v>0.0257943626460473</v>
      </c>
      <c r="E37" s="513" t="n">
        <v>0.114889383433533</v>
      </c>
      <c r="F37" s="513" t="n">
        <v>0.232042631642904</v>
      </c>
      <c r="G37" s="377" t="n">
        <v>0.484706141048655</v>
      </c>
      <c r="H37" s="377" t="n">
        <v>0.688397479569661</v>
      </c>
      <c r="I37" s="513" t="n">
        <v>0.093734118869659</v>
      </c>
      <c r="J37" s="513" t="n">
        <v>0.314581866092004</v>
      </c>
      <c r="K37" s="513" t="n">
        <v>0.0695</v>
      </c>
      <c r="L37" s="513" t="n">
        <v>0.404672755467993</v>
      </c>
      <c r="M37" s="513" t="n">
        <v>0.0769888537805454</v>
      </c>
      <c r="N37" s="377" t="n">
        <v>5.36958620567349</v>
      </c>
      <c r="O37" s="377" t="n">
        <v>0.443902872602279</v>
      </c>
      <c r="P37" s="377" t="n">
        <v>10.9332647476225</v>
      </c>
      <c r="Q37" s="377" t="n">
        <v>17.0765731382494</v>
      </c>
      <c r="R37" s="377" t="n">
        <v>2.16160533179771</v>
      </c>
      <c r="S37" s="377" t="n">
        <v>45.4792208350559</v>
      </c>
      <c r="T37" s="513" t="n">
        <v>0.0577250766853442</v>
      </c>
      <c r="U37" s="513" t="n">
        <v>0.0118968483715635</v>
      </c>
      <c r="V37" s="513" t="n">
        <v>0.00575446236376673</v>
      </c>
      <c r="W37" s="513" t="n">
        <v>0.850725347024667</v>
      </c>
      <c r="X37" s="513" t="n">
        <v>0.131337595015618</v>
      </c>
      <c r="Y37" s="513" t="n">
        <v>0.410046729151867</v>
      </c>
      <c r="Z37" s="513" t="n">
        <v>0.410046729151867</v>
      </c>
      <c r="AA37" s="514" t="n">
        <v>0.0256864240383962</v>
      </c>
    </row>
    <row r="38" s="525" customFormat="true" ht="12.75" hidden="false" customHeight="false" outlineLevel="0" collapsed="false">
      <c r="A38" s="512" t="s">
        <v>830</v>
      </c>
      <c r="B38" s="75" t="n">
        <v>362</v>
      </c>
      <c r="C38" s="513" t="n">
        <v>0.0903441832669323</v>
      </c>
      <c r="D38" s="513" t="n">
        <v>0.0758748811865404</v>
      </c>
      <c r="E38" s="513" t="n">
        <v>0.146412794718654</v>
      </c>
      <c r="F38" s="513" t="n">
        <v>0.194164817580701</v>
      </c>
      <c r="G38" s="377" t="n">
        <v>1.08842314911243</v>
      </c>
      <c r="H38" s="377" t="n">
        <v>1.08210540844076</v>
      </c>
      <c r="I38" s="513" t="n">
        <v>0.125152011593573</v>
      </c>
      <c r="J38" s="513" t="n">
        <v>0.301259282002668</v>
      </c>
      <c r="K38" s="513" t="n">
        <v>0.0695</v>
      </c>
      <c r="L38" s="513" t="n">
        <v>0.204298408723445</v>
      </c>
      <c r="M38" s="513" t="n">
        <v>0.110279565171218</v>
      </c>
      <c r="N38" s="377" t="n">
        <v>2.28181307551373</v>
      </c>
      <c r="O38" s="377" t="n">
        <v>1.0212678274665</v>
      </c>
      <c r="P38" s="377" t="n">
        <v>9.56727666761845</v>
      </c>
      <c r="Q38" s="377" t="n">
        <v>12.9036630477591</v>
      </c>
      <c r="R38" s="377" t="n">
        <v>2.20270943709918</v>
      </c>
      <c r="S38" s="377" t="n">
        <v>53.5076883952592</v>
      </c>
      <c r="T38" s="513" t="n">
        <v>0.073387734856848</v>
      </c>
      <c r="U38" s="513" t="n">
        <v>0.0321538805708603</v>
      </c>
      <c r="V38" s="513" t="n">
        <v>0.0191034253617024</v>
      </c>
      <c r="W38" s="513" t="n">
        <v>0.803717355025618</v>
      </c>
      <c r="X38" s="513" t="n">
        <v>0.135340444107243</v>
      </c>
      <c r="Y38" s="513" t="n">
        <v>0.526383823600215</v>
      </c>
      <c r="Z38" s="513" t="n">
        <v>0.526383823600215</v>
      </c>
      <c r="AA38" s="514" t="n">
        <v>0.0756557248468722</v>
      </c>
    </row>
    <row r="39" s="525" customFormat="true" ht="12.75" hidden="false" customHeight="false" outlineLevel="0" collapsed="false">
      <c r="A39" s="512" t="s">
        <v>831</v>
      </c>
      <c r="B39" s="75" t="n">
        <v>248</v>
      </c>
      <c r="C39" s="513" t="n">
        <v>0.157482047244095</v>
      </c>
      <c r="D39" s="513" t="n">
        <v>0.328901307029898</v>
      </c>
      <c r="E39" s="513" t="n">
        <v>0.0673533800136815</v>
      </c>
      <c r="F39" s="513" t="n">
        <v>0.16194245636985</v>
      </c>
      <c r="G39" s="377" t="n">
        <v>0.739090350325796</v>
      </c>
      <c r="H39" s="377" t="n">
        <v>1.03364230678592</v>
      </c>
      <c r="I39" s="513" t="n">
        <v>0.121284656081516</v>
      </c>
      <c r="J39" s="513" t="n">
        <v>0.369748724927447</v>
      </c>
      <c r="K39" s="513" t="n">
        <v>0.0695</v>
      </c>
      <c r="L39" s="513" t="n">
        <v>0.383911472990776</v>
      </c>
      <c r="M39" s="513" t="n">
        <v>0.0948215207400563</v>
      </c>
      <c r="N39" s="377" t="n">
        <v>0.229378078517598</v>
      </c>
      <c r="O39" s="377" t="n">
        <v>7.52465397929332</v>
      </c>
      <c r="P39" s="377" t="n">
        <v>14.0300117050533</v>
      </c>
      <c r="Q39" s="377" t="n">
        <v>22.5908131761525</v>
      </c>
      <c r="R39" s="377" t="n">
        <v>1.92322009769371</v>
      </c>
      <c r="S39" s="377" t="n">
        <v>47.3697791877043</v>
      </c>
      <c r="T39" s="513" t="n">
        <v>0.113048626602324</v>
      </c>
      <c r="U39" s="513" t="n">
        <v>0.385725295761713</v>
      </c>
      <c r="V39" s="513" t="n">
        <v>0.248465255697388</v>
      </c>
      <c r="W39" s="513" t="n">
        <v>1.17113042795388</v>
      </c>
      <c r="X39" s="513" t="n">
        <v>0.192827145252931</v>
      </c>
      <c r="Y39" s="513" t="n">
        <v>0.358134879874261</v>
      </c>
      <c r="Z39" s="513" t="n">
        <v>0.358134879874261</v>
      </c>
      <c r="AA39" s="514" t="n">
        <v>0.327593180057072</v>
      </c>
    </row>
    <row r="40" s="525" customFormat="true" ht="12.75" hidden="false" customHeight="false" outlineLevel="0" collapsed="false">
      <c r="A40" s="512" t="s">
        <v>832</v>
      </c>
      <c r="B40" s="75" t="n">
        <v>896</v>
      </c>
      <c r="C40" s="513" t="n">
        <v>0.151526497975709</v>
      </c>
      <c r="D40" s="513" t="n">
        <v>0.150969710961044</v>
      </c>
      <c r="E40" s="513" t="n">
        <v>0.135227672604349</v>
      </c>
      <c r="F40" s="513" t="n">
        <v>0.183043401654705</v>
      </c>
      <c r="G40" s="377" t="n">
        <v>1.07753597832363</v>
      </c>
      <c r="H40" s="377" t="n">
        <v>1.1305011645147</v>
      </c>
      <c r="I40" s="513" t="n">
        <v>0.129013992928273</v>
      </c>
      <c r="J40" s="513" t="n">
        <v>0.431614964139826</v>
      </c>
      <c r="K40" s="513" t="n">
        <v>0.0695</v>
      </c>
      <c r="L40" s="513" t="n">
        <v>0.116191621845562</v>
      </c>
      <c r="M40" s="513" t="n">
        <v>0.120106784686335</v>
      </c>
      <c r="N40" s="377" t="n">
        <v>0.950570287312859</v>
      </c>
      <c r="O40" s="377" t="n">
        <v>4.40198092466596</v>
      </c>
      <c r="P40" s="377" t="n">
        <v>17.5431968374945</v>
      </c>
      <c r="Q40" s="377" t="n">
        <v>27.4656509563585</v>
      </c>
      <c r="R40" s="377" t="n">
        <v>3.60459676419939</v>
      </c>
      <c r="S40" s="377" t="n">
        <v>55.2993064228275</v>
      </c>
      <c r="T40" s="513" t="n">
        <v>0.243510643965685</v>
      </c>
      <c r="U40" s="513" t="n">
        <v>0.0565355731905729</v>
      </c>
      <c r="V40" s="513" t="n">
        <v>0.103266546075786</v>
      </c>
      <c r="W40" s="513" t="n">
        <v>1.10824638318385</v>
      </c>
      <c r="X40" s="513" t="n">
        <v>0.0789923411952985</v>
      </c>
      <c r="Y40" s="513" t="n">
        <v>0.478921344300387</v>
      </c>
      <c r="Z40" s="513" t="n">
        <v>0.478921344300387</v>
      </c>
      <c r="AA40" s="514" t="n">
        <v>0.154229109647955</v>
      </c>
    </row>
    <row r="41" s="525" customFormat="true" ht="12.75" hidden="false" customHeight="false" outlineLevel="0" collapsed="false">
      <c r="A41" s="512" t="s">
        <v>833</v>
      </c>
      <c r="B41" s="75" t="n">
        <v>460</v>
      </c>
      <c r="C41" s="513" t="n">
        <v>0.146611279069767</v>
      </c>
      <c r="D41" s="513" t="n">
        <v>0.0423033710556024</v>
      </c>
      <c r="E41" s="513" t="n">
        <v>0.242861077383839</v>
      </c>
      <c r="F41" s="513" t="n">
        <v>0.226356689938788</v>
      </c>
      <c r="G41" s="377" t="n">
        <v>0.920550044362433</v>
      </c>
      <c r="H41" s="377" t="n">
        <v>1.01313637205319</v>
      </c>
      <c r="I41" s="513" t="n">
        <v>0.119648282489845</v>
      </c>
      <c r="J41" s="513" t="n">
        <v>0.382412715925558</v>
      </c>
      <c r="K41" s="513" t="n">
        <v>0.0695</v>
      </c>
      <c r="L41" s="513" t="n">
        <v>0.214806320720524</v>
      </c>
      <c r="M41" s="513" t="n">
        <v>0.105193120444886</v>
      </c>
      <c r="N41" s="377" t="n">
        <v>6.77900636894145</v>
      </c>
      <c r="O41" s="377" t="n">
        <v>0.685872902191675</v>
      </c>
      <c r="P41" s="377" t="n">
        <v>11.6707258373915</v>
      </c>
      <c r="Q41" s="377" t="n">
        <v>15.9750371976146</v>
      </c>
      <c r="R41" s="377" t="n">
        <v>2.82759406396279</v>
      </c>
      <c r="S41" s="377" t="n">
        <v>41.5907057065365</v>
      </c>
      <c r="T41" s="513" t="n">
        <v>-0.0347907454861229</v>
      </c>
      <c r="U41" s="513" t="n">
        <v>0.0111930003845931</v>
      </c>
      <c r="V41" s="513" t="n">
        <v>0.0114773179533701</v>
      </c>
      <c r="W41" s="513" t="n">
        <v>0.466847601618619</v>
      </c>
      <c r="X41" s="513" t="n">
        <v>0.10886237618761</v>
      </c>
      <c r="Y41" s="513" t="n">
        <v>0.375396247291387</v>
      </c>
      <c r="Z41" s="513" t="n">
        <v>0.375396247291387</v>
      </c>
      <c r="AA41" s="514" t="n">
        <v>0.0418257608997884</v>
      </c>
    </row>
    <row r="42" s="525" customFormat="true" ht="12.75" hidden="false" customHeight="false" outlineLevel="0" collapsed="false">
      <c r="A42" s="512" t="s">
        <v>834</v>
      </c>
      <c r="B42" s="75" t="n">
        <v>447</v>
      </c>
      <c r="C42" s="513" t="n">
        <v>0.204628640350877</v>
      </c>
      <c r="D42" s="513" t="n">
        <v>0.160068198854489</v>
      </c>
      <c r="E42" s="513" t="n">
        <v>0.163566394991806</v>
      </c>
      <c r="F42" s="513" t="n">
        <v>0.169720134769265</v>
      </c>
      <c r="G42" s="377" t="n">
        <v>1.27361171773726</v>
      </c>
      <c r="H42" s="377" t="n">
        <v>1.33777977578786</v>
      </c>
      <c r="I42" s="513" t="n">
        <v>0.145554826107871</v>
      </c>
      <c r="J42" s="513" t="n">
        <v>0.450814771430982</v>
      </c>
      <c r="K42" s="513" t="n">
        <v>0.0695</v>
      </c>
      <c r="L42" s="513" t="n">
        <v>0.106606543902727</v>
      </c>
      <c r="M42" s="513" t="n">
        <v>0.135619045459923</v>
      </c>
      <c r="N42" s="377" t="n">
        <v>1.06822773150562</v>
      </c>
      <c r="O42" s="377" t="n">
        <v>5.50135947166374</v>
      </c>
      <c r="P42" s="377" t="n">
        <v>20.9927047813385</v>
      </c>
      <c r="Q42" s="377" t="n">
        <v>33.0227611241627</v>
      </c>
      <c r="R42" s="377" t="n">
        <v>4.35893071747715</v>
      </c>
      <c r="S42" s="377" t="n">
        <v>52.0523762576434</v>
      </c>
      <c r="T42" s="513" t="n">
        <v>0.22881100885747</v>
      </c>
      <c r="U42" s="513" t="n">
        <v>0.0734636976116613</v>
      </c>
      <c r="V42" s="513" t="n">
        <v>0.148797513943702</v>
      </c>
      <c r="W42" s="513" t="n">
        <v>1.44100215252099</v>
      </c>
      <c r="X42" s="513" t="n">
        <v>0.035050016747701</v>
      </c>
      <c r="Y42" s="513" t="n">
        <v>0.357537050403174</v>
      </c>
      <c r="Z42" s="513" t="n">
        <v>0.357537050403174</v>
      </c>
      <c r="AA42" s="514" t="n">
        <v>0.165533674670465</v>
      </c>
    </row>
    <row r="43" s="525" customFormat="true" ht="12.75" hidden="false" customHeight="false" outlineLevel="0" collapsed="false">
      <c r="A43" s="512" t="s">
        <v>835</v>
      </c>
      <c r="B43" s="75" t="n">
        <v>171</v>
      </c>
      <c r="C43" s="513" t="n">
        <v>0.0758653623188406</v>
      </c>
      <c r="D43" s="513" t="n">
        <v>0.154957197981186</v>
      </c>
      <c r="E43" s="513" t="n">
        <v>0.175765616419272</v>
      </c>
      <c r="F43" s="513" t="n">
        <v>0.235374882422227</v>
      </c>
      <c r="G43" s="377" t="n">
        <v>0.974895545060898</v>
      </c>
      <c r="H43" s="377" t="n">
        <v>1.13977944669284</v>
      </c>
      <c r="I43" s="513" t="n">
        <v>0.129754399846089</v>
      </c>
      <c r="J43" s="513" t="n">
        <v>0.285097021056987</v>
      </c>
      <c r="K43" s="513" t="n">
        <v>0.0695</v>
      </c>
      <c r="L43" s="513" t="n">
        <v>0.315328374337951</v>
      </c>
      <c r="M43" s="513" t="n">
        <v>0.105347967954445</v>
      </c>
      <c r="N43" s="377" t="n">
        <v>1.45888578721735</v>
      </c>
      <c r="O43" s="377" t="n">
        <v>0.85443294966353</v>
      </c>
      <c r="P43" s="377" t="n">
        <v>5.03247083177265</v>
      </c>
      <c r="Q43" s="377" t="n">
        <v>5.6291972439873</v>
      </c>
      <c r="R43" s="377" t="n">
        <v>1.11401524556303</v>
      </c>
      <c r="S43" s="377" t="n">
        <v>26.8503553286058</v>
      </c>
      <c r="T43" s="513" t="n">
        <v>0.616618668402065</v>
      </c>
      <c r="U43" s="513" t="n">
        <v>0.00697792755616575</v>
      </c>
      <c r="V43" s="513" t="n">
        <v>0.0111824925652864</v>
      </c>
      <c r="W43" s="513" t="n">
        <v>0.749460023293535</v>
      </c>
      <c r="X43" s="513" t="n">
        <v>0.194312225674639</v>
      </c>
      <c r="Y43" s="513" t="n">
        <v>0.160513000140341</v>
      </c>
      <c r="Z43" s="513" t="n">
        <v>0.160513000140341</v>
      </c>
      <c r="AA43" s="514" t="n">
        <v>0.149654023335689</v>
      </c>
    </row>
    <row r="44" s="525" customFormat="true" ht="12.75" hidden="false" customHeight="false" outlineLevel="0" collapsed="false">
      <c r="A44" s="512" t="s">
        <v>836</v>
      </c>
      <c r="B44" s="75" t="n">
        <v>231</v>
      </c>
      <c r="C44" s="513" t="n">
        <v>0.0901839869281046</v>
      </c>
      <c r="D44" s="513" t="n">
        <v>0.111445921375894</v>
      </c>
      <c r="E44" s="513" t="n">
        <v>0.116351497277643</v>
      </c>
      <c r="F44" s="513" t="n">
        <v>0.214571899620851</v>
      </c>
      <c r="G44" s="377" t="n">
        <v>0.570710533394171</v>
      </c>
      <c r="H44" s="377" t="n">
        <v>0.767940231747707</v>
      </c>
      <c r="I44" s="513" t="n">
        <v>0.100081630493467</v>
      </c>
      <c r="J44" s="513" t="n">
        <v>0.31837828004373</v>
      </c>
      <c r="K44" s="513" t="n">
        <v>0.0695</v>
      </c>
      <c r="L44" s="513" t="n">
        <v>0.3398300472954</v>
      </c>
      <c r="M44" s="513" t="n">
        <v>0.0838624665060913</v>
      </c>
      <c r="N44" s="377" t="n">
        <v>1.24242632964586</v>
      </c>
      <c r="O44" s="377" t="n">
        <v>2.31207368864816</v>
      </c>
      <c r="P44" s="377" t="n">
        <v>13.5414680827011</v>
      </c>
      <c r="Q44" s="377" t="n">
        <v>20.5262209719748</v>
      </c>
      <c r="R44" s="377" t="n">
        <v>3.7479687612787</v>
      </c>
      <c r="S44" s="377" t="n">
        <v>51.8823846214848</v>
      </c>
      <c r="T44" s="513" t="n">
        <v>0.0640211950707836</v>
      </c>
      <c r="U44" s="513" t="n">
        <v>0.0655637678045854</v>
      </c>
      <c r="V44" s="513" t="n">
        <v>0.0315088106741468</v>
      </c>
      <c r="W44" s="513" t="n">
        <v>0.567080322048612</v>
      </c>
      <c r="X44" s="513" t="n">
        <v>0.156508072693102</v>
      </c>
      <c r="Y44" s="513" t="n">
        <v>0.317722563725347</v>
      </c>
      <c r="Z44" s="513" t="n">
        <v>0.317722563725347</v>
      </c>
      <c r="AA44" s="514" t="n">
        <v>0.110849218231554</v>
      </c>
    </row>
    <row r="45" s="525" customFormat="true" ht="12.75" hidden="false" customHeight="false" outlineLevel="0" collapsed="false">
      <c r="A45" s="512" t="s">
        <v>837</v>
      </c>
      <c r="B45" s="75" t="n">
        <v>650</v>
      </c>
      <c r="C45" s="513" t="n">
        <v>-0.0146983857442348</v>
      </c>
      <c r="D45" s="513" t="n">
        <v>0.0579733442348076</v>
      </c>
      <c r="E45" s="513" t="n">
        <v>0.0214707422099708</v>
      </c>
      <c r="F45" s="513" t="n">
        <v>0.232390395019108</v>
      </c>
      <c r="G45" s="377" t="n">
        <v>0.745237408713134</v>
      </c>
      <c r="H45" s="377" t="n">
        <v>0.970586397322903</v>
      </c>
      <c r="I45" s="513" t="n">
        <v>0.116252794506368</v>
      </c>
      <c r="J45" s="513" t="n">
        <v>0.349913079233653</v>
      </c>
      <c r="K45" s="513" t="n">
        <v>0.0695</v>
      </c>
      <c r="L45" s="513" t="n">
        <v>0.360560084782031</v>
      </c>
      <c r="M45" s="513" t="n">
        <v>0.0932135659377119</v>
      </c>
      <c r="N45" s="377" t="n">
        <v>0.563184852759927</v>
      </c>
      <c r="O45" s="377" t="n">
        <v>3.89209590661724</v>
      </c>
      <c r="P45" s="377" t="n">
        <v>16.4550464681851</v>
      </c>
      <c r="Q45" s="377" t="n">
        <v>74.0075291325496</v>
      </c>
      <c r="R45" s="377" t="n">
        <v>3.13564798279558</v>
      </c>
      <c r="S45" s="377" t="n">
        <v>71.8867083444307</v>
      </c>
      <c r="T45" s="513" t="n">
        <v>0.00744619632022171</v>
      </c>
      <c r="U45" s="513" t="n">
        <v>0.0743694821109622</v>
      </c>
      <c r="V45" s="513" t="n">
        <v>0.0164215668113556</v>
      </c>
      <c r="W45" s="513" t="n">
        <v>1.14797926960255</v>
      </c>
      <c r="X45" s="513" t="n">
        <v>0.0226932147060004</v>
      </c>
      <c r="Y45" s="513" t="n">
        <v>0.762051897648777</v>
      </c>
      <c r="Z45" s="513" t="n">
        <v>0.762051897648777</v>
      </c>
      <c r="AA45" s="514" t="n">
        <v>0.0416813438315871</v>
      </c>
    </row>
    <row r="46" s="525" customFormat="true" ht="12.75" hidden="false" customHeight="false" outlineLevel="0" collapsed="false">
      <c r="A46" s="512" t="s">
        <v>838</v>
      </c>
      <c r="B46" s="75" t="n">
        <v>589</v>
      </c>
      <c r="C46" s="513" t="n">
        <v>0.0687951955307262</v>
      </c>
      <c r="D46" s="513" t="n">
        <v>0.148895395414135</v>
      </c>
      <c r="E46" s="513" t="n">
        <v>0.228927050989755</v>
      </c>
      <c r="F46" s="513" t="n">
        <v>0.216531015561859</v>
      </c>
      <c r="G46" s="377" t="n">
        <v>0.959250721543237</v>
      </c>
      <c r="H46" s="377" t="n">
        <v>1.02407401797468</v>
      </c>
      <c r="I46" s="513" t="n">
        <v>0.120521106634379</v>
      </c>
      <c r="J46" s="513" t="n">
        <v>0.37891980080211</v>
      </c>
      <c r="K46" s="513" t="n">
        <v>0.0695</v>
      </c>
      <c r="L46" s="513" t="n">
        <v>0.122885986492723</v>
      </c>
      <c r="M46" s="513" t="n">
        <v>0.112144367499354</v>
      </c>
      <c r="N46" s="377" t="n">
        <v>1.74854676059664</v>
      </c>
      <c r="O46" s="377" t="n">
        <v>3.35300507822664</v>
      </c>
      <c r="P46" s="377" t="n">
        <v>17.7911879933818</v>
      </c>
      <c r="Q46" s="377" t="n">
        <v>22.186521995295</v>
      </c>
      <c r="R46" s="377" t="n">
        <v>5.24269763513515</v>
      </c>
      <c r="S46" s="377" t="n">
        <v>74.7263986494836</v>
      </c>
      <c r="T46" s="513" t="n">
        <v>0.0651541988483338</v>
      </c>
      <c r="U46" s="513" t="n">
        <v>0.0343656059959261</v>
      </c>
      <c r="V46" s="513" t="n">
        <v>0.0260334778260326</v>
      </c>
      <c r="W46" s="513" t="n">
        <v>0.354173150953678</v>
      </c>
      <c r="X46" s="513" t="n">
        <v>0.193918156198783</v>
      </c>
      <c r="Y46" s="513" t="n">
        <v>0.599825179064003</v>
      </c>
      <c r="Z46" s="513" t="n">
        <v>0.599825179064003</v>
      </c>
      <c r="AA46" s="514" t="n">
        <v>0.14841624764039</v>
      </c>
    </row>
    <row r="47" s="525" customFormat="true" ht="12.75" hidden="false" customHeight="false" outlineLevel="0" collapsed="false">
      <c r="A47" s="512" t="s">
        <v>839</v>
      </c>
      <c r="B47" s="75" t="n">
        <v>242</v>
      </c>
      <c r="C47" s="513" t="n">
        <v>0.109932213740458</v>
      </c>
      <c r="D47" s="513" t="n">
        <v>0.207987202312917</v>
      </c>
      <c r="E47" s="513" t="n">
        <v>0.286749501617339</v>
      </c>
      <c r="F47" s="513" t="n">
        <v>0.198230946213861</v>
      </c>
      <c r="G47" s="377" t="n">
        <v>1.3416385726684</v>
      </c>
      <c r="H47" s="377" t="n">
        <v>1.41072022560898</v>
      </c>
      <c r="I47" s="513" t="n">
        <v>0.151375474003597</v>
      </c>
      <c r="J47" s="513" t="n">
        <v>0.4076563984029</v>
      </c>
      <c r="K47" s="513" t="n">
        <v>0.0695</v>
      </c>
      <c r="L47" s="513" t="n">
        <v>0.123081246710808</v>
      </c>
      <c r="M47" s="513" t="n">
        <v>0.139187830610528</v>
      </c>
      <c r="N47" s="377" t="n">
        <v>1.58124758056603</v>
      </c>
      <c r="O47" s="377" t="n">
        <v>5.47547844255235</v>
      </c>
      <c r="P47" s="377" t="n">
        <v>18.2498627802004</v>
      </c>
      <c r="Q47" s="377" t="n">
        <v>24.8260737720563</v>
      </c>
      <c r="R47" s="377" t="n">
        <v>5.25879030392889</v>
      </c>
      <c r="S47" s="377" t="n">
        <v>54.4970109751953</v>
      </c>
      <c r="T47" s="513" t="n">
        <v>0.0295925022194014</v>
      </c>
      <c r="U47" s="513" t="n">
        <v>0.031231663406059</v>
      </c>
      <c r="V47" s="513" t="n">
        <v>0.0256106856831356</v>
      </c>
      <c r="W47" s="513" t="n">
        <v>0.36520338073701</v>
      </c>
      <c r="X47" s="513" t="n">
        <v>0.144563739108748</v>
      </c>
      <c r="Y47" s="513" t="n">
        <v>0.306068579366749</v>
      </c>
      <c r="Z47" s="513" t="n">
        <v>0.306068579366749</v>
      </c>
      <c r="AA47" s="514" t="n">
        <v>0.214363073878731</v>
      </c>
    </row>
    <row r="48" s="525" customFormat="true" ht="12.75" hidden="false" customHeight="false" outlineLevel="0" collapsed="false">
      <c r="A48" s="512" t="s">
        <v>840</v>
      </c>
      <c r="B48" s="75" t="n">
        <v>206</v>
      </c>
      <c r="C48" s="513" t="n">
        <v>0.063152899408284</v>
      </c>
      <c r="D48" s="513" t="n">
        <v>0.104068301570758</v>
      </c>
      <c r="E48" s="513" t="n">
        <v>0.111017171278671</v>
      </c>
      <c r="F48" s="513" t="n">
        <v>0.205974128210678</v>
      </c>
      <c r="G48" s="377" t="n">
        <v>0.609290698196514</v>
      </c>
      <c r="H48" s="377" t="n">
        <v>0.690666814757224</v>
      </c>
      <c r="I48" s="513" t="n">
        <v>0.0939152118176264</v>
      </c>
      <c r="J48" s="513" t="n">
        <v>0.252721661931041</v>
      </c>
      <c r="K48" s="513" t="n">
        <v>0.0695</v>
      </c>
      <c r="L48" s="513" t="n">
        <v>0.291882785841096</v>
      </c>
      <c r="M48" s="513" t="n">
        <v>0.0817843116883408</v>
      </c>
      <c r="N48" s="377" t="n">
        <v>1.24965626436614</v>
      </c>
      <c r="O48" s="377" t="n">
        <v>1.18800826349968</v>
      </c>
      <c r="P48" s="377" t="n">
        <v>8.90220150719714</v>
      </c>
      <c r="Q48" s="377" t="n">
        <v>11.07931941878</v>
      </c>
      <c r="R48" s="377" t="n">
        <v>1.75215744544942</v>
      </c>
      <c r="S48" s="377" t="n">
        <v>38.5081320374116</v>
      </c>
      <c r="T48" s="513" t="n">
        <v>0.0453989111002444</v>
      </c>
      <c r="U48" s="513" t="n">
        <v>0.00861739609577342</v>
      </c>
      <c r="V48" s="513" t="n">
        <v>0.00675556803339109</v>
      </c>
      <c r="W48" s="513" t="n">
        <v>0.400415118399859</v>
      </c>
      <c r="X48" s="513" t="n">
        <v>0.110947242107344</v>
      </c>
      <c r="Y48" s="513" t="n">
        <v>0.391499401493925</v>
      </c>
      <c r="Z48" s="513" t="n">
        <v>0.391499401493925</v>
      </c>
      <c r="AA48" s="514" t="n">
        <v>0.104712978248256</v>
      </c>
    </row>
    <row r="49" s="525" customFormat="true" ht="12.75" hidden="false" customHeight="false" outlineLevel="0" collapsed="false">
      <c r="A49" s="512" t="s">
        <v>841</v>
      </c>
      <c r="B49" s="75" t="n">
        <v>142</v>
      </c>
      <c r="C49" s="513" t="n">
        <v>0.104572882882883</v>
      </c>
      <c r="D49" s="513" t="n">
        <v>0.0565650969615374</v>
      </c>
      <c r="E49" s="513" t="n">
        <v>0.0393847349137493</v>
      </c>
      <c r="F49" s="513" t="n">
        <v>0.157493858103108</v>
      </c>
      <c r="G49" s="377" t="n">
        <v>0.796276200629899</v>
      </c>
      <c r="H49" s="377" t="n">
        <v>0.903786502197535</v>
      </c>
      <c r="I49" s="513" t="n">
        <v>0.110922162875363</v>
      </c>
      <c r="J49" s="513" t="n">
        <v>0.239015058117594</v>
      </c>
      <c r="K49" s="513" t="n">
        <v>0.0618</v>
      </c>
      <c r="L49" s="513" t="n">
        <v>0.496176510636804</v>
      </c>
      <c r="M49" s="513" t="n">
        <v>0.0789841626531734</v>
      </c>
      <c r="N49" s="377" t="n">
        <v>0.802017604259066</v>
      </c>
      <c r="O49" s="377" t="n">
        <v>1.12717667749181</v>
      </c>
      <c r="P49" s="377" t="n">
        <v>11.1292448355338</v>
      </c>
      <c r="Q49" s="377" t="n">
        <v>16.2714113867268</v>
      </c>
      <c r="R49" s="377" t="n">
        <v>1.25787470953045</v>
      </c>
      <c r="S49" s="377" t="n">
        <v>27.3593927451379</v>
      </c>
      <c r="T49" s="513" t="n">
        <v>-1.06070688140461</v>
      </c>
      <c r="U49" s="513" t="n">
        <v>0.00632816398182242</v>
      </c>
      <c r="V49" s="513" t="n">
        <v>0.0126378456563283</v>
      </c>
      <c r="W49" s="513" t="n">
        <v>0.244196522896477</v>
      </c>
      <c r="X49" s="513" t="n">
        <v>0.0701831789842289</v>
      </c>
      <c r="Y49" s="513" t="n">
        <v>0.459043028147413</v>
      </c>
      <c r="Z49" s="513" t="n">
        <v>0.459043028147413</v>
      </c>
      <c r="AA49" s="514" t="n">
        <v>0.0566893369850437</v>
      </c>
    </row>
    <row r="50" s="525" customFormat="true" ht="12.75" hidden="false" customHeight="false" outlineLevel="0" collapsed="false">
      <c r="A50" s="512" t="s">
        <v>842</v>
      </c>
      <c r="B50" s="75" t="n">
        <v>235</v>
      </c>
      <c r="C50" s="513" t="n">
        <v>0.0647386363636363</v>
      </c>
      <c r="D50" s="513" t="n">
        <v>0.0637885993582683</v>
      </c>
      <c r="E50" s="513" t="n">
        <v>0.067197915070148</v>
      </c>
      <c r="F50" s="513" t="n">
        <v>0.194916252646702</v>
      </c>
      <c r="G50" s="377" t="n">
        <v>0.690694218235931</v>
      </c>
      <c r="H50" s="377" t="n">
        <v>0.745750478924167</v>
      </c>
      <c r="I50" s="513" t="n">
        <v>0.0983108882181485</v>
      </c>
      <c r="J50" s="513" t="n">
        <v>0.266925293807939</v>
      </c>
      <c r="K50" s="513" t="n">
        <v>0.0695</v>
      </c>
      <c r="L50" s="513" t="n">
        <v>0.201813819321436</v>
      </c>
      <c r="M50" s="513" t="n">
        <v>0.0890362237175525</v>
      </c>
      <c r="N50" s="377" t="n">
        <v>1.24399881869087</v>
      </c>
      <c r="O50" s="377" t="n">
        <v>1.10568557300208</v>
      </c>
      <c r="P50" s="377" t="n">
        <v>12.6064287084542</v>
      </c>
      <c r="Q50" s="377" t="n">
        <v>16.6195674584045</v>
      </c>
      <c r="R50" s="377" t="n">
        <v>1.59332756664933</v>
      </c>
      <c r="S50" s="377" t="n">
        <v>20.3162741430341</v>
      </c>
      <c r="T50" s="513" t="n">
        <v>-0.414548636117871</v>
      </c>
      <c r="U50" s="513" t="n">
        <v>0.00682102475180776</v>
      </c>
      <c r="V50" s="513" t="n">
        <v>0.00273055407154489</v>
      </c>
      <c r="W50" s="513" t="n">
        <v>0.344261037527473</v>
      </c>
      <c r="X50" s="513" t="n">
        <v>0.0678709377123708</v>
      </c>
      <c r="Y50" s="513" t="n">
        <v>0.549478097974328</v>
      </c>
      <c r="Z50" s="513" t="n">
        <v>0.549478097974328</v>
      </c>
      <c r="AA50" s="514" t="n">
        <v>0.0641586747375173</v>
      </c>
    </row>
    <row r="51" s="525" customFormat="true" ht="12.75" hidden="false" customHeight="false" outlineLevel="0" collapsed="false">
      <c r="A51" s="512" t="s">
        <v>843</v>
      </c>
      <c r="B51" s="75" t="n">
        <v>1660</v>
      </c>
      <c r="C51" s="513" t="n">
        <v>0.119607957446809</v>
      </c>
      <c r="D51" s="513" t="n">
        <v>0.202414357229158</v>
      </c>
      <c r="E51" s="513" t="n">
        <v>0.0625998764762185</v>
      </c>
      <c r="F51" s="513" t="n">
        <v>0.163689810336325</v>
      </c>
      <c r="G51" s="377" t="n">
        <v>0.565197064061528</v>
      </c>
      <c r="H51" s="377" t="n">
        <v>0.792183349242122</v>
      </c>
      <c r="I51" s="513" t="n">
        <v>0.102016231269521</v>
      </c>
      <c r="J51" s="513" t="n">
        <v>0.265503576382955</v>
      </c>
      <c r="K51" s="513" t="n">
        <v>0.0695</v>
      </c>
      <c r="L51" s="513" t="n">
        <v>0.43258015946052</v>
      </c>
      <c r="M51" s="513" t="n">
        <v>0.0805334867508424</v>
      </c>
      <c r="N51" s="377" t="n">
        <v>0.329295232053107</v>
      </c>
      <c r="O51" s="377" t="n">
        <v>4.63878877419412</v>
      </c>
      <c r="P51" s="377" t="n">
        <v>12.5106314005126</v>
      </c>
      <c r="Q51" s="377" t="n">
        <v>15.1669962776041</v>
      </c>
      <c r="R51" s="377" t="n">
        <v>1.42943500806257</v>
      </c>
      <c r="S51" s="377" t="n">
        <v>237.991239635061</v>
      </c>
      <c r="T51" s="513" t="s">
        <v>800</v>
      </c>
      <c r="U51" s="513" t="n">
        <v>0.038934740984049</v>
      </c>
      <c r="V51" s="513" t="n">
        <v>0.133823561899442</v>
      </c>
      <c r="W51" s="513" t="n">
        <v>0.923768968929229</v>
      </c>
      <c r="X51" s="513" t="n">
        <v>0.123117407383836</v>
      </c>
      <c r="Y51" s="513" t="n">
        <v>0.477296147643362</v>
      </c>
      <c r="Z51" s="513" t="n">
        <v>0.477296147643362</v>
      </c>
      <c r="AA51" s="514" t="n">
        <v>0.201710690688694</v>
      </c>
    </row>
    <row r="52" s="525" customFormat="true" ht="12.75" hidden="false" customHeight="false" outlineLevel="0" collapsed="false">
      <c r="A52" s="512" t="s">
        <v>844</v>
      </c>
      <c r="B52" s="75" t="n">
        <v>1463</v>
      </c>
      <c r="C52" s="513" t="n">
        <v>0.0743571947809879</v>
      </c>
      <c r="D52" s="513" t="n">
        <v>0.0968383427237968</v>
      </c>
      <c r="E52" s="513" t="n">
        <v>0.114410004025244</v>
      </c>
      <c r="F52" s="513" t="n">
        <v>0.221904172085316</v>
      </c>
      <c r="G52" s="377" t="n">
        <v>1.06295014466578</v>
      </c>
      <c r="H52" s="377" t="n">
        <v>1.10214025224221</v>
      </c>
      <c r="I52" s="513" t="n">
        <v>0.126750792128928</v>
      </c>
      <c r="J52" s="513" t="n">
        <v>0.316228459437574</v>
      </c>
      <c r="K52" s="513" t="n">
        <v>0.0695</v>
      </c>
      <c r="L52" s="513" t="n">
        <v>0.147182701815124</v>
      </c>
      <c r="M52" s="513" t="n">
        <v>0.11580092277096</v>
      </c>
      <c r="N52" s="377" t="n">
        <v>1.41668741336946</v>
      </c>
      <c r="O52" s="377" t="n">
        <v>1.97478419543936</v>
      </c>
      <c r="P52" s="377" t="n">
        <v>13.9951072878432</v>
      </c>
      <c r="Q52" s="377" t="n">
        <v>19.5320989954885</v>
      </c>
      <c r="R52" s="377" t="n">
        <v>2.74676973686193</v>
      </c>
      <c r="S52" s="377" t="n">
        <v>38.9139641457924</v>
      </c>
      <c r="T52" s="513" t="n">
        <v>0.282689964725412</v>
      </c>
      <c r="U52" s="513" t="n">
        <v>0.0405810868740375</v>
      </c>
      <c r="V52" s="513" t="n">
        <v>0.0527829232330986</v>
      </c>
      <c r="W52" s="513" t="n">
        <v>1.35290045736976</v>
      </c>
      <c r="X52" s="513" t="n">
        <v>0.107901048429112</v>
      </c>
      <c r="Y52" s="513" t="n">
        <v>0.397240654326091</v>
      </c>
      <c r="Z52" s="513" t="n">
        <v>0.397240654326091</v>
      </c>
      <c r="AA52" s="514" t="n">
        <v>0.0962506480140296</v>
      </c>
    </row>
    <row r="53" s="525" customFormat="true" ht="12.75" hidden="false" customHeight="false" outlineLevel="0" collapsed="false">
      <c r="A53" s="512" t="s">
        <v>845</v>
      </c>
      <c r="B53" s="75" t="n">
        <v>1783</v>
      </c>
      <c r="C53" s="513" t="n">
        <v>0.149984453608247</v>
      </c>
      <c r="D53" s="513" t="n">
        <v>0.164576761184895</v>
      </c>
      <c r="E53" s="513" t="n">
        <v>0.245621830117422</v>
      </c>
      <c r="F53" s="513" t="n">
        <v>0.269969662316223</v>
      </c>
      <c r="G53" s="377" t="n">
        <v>1.10967428235532</v>
      </c>
      <c r="H53" s="377" t="n">
        <v>1.1980661936406</v>
      </c>
      <c r="I53" s="513" t="n">
        <v>0.13440568225252</v>
      </c>
      <c r="J53" s="513" t="n">
        <v>0.616904111422747</v>
      </c>
      <c r="K53" s="513" t="n">
        <v>0.0733</v>
      </c>
      <c r="L53" s="513" t="n">
        <v>0.210093088637757</v>
      </c>
      <c r="M53" s="513" t="n">
        <v>0.117768664302694</v>
      </c>
      <c r="N53" s="377" t="n">
        <v>1.55419078002852</v>
      </c>
      <c r="O53" s="377" t="n">
        <v>1.18592122033908</v>
      </c>
      <c r="P53" s="377" t="n">
        <v>5.30052486311046</v>
      </c>
      <c r="Q53" s="377" t="n">
        <v>6.81943935836884</v>
      </c>
      <c r="R53" s="377" t="n">
        <v>1.82513286884586</v>
      </c>
      <c r="S53" s="377" t="n">
        <v>76.7017355197327</v>
      </c>
      <c r="T53" s="513" t="n">
        <v>0.109643601976166</v>
      </c>
      <c r="U53" s="513" t="n">
        <v>0.0630280443789823</v>
      </c>
      <c r="V53" s="513" t="n">
        <v>0.0366420128124186</v>
      </c>
      <c r="W53" s="513" t="n">
        <v>0.571327842785645</v>
      </c>
      <c r="X53" s="513" t="n">
        <v>0.23954792159617</v>
      </c>
      <c r="Y53" s="513" t="n">
        <v>0.472188102634302</v>
      </c>
      <c r="Z53" s="513" t="n">
        <v>0.472188102634302</v>
      </c>
      <c r="AA53" s="514" t="n">
        <v>0.165212479088681</v>
      </c>
    </row>
    <row r="54" s="525" customFormat="true" ht="12.75" hidden="false" customHeight="false" outlineLevel="0" collapsed="false">
      <c r="A54" s="512" t="s">
        <v>846</v>
      </c>
      <c r="B54" s="75" t="n">
        <v>144</v>
      </c>
      <c r="C54" s="513" t="n">
        <v>0.0607801724137931</v>
      </c>
      <c r="D54" s="513" t="n">
        <v>0.0687513258996715</v>
      </c>
      <c r="E54" s="513" t="n">
        <v>0.10525106285728</v>
      </c>
      <c r="F54" s="513" t="n">
        <v>0.241081573891816</v>
      </c>
      <c r="G54" s="377" t="n">
        <v>0.834494381723724</v>
      </c>
      <c r="H54" s="377" t="n">
        <v>0.925241478101047</v>
      </c>
      <c r="I54" s="513" t="n">
        <v>0.112634269952464</v>
      </c>
      <c r="J54" s="513" t="n">
        <v>0.331059727115239</v>
      </c>
      <c r="K54" s="513" t="n">
        <v>0.0695</v>
      </c>
      <c r="L54" s="513" t="n">
        <v>0.251315539118487</v>
      </c>
      <c r="M54" s="513" t="n">
        <v>0.0974849893715909</v>
      </c>
      <c r="N54" s="377" t="n">
        <v>1.82443259688902</v>
      </c>
      <c r="O54" s="377" t="n">
        <v>0.990584555108706</v>
      </c>
      <c r="P54" s="377" t="n">
        <v>8.52711189159284</v>
      </c>
      <c r="Q54" s="377" t="n">
        <v>13.2985963239935</v>
      </c>
      <c r="R54" s="377" t="n">
        <v>1.78468448060008</v>
      </c>
      <c r="S54" s="377" t="n">
        <v>38.1283412867437</v>
      </c>
      <c r="T54" s="513" t="n">
        <v>0.129323122827896</v>
      </c>
      <c r="U54" s="513" t="n">
        <v>0.0239261075035142</v>
      </c>
      <c r="V54" s="513" t="n">
        <v>0.0285131770712063</v>
      </c>
      <c r="W54" s="513" t="n">
        <v>1.09338315529632</v>
      </c>
      <c r="X54" s="513" t="n">
        <v>0.0573691271880055</v>
      </c>
      <c r="Y54" s="513" t="n">
        <v>0.634888905410598</v>
      </c>
      <c r="Z54" s="513" t="n">
        <v>0.634888905410598</v>
      </c>
      <c r="AA54" s="514" t="n">
        <v>0.0699425841446542</v>
      </c>
    </row>
    <row r="55" s="525" customFormat="true" ht="12.75" hidden="false" customHeight="false" outlineLevel="0" collapsed="false">
      <c r="A55" s="512" t="s">
        <v>847</v>
      </c>
      <c r="B55" s="75" t="n">
        <v>36</v>
      </c>
      <c r="C55" s="513" t="n">
        <v>0.145678333333333</v>
      </c>
      <c r="D55" s="513" t="n">
        <v>0.203352956173464</v>
      </c>
      <c r="E55" s="513" t="n">
        <v>0.27004010102815</v>
      </c>
      <c r="F55" s="513" t="n">
        <v>0.41991138498909</v>
      </c>
      <c r="G55" s="377" t="n">
        <v>1.02573762457517</v>
      </c>
      <c r="H55" s="377" t="n">
        <v>1.08426107151439</v>
      </c>
      <c r="I55" s="513" t="n">
        <v>0.125324033506848</v>
      </c>
      <c r="J55" s="513" t="n">
        <v>0.290654684170079</v>
      </c>
      <c r="K55" s="513" t="n">
        <v>0.0695</v>
      </c>
      <c r="L55" s="513" t="n">
        <v>0.162684706832813</v>
      </c>
      <c r="M55" s="513" t="n">
        <v>0.113452981937853</v>
      </c>
      <c r="N55" s="377" t="n">
        <v>1.78578958276932</v>
      </c>
      <c r="O55" s="377" t="n">
        <v>1.10583839971158</v>
      </c>
      <c r="P55" s="377" t="n">
        <v>4.34488548584496</v>
      </c>
      <c r="Q55" s="377" t="n">
        <v>5.42806456443029</v>
      </c>
      <c r="R55" s="377" t="n">
        <v>2.00491515036786</v>
      </c>
      <c r="S55" s="377" t="n">
        <v>9.0007964734468</v>
      </c>
      <c r="T55" s="513" t="n">
        <v>0.0318177071377463</v>
      </c>
      <c r="U55" s="513" t="n">
        <v>0.0575081565550648</v>
      </c>
      <c r="V55" s="513" t="n">
        <v>0.0108874066368951</v>
      </c>
      <c r="W55" s="513" t="n">
        <v>0.25434157304491</v>
      </c>
      <c r="X55" s="513" t="n">
        <v>0.273838925662021</v>
      </c>
      <c r="Y55" s="513" t="n">
        <v>0.373033442601962</v>
      </c>
      <c r="Z55" s="513" t="n">
        <v>0.373033442601962</v>
      </c>
      <c r="AA55" s="514" t="n">
        <v>0.203700033113535</v>
      </c>
    </row>
    <row r="56" s="525" customFormat="true" ht="12.75" hidden="false" customHeight="false" outlineLevel="0" collapsed="false">
      <c r="A56" s="512" t="s">
        <v>848</v>
      </c>
      <c r="B56" s="75" t="n">
        <v>616</v>
      </c>
      <c r="C56" s="513" t="n">
        <v>0.302238837920489</v>
      </c>
      <c r="D56" s="513" t="n">
        <v>0.393698668473841</v>
      </c>
      <c r="E56" s="513" t="n">
        <v>0.313791626138602</v>
      </c>
      <c r="F56" s="513" t="n">
        <v>0.285801787057911</v>
      </c>
      <c r="G56" s="377" t="n">
        <v>1.17195325102879</v>
      </c>
      <c r="H56" s="377" t="n">
        <v>1.30644458018889</v>
      </c>
      <c r="I56" s="513" t="n">
        <v>0.143054277499074</v>
      </c>
      <c r="J56" s="513" t="n">
        <v>0.576152624680284</v>
      </c>
      <c r="K56" s="513" t="n">
        <v>0.0733</v>
      </c>
      <c r="L56" s="513" t="n">
        <v>0.207681516749211</v>
      </c>
      <c r="M56" s="513" t="n">
        <v>0.124812075635978</v>
      </c>
      <c r="N56" s="377" t="n">
        <v>0.861217310922099</v>
      </c>
      <c r="O56" s="377" t="n">
        <v>2.07317208372974</v>
      </c>
      <c r="P56" s="377" t="n">
        <v>3.74721016947244</v>
      </c>
      <c r="Q56" s="377" t="n">
        <v>5.16243572781107</v>
      </c>
      <c r="R56" s="377" t="n">
        <v>1.730060677124</v>
      </c>
      <c r="S56" s="377" t="n">
        <v>15.1764346667648</v>
      </c>
      <c r="T56" s="513" t="n">
        <v>-0.0340480802299587</v>
      </c>
      <c r="U56" s="513" t="n">
        <v>0.191126840908494</v>
      </c>
      <c r="V56" s="513" t="n">
        <v>0.10412878403283</v>
      </c>
      <c r="W56" s="513" t="n">
        <v>0.399791089916619</v>
      </c>
      <c r="X56" s="513" t="n">
        <v>0.345546099909825</v>
      </c>
      <c r="Y56" s="513" t="n">
        <v>0.239959872501343</v>
      </c>
      <c r="Z56" s="513" t="n">
        <v>0.239959872501343</v>
      </c>
      <c r="AA56" s="514" t="n">
        <v>0.394858546448004</v>
      </c>
    </row>
    <row r="57" s="525" customFormat="true" ht="12.75" hidden="false" customHeight="false" outlineLevel="0" collapsed="false">
      <c r="A57" s="512" t="s">
        <v>849</v>
      </c>
      <c r="B57" s="75" t="n">
        <v>166</v>
      </c>
      <c r="C57" s="513" t="n">
        <v>0.164484491525424</v>
      </c>
      <c r="D57" s="513" t="n">
        <v>0.104301187209886</v>
      </c>
      <c r="E57" s="513" t="n">
        <v>0.0678584280776384</v>
      </c>
      <c r="F57" s="513" t="n">
        <v>0.155159300943677</v>
      </c>
      <c r="G57" s="377" t="n">
        <v>0.640895646239336</v>
      </c>
      <c r="H57" s="377" t="n">
        <v>0.959883315743247</v>
      </c>
      <c r="I57" s="513" t="n">
        <v>0.115398688596311</v>
      </c>
      <c r="J57" s="513" t="n">
        <v>0.316929194018176</v>
      </c>
      <c r="K57" s="513" t="n">
        <v>0.0695</v>
      </c>
      <c r="L57" s="513" t="n">
        <v>0.422661880845824</v>
      </c>
      <c r="M57" s="513" t="n">
        <v>0.0887522498685133</v>
      </c>
      <c r="N57" s="377" t="n">
        <v>0.730092630826344</v>
      </c>
      <c r="O57" s="377" t="n">
        <v>2.13302478854118</v>
      </c>
      <c r="P57" s="377" t="n">
        <v>11.7000120642456</v>
      </c>
      <c r="Q57" s="377" t="n">
        <v>18.5002785190621</v>
      </c>
      <c r="R57" s="377" t="n">
        <v>1.8164371624196</v>
      </c>
      <c r="S57" s="377" t="n">
        <v>40.1365137797318</v>
      </c>
      <c r="T57" s="513" t="n">
        <v>0.0391460254075278</v>
      </c>
      <c r="U57" s="513" t="n">
        <v>0.0823788192840491</v>
      </c>
      <c r="V57" s="513" t="n">
        <v>0.0490803691544995</v>
      </c>
      <c r="W57" s="513" t="n">
        <v>0.72807608387841</v>
      </c>
      <c r="X57" s="513" t="n">
        <v>0.084745790010923</v>
      </c>
      <c r="Y57" s="513" t="n">
        <v>1.10593540923527</v>
      </c>
      <c r="Z57" s="513" t="n">
        <v>1.10593540923527</v>
      </c>
      <c r="AA57" s="514" t="n">
        <v>0.105286369676999</v>
      </c>
    </row>
    <row r="58" s="525" customFormat="true" ht="12.75" hidden="false" customHeight="false" outlineLevel="0" collapsed="false">
      <c r="A58" s="512" t="s">
        <v>850</v>
      </c>
      <c r="B58" s="75" t="n">
        <v>455</v>
      </c>
      <c r="C58" s="513" t="n">
        <v>0.0727124207492795</v>
      </c>
      <c r="D58" s="513" t="n">
        <v>0.064183350193998</v>
      </c>
      <c r="E58" s="513" t="n">
        <v>0.148658271671855</v>
      </c>
      <c r="F58" s="513" t="n">
        <v>0.224265119949866</v>
      </c>
      <c r="G58" s="377" t="n">
        <v>0.918614413311635</v>
      </c>
      <c r="H58" s="377" t="n">
        <v>1.14580470601342</v>
      </c>
      <c r="I58" s="513" t="n">
        <v>0.130235215539871</v>
      </c>
      <c r="J58" s="513" t="n">
        <v>0.386785548714101</v>
      </c>
      <c r="K58" s="513" t="n">
        <v>0.0695</v>
      </c>
      <c r="L58" s="513" t="n">
        <v>0.317805200706764</v>
      </c>
      <c r="M58" s="513" t="n">
        <v>0.105484271435756</v>
      </c>
      <c r="N58" s="377" t="n">
        <v>2.61315685448407</v>
      </c>
      <c r="O58" s="377" t="n">
        <v>0.610138091043379</v>
      </c>
      <c r="P58" s="377" t="n">
        <v>6.71626764564447</v>
      </c>
      <c r="Q58" s="377" t="n">
        <v>9.17372901253354</v>
      </c>
      <c r="R58" s="377" t="n">
        <v>1.53576990863963</v>
      </c>
      <c r="S58" s="377" t="n">
        <v>28.4106474672757</v>
      </c>
      <c r="T58" s="513" t="n">
        <v>0.0692707163428977</v>
      </c>
      <c r="U58" s="513" t="n">
        <v>0.0308250233673569</v>
      </c>
      <c r="V58" s="513" t="n">
        <v>0.0173499015087774</v>
      </c>
      <c r="W58" s="513" t="n">
        <v>0.872497837975109</v>
      </c>
      <c r="X58" s="513" t="n">
        <v>0.169538020635244</v>
      </c>
      <c r="Y58" s="513" t="n">
        <v>0.237944518074817</v>
      </c>
      <c r="Z58" s="513" t="n">
        <v>0.237944518074817</v>
      </c>
      <c r="AA58" s="514" t="n">
        <v>0.0647550342050259</v>
      </c>
    </row>
    <row r="59" s="525" customFormat="true" ht="12.75" hidden="false" customHeight="false" outlineLevel="0" collapsed="false">
      <c r="A59" s="512" t="s">
        <v>851</v>
      </c>
      <c r="B59" s="75" t="n">
        <v>414</v>
      </c>
      <c r="C59" s="513" t="n">
        <v>0.0772290675241157</v>
      </c>
      <c r="D59" s="513" t="n">
        <v>0.0857266219408809</v>
      </c>
      <c r="E59" s="513" t="n">
        <v>0.113132293188486</v>
      </c>
      <c r="F59" s="513" t="n">
        <v>0.212615315138982</v>
      </c>
      <c r="G59" s="377" t="n">
        <v>0.645423290858787</v>
      </c>
      <c r="H59" s="377" t="n">
        <v>0.835766835315765</v>
      </c>
      <c r="I59" s="513" t="n">
        <v>0.105494193458198</v>
      </c>
      <c r="J59" s="513" t="n">
        <v>0.294498329426134</v>
      </c>
      <c r="K59" s="513" t="n">
        <v>0.0695</v>
      </c>
      <c r="L59" s="513" t="n">
        <v>0.328607060638427</v>
      </c>
      <c r="M59" s="513" t="n">
        <v>0.0880320656966135</v>
      </c>
      <c r="N59" s="377" t="n">
        <v>1.56388583863006</v>
      </c>
      <c r="O59" s="377" t="n">
        <v>1.2245297647229</v>
      </c>
      <c r="P59" s="377" t="n">
        <v>8.80602419200883</v>
      </c>
      <c r="Q59" s="377" t="n">
        <v>14.003272248255</v>
      </c>
      <c r="R59" s="377" t="n">
        <v>1.94065093818068</v>
      </c>
      <c r="S59" s="377" t="n">
        <v>125.259441235085</v>
      </c>
      <c r="T59" s="513" t="n">
        <v>0.133953568149121</v>
      </c>
      <c r="U59" s="513" t="n">
        <v>0.0615658576604026</v>
      </c>
      <c r="V59" s="513" t="n">
        <v>0.0442266538027342</v>
      </c>
      <c r="W59" s="513" t="n">
        <v>0.992860440087237</v>
      </c>
      <c r="X59" s="513" t="n">
        <v>0.129414445614621</v>
      </c>
      <c r="Y59" s="513" t="n">
        <v>0.391490241122546</v>
      </c>
      <c r="Z59" s="513" t="n">
        <v>0.391490241122546</v>
      </c>
      <c r="AA59" s="514" t="n">
        <v>0.0866367576134669</v>
      </c>
    </row>
    <row r="60" s="525" customFormat="true" ht="12.75" hidden="false" customHeight="false" outlineLevel="0" collapsed="false">
      <c r="A60" s="512" t="s">
        <v>852</v>
      </c>
      <c r="B60" s="75" t="n">
        <v>268</v>
      </c>
      <c r="C60" s="513" t="n">
        <v>0.0901472037914692</v>
      </c>
      <c r="D60" s="513" t="n">
        <v>0.135624331353174</v>
      </c>
      <c r="E60" s="513" t="n">
        <v>0.108120757674763</v>
      </c>
      <c r="F60" s="513" t="n">
        <v>0.203452723389367</v>
      </c>
      <c r="G60" s="377" t="n">
        <v>0.752359681166661</v>
      </c>
      <c r="H60" s="377" t="n">
        <v>0.993264514929246</v>
      </c>
      <c r="I60" s="513" t="n">
        <v>0.118062508291354</v>
      </c>
      <c r="J60" s="513" t="n">
        <v>0.311902743589121</v>
      </c>
      <c r="K60" s="513" t="n">
        <v>0.0695</v>
      </c>
      <c r="L60" s="513" t="n">
        <v>0.380389584021863</v>
      </c>
      <c r="M60" s="513" t="n">
        <v>0.093067809292063</v>
      </c>
      <c r="N60" s="377" t="n">
        <v>0.950575122907372</v>
      </c>
      <c r="O60" s="377" t="n">
        <v>1.15706456867686</v>
      </c>
      <c r="P60" s="377" t="n">
        <v>6.04283591602034</v>
      </c>
      <c r="Q60" s="377" t="n">
        <v>8.335186022409</v>
      </c>
      <c r="R60" s="377" t="n">
        <v>1.07354833416182</v>
      </c>
      <c r="S60" s="377" t="n">
        <v>22.7872218654956</v>
      </c>
      <c r="T60" s="513" t="n">
        <v>0.198274474722681</v>
      </c>
      <c r="U60" s="513" t="n">
        <v>0.0817133715756248</v>
      </c>
      <c r="V60" s="513" t="n">
        <v>0.0554425085229726</v>
      </c>
      <c r="W60" s="513" t="n">
        <v>0.765470675750411</v>
      </c>
      <c r="X60" s="513" t="n">
        <v>0.150753396716623</v>
      </c>
      <c r="Y60" s="513" t="n">
        <v>0.227065803635393</v>
      </c>
      <c r="Z60" s="513" t="n">
        <v>0.227065803635393</v>
      </c>
      <c r="AA60" s="514" t="n">
        <v>0.135227553356805</v>
      </c>
    </row>
    <row r="61" s="525" customFormat="true" ht="12.75" hidden="false" customHeight="false" outlineLevel="0" collapsed="false">
      <c r="A61" s="512" t="s">
        <v>853</v>
      </c>
      <c r="B61" s="75" t="n">
        <v>485</v>
      </c>
      <c r="C61" s="513" t="n">
        <v>0.136981964285714</v>
      </c>
      <c r="D61" s="513" t="n">
        <v>0.0088952020356595</v>
      </c>
      <c r="E61" s="513" t="n">
        <v>0.00563795095811195</v>
      </c>
      <c r="F61" s="513" t="n">
        <v>0.193095023805628</v>
      </c>
      <c r="G61" s="377" t="n">
        <v>0.443304647434958</v>
      </c>
      <c r="H61" s="377" t="n">
        <v>0.72851850030209</v>
      </c>
      <c r="I61" s="513" t="n">
        <v>0.0969357763241068</v>
      </c>
      <c r="J61" s="513" t="n">
        <v>0.259447712216107</v>
      </c>
      <c r="K61" s="513" t="n">
        <v>0.0695</v>
      </c>
      <c r="L61" s="513" t="n">
        <v>0.490185347917066</v>
      </c>
      <c r="M61" s="513" t="n">
        <v>0.0750826143507854</v>
      </c>
      <c r="N61" s="377" t="n">
        <v>0.728964875501872</v>
      </c>
      <c r="O61" s="377" t="n">
        <v>1.78523152548551</v>
      </c>
      <c r="P61" s="377" t="n">
        <v>11.8027185105924</v>
      </c>
      <c r="Q61" s="377" t="n">
        <v>185.009729978057</v>
      </c>
      <c r="R61" s="377" t="n">
        <v>1.45776569309518</v>
      </c>
      <c r="S61" s="377" t="n">
        <v>35.2638720909993</v>
      </c>
      <c r="T61" s="513" t="n">
        <v>-0.0643004929573127</v>
      </c>
      <c r="U61" s="513" t="n">
        <v>0.126344353198257</v>
      </c>
      <c r="V61" s="513" t="n">
        <v>0.0688029915146561</v>
      </c>
      <c r="W61" s="513" t="s">
        <v>800</v>
      </c>
      <c r="X61" s="513" t="n">
        <v>0.0251455593913457</v>
      </c>
      <c r="Y61" s="513" t="n">
        <v>2.35637914769477</v>
      </c>
      <c r="Z61" s="513" t="n">
        <v>2.35637914769477</v>
      </c>
      <c r="AA61" s="514" t="n">
        <v>0.00906508790580155</v>
      </c>
    </row>
    <row r="62" s="525" customFormat="true" ht="12.75" hidden="false" customHeight="false" outlineLevel="0" collapsed="false">
      <c r="A62" s="512" t="s">
        <v>854</v>
      </c>
      <c r="B62" s="75" t="n">
        <v>930</v>
      </c>
      <c r="C62" s="513" t="n">
        <v>0.229461256281407</v>
      </c>
      <c r="D62" s="513" t="n">
        <v>0.164696715348669</v>
      </c>
      <c r="E62" s="513" t="n">
        <v>0.131312822733018</v>
      </c>
      <c r="F62" s="513" t="n">
        <v>0.279270986663839</v>
      </c>
      <c r="G62" s="377" t="n">
        <v>1.10113199089082</v>
      </c>
      <c r="H62" s="377" t="n">
        <v>1.14084581562822</v>
      </c>
      <c r="I62" s="513" t="n">
        <v>0.129839496087132</v>
      </c>
      <c r="J62" s="513" t="n">
        <v>0.629125635460768</v>
      </c>
      <c r="K62" s="513" t="n">
        <v>0.0733</v>
      </c>
      <c r="L62" s="513" t="n">
        <v>0.154331260279898</v>
      </c>
      <c r="M62" s="513" t="n">
        <v>0.118322895244334</v>
      </c>
      <c r="N62" s="377" t="n">
        <v>0.82760527587668</v>
      </c>
      <c r="O62" s="377" t="n">
        <v>2.23988906468758</v>
      </c>
      <c r="P62" s="377" t="n">
        <v>6.96818464128658</v>
      </c>
      <c r="Q62" s="377" t="n">
        <v>12.5795276146825</v>
      </c>
      <c r="R62" s="377" t="n">
        <v>1.59344974260102</v>
      </c>
      <c r="S62" s="377" t="n">
        <v>627.225802916423</v>
      </c>
      <c r="T62" s="513" t="n">
        <v>0.114750122623992</v>
      </c>
      <c r="U62" s="513" t="n">
        <v>0.174490800422636</v>
      </c>
      <c r="V62" s="513" t="n">
        <v>0.110131306566034</v>
      </c>
      <c r="W62" s="513" t="n">
        <v>1.01729871353606</v>
      </c>
      <c r="X62" s="513" t="n">
        <v>0.07853502773369</v>
      </c>
      <c r="Y62" s="513" t="n">
        <v>0.736251718431062</v>
      </c>
      <c r="Z62" s="513" t="n">
        <v>0.736251718431062</v>
      </c>
      <c r="AA62" s="514" t="n">
        <v>0.165454298714561</v>
      </c>
    </row>
    <row r="63" s="525" customFormat="true" ht="12.75" hidden="false" customHeight="false" outlineLevel="0" collapsed="false">
      <c r="A63" s="512" t="s">
        <v>855</v>
      </c>
      <c r="B63" s="75" t="n">
        <v>327</v>
      </c>
      <c r="C63" s="513" t="n">
        <v>0.016786992481203</v>
      </c>
      <c r="D63" s="513" t="n">
        <v>0.0680474054677438</v>
      </c>
      <c r="E63" s="513" t="n">
        <v>0.0698160458882407</v>
      </c>
      <c r="F63" s="513" t="n">
        <v>0.164125918310251</v>
      </c>
      <c r="G63" s="377" t="n">
        <v>0.869039528512532</v>
      </c>
      <c r="H63" s="377" t="n">
        <v>0.889133326911458</v>
      </c>
      <c r="I63" s="513" t="n">
        <v>0.109752839487534</v>
      </c>
      <c r="J63" s="513" t="n">
        <v>0.314402095471566</v>
      </c>
      <c r="K63" s="513" t="n">
        <v>0.0695</v>
      </c>
      <c r="L63" s="513" t="n">
        <v>0.229921108474205</v>
      </c>
      <c r="M63" s="513" t="n">
        <v>0.0965557151598155</v>
      </c>
      <c r="N63" s="377" t="n">
        <v>1.22176494491672</v>
      </c>
      <c r="O63" s="377" t="n">
        <v>1.16022329715286</v>
      </c>
      <c r="P63" s="377" t="n">
        <v>9.64682808766942</v>
      </c>
      <c r="Q63" s="377" t="n">
        <v>16.1517013749984</v>
      </c>
      <c r="R63" s="377" t="n">
        <v>1.32192107453002</v>
      </c>
      <c r="S63" s="377" t="n">
        <v>33.1672675704764</v>
      </c>
      <c r="T63" s="513" t="n">
        <v>0.110209021212173</v>
      </c>
      <c r="U63" s="513" t="n">
        <v>0.0324498878615313</v>
      </c>
      <c r="V63" s="513" t="n">
        <v>0.0250567263034204</v>
      </c>
      <c r="W63" s="513" t="n">
        <v>0.61457801131291</v>
      </c>
      <c r="X63" s="513" t="n">
        <v>0.0296339543692285</v>
      </c>
      <c r="Y63" s="513" t="n">
        <v>0.896487005188869</v>
      </c>
      <c r="Z63" s="513" t="n">
        <v>0.896487005188869</v>
      </c>
      <c r="AA63" s="514" t="n">
        <v>0.0665980085875687</v>
      </c>
    </row>
    <row r="64" s="525" customFormat="true" ht="12.75" hidden="false" customHeight="false" outlineLevel="0" collapsed="false">
      <c r="A64" s="512" t="s">
        <v>856</v>
      </c>
      <c r="B64" s="75" t="n">
        <v>792</v>
      </c>
      <c r="C64" s="513" t="n">
        <v>0.0940107597173144</v>
      </c>
      <c r="D64" s="513" t="n">
        <v>0.338036009554986</v>
      </c>
      <c r="E64" s="513" t="n">
        <v>0.0357710252112898</v>
      </c>
      <c r="F64" s="513" t="n">
        <v>0.0448762002700879</v>
      </c>
      <c r="G64" s="377" t="n">
        <v>0.509169984515403</v>
      </c>
      <c r="H64" s="377" t="n">
        <v>0.792606430278323</v>
      </c>
      <c r="I64" s="513" t="n">
        <v>0.10204999313621</v>
      </c>
      <c r="J64" s="513" t="n">
        <v>0.188502700447128</v>
      </c>
      <c r="K64" s="513" t="n">
        <v>0.0618</v>
      </c>
      <c r="L64" s="513" t="n">
        <v>0.439325742839989</v>
      </c>
      <c r="M64" s="513" t="n">
        <v>0.0776691483674572</v>
      </c>
      <c r="N64" s="377" t="n">
        <v>0.114753562713158</v>
      </c>
      <c r="O64" s="377" t="n">
        <v>11.5310421956625</v>
      </c>
      <c r="P64" s="377" t="n">
        <v>20.2363072382182</v>
      </c>
      <c r="Q64" s="377" t="n">
        <v>31.5518982196219</v>
      </c>
      <c r="R64" s="377" t="n">
        <v>1.39174410139427</v>
      </c>
      <c r="S64" s="377" t="n">
        <v>29.0108441559195</v>
      </c>
      <c r="T64" s="513" t="n">
        <v>0.889061447375063</v>
      </c>
      <c r="U64" s="513" t="n">
        <v>0.0510054266952454</v>
      </c>
      <c r="V64" s="513" t="n">
        <v>0.0258834613102464</v>
      </c>
      <c r="W64" s="513" t="n">
        <v>0.094640860241671</v>
      </c>
      <c r="X64" s="513" t="n">
        <v>0.0925190754380437</v>
      </c>
      <c r="Y64" s="513" t="n">
        <v>0.700883928299942</v>
      </c>
      <c r="Z64" s="513" t="n">
        <v>0.700883928299942</v>
      </c>
      <c r="AA64" s="514" t="n">
        <v>0.32145434499735</v>
      </c>
    </row>
    <row r="65" s="525" customFormat="true" ht="12.75" hidden="false" customHeight="false" outlineLevel="0" collapsed="false">
      <c r="A65" s="512" t="s">
        <v>857</v>
      </c>
      <c r="B65" s="75" t="n">
        <v>869</v>
      </c>
      <c r="C65" s="513" t="n">
        <v>0.0736512980769231</v>
      </c>
      <c r="D65" s="513" t="n">
        <v>0.104902718722365</v>
      </c>
      <c r="E65" s="513" t="n">
        <v>0.0464888131998387</v>
      </c>
      <c r="F65" s="513" t="n">
        <v>0.325374876396764</v>
      </c>
      <c r="G65" s="377" t="n">
        <v>0.501254602324422</v>
      </c>
      <c r="H65" s="377" t="n">
        <v>1.01765245089754</v>
      </c>
      <c r="I65" s="513" t="n">
        <v>0.120008665581624</v>
      </c>
      <c r="J65" s="513" t="n">
        <v>0.325561811580491</v>
      </c>
      <c r="K65" s="513" t="n">
        <v>0.0695</v>
      </c>
      <c r="L65" s="513" t="n">
        <v>0.669503908390066</v>
      </c>
      <c r="M65" s="513" t="n">
        <v>0.0747138368802717</v>
      </c>
      <c r="N65" s="377" t="n">
        <v>0.528932705008107</v>
      </c>
      <c r="O65" s="377" t="n">
        <v>1.53121312083383</v>
      </c>
      <c r="P65" s="377" t="n">
        <v>10.2172789615429</v>
      </c>
      <c r="Q65" s="377" t="n">
        <v>12.5103822897828</v>
      </c>
      <c r="R65" s="377" t="n">
        <v>0.475814409700189</v>
      </c>
      <c r="S65" s="377" t="n">
        <v>93.4286368922873</v>
      </c>
      <c r="T65" s="513" t="n">
        <v>1.88069935281772</v>
      </c>
      <c r="U65" s="513" t="n">
        <v>0.02276963315122</v>
      </c>
      <c r="V65" s="513" t="n">
        <v>0.0170392672442757</v>
      </c>
      <c r="W65" s="513" t="n">
        <v>0.16278381269454</v>
      </c>
      <c r="X65" s="513" t="n">
        <v>0.0457639667971478</v>
      </c>
      <c r="Y65" s="513" t="n">
        <v>1.07512574285077</v>
      </c>
      <c r="Z65" s="513" t="n">
        <v>1.07512574285077</v>
      </c>
      <c r="AA65" s="514" t="n">
        <v>0.104542752975794</v>
      </c>
    </row>
    <row r="66" s="525" customFormat="true" ht="12.75" hidden="false" customHeight="false" outlineLevel="0" collapsed="false">
      <c r="A66" s="512" t="s">
        <v>858</v>
      </c>
      <c r="B66" s="75" t="n">
        <v>342</v>
      </c>
      <c r="C66" s="513" t="n">
        <v>0.04986</v>
      </c>
      <c r="D66" s="513" t="n">
        <v>0.14757079111696</v>
      </c>
      <c r="E66" s="513" t="n">
        <v>0.030628603680595</v>
      </c>
      <c r="F66" s="513" t="n">
        <v>0.26693657444552</v>
      </c>
      <c r="G66" s="377" t="n">
        <v>0.529702757557128</v>
      </c>
      <c r="H66" s="377" t="n">
        <v>0.934227766351219</v>
      </c>
      <c r="I66" s="513" t="n">
        <v>0.113351375754827</v>
      </c>
      <c r="J66" s="513" t="n">
        <v>0.268033475756075</v>
      </c>
      <c r="K66" s="513" t="n">
        <v>0.0695</v>
      </c>
      <c r="L66" s="513" t="n">
        <v>0.554997532385535</v>
      </c>
      <c r="M66" s="513" t="n">
        <v>0.0794981769780412</v>
      </c>
      <c r="N66" s="377" t="n">
        <v>0.235693714617396</v>
      </c>
      <c r="O66" s="377" t="n">
        <v>3.41603124573462</v>
      </c>
      <c r="P66" s="377" t="n">
        <v>13.3464683256912</v>
      </c>
      <c r="Q66" s="377" t="n">
        <v>20.6786633850633</v>
      </c>
      <c r="R66" s="377" t="n">
        <v>0.642684617301267</v>
      </c>
      <c r="S66" s="377" t="n">
        <v>44.6903957588882</v>
      </c>
      <c r="T66" s="513" t="n">
        <v>1.18327410864527</v>
      </c>
      <c r="U66" s="513" t="n">
        <v>0.0911118753764555</v>
      </c>
      <c r="V66" s="513" t="n">
        <v>0.0717061267780433</v>
      </c>
      <c r="W66" s="513" t="n">
        <v>0.93134238136231</v>
      </c>
      <c r="X66" s="513" t="n">
        <v>0.040329748272551</v>
      </c>
      <c r="Y66" s="513" t="n">
        <v>0.544981466336424</v>
      </c>
      <c r="Z66" s="513" t="n">
        <v>0.544981466336424</v>
      </c>
      <c r="AA66" s="514" t="n">
        <v>0.15380910896269</v>
      </c>
    </row>
    <row r="67" s="525" customFormat="true" ht="12.75" hidden="false" customHeight="false" outlineLevel="0" collapsed="false">
      <c r="A67" s="512" t="s">
        <v>859</v>
      </c>
      <c r="B67" s="75" t="n">
        <v>730</v>
      </c>
      <c r="C67" s="513" t="n">
        <v>0.0998233125000001</v>
      </c>
      <c r="D67" s="513" t="n">
        <v>0.144248458693443</v>
      </c>
      <c r="E67" s="513" t="n">
        <v>0.0321495550259862</v>
      </c>
      <c r="F67" s="513" t="n">
        <v>0.226184731610197</v>
      </c>
      <c r="G67" s="377" t="n">
        <v>0.552155353556695</v>
      </c>
      <c r="H67" s="377" t="n">
        <v>0.901188067723246</v>
      </c>
      <c r="I67" s="513" t="n">
        <v>0.110714807804315</v>
      </c>
      <c r="J67" s="513" t="n">
        <v>0.299729737234721</v>
      </c>
      <c r="K67" s="513" t="n">
        <v>0.0695</v>
      </c>
      <c r="L67" s="513" t="n">
        <v>0.49710493526142</v>
      </c>
      <c r="M67" s="513" t="n">
        <v>0.0817035362056742</v>
      </c>
      <c r="N67" s="377" t="n">
        <v>0.253414375449142</v>
      </c>
      <c r="O67" s="377" t="n">
        <v>3.72033598384667</v>
      </c>
      <c r="P67" s="377" t="n">
        <v>16.1488923242792</v>
      </c>
      <c r="Q67" s="377" t="n">
        <v>23.6946950317418</v>
      </c>
      <c r="R67" s="377" t="n">
        <v>0.819749037041718</v>
      </c>
      <c r="S67" s="377" t="n">
        <v>23.7604021063942</v>
      </c>
      <c r="T67" s="513" t="n">
        <v>0.212323916940418</v>
      </c>
      <c r="U67" s="513" t="n">
        <v>0.02390975851866</v>
      </c>
      <c r="V67" s="513" t="n">
        <v>0.0771748720242712</v>
      </c>
      <c r="W67" s="513" t="n">
        <v>0.889992708721233</v>
      </c>
      <c r="X67" s="513" t="n">
        <v>0.0652655884450086</v>
      </c>
      <c r="Y67" s="513" t="n">
        <v>0.532115269095668</v>
      </c>
      <c r="Z67" s="513" t="n">
        <v>0.532115269095668</v>
      </c>
      <c r="AA67" s="514" t="n">
        <v>0.148164646716861</v>
      </c>
    </row>
    <row r="68" s="525" customFormat="true" ht="12.75" hidden="false" customHeight="false" outlineLevel="0" collapsed="false">
      <c r="A68" s="512" t="s">
        <v>860</v>
      </c>
      <c r="B68" s="75" t="n">
        <v>323</v>
      </c>
      <c r="C68" s="513" t="n">
        <v>0.0510767391304348</v>
      </c>
      <c r="D68" s="513" t="n">
        <v>0.100084982586762</v>
      </c>
      <c r="E68" s="513" t="n">
        <v>0.0873145903812086</v>
      </c>
      <c r="F68" s="513" t="n">
        <v>0.232605715701212</v>
      </c>
      <c r="G68" s="377" t="n">
        <v>0.985897623363763</v>
      </c>
      <c r="H68" s="377" t="n">
        <v>1.10919609631904</v>
      </c>
      <c r="I68" s="513" t="n">
        <v>0.127313848486259</v>
      </c>
      <c r="J68" s="513" t="n">
        <v>0.331793990496706</v>
      </c>
      <c r="K68" s="513" t="n">
        <v>0.0695</v>
      </c>
      <c r="L68" s="513" t="n">
        <v>0.247022709159576</v>
      </c>
      <c r="M68" s="513" t="n">
        <v>0.10879715009294</v>
      </c>
      <c r="N68" s="377" t="n">
        <v>1.04863541634248</v>
      </c>
      <c r="O68" s="377" t="n">
        <v>2.09742763441089</v>
      </c>
      <c r="P68" s="377" t="n">
        <v>12.2747125071938</v>
      </c>
      <c r="Q68" s="377" t="n">
        <v>20.5307327672446</v>
      </c>
      <c r="R68" s="377" t="n">
        <v>2.57252589210406</v>
      </c>
      <c r="S68" s="377" t="n">
        <v>47.1757847177114</v>
      </c>
      <c r="T68" s="513" t="n">
        <v>0.313893919485496</v>
      </c>
      <c r="U68" s="513" t="n">
        <v>0.0685008365683624</v>
      </c>
      <c r="V68" s="513" t="n">
        <v>0.0610534416232738</v>
      </c>
      <c r="W68" s="513" t="n">
        <v>1.36403771993324</v>
      </c>
      <c r="X68" s="513" t="n">
        <v>0.0752427025591887</v>
      </c>
      <c r="Y68" s="513" t="n">
        <v>0.568478763163867</v>
      </c>
      <c r="Z68" s="513" t="n">
        <v>0.568478763163867</v>
      </c>
      <c r="AA68" s="514" t="n">
        <v>0.0968089732530235</v>
      </c>
    </row>
    <row r="69" s="525" customFormat="true" ht="12.75" hidden="false" customHeight="false" outlineLevel="0" collapsed="false">
      <c r="A69" s="512" t="s">
        <v>861</v>
      </c>
      <c r="B69" s="75" t="n">
        <v>34</v>
      </c>
      <c r="C69" s="513" t="n">
        <v>0.0311539285714286</v>
      </c>
      <c r="D69" s="513" t="n">
        <v>0.0160076900191549</v>
      </c>
      <c r="E69" s="513" t="n">
        <v>0.0226891808508255</v>
      </c>
      <c r="F69" s="513" t="n">
        <v>0.179781592035697</v>
      </c>
      <c r="G69" s="377" t="n">
        <v>1.08953231745848</v>
      </c>
      <c r="H69" s="377" t="n">
        <v>1.15990965799982</v>
      </c>
      <c r="I69" s="513" t="n">
        <v>0.131360790708386</v>
      </c>
      <c r="J69" s="513" t="n">
        <v>0.283233034080987</v>
      </c>
      <c r="K69" s="513" t="n">
        <v>0.0695</v>
      </c>
      <c r="L69" s="513" t="n">
        <v>0.260150152525712</v>
      </c>
      <c r="M69" s="513" t="n">
        <v>0.110807253107586</v>
      </c>
      <c r="N69" s="377" t="n">
        <v>1.57336917080792</v>
      </c>
      <c r="O69" s="377" t="n">
        <v>0.696197909256585</v>
      </c>
      <c r="P69" s="377" t="n">
        <v>17.7662804159753</v>
      </c>
      <c r="Q69" s="377" t="n">
        <v>37.8291265629556</v>
      </c>
      <c r="R69" s="377" t="n">
        <v>1.3931599445632</v>
      </c>
      <c r="S69" s="377" t="n">
        <v>15.6438527040328</v>
      </c>
      <c r="T69" s="513" t="n">
        <v>-0.526243837236678</v>
      </c>
      <c r="U69" s="513" t="n">
        <v>0.000759244516457314</v>
      </c>
      <c r="V69" s="513" t="n">
        <v>0.016224944864917</v>
      </c>
      <c r="W69" s="513" t="n">
        <v>2.89421189346408</v>
      </c>
      <c r="X69" s="513" t="n">
        <v>0.0198334683031931</v>
      </c>
      <c r="Y69" s="513" t="n">
        <v>1.15165212446575</v>
      </c>
      <c r="Z69" s="513" t="n">
        <v>1.15165212446575</v>
      </c>
      <c r="AA69" s="514" t="n">
        <v>0.0159993258351029</v>
      </c>
    </row>
    <row r="70" s="525" customFormat="true" ht="12.75" hidden="false" customHeight="false" outlineLevel="0" collapsed="false">
      <c r="A70" s="512" t="s">
        <v>862</v>
      </c>
      <c r="B70" s="75" t="n">
        <v>382</v>
      </c>
      <c r="C70" s="513" t="n">
        <v>-0.00282148148148149</v>
      </c>
      <c r="D70" s="513" t="n">
        <v>0.10371730864333</v>
      </c>
      <c r="E70" s="513" t="n">
        <v>0.129836322289626</v>
      </c>
      <c r="F70" s="513" t="n">
        <v>0.208212506376638</v>
      </c>
      <c r="G70" s="377" t="n">
        <v>0.828925287810084</v>
      </c>
      <c r="H70" s="377" t="n">
        <v>0.995320736809594</v>
      </c>
      <c r="I70" s="513" t="n">
        <v>0.118226594797406</v>
      </c>
      <c r="J70" s="513" t="n">
        <v>0.31360962157417</v>
      </c>
      <c r="K70" s="513" t="n">
        <v>0.0695</v>
      </c>
      <c r="L70" s="513" t="n">
        <v>0.246145119024399</v>
      </c>
      <c r="M70" s="513" t="n">
        <v>0.102012463261344</v>
      </c>
      <c r="N70" s="377" t="n">
        <v>1.62432486072972</v>
      </c>
      <c r="O70" s="377" t="n">
        <v>2.86846169183278</v>
      </c>
      <c r="P70" s="377" t="n">
        <v>16.5454677240219</v>
      </c>
      <c r="Q70" s="377" t="n">
        <v>30.6213142886601</v>
      </c>
      <c r="R70" s="377" t="n">
        <v>14.3818178222363</v>
      </c>
      <c r="S70" s="377" t="n">
        <v>55.5445617102816</v>
      </c>
      <c r="T70" s="513" t="n">
        <v>-0.00774422296650445</v>
      </c>
      <c r="U70" s="513" t="n">
        <v>0.0457560359076124</v>
      </c>
      <c r="V70" s="513" t="n">
        <v>0.0247235413177909</v>
      </c>
      <c r="W70" s="513" t="n">
        <v>0.37280426770845</v>
      </c>
      <c r="X70" s="513" t="n">
        <v>0.368507521257062</v>
      </c>
      <c r="Y70" s="513" t="n">
        <v>0.621372100320868</v>
      </c>
      <c r="Z70" s="513" t="n">
        <v>0.621372100320868</v>
      </c>
      <c r="AA70" s="514" t="n">
        <v>0.0919425540596246</v>
      </c>
    </row>
    <row r="71" s="525" customFormat="true" ht="12.75" hidden="false" customHeight="false" outlineLevel="0" collapsed="false">
      <c r="A71" s="512" t="s">
        <v>863</v>
      </c>
      <c r="B71" s="75" t="n">
        <v>193</v>
      </c>
      <c r="C71" s="513" t="n">
        <v>0.0881888059701492</v>
      </c>
      <c r="D71" s="513" t="n">
        <v>0.0505746735292836</v>
      </c>
      <c r="E71" s="513" t="n">
        <v>0.123841343621014</v>
      </c>
      <c r="F71" s="513" t="n">
        <v>0.236680244748909</v>
      </c>
      <c r="G71" s="377" t="n">
        <v>0.718568933231289</v>
      </c>
      <c r="H71" s="377" t="n">
        <v>0.983133952194637</v>
      </c>
      <c r="I71" s="513" t="n">
        <v>0.117254089385132</v>
      </c>
      <c r="J71" s="513" t="n">
        <v>0.30421163829693</v>
      </c>
      <c r="K71" s="513" t="n">
        <v>0.0695</v>
      </c>
      <c r="L71" s="513" t="n">
        <v>0.368861294250227</v>
      </c>
      <c r="M71" s="513" t="n">
        <v>0.0933150875190298</v>
      </c>
      <c r="N71" s="377" t="n">
        <v>3.17400734276148</v>
      </c>
      <c r="O71" s="377" t="n">
        <v>0.716728345244149</v>
      </c>
      <c r="P71" s="377" t="n">
        <v>9.63204494630076</v>
      </c>
      <c r="Q71" s="377" t="n">
        <v>14.2488705959721</v>
      </c>
      <c r="R71" s="377" t="n">
        <v>3.13141932134036</v>
      </c>
      <c r="S71" s="377" t="n">
        <v>24.1047048284778</v>
      </c>
      <c r="T71" s="513" t="n">
        <v>0.0962362664274681</v>
      </c>
      <c r="U71" s="513" t="n">
        <v>0.01790124484028</v>
      </c>
      <c r="V71" s="513" t="n">
        <v>0.0331790510863578</v>
      </c>
      <c r="W71" s="513" t="n">
        <v>1.26967965174645</v>
      </c>
      <c r="X71" s="513" t="n">
        <v>0.212670519345634</v>
      </c>
      <c r="Y71" s="513" t="n">
        <v>0.256565884137904</v>
      </c>
      <c r="Z71" s="513" t="n">
        <v>0.256565884137904</v>
      </c>
      <c r="AA71" s="514" t="n">
        <v>0.0483433388836215</v>
      </c>
    </row>
    <row r="72" s="525" customFormat="true" ht="12.75" hidden="false" customHeight="false" outlineLevel="0" collapsed="false">
      <c r="A72" s="512" t="s">
        <v>864</v>
      </c>
      <c r="B72" s="75" t="n">
        <v>98</v>
      </c>
      <c r="C72" s="513" t="n">
        <v>0.049730985915493</v>
      </c>
      <c r="D72" s="513" t="n">
        <v>0.124564926073721</v>
      </c>
      <c r="E72" s="513" t="n">
        <v>0.29843243697346</v>
      </c>
      <c r="F72" s="513" t="n">
        <v>0.248588516529141</v>
      </c>
      <c r="G72" s="377" t="n">
        <v>0.934377659210008</v>
      </c>
      <c r="H72" s="377" t="n">
        <v>1.07922242412048</v>
      </c>
      <c r="I72" s="513" t="n">
        <v>0.124921949444814</v>
      </c>
      <c r="J72" s="513" t="n">
        <v>0.277923659220324</v>
      </c>
      <c r="K72" s="513" t="n">
        <v>0.0695</v>
      </c>
      <c r="L72" s="513" t="n">
        <v>0.193887016701712</v>
      </c>
      <c r="M72" s="513" t="n">
        <v>0.110852034079254</v>
      </c>
      <c r="N72" s="377" t="n">
        <v>3.01011368220432</v>
      </c>
      <c r="O72" s="377" t="n">
        <v>1.73308030630879</v>
      </c>
      <c r="P72" s="377" t="n">
        <v>11.1828120432041</v>
      </c>
      <c r="Q72" s="377" t="n">
        <v>13.9844036785419</v>
      </c>
      <c r="R72" s="377" t="n">
        <v>16.9420989774394</v>
      </c>
      <c r="S72" s="377" t="n">
        <v>20.8083758899526</v>
      </c>
      <c r="T72" s="513" t="n">
        <v>0.102681860813062</v>
      </c>
      <c r="U72" s="513" t="n">
        <v>0.0237135892725729</v>
      </c>
      <c r="V72" s="513" t="n">
        <v>0.00553796040414603</v>
      </c>
      <c r="W72" s="513" t="n">
        <v>0.415288505244853</v>
      </c>
      <c r="X72" s="513" t="n">
        <v>0.620691709742167</v>
      </c>
      <c r="Y72" s="513" t="n">
        <v>0.405239334594901</v>
      </c>
      <c r="Z72" s="513" t="n">
        <v>0.405239334594901</v>
      </c>
      <c r="AA72" s="514" t="n">
        <v>0.123768777259251</v>
      </c>
    </row>
    <row r="73" s="525" customFormat="true" ht="12.75" hidden="false" customHeight="false" outlineLevel="0" collapsed="false">
      <c r="A73" s="512" t="s">
        <v>865</v>
      </c>
      <c r="B73" s="75" t="n">
        <v>1006</v>
      </c>
      <c r="C73" s="513" t="n">
        <v>0.0735001519337017</v>
      </c>
      <c r="D73" s="513" t="n">
        <v>0.0547830569604556</v>
      </c>
      <c r="E73" s="513" t="n">
        <v>0.0896528867012526</v>
      </c>
      <c r="F73" s="513" t="n">
        <v>0.22892357039635</v>
      </c>
      <c r="G73" s="377" t="n">
        <v>0.597601599694961</v>
      </c>
      <c r="H73" s="377" t="n">
        <v>0.828851939037752</v>
      </c>
      <c r="I73" s="513" t="n">
        <v>0.104942384735213</v>
      </c>
      <c r="J73" s="513" t="n">
        <v>0.326395000960849</v>
      </c>
      <c r="K73" s="513" t="n">
        <v>0.0695</v>
      </c>
      <c r="L73" s="513" t="n">
        <v>0.409061631032047</v>
      </c>
      <c r="M73" s="513" t="n">
        <v>0.0834306374736566</v>
      </c>
      <c r="N73" s="377" t="n">
        <v>1.96160822021762</v>
      </c>
      <c r="O73" s="377" t="n">
        <v>0.733834434333828</v>
      </c>
      <c r="P73" s="377" t="n">
        <v>10.2029122546573</v>
      </c>
      <c r="Q73" s="377" t="n">
        <v>12.8086508872422</v>
      </c>
      <c r="R73" s="377" t="n">
        <v>1.51129505181772</v>
      </c>
      <c r="S73" s="377" t="n">
        <v>51.2981929630034</v>
      </c>
      <c r="T73" s="513" t="n">
        <v>0.163391314971729</v>
      </c>
      <c r="U73" s="513" t="n">
        <v>0.0251278131594681</v>
      </c>
      <c r="V73" s="513" t="n">
        <v>0.0355096152161609</v>
      </c>
      <c r="W73" s="513" t="n">
        <v>1.26206945421816</v>
      </c>
      <c r="X73" s="513" t="n">
        <v>0.149047067974306</v>
      </c>
      <c r="Y73" s="513" t="n">
        <v>0.309747714744437</v>
      </c>
      <c r="Z73" s="513" t="n">
        <v>0.309747714744437</v>
      </c>
      <c r="AA73" s="514" t="n">
        <v>0.0552100206027481</v>
      </c>
    </row>
    <row r="74" s="525" customFormat="true" ht="12.75" hidden="false" customHeight="false" outlineLevel="0" collapsed="false">
      <c r="A74" s="512" t="s">
        <v>866</v>
      </c>
      <c r="B74" s="75" t="n">
        <v>189</v>
      </c>
      <c r="C74" s="513" t="n">
        <v>-0.0289608484848485</v>
      </c>
      <c r="D74" s="513" t="n">
        <v>0.0473440644915211</v>
      </c>
      <c r="E74" s="513" t="n">
        <v>0.116496913492536</v>
      </c>
      <c r="F74" s="513" t="n">
        <v>0.25420587989524</v>
      </c>
      <c r="G74" s="377" t="n">
        <v>0.734760657441211</v>
      </c>
      <c r="H74" s="377" t="n">
        <v>0.890537056259312</v>
      </c>
      <c r="I74" s="513" t="n">
        <v>0.109864857089493</v>
      </c>
      <c r="J74" s="513" t="n">
        <v>0.272759678972164</v>
      </c>
      <c r="K74" s="513" t="n">
        <v>0.0695</v>
      </c>
      <c r="L74" s="513" t="n">
        <v>0.267315378585188</v>
      </c>
      <c r="M74" s="513" t="n">
        <v>0.0944914141142391</v>
      </c>
      <c r="N74" s="377" t="n">
        <v>3.0944631955801</v>
      </c>
      <c r="O74" s="377" t="n">
        <v>0.864564949511907</v>
      </c>
      <c r="P74" s="377" t="n">
        <v>11.278125345957</v>
      </c>
      <c r="Q74" s="377" t="n">
        <v>18.6067666562141</v>
      </c>
      <c r="R74" s="377" t="n">
        <v>3.35124225791585</v>
      </c>
      <c r="S74" s="377" t="n">
        <v>36.6803578577689</v>
      </c>
      <c r="T74" s="513" t="n">
        <v>0.00512089784637355</v>
      </c>
      <c r="U74" s="513" t="n">
        <v>0.0303844828057118</v>
      </c>
      <c r="V74" s="513" t="n">
        <v>0.0124041237173951</v>
      </c>
      <c r="W74" s="513" t="n">
        <v>0.7924199763425</v>
      </c>
      <c r="X74" s="513" t="n">
        <v>0.126675394178977</v>
      </c>
      <c r="Y74" s="513" t="n">
        <v>0.465699536448877</v>
      </c>
      <c r="Z74" s="513" t="n">
        <v>0.465699536448877</v>
      </c>
      <c r="AA74" s="514" t="n">
        <v>0.0461134659910213</v>
      </c>
    </row>
    <row r="75" s="525" customFormat="true" ht="12.75" hidden="false" customHeight="false" outlineLevel="0" collapsed="false">
      <c r="A75" s="512" t="s">
        <v>867</v>
      </c>
      <c r="B75" s="75" t="n">
        <v>181</v>
      </c>
      <c r="C75" s="513" t="n">
        <v>0.0465301360544218</v>
      </c>
      <c r="D75" s="513" t="n">
        <v>0.0452575689916368</v>
      </c>
      <c r="E75" s="513" t="n">
        <v>0.109306157945409</v>
      </c>
      <c r="F75" s="513" t="n">
        <v>0.234389241271554</v>
      </c>
      <c r="G75" s="377" t="n">
        <v>0.528545363950172</v>
      </c>
      <c r="H75" s="377" t="n">
        <v>0.705402735691571</v>
      </c>
      <c r="I75" s="513" t="n">
        <v>0.0950911383081874</v>
      </c>
      <c r="J75" s="513" t="n">
        <v>0.2395250060619</v>
      </c>
      <c r="K75" s="513" t="n">
        <v>0.0618</v>
      </c>
      <c r="L75" s="513" t="n">
        <v>0.36670130796647</v>
      </c>
      <c r="M75" s="513" t="n">
        <v>0.0772924842035471</v>
      </c>
      <c r="N75" s="377" t="n">
        <v>3.12640144952359</v>
      </c>
      <c r="O75" s="377" t="n">
        <v>0.648147233253108</v>
      </c>
      <c r="P75" s="377" t="n">
        <v>9.03982781108722</v>
      </c>
      <c r="Q75" s="377" t="n">
        <v>14.2849688682666</v>
      </c>
      <c r="R75" s="377" t="n">
        <v>2.30475874134317</v>
      </c>
      <c r="S75" s="377" t="n">
        <v>35.3170188955445</v>
      </c>
      <c r="T75" s="513" t="n">
        <v>-0.029975171328979</v>
      </c>
      <c r="U75" s="513" t="n">
        <v>0.0271349114937774</v>
      </c>
      <c r="V75" s="513" t="n">
        <v>0.00784266148364296</v>
      </c>
      <c r="W75" s="513" t="n">
        <v>0.260209926472429</v>
      </c>
      <c r="X75" s="513" t="n">
        <v>0.146928678874697</v>
      </c>
      <c r="Y75" s="513" t="n">
        <v>0.336806987688372</v>
      </c>
      <c r="Z75" s="513" t="n">
        <v>0.336806987688371</v>
      </c>
      <c r="AA75" s="514" t="n">
        <v>0.044358506222622</v>
      </c>
    </row>
    <row r="76" s="525" customFormat="true" ht="12.75" hidden="false" customHeight="false" outlineLevel="0" collapsed="false">
      <c r="A76" s="512" t="s">
        <v>868</v>
      </c>
      <c r="B76" s="75" t="n">
        <v>342</v>
      </c>
      <c r="C76" s="513" t="n">
        <v>0.165509806451613</v>
      </c>
      <c r="D76" s="513" t="n">
        <v>0.00179670250867498</v>
      </c>
      <c r="E76" s="513" t="n">
        <v>0.0192741027959202</v>
      </c>
      <c r="F76" s="513" t="n">
        <v>0.040840600088228</v>
      </c>
      <c r="G76" s="377" t="n">
        <v>1.49050340664799</v>
      </c>
      <c r="H76" s="377" t="n">
        <v>1.59201027229133</v>
      </c>
      <c r="I76" s="513" t="n">
        <v>0.165842419728848</v>
      </c>
      <c r="J76" s="513" t="n">
        <v>0.463507362871258</v>
      </c>
      <c r="K76" s="513" t="n">
        <v>0.0695</v>
      </c>
      <c r="L76" s="513" t="n">
        <v>0.170383871881721</v>
      </c>
      <c r="M76" s="513" t="n">
        <v>0.146505882996064</v>
      </c>
      <c r="N76" s="377" t="n">
        <v>1.30821272677734</v>
      </c>
      <c r="O76" s="377" t="n">
        <v>2.04335008025906</v>
      </c>
      <c r="P76" s="377" t="n">
        <v>16.9983398244562</v>
      </c>
      <c r="Q76" s="377" t="s">
        <v>800</v>
      </c>
      <c r="R76" s="377" t="n">
        <v>4.24258380101751</v>
      </c>
      <c r="S76" s="377" t="n">
        <v>90.3025882842172</v>
      </c>
      <c r="T76" s="513" t="n">
        <v>-0.0228714006977956</v>
      </c>
      <c r="U76" s="513" t="n">
        <v>0.0949522429493207</v>
      </c>
      <c r="V76" s="513" t="n">
        <v>0.0643356298852415</v>
      </c>
      <c r="W76" s="513" t="s">
        <v>800</v>
      </c>
      <c r="X76" s="513" t="n">
        <v>-0.00129138628222854</v>
      </c>
      <c r="Y76" s="513" t="n">
        <v>0.00384941758028432</v>
      </c>
      <c r="Z76" s="513" t="n">
        <v>0.00384941758028434</v>
      </c>
      <c r="AA76" s="514" t="n">
        <v>0.0145969612579355</v>
      </c>
    </row>
    <row r="77" s="525" customFormat="true" ht="12.75" hidden="false" customHeight="false" outlineLevel="0" collapsed="false">
      <c r="A77" s="512" t="s">
        <v>869</v>
      </c>
      <c r="B77" s="75" t="n">
        <v>495</v>
      </c>
      <c r="C77" s="513" t="n">
        <v>0.0277468156424581</v>
      </c>
      <c r="D77" s="513" t="n">
        <v>0.0564111196534176</v>
      </c>
      <c r="E77" s="513" t="n">
        <v>0.121085575046276</v>
      </c>
      <c r="F77" s="513" t="n">
        <v>0.230394976437839</v>
      </c>
      <c r="G77" s="377" t="n">
        <v>0.956178888722433</v>
      </c>
      <c r="H77" s="377" t="n">
        <v>1.09012561633869</v>
      </c>
      <c r="I77" s="513" t="n">
        <v>0.125792024183827</v>
      </c>
      <c r="J77" s="513" t="n">
        <v>0.317911002669897</v>
      </c>
      <c r="K77" s="513" t="n">
        <v>0.0695</v>
      </c>
      <c r="L77" s="513" t="n">
        <v>0.237387483433223</v>
      </c>
      <c r="M77" s="513" t="n">
        <v>0.10835883952014</v>
      </c>
      <c r="N77" s="377" t="n">
        <v>2.51745857841933</v>
      </c>
      <c r="O77" s="377" t="n">
        <v>1.10551681464201</v>
      </c>
      <c r="P77" s="377" t="n">
        <v>10.5629275679674</v>
      </c>
      <c r="Q77" s="377" t="n">
        <v>18.2926138275374</v>
      </c>
      <c r="R77" s="377" t="n">
        <v>3.36648740191247</v>
      </c>
      <c r="S77" s="377" t="n">
        <v>29.9063839759822</v>
      </c>
      <c r="T77" s="513" t="n">
        <v>0.0836689476062929</v>
      </c>
      <c r="U77" s="513" t="n">
        <v>0.022451028705298</v>
      </c>
      <c r="V77" s="513" t="n">
        <v>0.0068208137188517</v>
      </c>
      <c r="W77" s="513" t="n">
        <v>0.622160784193878</v>
      </c>
      <c r="X77" s="513" t="n">
        <v>0.120407823198439</v>
      </c>
      <c r="Y77" s="513" t="n">
        <v>0.525527360937459</v>
      </c>
      <c r="Z77" s="513" t="n">
        <v>0.525527360937459</v>
      </c>
      <c r="AA77" s="514" t="n">
        <v>0.0583667032662152</v>
      </c>
    </row>
    <row r="78" s="525" customFormat="true" ht="12.75" hidden="false" customHeight="false" outlineLevel="0" collapsed="false">
      <c r="A78" s="512" t="s">
        <v>870</v>
      </c>
      <c r="B78" s="75" t="n">
        <v>89</v>
      </c>
      <c r="C78" s="513" t="n">
        <v>0.0563284722222223</v>
      </c>
      <c r="D78" s="513" t="n">
        <v>0.0750618151440772</v>
      </c>
      <c r="E78" s="513" t="n">
        <v>0.0672789242180093</v>
      </c>
      <c r="F78" s="513" t="n">
        <v>0.216978532214065</v>
      </c>
      <c r="G78" s="377" t="n">
        <v>0.930064245668829</v>
      </c>
      <c r="H78" s="377" t="n">
        <v>1.15949889986204</v>
      </c>
      <c r="I78" s="513" t="n">
        <v>0.131328012208991</v>
      </c>
      <c r="J78" s="513" t="n">
        <v>0.277347677948897</v>
      </c>
      <c r="K78" s="513" t="n">
        <v>0.0695</v>
      </c>
      <c r="L78" s="513" t="n">
        <v>0.338598430768271</v>
      </c>
      <c r="M78" s="513" t="n">
        <v>0.104587654113003</v>
      </c>
      <c r="N78" s="377" t="n">
        <v>1.09361665605899</v>
      </c>
      <c r="O78" s="377" t="n">
        <v>0.974773681005228</v>
      </c>
      <c r="P78" s="377" t="n">
        <v>7.11195799310661</v>
      </c>
      <c r="Q78" s="377" t="n">
        <v>12.7651531487329</v>
      </c>
      <c r="R78" s="377" t="n">
        <v>1.11207913430858</v>
      </c>
      <c r="S78" s="377" t="n">
        <v>60.490352513412</v>
      </c>
      <c r="T78" s="513" t="n">
        <v>0.245074147078595</v>
      </c>
      <c r="U78" s="513" t="n">
        <v>0.0624843831291955</v>
      </c>
      <c r="V78" s="513" t="n">
        <v>0.0220363021122004</v>
      </c>
      <c r="W78" s="513" t="n">
        <v>1.25783119500859</v>
      </c>
      <c r="X78" s="513" t="n">
        <v>0.0690800502111456</v>
      </c>
      <c r="Y78" s="513" t="n">
        <v>0.452193317974622</v>
      </c>
      <c r="Z78" s="513" t="n">
        <v>0.452193317974622</v>
      </c>
      <c r="AA78" s="514" t="n">
        <v>0.0735785624263495</v>
      </c>
    </row>
    <row r="79" s="525" customFormat="true" ht="12.75" hidden="false" customHeight="false" outlineLevel="0" collapsed="false">
      <c r="A79" s="512" t="s">
        <v>14</v>
      </c>
      <c r="B79" s="75" t="n">
        <v>624</v>
      </c>
      <c r="C79" s="513" t="n">
        <v>0.0881332808988765</v>
      </c>
      <c r="D79" s="513" t="n">
        <v>0.229589515152798</v>
      </c>
      <c r="E79" s="513" t="n">
        <v>0.182152852479841</v>
      </c>
      <c r="F79" s="513" t="n">
        <v>0.128336300694147</v>
      </c>
      <c r="G79" s="377" t="n">
        <v>1.67159978509862</v>
      </c>
      <c r="H79" s="377" t="n">
        <v>1.69154253495523</v>
      </c>
      <c r="I79" s="513" t="n">
        <v>0.173785094289427</v>
      </c>
      <c r="J79" s="513" t="n">
        <v>0.373449518336703</v>
      </c>
      <c r="K79" s="513" t="n">
        <v>0.0695</v>
      </c>
      <c r="L79" s="513" t="n">
        <v>0.104043708534562</v>
      </c>
      <c r="M79" s="513" t="n">
        <v>0.161150989323443</v>
      </c>
      <c r="N79" s="377" t="n">
        <v>0.834967709041912</v>
      </c>
      <c r="O79" s="377" t="n">
        <v>3.75487961652305</v>
      </c>
      <c r="P79" s="377" t="n">
        <v>10.5034316990074</v>
      </c>
      <c r="Q79" s="377" t="n">
        <v>15.9969510922884</v>
      </c>
      <c r="R79" s="377" t="n">
        <v>3.26146829817354</v>
      </c>
      <c r="S79" s="377" t="n">
        <v>74.1331203159466</v>
      </c>
      <c r="T79" s="513" t="n">
        <v>0.166272214794691</v>
      </c>
      <c r="U79" s="513" t="n">
        <v>0.188600602995167</v>
      </c>
      <c r="V79" s="513" t="n">
        <v>0.122061705689411</v>
      </c>
      <c r="W79" s="513" t="n">
        <v>0.876150237898221</v>
      </c>
      <c r="X79" s="513" t="n">
        <v>0.22004463854331</v>
      </c>
      <c r="Y79" s="513" t="n">
        <v>0.325982022498188</v>
      </c>
      <c r="Z79" s="513" t="n">
        <v>0.325982022498188</v>
      </c>
      <c r="AA79" s="514" t="n">
        <v>0.241933998200836</v>
      </c>
    </row>
    <row r="80" s="525" customFormat="true" ht="12.75" hidden="false" customHeight="false" outlineLevel="0" collapsed="false">
      <c r="A80" s="512" t="s">
        <v>871</v>
      </c>
      <c r="B80" s="75" t="n">
        <v>342</v>
      </c>
      <c r="C80" s="513" t="n">
        <v>0.104967368421053</v>
      </c>
      <c r="D80" s="513" t="n">
        <v>0.243701326742863</v>
      </c>
      <c r="E80" s="513" t="n">
        <v>0.263864679816793</v>
      </c>
      <c r="F80" s="513" t="n">
        <v>0.164613214169514</v>
      </c>
      <c r="G80" s="377" t="n">
        <v>1.98290520129208</v>
      </c>
      <c r="H80" s="377" t="n">
        <v>1.96251844521686</v>
      </c>
      <c r="I80" s="513" t="n">
        <v>0.195408971928306</v>
      </c>
      <c r="J80" s="513" t="n">
        <v>0.332678715060382</v>
      </c>
      <c r="K80" s="513" t="n">
        <v>0.0695</v>
      </c>
      <c r="L80" s="513" t="n">
        <v>0.0662046245354478</v>
      </c>
      <c r="M80" s="513" t="n">
        <v>0.185938094395482</v>
      </c>
      <c r="N80" s="377" t="n">
        <v>1.23431260230173</v>
      </c>
      <c r="O80" s="377" t="n">
        <v>4.14418699937361</v>
      </c>
      <c r="P80" s="377" t="n">
        <v>14.3866907856141</v>
      </c>
      <c r="Q80" s="377" t="n">
        <v>16.6222603714408</v>
      </c>
      <c r="R80" s="377" t="n">
        <v>5.36788403033393</v>
      </c>
      <c r="S80" s="377" t="n">
        <v>28.7443694208901</v>
      </c>
      <c r="T80" s="513" t="n">
        <v>0.293098980810449</v>
      </c>
      <c r="U80" s="513" t="n">
        <v>0.0825185119436817</v>
      </c>
      <c r="V80" s="513" t="n">
        <v>0.112194044765372</v>
      </c>
      <c r="W80" s="513" t="n">
        <v>0.895770653774445</v>
      </c>
      <c r="X80" s="513" t="n">
        <v>0.303218181012323</v>
      </c>
      <c r="Y80" s="513" t="n">
        <v>0.240456188858917</v>
      </c>
      <c r="Z80" s="513" t="n">
        <v>0.240456188858917</v>
      </c>
      <c r="AA80" s="514" t="n">
        <v>0.248941600176815</v>
      </c>
    </row>
    <row r="81" s="525" customFormat="true" ht="12.75" hidden="false" customHeight="false" outlineLevel="0" collapsed="false">
      <c r="A81" s="512" t="s">
        <v>872</v>
      </c>
      <c r="B81" s="75" t="n">
        <v>349</v>
      </c>
      <c r="C81" s="513" t="n">
        <v>0.11346185873606</v>
      </c>
      <c r="D81" s="513" t="n">
        <v>0.331920297564409</v>
      </c>
      <c r="E81" s="513" t="n">
        <v>0.326993175219853</v>
      </c>
      <c r="F81" s="513" t="n">
        <v>0.0929043707659163</v>
      </c>
      <c r="G81" s="377" t="n">
        <v>1.0486074968125</v>
      </c>
      <c r="H81" s="377" t="n">
        <v>1.09506002255266</v>
      </c>
      <c r="I81" s="513" t="n">
        <v>0.126185789799702</v>
      </c>
      <c r="J81" s="513" t="n">
        <v>0.33913461678438</v>
      </c>
      <c r="K81" s="513" t="n">
        <v>0.0695</v>
      </c>
      <c r="L81" s="513" t="n">
        <v>0.333420935913637</v>
      </c>
      <c r="M81" s="513" t="n">
        <v>0.101568842041834</v>
      </c>
      <c r="N81" s="377" t="n">
        <v>1.11924655624941</v>
      </c>
      <c r="O81" s="377" t="n">
        <v>1.0044824108835</v>
      </c>
      <c r="P81" s="377" t="n">
        <v>2.57520793595124</v>
      </c>
      <c r="Q81" s="377" t="n">
        <v>2.93706698719851</v>
      </c>
      <c r="R81" s="377" t="n">
        <v>0.902983609861768</v>
      </c>
      <c r="S81" s="377" t="n">
        <v>17.5441390361583</v>
      </c>
      <c r="T81" s="513" t="n">
        <v>0.0326299198511205</v>
      </c>
      <c r="U81" s="513" t="n">
        <v>0.0685000680232705</v>
      </c>
      <c r="V81" s="513" t="n">
        <v>0.0371156155851082</v>
      </c>
      <c r="W81" s="513" t="n">
        <v>0.10442336279858</v>
      </c>
      <c r="X81" s="513" t="n">
        <v>0.522039773536336</v>
      </c>
      <c r="Y81" s="513" t="n">
        <v>0.313115415658176</v>
      </c>
      <c r="Z81" s="513" t="n">
        <v>0.313115415658176</v>
      </c>
      <c r="AA81" s="514" t="n">
        <v>0.333024258870171</v>
      </c>
    </row>
    <row r="82" s="525" customFormat="true" ht="12.75" hidden="false" customHeight="false" outlineLevel="0" collapsed="false">
      <c r="A82" s="512" t="s">
        <v>873</v>
      </c>
      <c r="B82" s="75" t="n">
        <v>85</v>
      </c>
      <c r="C82" s="513" t="n">
        <v>0.00277761904761905</v>
      </c>
      <c r="D82" s="513" t="n">
        <v>0.0994080527359341</v>
      </c>
      <c r="E82" s="513" t="n">
        <v>0.171563916467284</v>
      </c>
      <c r="F82" s="513" t="n">
        <v>0.162960018456022</v>
      </c>
      <c r="G82" s="377" t="n">
        <v>0.979181546711328</v>
      </c>
      <c r="H82" s="377" t="n">
        <v>1.02053146023808</v>
      </c>
      <c r="I82" s="513" t="n">
        <v>0.120238410526999</v>
      </c>
      <c r="J82" s="513" t="n">
        <v>0.352542931120207</v>
      </c>
      <c r="K82" s="513" t="n">
        <v>0.0695</v>
      </c>
      <c r="L82" s="513" t="n">
        <v>0.110280601054706</v>
      </c>
      <c r="M82" s="513" t="n">
        <v>0.112752115530047</v>
      </c>
      <c r="N82" s="377" t="n">
        <v>2.01772632291142</v>
      </c>
      <c r="O82" s="377" t="n">
        <v>2.42230295575876</v>
      </c>
      <c r="P82" s="377" t="n">
        <v>17.7124727617004</v>
      </c>
      <c r="Q82" s="377" t="n">
        <v>23.4741116788698</v>
      </c>
      <c r="R82" s="377" t="n">
        <v>5.25688738442242</v>
      </c>
      <c r="S82" s="377" t="n">
        <v>44.4794281832038</v>
      </c>
      <c r="T82" s="513" t="n">
        <v>0.234337783453567</v>
      </c>
      <c r="U82" s="513" t="n">
        <v>0.0186998713409762</v>
      </c>
      <c r="V82" s="513" t="n">
        <v>0.0139032154484737</v>
      </c>
      <c r="W82" s="513" t="n">
        <v>0.557345446362549</v>
      </c>
      <c r="X82" s="513" t="n">
        <v>0.210685254589035</v>
      </c>
      <c r="Y82" s="513" t="n">
        <v>0.307721565136529</v>
      </c>
      <c r="Z82" s="513" t="n">
        <v>0.307721565136529</v>
      </c>
      <c r="AA82" s="514" t="n">
        <v>0.0993085614798471</v>
      </c>
    </row>
    <row r="83" s="525" customFormat="true" ht="12.75" hidden="false" customHeight="false" outlineLevel="0" collapsed="false">
      <c r="A83" s="512" t="s">
        <v>874</v>
      </c>
      <c r="B83" s="75" t="n">
        <v>320</v>
      </c>
      <c r="C83" s="513" t="n">
        <v>0.14282</v>
      </c>
      <c r="D83" s="513" t="n">
        <v>0.229534639629829</v>
      </c>
      <c r="E83" s="513" t="n">
        <v>0.159760866904239</v>
      </c>
      <c r="F83" s="513" t="n">
        <v>0.156816745317351</v>
      </c>
      <c r="G83" s="377" t="n">
        <v>1.46489216068533</v>
      </c>
      <c r="H83" s="377" t="n">
        <v>1.48004519184553</v>
      </c>
      <c r="I83" s="513" t="n">
        <v>0.156907606309273</v>
      </c>
      <c r="J83" s="513" t="n">
        <v>0.477469353461402</v>
      </c>
      <c r="K83" s="513" t="n">
        <v>0.0695</v>
      </c>
      <c r="L83" s="513" t="n">
        <v>0.0672828948060113</v>
      </c>
      <c r="M83" s="513" t="n">
        <v>0.149872960563391</v>
      </c>
      <c r="N83" s="377" t="n">
        <v>0.68847708198285</v>
      </c>
      <c r="O83" s="377" t="n">
        <v>3.85110782951953</v>
      </c>
      <c r="P83" s="377" t="n">
        <v>12.1181994488986</v>
      </c>
      <c r="Q83" s="377" t="n">
        <v>16.4022381879388</v>
      </c>
      <c r="R83" s="377" t="n">
        <v>3.50834726853778</v>
      </c>
      <c r="S83" s="377" t="n">
        <v>127.390507720294</v>
      </c>
      <c r="T83" s="513" t="n">
        <v>0.0316367971975125</v>
      </c>
      <c r="U83" s="513" t="n">
        <v>0.110855856636114</v>
      </c>
      <c r="V83" s="513" t="n">
        <v>0.12181383405729</v>
      </c>
      <c r="W83" s="513" t="n">
        <v>0.640045376802846</v>
      </c>
      <c r="X83" s="513" t="n">
        <v>0.186636878391305</v>
      </c>
      <c r="Y83" s="513" t="n">
        <v>0.0273215444470004</v>
      </c>
      <c r="Z83" s="513" t="n">
        <v>0.0273215444470004</v>
      </c>
      <c r="AA83" s="514" t="n">
        <v>0.253564314864591</v>
      </c>
    </row>
    <row r="84" s="525" customFormat="true" ht="12.75" hidden="false" customHeight="false" outlineLevel="0" collapsed="false">
      <c r="A84" s="512" t="s">
        <v>875</v>
      </c>
      <c r="B84" s="75" t="n">
        <v>152</v>
      </c>
      <c r="C84" s="513" t="n">
        <v>0.272693253012048</v>
      </c>
      <c r="D84" s="513" t="n">
        <v>-0.0201027129551913</v>
      </c>
      <c r="E84" s="513" t="n">
        <v>0.00551203420754335</v>
      </c>
      <c r="F84" s="513" t="n">
        <v>0.20940716004869</v>
      </c>
      <c r="G84" s="377" t="n">
        <v>1.26284805640687</v>
      </c>
      <c r="H84" s="377" t="n">
        <v>1.34940554664336</v>
      </c>
      <c r="I84" s="513" t="n">
        <v>0.14648256262214</v>
      </c>
      <c r="J84" s="513" t="n">
        <v>0.432430451030173</v>
      </c>
      <c r="K84" s="513" t="n">
        <v>0.0695</v>
      </c>
      <c r="L84" s="513" t="n">
        <v>0.142895412464006</v>
      </c>
      <c r="M84" s="513" t="n">
        <v>0.133032072855</v>
      </c>
      <c r="N84" s="377" t="n">
        <v>0.870127263045133</v>
      </c>
      <c r="O84" s="377" t="n">
        <v>4.18062944950661</v>
      </c>
      <c r="P84" s="377" t="n">
        <v>15.8814195900936</v>
      </c>
      <c r="Q84" s="377" t="s">
        <v>800</v>
      </c>
      <c r="R84" s="377" t="n">
        <v>4.60832183453248</v>
      </c>
      <c r="S84" s="377" t="n">
        <v>69.6694004511038</v>
      </c>
      <c r="T84" s="513" t="n">
        <v>0.0501428493677421</v>
      </c>
      <c r="U84" s="513" t="n">
        <v>0.0689949257982086</v>
      </c>
      <c r="V84" s="513" t="n">
        <v>0.109111600590701</v>
      </c>
      <c r="W84" s="513" t="s">
        <v>800</v>
      </c>
      <c r="X84" s="513" t="n">
        <v>-0.146404662171814</v>
      </c>
      <c r="Y84" s="513" t="n">
        <v>0.00415292048627656</v>
      </c>
      <c r="Z84" s="513" t="n">
        <v>0.00415292048627658</v>
      </c>
      <c r="AA84" s="514" t="n">
        <v>0.00461879082832047</v>
      </c>
    </row>
    <row r="85" s="525" customFormat="true" ht="12.75" hidden="false" customHeight="false" outlineLevel="0" collapsed="false">
      <c r="A85" s="512" t="s">
        <v>876</v>
      </c>
      <c r="B85" s="75" t="n">
        <v>1648</v>
      </c>
      <c r="C85" s="513" t="n">
        <v>0.169118279952551</v>
      </c>
      <c r="D85" s="513" t="n">
        <v>0.177251696736565</v>
      </c>
      <c r="E85" s="513" t="n">
        <v>0.173054641209129</v>
      </c>
      <c r="F85" s="513" t="n">
        <v>0.185645559749709</v>
      </c>
      <c r="G85" s="377" t="n">
        <v>1.31786052096223</v>
      </c>
      <c r="H85" s="377" t="n">
        <v>1.35409487597863</v>
      </c>
      <c r="I85" s="513" t="n">
        <v>0.146856771103095</v>
      </c>
      <c r="J85" s="513" t="n">
        <v>0.445407492796067</v>
      </c>
      <c r="K85" s="513" t="n">
        <v>0.0695</v>
      </c>
      <c r="L85" s="513" t="n">
        <v>0.0820790234701531</v>
      </c>
      <c r="M85" s="513" t="n">
        <v>0.139100104663387</v>
      </c>
      <c r="N85" s="377" t="n">
        <v>0.946478317875901</v>
      </c>
      <c r="O85" s="377" t="n">
        <v>6.71801380136231</v>
      </c>
      <c r="P85" s="377" t="n">
        <v>21.7748175798478</v>
      </c>
      <c r="Q85" s="377" t="n">
        <v>33.84668664229</v>
      </c>
      <c r="R85" s="377" t="n">
        <v>6.76509174220353</v>
      </c>
      <c r="S85" s="377" t="n">
        <v>81.1701865024713</v>
      </c>
      <c r="T85" s="513" t="n">
        <v>0.14041979304898</v>
      </c>
      <c r="U85" s="513" t="n">
        <v>0.0717175678519053</v>
      </c>
      <c r="V85" s="513" t="n">
        <v>0.176983410898209</v>
      </c>
      <c r="W85" s="513" t="n">
        <v>1.4772666888448</v>
      </c>
      <c r="X85" s="513" t="n">
        <v>0.134151899607395</v>
      </c>
      <c r="Y85" s="513" t="n">
        <v>0.421679380629965</v>
      </c>
      <c r="Z85" s="513" t="n">
        <v>0.421679380629965</v>
      </c>
      <c r="AA85" s="514" t="n">
        <v>0.196884485807615</v>
      </c>
    </row>
    <row r="86" s="525" customFormat="true" ht="12.75" hidden="false" customHeight="false" outlineLevel="0" collapsed="false">
      <c r="A86" s="512" t="s">
        <v>877</v>
      </c>
      <c r="B86" s="75" t="n">
        <v>710</v>
      </c>
      <c r="C86" s="513" t="n">
        <v>0.176912528735632</v>
      </c>
      <c r="D86" s="513" t="n">
        <v>0.119831447613908</v>
      </c>
      <c r="E86" s="513" t="n">
        <v>0.154744527784179</v>
      </c>
      <c r="F86" s="513" t="n">
        <v>0.208086532544975</v>
      </c>
      <c r="G86" s="377" t="n">
        <v>1.03874636318682</v>
      </c>
      <c r="H86" s="377" t="n">
        <v>1.23398581115101</v>
      </c>
      <c r="I86" s="513" t="n">
        <v>0.137272067729851</v>
      </c>
      <c r="J86" s="513" t="n">
        <v>0.360549166009843</v>
      </c>
      <c r="K86" s="513" t="n">
        <v>0.0695</v>
      </c>
      <c r="L86" s="513" t="n">
        <v>0.321248887390244</v>
      </c>
      <c r="M86" s="513" t="n">
        <v>0.109992345389417</v>
      </c>
      <c r="N86" s="377" t="n">
        <v>1.53245388498464</v>
      </c>
      <c r="O86" s="377" t="n">
        <v>0.682526309406773</v>
      </c>
      <c r="P86" s="377" t="n">
        <v>4.24213100553805</v>
      </c>
      <c r="Q86" s="377" t="n">
        <v>5.49614687101076</v>
      </c>
      <c r="R86" s="377" t="n">
        <v>1.03343924373565</v>
      </c>
      <c r="S86" s="377" t="n">
        <v>34.0101122809803</v>
      </c>
      <c r="T86" s="513" t="n">
        <v>0.141438420739318</v>
      </c>
      <c r="U86" s="513" t="n">
        <v>0.0469864604004927</v>
      </c>
      <c r="V86" s="513" t="n">
        <v>0.0312330635265089</v>
      </c>
      <c r="W86" s="513" t="n">
        <v>0.690609405265765</v>
      </c>
      <c r="X86" s="513" t="n">
        <v>0.195135858014479</v>
      </c>
      <c r="Y86" s="513" t="n">
        <v>0.344252661673398</v>
      </c>
      <c r="Z86" s="513" t="n">
        <v>0.344252661673398</v>
      </c>
      <c r="AA86" s="514" t="n">
        <v>0.119762799197592</v>
      </c>
    </row>
    <row r="87" s="525" customFormat="true" ht="12.75" hidden="false" customHeight="false" outlineLevel="0" collapsed="false">
      <c r="A87" s="512" t="s">
        <v>878</v>
      </c>
      <c r="B87" s="75" t="n">
        <v>99</v>
      </c>
      <c r="C87" s="513" t="n">
        <v>0.0398638666666667</v>
      </c>
      <c r="D87" s="513" t="n">
        <v>0.146129078470708</v>
      </c>
      <c r="E87" s="513" t="n">
        <v>0.0718538049951659</v>
      </c>
      <c r="F87" s="513" t="n">
        <v>0.268560389030208</v>
      </c>
      <c r="G87" s="377" t="n">
        <v>0.599448694962418</v>
      </c>
      <c r="H87" s="377" t="n">
        <v>0.835610524826687</v>
      </c>
      <c r="I87" s="513" t="n">
        <v>0.10548171988117</v>
      </c>
      <c r="J87" s="513" t="n">
        <v>0.273768919884869</v>
      </c>
      <c r="K87" s="513" t="n">
        <v>0.0695</v>
      </c>
      <c r="L87" s="513" t="n">
        <v>0.409971352294775</v>
      </c>
      <c r="M87" s="513" t="n">
        <v>0.0837010202071218</v>
      </c>
      <c r="N87" s="377" t="n">
        <v>0.598756695253198</v>
      </c>
      <c r="O87" s="377" t="n">
        <v>2.16393374644629</v>
      </c>
      <c r="P87" s="377" t="n">
        <v>6.76743512534861</v>
      </c>
      <c r="Q87" s="377" t="n">
        <v>14.9690379055407</v>
      </c>
      <c r="R87" s="377" t="n">
        <v>1.40168620380684</v>
      </c>
      <c r="S87" s="377" t="n">
        <v>24.3278052127954</v>
      </c>
      <c r="T87" s="513" t="n">
        <v>-0.0656822648375916</v>
      </c>
      <c r="U87" s="513" t="n">
        <v>0.170451181931138</v>
      </c>
      <c r="V87" s="513" t="n">
        <v>0.0100456207588754</v>
      </c>
      <c r="W87" s="513" t="n">
        <v>0.234318497469155</v>
      </c>
      <c r="X87" s="513" t="n">
        <v>0.059656101073845</v>
      </c>
      <c r="Y87" s="513" t="n">
        <v>0.945662040104013</v>
      </c>
      <c r="Z87" s="513" t="n">
        <v>0.945662040104013</v>
      </c>
      <c r="AA87" s="514" t="n">
        <v>0.143313453205922</v>
      </c>
    </row>
    <row r="88" s="525" customFormat="true" ht="12.75" hidden="false" customHeight="false" outlineLevel="0" collapsed="false">
      <c r="A88" s="512" t="s">
        <v>879</v>
      </c>
      <c r="B88" s="75" t="n">
        <v>461</v>
      </c>
      <c r="C88" s="513" t="n">
        <v>0.0445293989071038</v>
      </c>
      <c r="D88" s="513" t="n">
        <v>0.108038830587901</v>
      </c>
      <c r="E88" s="513" t="n">
        <v>0.121054463936427</v>
      </c>
      <c r="F88" s="513" t="n">
        <v>0.167985526460661</v>
      </c>
      <c r="G88" s="377" t="n">
        <v>1.17543667028437</v>
      </c>
      <c r="H88" s="377" t="n">
        <v>1.19879783786324</v>
      </c>
      <c r="I88" s="513" t="n">
        <v>0.134464067461486</v>
      </c>
      <c r="J88" s="513" t="n">
        <v>0.355759575291071</v>
      </c>
      <c r="K88" s="513" t="n">
        <v>0.0695</v>
      </c>
      <c r="L88" s="513" t="n">
        <v>0.122715688251087</v>
      </c>
      <c r="M88" s="513" t="n">
        <v>0.124387916971098</v>
      </c>
      <c r="N88" s="377" t="n">
        <v>1.22967824608662</v>
      </c>
      <c r="O88" s="377" t="n">
        <v>2.20566857365502</v>
      </c>
      <c r="P88" s="377" t="n">
        <v>13.982133050229</v>
      </c>
      <c r="Q88" s="377" t="n">
        <v>19.2673276711787</v>
      </c>
      <c r="R88" s="377" t="n">
        <v>3.27890665456163</v>
      </c>
      <c r="S88" s="377" t="n">
        <v>48.3299995603607</v>
      </c>
      <c r="T88" s="513" t="n">
        <v>0.245476710507933</v>
      </c>
      <c r="U88" s="513" t="n">
        <v>0.0309679720145566</v>
      </c>
      <c r="V88" s="513" t="n">
        <v>0.0350671917875426</v>
      </c>
      <c r="W88" s="513" t="n">
        <v>0.809790208067171</v>
      </c>
      <c r="X88" s="513" t="n">
        <v>0.126993999478632</v>
      </c>
      <c r="Y88" s="513" t="n">
        <v>0.481182189709579</v>
      </c>
      <c r="Z88" s="513" t="n">
        <v>0.481182189709579</v>
      </c>
      <c r="AA88" s="514" t="n">
        <v>0.107624508971904</v>
      </c>
    </row>
    <row r="89" s="525" customFormat="true" ht="12.75" hidden="false" customHeight="false" outlineLevel="0" collapsed="false">
      <c r="A89" s="512" t="s">
        <v>880</v>
      </c>
      <c r="B89" s="75" t="n">
        <v>295</v>
      </c>
      <c r="C89" s="513" t="n">
        <v>0.0937192488262911</v>
      </c>
      <c r="D89" s="513" t="n">
        <v>0.145647702120959</v>
      </c>
      <c r="E89" s="513" t="n">
        <v>0.0830028482333636</v>
      </c>
      <c r="F89" s="513" t="n">
        <v>0.206368621757727</v>
      </c>
      <c r="G89" s="377" t="n">
        <v>0.532863438413383</v>
      </c>
      <c r="H89" s="377" t="n">
        <v>0.83120448295402</v>
      </c>
      <c r="I89" s="513" t="n">
        <v>0.105130117739731</v>
      </c>
      <c r="J89" s="513" t="n">
        <v>0.332345882244258</v>
      </c>
      <c r="K89" s="513" t="n">
        <v>0.0695</v>
      </c>
      <c r="L89" s="513" t="n">
        <v>0.455232850188016</v>
      </c>
      <c r="M89" s="513" t="n">
        <v>0.0811048545707124</v>
      </c>
      <c r="N89" s="377" t="n">
        <v>0.6630252862488</v>
      </c>
      <c r="O89" s="377" t="n">
        <v>2.09383419810184</v>
      </c>
      <c r="P89" s="377" t="n">
        <v>6.81431430193976</v>
      </c>
      <c r="Q89" s="377" t="n">
        <v>14.3164914043366</v>
      </c>
      <c r="R89" s="377" t="n">
        <v>1.34068909062801</v>
      </c>
      <c r="S89" s="377" t="n">
        <v>38.6428932531167</v>
      </c>
      <c r="T89" s="513" t="n">
        <v>0.00849817122205807</v>
      </c>
      <c r="U89" s="513" t="n">
        <v>0.15451691162113</v>
      </c>
      <c r="V89" s="513" t="n">
        <v>0.0018398303676255</v>
      </c>
      <c r="W89" s="513" t="n">
        <v>0.0630413721209109</v>
      </c>
      <c r="X89" s="513" t="n">
        <v>0.0979275807590621</v>
      </c>
      <c r="Y89" s="513" t="n">
        <v>0.639692745526051</v>
      </c>
      <c r="Z89" s="513" t="n">
        <v>0.639692745526051</v>
      </c>
      <c r="AA89" s="514" t="n">
        <v>0.145102802727752</v>
      </c>
    </row>
    <row r="90" s="525" customFormat="true" ht="12.75" hidden="false" customHeight="false" outlineLevel="0" collapsed="false">
      <c r="A90" s="512" t="s">
        <v>881</v>
      </c>
      <c r="B90" s="75" t="n">
        <v>56</v>
      </c>
      <c r="C90" s="513" t="n">
        <v>0.0982286486486487</v>
      </c>
      <c r="D90" s="513" t="n">
        <v>0.334745594088611</v>
      </c>
      <c r="E90" s="513" t="n">
        <v>0.200137285789953</v>
      </c>
      <c r="F90" s="513" t="n">
        <v>0.268075486821226</v>
      </c>
      <c r="G90" s="377" t="n">
        <v>0.775261137721721</v>
      </c>
      <c r="H90" s="377" t="n">
        <v>0.892861318891007</v>
      </c>
      <c r="I90" s="513" t="n">
        <v>0.110050333247502</v>
      </c>
      <c r="J90" s="513" t="n">
        <v>0.288151329809923</v>
      </c>
      <c r="K90" s="513" t="n">
        <v>0.0695</v>
      </c>
      <c r="L90" s="513" t="n">
        <v>0.211505918998649</v>
      </c>
      <c r="M90" s="513" t="n">
        <v>0.0978472912882087</v>
      </c>
      <c r="N90" s="377" t="n">
        <v>0.734831828396426</v>
      </c>
      <c r="O90" s="377" t="n">
        <v>3.77148856659072</v>
      </c>
      <c r="P90" s="377" t="n">
        <v>10.1574324151006</v>
      </c>
      <c r="Q90" s="377" t="n">
        <v>11.2172703812519</v>
      </c>
      <c r="R90" s="377" t="n">
        <v>3.4958341314126</v>
      </c>
      <c r="S90" s="377" t="n">
        <v>12.6022312533063</v>
      </c>
      <c r="T90" s="513" t="n">
        <v>0.14326577092025</v>
      </c>
      <c r="U90" s="513" t="n">
        <v>0.0271140268718944</v>
      </c>
      <c r="V90" s="513" t="n">
        <v>0.0129223191421594</v>
      </c>
      <c r="W90" s="513" t="n">
        <v>0.0542947632635447</v>
      </c>
      <c r="X90" s="513" t="n">
        <v>0.223419890389592</v>
      </c>
      <c r="Y90" s="513" t="n">
        <v>0.911807488863123</v>
      </c>
      <c r="Z90" s="513" t="n">
        <v>0.911807488863123</v>
      </c>
      <c r="AA90" s="514" t="n">
        <v>0.335333943051523</v>
      </c>
    </row>
    <row r="91" s="525" customFormat="true" ht="12.75" hidden="false" customHeight="false" outlineLevel="0" collapsed="false">
      <c r="A91" s="512" t="s">
        <v>526</v>
      </c>
      <c r="B91" s="75" t="n">
        <v>302</v>
      </c>
      <c r="C91" s="513" t="n">
        <v>0.107293444976077</v>
      </c>
      <c r="D91" s="513" t="n">
        <v>0.0788168070173955</v>
      </c>
      <c r="E91" s="513" t="n">
        <v>0.127202641097726</v>
      </c>
      <c r="F91" s="513" t="n">
        <v>0.239894175498183</v>
      </c>
      <c r="G91" s="377" t="n">
        <v>0.8308679841758</v>
      </c>
      <c r="H91" s="377" t="n">
        <v>1.01481104015408</v>
      </c>
      <c r="I91" s="513" t="n">
        <v>0.119781921004296</v>
      </c>
      <c r="J91" s="513" t="n">
        <v>0.310842973026539</v>
      </c>
      <c r="K91" s="513" t="n">
        <v>0.0695</v>
      </c>
      <c r="L91" s="513" t="n">
        <v>0.311459672097667</v>
      </c>
      <c r="M91" s="513" t="n">
        <v>0.0987809518489558</v>
      </c>
      <c r="N91" s="377" t="n">
        <v>1.94608429310323</v>
      </c>
      <c r="O91" s="377" t="n">
        <v>0.98900039785159</v>
      </c>
      <c r="P91" s="377" t="n">
        <v>7.89275928183968</v>
      </c>
      <c r="Q91" s="377" t="n">
        <v>12.2890469547076</v>
      </c>
      <c r="R91" s="377" t="n">
        <v>1.91543410254847</v>
      </c>
      <c r="S91" s="377" t="n">
        <v>27.9075583565404</v>
      </c>
      <c r="T91" s="513" t="n">
        <v>0.0462892478112547</v>
      </c>
      <c r="U91" s="513" t="n">
        <v>0.0414071708792049</v>
      </c>
      <c r="V91" s="513" t="n">
        <v>0.0213043578957266</v>
      </c>
      <c r="W91" s="513" t="n">
        <v>0.563712937515105</v>
      </c>
      <c r="X91" s="513" t="n">
        <v>0.18047586417014</v>
      </c>
      <c r="Y91" s="513" t="n">
        <v>0.375904564357526</v>
      </c>
      <c r="Z91" s="513" t="n">
        <v>0.375904564357526</v>
      </c>
      <c r="AA91" s="514" t="n">
        <v>0.0790187953008723</v>
      </c>
    </row>
    <row r="92" s="525" customFormat="true" ht="12.75" hidden="false" customHeight="false" outlineLevel="0" collapsed="false">
      <c r="A92" s="512" t="s">
        <v>882</v>
      </c>
      <c r="B92" s="75" t="n">
        <v>50</v>
      </c>
      <c r="C92" s="513" t="n">
        <v>0.00513186046511628</v>
      </c>
      <c r="D92" s="513" t="n">
        <v>0.22937544917129</v>
      </c>
      <c r="E92" s="513" t="n">
        <v>0.063106474006416</v>
      </c>
      <c r="F92" s="513" t="n">
        <v>0.234554390535157</v>
      </c>
      <c r="G92" s="377" t="n">
        <v>0.537712055248928</v>
      </c>
      <c r="H92" s="377" t="n">
        <v>0.672614725812485</v>
      </c>
      <c r="I92" s="513" t="n">
        <v>0.0924746551198363</v>
      </c>
      <c r="J92" s="513" t="n">
        <v>0.190464983176527</v>
      </c>
      <c r="K92" s="513" t="n">
        <v>0.0618</v>
      </c>
      <c r="L92" s="513" t="n">
        <v>0.280931739167356</v>
      </c>
      <c r="M92" s="513" t="n">
        <v>0.079574068757412</v>
      </c>
      <c r="N92" s="377" t="n">
        <v>0.352641412098292</v>
      </c>
      <c r="O92" s="377" t="n">
        <v>4.95145501919042</v>
      </c>
      <c r="P92" s="377" t="n">
        <v>14.3918829368335</v>
      </c>
      <c r="Q92" s="377" t="n">
        <v>21.5217206613725</v>
      </c>
      <c r="R92" s="377" t="n">
        <v>2.52330718756627</v>
      </c>
      <c r="S92" s="377" t="n">
        <v>47.9261460652161</v>
      </c>
      <c r="T92" s="513" t="n">
        <v>0.0565402943597283</v>
      </c>
      <c r="U92" s="513" t="n">
        <v>0.155301976525658</v>
      </c>
      <c r="V92" s="513" t="n">
        <v>0.0810738480621294</v>
      </c>
      <c r="W92" s="513" t="n">
        <v>0.497778504279362</v>
      </c>
      <c r="X92" s="513" t="n">
        <v>0.107794427866999</v>
      </c>
      <c r="Y92" s="513" t="n">
        <v>0.422882134744089</v>
      </c>
      <c r="Z92" s="513" t="n">
        <v>0.422882134744089</v>
      </c>
      <c r="AA92" s="514" t="n">
        <v>0.227820259384664</v>
      </c>
    </row>
    <row r="93" s="525" customFormat="true" ht="12.75" hidden="false" customHeight="false" outlineLevel="0" collapsed="false">
      <c r="A93" s="512" t="s">
        <v>883</v>
      </c>
      <c r="B93" s="75" t="n">
        <v>220</v>
      </c>
      <c r="C93" s="513" t="n">
        <v>0.0674122875816993</v>
      </c>
      <c r="D93" s="513" t="n">
        <v>0.0818259604698755</v>
      </c>
      <c r="E93" s="513" t="n">
        <v>0.0932594140118766</v>
      </c>
      <c r="F93" s="513" t="n">
        <v>0.251377461404611</v>
      </c>
      <c r="G93" s="377" t="n">
        <v>0.801030605079054</v>
      </c>
      <c r="H93" s="377" t="n">
        <v>1.07966265853016</v>
      </c>
      <c r="I93" s="513" t="n">
        <v>0.124957080150707</v>
      </c>
      <c r="J93" s="513" t="n">
        <v>0.317964885149676</v>
      </c>
      <c r="K93" s="513" t="n">
        <v>0.0695</v>
      </c>
      <c r="L93" s="513" t="n">
        <v>0.370280061386415</v>
      </c>
      <c r="M93" s="513" t="n">
        <v>0.0980737367736816</v>
      </c>
      <c r="N93" s="377" t="n">
        <v>1.26836620937375</v>
      </c>
      <c r="O93" s="377" t="n">
        <v>1.45825320065325</v>
      </c>
      <c r="P93" s="377" t="n">
        <v>7.18121789493043</v>
      </c>
      <c r="Q93" s="377" t="n">
        <v>13.5774201481756</v>
      </c>
      <c r="R93" s="377" t="n">
        <v>2.30936254003025</v>
      </c>
      <c r="S93" s="377" t="n">
        <v>20.3937740924715</v>
      </c>
      <c r="T93" s="513" t="n">
        <v>0.0616312847509637</v>
      </c>
      <c r="U93" s="513" t="n">
        <v>0.0905724862072906</v>
      </c>
      <c r="V93" s="513" t="n">
        <v>0.0653330994574928</v>
      </c>
      <c r="W93" s="513" t="n">
        <v>1.2953650987045</v>
      </c>
      <c r="X93" s="513" t="n">
        <v>0.0480076668324469</v>
      </c>
      <c r="Y93" s="513" t="n">
        <v>0.472145453383875</v>
      </c>
      <c r="Z93" s="513" t="n">
        <v>0.472145453383874</v>
      </c>
      <c r="AA93" s="514" t="n">
        <v>0.0879711426900939</v>
      </c>
    </row>
    <row r="94" s="525" customFormat="true" ht="12.75" hidden="false" customHeight="false" outlineLevel="0" collapsed="false">
      <c r="A94" s="512" t="s">
        <v>884</v>
      </c>
      <c r="B94" s="75" t="n">
        <v>51</v>
      </c>
      <c r="C94" s="513" t="n">
        <v>0.0779202222222222</v>
      </c>
      <c r="D94" s="513" t="n">
        <v>0.114561197719942</v>
      </c>
      <c r="E94" s="513" t="n">
        <v>0.0767144230037483</v>
      </c>
      <c r="F94" s="513" t="n">
        <v>0.189512357071316</v>
      </c>
      <c r="G94" s="377" t="n">
        <v>0.445552290987623</v>
      </c>
      <c r="H94" s="377" t="n">
        <v>0.680932853940071</v>
      </c>
      <c r="I94" s="513" t="n">
        <v>0.0931384417444177</v>
      </c>
      <c r="J94" s="513" t="n">
        <v>0.183733383600337</v>
      </c>
      <c r="K94" s="513" t="n">
        <v>0.0618</v>
      </c>
      <c r="L94" s="513" t="n">
        <v>0.446474690668622</v>
      </c>
      <c r="M94" s="513" t="n">
        <v>0.0723396407381269</v>
      </c>
      <c r="N94" s="377" t="n">
        <v>0.795925726709965</v>
      </c>
      <c r="O94" s="377" t="n">
        <v>2.0587197648579</v>
      </c>
      <c r="P94" s="377" t="n">
        <v>11.0224329607558</v>
      </c>
      <c r="Q94" s="377" t="n">
        <v>17.9208700969334</v>
      </c>
      <c r="R94" s="377" t="n">
        <v>1.60778122886775</v>
      </c>
      <c r="S94" s="377" t="n">
        <v>19.9599240717723</v>
      </c>
      <c r="T94" s="513" t="n">
        <v>0.0218827873381066</v>
      </c>
      <c r="U94" s="513" t="n">
        <v>0.139191639762271</v>
      </c>
      <c r="V94" s="513" t="n">
        <v>0.0744138480467994</v>
      </c>
      <c r="W94" s="513" t="n">
        <v>1.12811297594122</v>
      </c>
      <c r="X94" s="513" t="n">
        <v>0.127068045796709</v>
      </c>
      <c r="Y94" s="513" t="n">
        <v>0.56808177867298</v>
      </c>
      <c r="Z94" s="513" t="n">
        <v>0.56808177867298</v>
      </c>
      <c r="AA94" s="514" t="n">
        <v>0.114170473675359</v>
      </c>
    </row>
    <row r="95" s="525" customFormat="true" ht="12.75" hidden="false" customHeight="false" outlineLevel="0" collapsed="false">
      <c r="A95" s="512" t="s">
        <v>885</v>
      </c>
      <c r="B95" s="75" t="n">
        <v>104</v>
      </c>
      <c r="C95" s="513" t="n">
        <v>0.0799217333333333</v>
      </c>
      <c r="D95" s="513" t="n">
        <v>0.23308027198201</v>
      </c>
      <c r="E95" s="513" t="n">
        <v>0.0600837225993855</v>
      </c>
      <c r="F95" s="513" t="n">
        <v>0.195506447122988</v>
      </c>
      <c r="G95" s="377" t="n">
        <v>0.485777677778875</v>
      </c>
      <c r="H95" s="377" t="n">
        <v>0.740378362790065</v>
      </c>
      <c r="I95" s="513" t="n">
        <v>0.0978821933506472</v>
      </c>
      <c r="J95" s="513" t="n">
        <v>0.291702047363864</v>
      </c>
      <c r="K95" s="513" t="n">
        <v>0.0695</v>
      </c>
      <c r="L95" s="513" t="n">
        <v>0.452585050550324</v>
      </c>
      <c r="M95" s="513" t="n">
        <v>0.0772769720663473</v>
      </c>
      <c r="N95" s="377" t="n">
        <v>0.296000059490721</v>
      </c>
      <c r="O95" s="377" t="n">
        <v>4.75354623646375</v>
      </c>
      <c r="P95" s="377" t="n">
        <v>12.9313487204016</v>
      </c>
      <c r="Q95" s="377" t="n">
        <v>20.0690567693625</v>
      </c>
      <c r="R95" s="377" t="n">
        <v>1.50001245006039</v>
      </c>
      <c r="S95" s="377" t="n">
        <v>27.0053358133191</v>
      </c>
      <c r="T95" s="513" t="n">
        <v>0.0429794394772945</v>
      </c>
      <c r="U95" s="513" t="n">
        <v>0.214605840217651</v>
      </c>
      <c r="V95" s="513" t="n">
        <v>0.111323795407772</v>
      </c>
      <c r="W95" s="513" t="n">
        <v>0.990746787589014</v>
      </c>
      <c r="X95" s="513" t="n">
        <v>0.0500704884185452</v>
      </c>
      <c r="Y95" s="513" t="n">
        <v>0.806606374104071</v>
      </c>
      <c r="Z95" s="513" t="n">
        <v>0.415726688928405</v>
      </c>
      <c r="AA95" s="514" t="n">
        <v>0.233007876046164</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40" activeCellId="0" sqref="E40"/>
    </sheetView>
  </sheetViews>
  <sheetFormatPr defaultColWidth="10.65234375" defaultRowHeight="12.75" zeroHeight="false" outlineLevelRow="0" outlineLevelCol="0"/>
  <cols>
    <col collapsed="false" customWidth="true" hidden="false" outlineLevel="0" max="1" min="1" style="0" width="34"/>
    <col collapsed="false" customWidth="true" hidden="false" outlineLevel="0" max="2" min="2" style="501" width="16"/>
    <col collapsed="false" customWidth="true" hidden="false" outlineLevel="0" max="3" min="3" style="501" width="19.83"/>
    <col collapsed="false" customWidth="true" hidden="false" outlineLevel="0" max="4" min="4" style="501" width="22.17"/>
    <col collapsed="false" customWidth="true" hidden="false" outlineLevel="0" max="5" min="5" style="0" width="14.14"/>
  </cols>
  <sheetData>
    <row r="1" customFormat="false" ht="12.75" hidden="false" customHeight="false" outlineLevel="0" collapsed="false">
      <c r="B1" s="449" t="s">
        <v>16</v>
      </c>
      <c r="C1" s="449" t="s">
        <v>894</v>
      </c>
      <c r="D1" s="449" t="s">
        <v>895</v>
      </c>
      <c r="E1" s="449" t="s">
        <v>896</v>
      </c>
    </row>
    <row r="2" customFormat="false" ht="13.5" hidden="false" customHeight="false" outlineLevel="0" collapsed="false">
      <c r="A2" s="526" t="s">
        <v>18</v>
      </c>
      <c r="B2" s="527" t="n">
        <v>15794.34</v>
      </c>
      <c r="C2" s="527" t="n">
        <v>7608.13</v>
      </c>
      <c r="D2" s="527" t="n">
        <v>9444.11</v>
      </c>
      <c r="E2" s="528" t="n">
        <f aca="false">B2-C2+D2</f>
        <v>17630.32</v>
      </c>
    </row>
    <row r="3" customFormat="false" ht="13.5" hidden="false" customHeight="false" outlineLevel="0" collapsed="false">
      <c r="A3" s="526" t="s">
        <v>897</v>
      </c>
      <c r="B3" s="527" t="n">
        <v>1221.81</v>
      </c>
      <c r="C3" s="527" t="n">
        <v>581.41</v>
      </c>
      <c r="D3" s="527" t="n">
        <v>756</v>
      </c>
      <c r="E3" s="528" t="n">
        <f aca="false">B3-C3+D3</f>
        <v>1396.4</v>
      </c>
    </row>
    <row r="4" customFormat="false" ht="13.5" hidden="false" customHeight="false" outlineLevel="0" collapsed="false">
      <c r="A4" s="526" t="s">
        <v>19</v>
      </c>
      <c r="B4" s="527" t="n">
        <v>1605.23</v>
      </c>
      <c r="C4" s="527" t="n">
        <v>908.79</v>
      </c>
      <c r="D4" s="527" t="n">
        <v>1165.5</v>
      </c>
      <c r="E4" s="528" t="n">
        <f aca="false">B4-C4+D4</f>
        <v>1861.94</v>
      </c>
    </row>
    <row r="5" customFormat="false" ht="13.5" hidden="false" customHeight="false" outlineLevel="0" collapsed="false">
      <c r="A5" s="526" t="s">
        <v>898</v>
      </c>
      <c r="B5" s="527" t="n">
        <v>420.49</v>
      </c>
      <c r="C5" s="527" t="n">
        <v>182.82</v>
      </c>
      <c r="D5" s="527" t="n">
        <v>287.56</v>
      </c>
      <c r="E5" s="528" t="n">
        <f aca="false">B5-C5+D5</f>
        <v>525.23</v>
      </c>
    </row>
    <row r="6" customFormat="false" ht="13.5" hidden="false" customHeight="false" outlineLevel="0" collapsed="false">
      <c r="A6" s="526" t="s">
        <v>21</v>
      </c>
      <c r="B6" s="527" t="n">
        <v>5238.77</v>
      </c>
      <c r="C6" s="527"/>
      <c r="D6" s="527" t="n">
        <v>6105.55</v>
      </c>
      <c r="E6" s="528"/>
    </row>
    <row r="7" customFormat="false" ht="13.5" hidden="false" customHeight="false" outlineLevel="0" collapsed="false">
      <c r="A7" s="526" t="s">
        <v>22</v>
      </c>
      <c r="B7" s="527" t="n">
        <v>10360</v>
      </c>
      <c r="C7" s="527"/>
      <c r="D7" s="527" t="n">
        <v>12594.14</v>
      </c>
      <c r="E7" s="528"/>
    </row>
    <row r="8" customFormat="false" ht="13.5" hidden="false" customHeight="false" outlineLevel="0" collapsed="false">
      <c r="A8" s="526" t="s">
        <v>26</v>
      </c>
      <c r="B8" s="527"/>
      <c r="C8" s="527"/>
      <c r="D8" s="527"/>
      <c r="E8" s="528"/>
    </row>
    <row r="9" customFormat="false" ht="13.5" hidden="false" customHeight="false" outlineLevel="0" collapsed="false">
      <c r="A9" s="526" t="s">
        <v>899</v>
      </c>
      <c r="B9" s="527" t="n">
        <v>3794.48</v>
      </c>
      <c r="C9" s="527"/>
      <c r="D9" s="527" t="n">
        <v>5004.25</v>
      </c>
      <c r="E9" s="528"/>
    </row>
    <row r="10" customFormat="false" ht="13.5" hidden="false" customHeight="false" outlineLevel="0" collapsed="false">
      <c r="A10" s="526" t="s">
        <v>900</v>
      </c>
      <c r="B10" s="527" t="n">
        <v>0</v>
      </c>
      <c r="C10" s="527"/>
      <c r="D10" s="527" t="n">
        <v>0</v>
      </c>
      <c r="E10" s="528"/>
    </row>
    <row r="11" customFormat="false" ht="13.5" hidden="false" customHeight="false" outlineLevel="0" collapsed="false">
      <c r="A11" s="526" t="s">
        <v>31</v>
      </c>
      <c r="B11" s="527" t="n">
        <v>0</v>
      </c>
      <c r="C11" s="527"/>
      <c r="D11" s="527" t="n">
        <v>0</v>
      </c>
      <c r="E11" s="528"/>
    </row>
    <row r="12" customFormat="false" ht="13.5" hidden="false" customHeight="false" outlineLevel="0" collapsed="false">
      <c r="A12" s="526" t="s">
        <v>32</v>
      </c>
      <c r="B12" s="527"/>
      <c r="C12" s="527"/>
      <c r="D12" s="527"/>
      <c r="E12" s="528"/>
    </row>
    <row r="13" customFormat="false" ht="13.5" hidden="false" customHeight="false" outlineLevel="0" collapsed="false">
      <c r="A13" s="526" t="s">
        <v>33</v>
      </c>
      <c r="B13" s="529"/>
      <c r="C13" s="527"/>
      <c r="D13" s="527"/>
      <c r="E13" s="528"/>
    </row>
    <row r="14" customFormat="false" ht="13.5" hidden="false" customHeight="false" outlineLevel="0" collapsed="false">
      <c r="A14" s="526" t="s">
        <v>35</v>
      </c>
      <c r="B14" s="530" t="n">
        <f aca="false">15885/61372</f>
        <v>0.258831388906993</v>
      </c>
      <c r="C14" s="530" t="n">
        <f aca="false">6965/27030</f>
        <v>0.257676655567888</v>
      </c>
      <c r="D14" s="530" t="n">
        <f aca="false">3941/23906</f>
        <v>0.164854011545219</v>
      </c>
      <c r="E14" s="505"/>
    </row>
    <row r="15" customFormat="false" ht="13.5" hidden="false" customHeight="false" outlineLevel="0" collapsed="false">
      <c r="A15" s="526" t="s">
        <v>37</v>
      </c>
      <c r="B15" s="449"/>
      <c r="C15" s="449"/>
      <c r="D15" s="449"/>
      <c r="E15" s="505"/>
    </row>
    <row r="16" s="191" customFormat="true" ht="13.5" hidden="false" customHeight="false" outlineLevel="0" collapsed="false">
      <c r="A16" s="531" t="s">
        <v>901</v>
      </c>
      <c r="B16" s="532"/>
      <c r="C16" s="532"/>
      <c r="D16" s="532"/>
      <c r="E16" s="533"/>
    </row>
    <row r="17" customFormat="false" ht="13.5" hidden="false" customHeight="false" outlineLevel="0" collapsed="false">
      <c r="A17" s="534" t="s">
        <v>902</v>
      </c>
      <c r="B17" s="535" t="n">
        <v>172.47</v>
      </c>
      <c r="C17" s="536"/>
      <c r="D17" s="536" t="s">
        <v>800</v>
      </c>
      <c r="E17" s="537"/>
    </row>
    <row r="18" customFormat="false" ht="13.5" hidden="false" customHeight="true" outlineLevel="0" collapsed="false">
      <c r="A18" s="534" t="s">
        <v>903</v>
      </c>
      <c r="B18" s="535" t="n">
        <v>139.4</v>
      </c>
      <c r="C18" s="538" t="s">
        <v>904</v>
      </c>
      <c r="D18" s="536" t="s">
        <v>800</v>
      </c>
      <c r="E18" s="537"/>
    </row>
    <row r="19" customFormat="false" ht="13.5" hidden="false" customHeight="false" outlineLevel="0" collapsed="false">
      <c r="A19" s="534" t="s">
        <v>905</v>
      </c>
      <c r="B19" s="535" t="n">
        <v>145.18</v>
      </c>
      <c r="C19" s="538"/>
      <c r="D19" s="536" t="s">
        <v>800</v>
      </c>
      <c r="E19" s="537"/>
    </row>
    <row r="20" customFormat="false" ht="13.5" hidden="false" customHeight="false" outlineLevel="0" collapsed="false">
      <c r="A20" s="534" t="s">
        <v>906</v>
      </c>
      <c r="B20" s="535" t="n">
        <v>156.53</v>
      </c>
      <c r="C20" s="538"/>
      <c r="D20" s="536" t="s">
        <v>800</v>
      </c>
      <c r="E20" s="537"/>
    </row>
    <row r="21" customFormat="false" ht="13.5" hidden="false" customHeight="false" outlineLevel="0" collapsed="false">
      <c r="A21" s="534" t="s">
        <v>248</v>
      </c>
      <c r="B21" s="535" t="n">
        <v>151.2</v>
      </c>
      <c r="C21" s="538"/>
      <c r="D21" s="536" t="s">
        <v>800</v>
      </c>
      <c r="E21" s="537"/>
    </row>
    <row r="22" customFormat="false" ht="13.5" hidden="false" customHeight="false" outlineLevel="0" collapsed="false">
      <c r="A22" s="534" t="s">
        <v>907</v>
      </c>
      <c r="B22" s="334" t="n">
        <v>943.63</v>
      </c>
      <c r="C22" s="538"/>
      <c r="D22" s="536" t="s">
        <v>800</v>
      </c>
      <c r="E22" s="537"/>
    </row>
    <row r="23" customFormat="false" ht="12.75" hidden="false" customHeight="false" outlineLevel="0" collapsed="false">
      <c r="B23" s="539"/>
      <c r="C23" s="538"/>
    </row>
    <row r="25" customFormat="false" ht="13.5" hidden="false" customHeight="false" outlineLevel="0" collapsed="false">
      <c r="A25" s="534" t="s">
        <v>908</v>
      </c>
      <c r="B25" s="540" t="n">
        <v>107</v>
      </c>
    </row>
    <row r="29" customFormat="false" ht="12.75" hidden="false" customHeight="false" outlineLevel="0" collapsed="false">
      <c r="D29" s="527" t="n">
        <v>75872</v>
      </c>
    </row>
    <row r="30" customFormat="false" ht="12.75" hidden="false" customHeight="false" outlineLevel="0" collapsed="false">
      <c r="D30" s="527" t="n">
        <v>2404</v>
      </c>
    </row>
    <row r="31" customFormat="false" ht="12.75" hidden="false" customHeight="false" outlineLevel="0" collapsed="false">
      <c r="D31" s="527" t="n">
        <v>24171</v>
      </c>
    </row>
    <row r="32" customFormat="false" ht="12.75" hidden="false" customHeight="false" outlineLevel="0" collapsed="false">
      <c r="D32" s="527" t="n">
        <v>276</v>
      </c>
    </row>
    <row r="36" customFormat="false" ht="12.75" hidden="false" customHeight="false" outlineLevel="0" collapsed="false">
      <c r="A36" s="0" t="s">
        <v>909</v>
      </c>
      <c r="B36" s="501" t="n">
        <v>630.29</v>
      </c>
      <c r="C36" s="501" t="n">
        <v>286.14</v>
      </c>
      <c r="D36" s="501" t="n">
        <v>426.61</v>
      </c>
      <c r="E36" s="0" t="n">
        <f aca="false">B36-C36+D36</f>
        <v>770.76</v>
      </c>
    </row>
    <row r="37" customFormat="false" ht="12.75" hidden="false" customHeight="false" outlineLevel="0" collapsed="false">
      <c r="A37" s="0" t="s">
        <v>910</v>
      </c>
      <c r="B37" s="501" t="n">
        <v>2369.47</v>
      </c>
      <c r="C37" s="501" t="n">
        <v>1128.78</v>
      </c>
      <c r="D37" s="501" t="n">
        <v>1219.73</v>
      </c>
      <c r="E37" s="0" t="n">
        <f aca="false">B37-C37+D37</f>
        <v>2460.42</v>
      </c>
    </row>
    <row r="38" customFormat="false" ht="12.75" hidden="false" customHeight="false" outlineLevel="0" collapsed="false">
      <c r="A38" s="0" t="s">
        <v>911</v>
      </c>
      <c r="B38" s="501" t="n">
        <v>9967.54</v>
      </c>
      <c r="C38" s="501" t="n">
        <v>4703.01</v>
      </c>
      <c r="D38" s="501" t="n">
        <v>5876.21</v>
      </c>
      <c r="E38" s="0" t="n">
        <f aca="false">B38-C38+D38</f>
        <v>11140.74</v>
      </c>
    </row>
    <row r="40" customFormat="false" ht="12.75" hidden="false" customHeight="false" outlineLevel="0" collapsed="false">
      <c r="A40" s="0" t="s">
        <v>912</v>
      </c>
      <c r="B40" s="501" t="n">
        <v>13043</v>
      </c>
      <c r="C40" s="501" t="n">
        <v>6020.47</v>
      </c>
      <c r="D40" s="501" t="n">
        <v>6322.85</v>
      </c>
      <c r="E40" s="0" t="n">
        <f aca="false">B40-C40+D40</f>
        <v>13345.38</v>
      </c>
    </row>
  </sheetData>
  <mergeCells count="1">
    <mergeCell ref="C18:C2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2" activeCellId="0" sqref="J2"/>
    </sheetView>
  </sheetViews>
  <sheetFormatPr defaultColWidth="10.65234375" defaultRowHeight="12.75" zeroHeight="false" outlineLevelRow="0" outlineLevelCol="0"/>
  <cols>
    <col collapsed="false" customWidth="true" hidden="false" outlineLevel="0" max="1" min="1" style="0" width="6.34"/>
    <col collapsed="false" customWidth="true" hidden="false" outlineLevel="0" max="2" min="2" style="0" width="16.52"/>
    <col collapsed="false" customWidth="true" hidden="false" outlineLevel="0" max="3" min="3" style="0" width="18.33"/>
    <col collapsed="false" customWidth="true" hidden="false" outlineLevel="0" max="5" min="4" style="0" width="12.33"/>
    <col collapsed="false" customWidth="true" hidden="false" outlineLevel="0" max="6" min="6" style="0" width="17.67"/>
    <col collapsed="false" customWidth="true" hidden="false" outlineLevel="0" max="9" min="9" style="0" width="20.31"/>
    <col collapsed="false" customWidth="true" hidden="false" outlineLevel="0" max="10" min="10" style="0" width="18.83"/>
  </cols>
  <sheetData>
    <row r="1" s="541" customFormat="true" ht="12.75" hidden="false" customHeight="false" outlineLevel="0" collapsed="false">
      <c r="A1" s="541" t="s">
        <v>913</v>
      </c>
      <c r="B1" s="541" t="s">
        <v>914</v>
      </c>
      <c r="C1" s="541" t="s">
        <v>915</v>
      </c>
      <c r="D1" s="541" t="s">
        <v>916</v>
      </c>
      <c r="E1" s="541" t="s">
        <v>917</v>
      </c>
      <c r="F1" s="541" t="s">
        <v>547</v>
      </c>
      <c r="G1" s="541" t="s">
        <v>381</v>
      </c>
      <c r="H1" s="541" t="s">
        <v>448</v>
      </c>
      <c r="I1" s="541" t="s">
        <v>918</v>
      </c>
      <c r="J1" s="541" t="s">
        <v>919</v>
      </c>
    </row>
    <row r="2" customFormat="false" ht="12.75" hidden="false" customHeight="false" outlineLevel="0" collapsed="false">
      <c r="A2" s="0" t="s">
        <v>24</v>
      </c>
      <c r="B2" s="0" t="s">
        <v>393</v>
      </c>
      <c r="C2" s="0" t="s">
        <v>920</v>
      </c>
      <c r="D2" s="0" t="s">
        <v>921</v>
      </c>
      <c r="E2" s="0" t="n">
        <v>1</v>
      </c>
      <c r="F2" s="0" t="s">
        <v>921</v>
      </c>
      <c r="G2" s="0" t="s">
        <v>404</v>
      </c>
      <c r="H2" s="0" t="s">
        <v>506</v>
      </c>
      <c r="I2" s="0" t="s">
        <v>922</v>
      </c>
      <c r="J2" s="449" t="n">
        <v>0</v>
      </c>
    </row>
    <row r="3" customFormat="false" ht="12.75" hidden="false" customHeight="false" outlineLevel="0" collapsed="false">
      <c r="A3" s="0" t="s">
        <v>27</v>
      </c>
      <c r="B3" s="0" t="s">
        <v>100</v>
      </c>
      <c r="C3" s="0" t="s">
        <v>11</v>
      </c>
      <c r="D3" s="0" t="s">
        <v>917</v>
      </c>
      <c r="E3" s="0" t="n">
        <v>2</v>
      </c>
      <c r="F3" s="0" t="s">
        <v>450</v>
      </c>
      <c r="G3" s="0" t="s">
        <v>403</v>
      </c>
      <c r="H3" s="0" t="s">
        <v>503</v>
      </c>
      <c r="I3" s="0" t="s">
        <v>923</v>
      </c>
      <c r="J3" s="449" t="n">
        <v>1</v>
      </c>
    </row>
    <row r="4" customFormat="false" ht="12.75" hidden="false" customHeight="false" outlineLevel="0" collapsed="false">
      <c r="C4" s="0" t="s">
        <v>455</v>
      </c>
      <c r="D4" s="0" t="s">
        <v>464</v>
      </c>
      <c r="F4" s="0" t="s">
        <v>924</v>
      </c>
      <c r="G4" s="0" t="s">
        <v>402</v>
      </c>
      <c r="H4" s="0" t="s">
        <v>925</v>
      </c>
      <c r="I4" s="0" t="s">
        <v>242</v>
      </c>
      <c r="J4" s="449" t="n">
        <v>2</v>
      </c>
    </row>
    <row r="5" customFormat="false" ht="12.75" hidden="false" customHeight="false" outlineLevel="0" collapsed="false">
      <c r="C5" s="0" t="s">
        <v>926</v>
      </c>
      <c r="F5" s="0" t="s">
        <v>497</v>
      </c>
      <c r="G5" s="0" t="s">
        <v>401</v>
      </c>
      <c r="H5" s="0" t="s">
        <v>509</v>
      </c>
      <c r="I5" s="0" t="s">
        <v>927</v>
      </c>
      <c r="J5" s="449" t="n">
        <v>3</v>
      </c>
    </row>
    <row r="6" customFormat="false" ht="12.75" hidden="false" customHeight="false" outlineLevel="0" collapsed="false">
      <c r="F6" s="0" t="s">
        <v>928</v>
      </c>
      <c r="G6" s="0" t="s">
        <v>400</v>
      </c>
      <c r="H6" s="0" t="s">
        <v>510</v>
      </c>
    </row>
    <row r="7" customFormat="false" ht="12.75" hidden="false" customHeight="false" outlineLevel="0" collapsed="false">
      <c r="G7" s="0" t="s">
        <v>399</v>
      </c>
    </row>
    <row r="8" customFormat="false" ht="12.75" hidden="false" customHeight="false" outlineLevel="0" collapsed="false">
      <c r="G8" s="0" t="s">
        <v>398</v>
      </c>
    </row>
    <row r="9" customFormat="false" ht="12.75" hidden="false" customHeight="false" outlineLevel="0" collapsed="false">
      <c r="G9" s="0" t="s">
        <v>397</v>
      </c>
    </row>
    <row r="10" customFormat="false" ht="12.75" hidden="false" customHeight="false" outlineLevel="0" collapsed="false">
      <c r="G10" s="0" t="s">
        <v>396</v>
      </c>
    </row>
    <row r="11" customFormat="false" ht="12.75" hidden="false" customHeight="false" outlineLevel="0" collapsed="false">
      <c r="G11" s="0" t="s">
        <v>394</v>
      </c>
    </row>
    <row r="12" customFormat="false" ht="12.75" hidden="false" customHeight="false" outlineLevel="0" collapsed="false">
      <c r="G12" s="0" t="s">
        <v>392</v>
      </c>
    </row>
    <row r="13" customFormat="false" ht="12.75" hidden="false" customHeight="false" outlineLevel="0" collapsed="false">
      <c r="G13" s="0" t="s">
        <v>386</v>
      </c>
    </row>
    <row r="14" customFormat="false" ht="12.75" hidden="false" customHeight="false" outlineLevel="0" collapsed="false">
      <c r="G14" s="0" t="s">
        <v>388</v>
      </c>
    </row>
    <row r="15" customFormat="false" ht="12.75" hidden="false" customHeight="false" outlineLevel="0" collapsed="false">
      <c r="G15" s="0" t="s">
        <v>390</v>
      </c>
    </row>
    <row r="16" customFormat="false" ht="12.75" hidden="false" customHeight="false" outlineLevel="0" collapsed="false">
      <c r="G16" s="0" t="s">
        <v>384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62"/>
  <sheetViews>
    <sheetView showFormulas="false" showGridLines="true" showRowColHeaders="true" showZeros="true" rightToLeft="false" tabSelected="true" showOutlineSymbols="true" defaultGridColor="true" view="normal" topLeftCell="A36" colorId="64" zoomScale="125" zoomScaleNormal="125" zoomScalePageLayoutView="100" workbookViewId="0">
      <selection pane="topLeft" activeCell="M59" activeCellId="0" sqref="M59"/>
    </sheetView>
  </sheetViews>
  <sheetFormatPr defaultColWidth="10.65234375" defaultRowHeight="13.5" zeroHeight="false" outlineLevelRow="0" outlineLevelCol="0"/>
  <cols>
    <col collapsed="false" customWidth="true" hidden="false" outlineLevel="0" max="1" min="1" style="75" width="23"/>
    <col collapsed="false" customWidth="true" hidden="false" outlineLevel="0" max="2" min="2" style="75" width="16.67"/>
    <col collapsed="false" customWidth="true" hidden="false" outlineLevel="0" max="13" min="3" style="76" width="15.83"/>
    <col collapsed="false" customWidth="true" hidden="false" outlineLevel="0" max="14" min="14" style="75" width="14"/>
  </cols>
  <sheetData>
    <row r="1" customFormat="false" ht="13.5" hidden="false" customHeight="false" outlineLevel="0" collapsed="false">
      <c r="A1" s="77"/>
      <c r="B1" s="78" t="s">
        <v>126</v>
      </c>
      <c r="C1" s="78" t="n">
        <v>1</v>
      </c>
      <c r="D1" s="78" t="n">
        <v>2</v>
      </c>
      <c r="E1" s="78" t="n">
        <v>3</v>
      </c>
      <c r="F1" s="78" t="n">
        <v>4</v>
      </c>
      <c r="G1" s="78" t="n">
        <v>5</v>
      </c>
      <c r="H1" s="78" t="n">
        <v>6</v>
      </c>
      <c r="I1" s="78" t="n">
        <v>7</v>
      </c>
      <c r="J1" s="78" t="n">
        <v>8</v>
      </c>
      <c r="K1" s="78" t="n">
        <v>9</v>
      </c>
      <c r="L1" s="78" t="n">
        <v>10</v>
      </c>
      <c r="M1" s="79" t="s">
        <v>127</v>
      </c>
      <c r="N1" s="80" t="s">
        <v>128</v>
      </c>
    </row>
    <row r="2" customFormat="false" ht="13.5" hidden="false" customHeight="false" outlineLevel="0" collapsed="false">
      <c r="A2" s="75" t="s">
        <v>129</v>
      </c>
      <c r="B2" s="81"/>
      <c r="C2" s="82" t="n">
        <f aca="false">'Input sheet'!B25</f>
        <v>0.15</v>
      </c>
      <c r="D2" s="82" t="n">
        <f aca="false">'Input sheet'!B27</f>
        <v>0.15</v>
      </c>
      <c r="E2" s="82" t="n">
        <f aca="false">D2</f>
        <v>0.15</v>
      </c>
      <c r="F2" s="82" t="n">
        <f aca="false">E2</f>
        <v>0.15</v>
      </c>
      <c r="G2" s="82" t="n">
        <f aca="false">F2</f>
        <v>0.15</v>
      </c>
      <c r="H2" s="82" t="n">
        <f aca="false">G2-((G2-$M$2)/5)</f>
        <v>0.1272</v>
      </c>
      <c r="I2" s="82" t="n">
        <f aca="false">G2-((G2-$M$2)/5)*2</f>
        <v>0.1044</v>
      </c>
      <c r="J2" s="82" t="n">
        <f aca="false">G2-((G2-$M$2)/5)*3</f>
        <v>0.0816</v>
      </c>
      <c r="K2" s="82" t="n">
        <f aca="false">G2-((G2-$M$2)/5)*4</f>
        <v>0.0588</v>
      </c>
      <c r="L2" s="82" t="n">
        <f aca="false">G2-((G2-$M$2)/5)*5</f>
        <v>0.036</v>
      </c>
      <c r="M2" s="83" t="n">
        <f aca="false">IF('Input sheet'!B78="Yes",'Input sheet'!B79,IF('Input sheet'!B75="Yes",'Input sheet'!B76,'Input sheet'!B33))</f>
        <v>0.036</v>
      </c>
      <c r="N2" s="84"/>
    </row>
    <row r="3" customFormat="false" ht="15" hidden="false" customHeight="true" outlineLevel="0" collapsed="false">
      <c r="A3" s="75" t="s">
        <v>130</v>
      </c>
      <c r="B3" s="85" t="n">
        <f aca="false">'Input sheet'!B10-B14-B23</f>
        <v>14028</v>
      </c>
      <c r="C3" s="86" t="n">
        <f aca="false">B3*(1+C2)</f>
        <v>16132.2</v>
      </c>
      <c r="D3" s="86" t="n">
        <f aca="false">C3*(1+D2)</f>
        <v>18552.03</v>
      </c>
      <c r="E3" s="86" t="n">
        <f aca="false">D3*(1+E2)</f>
        <v>21334.8345</v>
      </c>
      <c r="F3" s="86" t="n">
        <f aca="false">E3*(1+F2)</f>
        <v>24535.059675</v>
      </c>
      <c r="G3" s="86" t="n">
        <f aca="false">F3*(1+G2)</f>
        <v>28215.31862625</v>
      </c>
      <c r="H3" s="86" t="n">
        <f aca="false">G3*(1+H2)</f>
        <v>31804.307155509</v>
      </c>
      <c r="I3" s="86" t="n">
        <f aca="false">H3*(1+I2)</f>
        <v>35124.6768225441</v>
      </c>
      <c r="J3" s="86" t="n">
        <f aca="false">I3*(1+J2)</f>
        <v>37990.8504512637</v>
      </c>
      <c r="K3" s="86" t="n">
        <f aca="false">J3*(1+K2)</f>
        <v>40224.712457798</v>
      </c>
      <c r="L3" s="86" t="n">
        <f aca="false">K3*(1+L2)</f>
        <v>41672.8021062788</v>
      </c>
      <c r="M3" s="87" t="n">
        <f aca="false">L3*(1+M2)</f>
        <v>43173.0229821048</v>
      </c>
      <c r="N3" s="84"/>
    </row>
    <row r="4" customFormat="false" ht="15" hidden="false" customHeight="true" outlineLevel="0" collapsed="false">
      <c r="A4" s="75" t="s">
        <v>131</v>
      </c>
      <c r="B4" s="88" t="n">
        <f aca="false">B5/B3</f>
        <v>0.256437125748503</v>
      </c>
      <c r="C4" s="82" t="n">
        <f aca="false">'Input sheet'!B26</f>
        <v>0.35</v>
      </c>
      <c r="D4" s="82" t="n">
        <f aca="false">IF(D1&gt;'Input sheet'!$B$29,'Input sheet'!$B$28,'Input sheet'!$B$28-(('Input sheet'!$B$28-$C$15)/'Input sheet'!$B$29)*('Input sheet'!$B$29-D1))</f>
        <v>0.37</v>
      </c>
      <c r="E4" s="82" t="n">
        <f aca="false">IF(E1&gt;'Input sheet'!$B$29,'Input sheet'!$B$28,'Input sheet'!$B$28-(('Input sheet'!$B$28-$C$4)/'Input sheet'!$B$29)*('Input sheet'!$B$29-E1))</f>
        <v>0.38</v>
      </c>
      <c r="F4" s="82" t="n">
        <f aca="false">IF(F1&gt;'Input sheet'!$B$29,'Input sheet'!$B$28,'Input sheet'!$B$28-(('Input sheet'!$B$28-$C$4)/'Input sheet'!$B$29)*('Input sheet'!$B$29-F1))</f>
        <v>0.39</v>
      </c>
      <c r="G4" s="82" t="n">
        <f aca="false">IF(G1&gt;'Input sheet'!$B$29,'Input sheet'!$B$28,'Input sheet'!$B$28-(('Input sheet'!$B$28-$C$4)/'Input sheet'!$B$29)*('Input sheet'!$B$29-G1))</f>
        <v>0.4</v>
      </c>
      <c r="H4" s="82" t="n">
        <f aca="false">IF(H1&gt;'Input sheet'!$B$29,'Input sheet'!$B$28,'Input sheet'!$B$28-(('Input sheet'!$B$28-$C$4)/'Input sheet'!$B$29)*('Input sheet'!$B$29-H1))</f>
        <v>0.4</v>
      </c>
      <c r="I4" s="82" t="n">
        <f aca="false">IF(I1&gt;'Input sheet'!$B$29,'Input sheet'!$B$28,'Input sheet'!$B$28-(('Input sheet'!$B$28-$C$4)/'Input sheet'!$B$29)*('Input sheet'!$B$29-I1))</f>
        <v>0.4</v>
      </c>
      <c r="J4" s="82" t="n">
        <f aca="false">IF(J1&gt;'Input sheet'!$B$29,'Input sheet'!$B$28,'Input sheet'!$B$28-(('Input sheet'!$B$28-$C$4)/'Input sheet'!$B$29)*('Input sheet'!$B$29-J1))</f>
        <v>0.4</v>
      </c>
      <c r="K4" s="82" t="n">
        <f aca="false">IF(K1&gt;'Input sheet'!$B$29,'Input sheet'!$B$28,'Input sheet'!$B$28-(('Input sheet'!$B$28-$C$4)/'Input sheet'!$B$29)*('Input sheet'!$B$29-K1))</f>
        <v>0.4</v>
      </c>
      <c r="L4" s="82" t="n">
        <f aca="false">IF(L1&gt;'Input sheet'!$B$29,'Input sheet'!$B$28,'Input sheet'!$B$28-(('Input sheet'!$B$28-$C$4)/'Input sheet'!$B$29)*('Input sheet'!$B$29-L1))</f>
        <v>0.4</v>
      </c>
      <c r="M4" s="83" t="n">
        <f aca="false">L4</f>
        <v>0.4</v>
      </c>
      <c r="N4" s="84"/>
    </row>
    <row r="5" customFormat="false" ht="15" hidden="false" customHeight="true" outlineLevel="0" collapsed="false">
      <c r="A5" s="75" t="s">
        <v>132</v>
      </c>
      <c r="B5" s="85" t="n">
        <f aca="false">IF('Input sheet'!B16="Yes",IF('Input sheet'!B15="Yes",'Input sheet'!B11+'Operating lease converter'!F32+'R&amp; D converter'!D39,'Input sheet'!B11+'Operating lease converter'!F32),IF('Input sheet'!B15="Yes",'Input sheet'!B11+'R&amp; D converter'!D39,'Input sheet'!B11))-B14*B15-B23*B24</f>
        <v>3597.3</v>
      </c>
      <c r="C5" s="86" t="n">
        <f aca="false">C4*C3</f>
        <v>5646.27</v>
      </c>
      <c r="D5" s="86" t="n">
        <f aca="false">D4*D3</f>
        <v>6864.2511</v>
      </c>
      <c r="E5" s="86" t="n">
        <f aca="false">E4*E3</f>
        <v>8107.23711</v>
      </c>
      <c r="F5" s="86" t="n">
        <f aca="false">F4*F3</f>
        <v>9568.67327325</v>
      </c>
      <c r="G5" s="86" t="n">
        <f aca="false">G4*G3</f>
        <v>11286.1274505</v>
      </c>
      <c r="H5" s="86" t="n">
        <f aca="false">H4*H3</f>
        <v>12721.7228622036</v>
      </c>
      <c r="I5" s="86" t="n">
        <f aca="false">I4*I3</f>
        <v>14049.8707290177</v>
      </c>
      <c r="J5" s="86" t="n">
        <f aca="false">J4*J3</f>
        <v>15196.3401805055</v>
      </c>
      <c r="K5" s="86" t="n">
        <f aca="false">K4*K3</f>
        <v>16089.8849831192</v>
      </c>
      <c r="L5" s="86" t="n">
        <f aca="false">L4*L3</f>
        <v>16669.1208425115</v>
      </c>
      <c r="M5" s="87" t="n">
        <f aca="false">M4*M3</f>
        <v>17269.2091928419</v>
      </c>
      <c r="N5" s="84"/>
    </row>
    <row r="6" customFormat="false" ht="15" hidden="false" customHeight="true" outlineLevel="0" collapsed="false">
      <c r="A6" s="75" t="s">
        <v>133</v>
      </c>
      <c r="B6" s="89" t="n">
        <f aca="false">'Input sheet'!B22</f>
        <v>0.1</v>
      </c>
      <c r="C6" s="90" t="n">
        <f aca="false">B6</f>
        <v>0.1</v>
      </c>
      <c r="D6" s="90" t="n">
        <f aca="false">C6</f>
        <v>0.1</v>
      </c>
      <c r="E6" s="90" t="n">
        <f aca="false">D6</f>
        <v>0.1</v>
      </c>
      <c r="F6" s="90" t="n">
        <f aca="false">E6</f>
        <v>0.1</v>
      </c>
      <c r="G6" s="90" t="n">
        <f aca="false">F6</f>
        <v>0.1</v>
      </c>
      <c r="H6" s="90" t="n">
        <f aca="false">G6+($M$6-$G$6)/5</f>
        <v>0.13</v>
      </c>
      <c r="I6" s="90" t="n">
        <f aca="false">H6+($M$6-$G$6)/5</f>
        <v>0.16</v>
      </c>
      <c r="J6" s="90" t="n">
        <f aca="false">I6+($M$6-$G$6)/5</f>
        <v>0.19</v>
      </c>
      <c r="K6" s="90" t="n">
        <f aca="false">J6+($M$6-$G$6)/5</f>
        <v>0.22</v>
      </c>
      <c r="L6" s="90" t="n">
        <f aca="false">K6+($M$6-$G$6)/5</f>
        <v>0.25</v>
      </c>
      <c r="M6" s="91" t="n">
        <f aca="false">IF('Input sheet'!B70="Yes",'Input sheet'!B22,'Input sheet'!B23)</f>
        <v>0.25</v>
      </c>
      <c r="N6" s="84"/>
    </row>
    <row r="7" customFormat="false" ht="15" hidden="false" customHeight="true" outlineLevel="0" collapsed="false">
      <c r="A7" s="75" t="s">
        <v>134</v>
      </c>
      <c r="B7" s="85" t="n">
        <f aca="false">IF(B5&gt;0,B5*(1-B6),B5)</f>
        <v>3237.57</v>
      </c>
      <c r="C7" s="86" t="n">
        <f aca="false">IF(C5&gt;0,IF(C5&lt;B10,C5,C5-(C5-B10)*C6),C5)</f>
        <v>5081.643</v>
      </c>
      <c r="D7" s="86" t="n">
        <f aca="false">IF(D5&gt;0,IF(D5&lt;C10,D5,D5-(D5-C10)*D6),D5)</f>
        <v>6177.82599</v>
      </c>
      <c r="E7" s="86" t="n">
        <f aca="false">IF(E5&gt;0,IF(E5&lt;D10,E5,E5-(E5-D10)*E6),E5)</f>
        <v>7296.513399</v>
      </c>
      <c r="F7" s="86" t="n">
        <f aca="false">IF(F5&gt;0,IF(F5&lt;E10,F5,F5-(F5-E10)*F6),F5)</f>
        <v>8611.805945925</v>
      </c>
      <c r="G7" s="86" t="n">
        <f aca="false">IF(G5&gt;0,IF(G5&lt;F10,G5,G5-(G5-F10)*G6),G5)</f>
        <v>10157.51470545</v>
      </c>
      <c r="H7" s="86" t="n">
        <f aca="false">IF(H5&gt;0,IF(H5&lt;G10,H5,H5-(H5-G10)*H6),H5)</f>
        <v>11067.8988901171</v>
      </c>
      <c r="I7" s="86" t="n">
        <f aca="false">IF(I5&gt;0,IF(I5&lt;H10,I5,I5-(I5-H10)*I6),I5)</f>
        <v>11801.8914123748</v>
      </c>
      <c r="J7" s="86" t="n">
        <f aca="false">IF(J5&gt;0,IF(J5&lt;I10,J5,J5-(J5-I10)*J6),J5)</f>
        <v>12309.0355462094</v>
      </c>
      <c r="K7" s="86" t="n">
        <f aca="false">IF(K5&gt;0,IF(K5&lt;J10,K5,K5-(K5-J10)*K6),K5)</f>
        <v>12550.110286833</v>
      </c>
      <c r="L7" s="86" t="n">
        <f aca="false">IF(L5&gt;0,IF(L5&lt;K10,L5,L5-(L5-K10)*L6),L5)</f>
        <v>12501.8406318836</v>
      </c>
      <c r="M7" s="92" t="n">
        <f aca="false">M5*(1-M6)</f>
        <v>12951.9068946314</v>
      </c>
      <c r="N7" s="84"/>
    </row>
    <row r="8" customFormat="false" ht="15" hidden="false" customHeight="true" outlineLevel="0" collapsed="false">
      <c r="A8" s="75" t="s">
        <v>135</v>
      </c>
      <c r="B8" s="85"/>
      <c r="C8" s="86" t="n">
        <f aca="false">IF('Input sheet'!$B$67="No",(D3-C3)/C57,IF('Input sheet'!$B$68=0,(C3-B3)/C57,IF('Input sheet'!$B$68=2,(E3-D3)/C57,IF('Input sheet'!$B$68=3,(F3-E3)/C57,(D3-C3)/C57))))</f>
        <v>2104.2</v>
      </c>
      <c r="D8" s="86" t="n">
        <f aca="false">IF('Input sheet'!$B$67="No",(E3-D3)/D57,IF('Input sheet'!$B$68=0,(D3-C3)/D57,IF('Input sheet'!$B$68=2,(F3-E3)/D57,IF('Input sheet'!$B$68=3,(G3-F3)/D57,(E3-D3)/D57))))</f>
        <v>2419.83</v>
      </c>
      <c r="E8" s="86" t="n">
        <f aca="false">IF('Input sheet'!$B$67="No",(F3-E3)/E57,IF('Input sheet'!$B$68=0,(E3-D3)/E57,IF('Input sheet'!$B$68=2,(G3-F3)/E57,IF('Input sheet'!$B$68=3,(H3-G3)/E57,(F3-E3)/E57))))</f>
        <v>2782.8045</v>
      </c>
      <c r="F8" s="86" t="n">
        <f aca="false">IF('Input sheet'!$B$67="No",(G3-F3)/F57,IF('Input sheet'!$B$68=0,(F3-E3)/F57,IF('Input sheet'!$B$68=2,(H3-G3)/F57,IF('Input sheet'!$B$68=3,(I3-H3)/F57,(G3-F3)/F57))))</f>
        <v>3200.225175</v>
      </c>
      <c r="G8" s="86" t="n">
        <f aca="false">IF('Input sheet'!$B$67="No",(H3-G3)/G57,IF('Input sheet'!$B$68=0,(G3-F3)/G57,IF('Input sheet'!$B$68=2,(I3-H3)/G57,IF('Input sheet'!$B$68=3,(J3-I3)/G57,(H3-G3)/G57))))</f>
        <v>3120.85959066</v>
      </c>
      <c r="H8" s="86" t="n">
        <f aca="false">IF('Input sheet'!$B$67="No",(I3-H3)/H57,IF('Input sheet'!$B$68=0,(H3-G3)/H57,IF('Input sheet'!$B$68=2,(J3-I3)/H57,IF('Input sheet'!$B$68=3,(K3-J3)/H57,(I3-H3)/H57))))</f>
        <v>2887.2779713349</v>
      </c>
      <c r="I8" s="86" t="n">
        <f aca="false">IF('Input sheet'!$B$67="No",(J3-I3)/I57,IF('Input sheet'!$B$68=0,(I3-H3)/I57,IF('Input sheet'!$B$68=2,(K3-J3)/I57,IF('Input sheet'!$B$68=3,(L3-K3)/I57,(J3-I3)/I57))))</f>
        <v>2492.32489453878</v>
      </c>
      <c r="J8" s="86" t="n">
        <f aca="false">IF('Input sheet'!$B$67="No",(K3-J3)/J57,IF('Input sheet'!$B$68=0,(J3-I3)/J57,IF('Input sheet'!$B$68=2,(L3-K3)/J57,IF('Input sheet'!$B$68=3,(M3-L3)/J57,(K3-J3)/J57))))</f>
        <v>1942.48870133418</v>
      </c>
      <c r="K8" s="86" t="n">
        <f aca="false">IF('Input sheet'!$B$67="No",(L3-K3)/K57,IF('Input sheet'!$B$68=0,(K3-J3)/K57,IF('Input sheet'!$B$68=2,L3*L2/K57,IF('Input sheet'!$B$68=3,M3*M2/K57,(L3-K3)/K57))))</f>
        <v>1259.20838998324</v>
      </c>
      <c r="L8" s="86" t="n">
        <f aca="false">IF('Input sheet'!$B$67="No",(M3-L3)/L57,IF('Input sheet'!$B$68=0,(L3-K3)/L57,IF('Input sheet'!$B$68=2,M3*M2/L57,IF('Input sheet'!$B$68=3,(M3*(1+M2)^2-M3*(1+M2))/L57,(M3-L3)/L57))))</f>
        <v>1304.53989202264</v>
      </c>
      <c r="M8" s="93" t="n">
        <f aca="false">IF(M2&gt;0,(M2/M59)*M7,0)</f>
        <v>2331.34324103365</v>
      </c>
      <c r="N8" s="84"/>
    </row>
    <row r="9" customFormat="false" ht="15" hidden="false" customHeight="true" outlineLevel="0" collapsed="false">
      <c r="A9" s="75" t="s">
        <v>136</v>
      </c>
      <c r="B9" s="85"/>
      <c r="C9" s="86" t="n">
        <f aca="false">C7-C8</f>
        <v>2977.443</v>
      </c>
      <c r="D9" s="86" t="n">
        <f aca="false">D7-D8</f>
        <v>3757.99599</v>
      </c>
      <c r="E9" s="86" t="n">
        <f aca="false">E7-E8</f>
        <v>4513.708899</v>
      </c>
      <c r="F9" s="86" t="n">
        <f aca="false">F7-F8</f>
        <v>5411.580770925</v>
      </c>
      <c r="G9" s="86" t="n">
        <f aca="false">G7-G8</f>
        <v>7036.65511479</v>
      </c>
      <c r="H9" s="86" t="n">
        <f aca="false">H7-H8</f>
        <v>8180.62091878223</v>
      </c>
      <c r="I9" s="86" t="n">
        <f aca="false">I7-I8</f>
        <v>9309.56651783605</v>
      </c>
      <c r="J9" s="86" t="n">
        <f aca="false">J7-J8</f>
        <v>10366.5468448753</v>
      </c>
      <c r="K9" s="86" t="n">
        <f aca="false">K7-K8</f>
        <v>11290.9018968497</v>
      </c>
      <c r="L9" s="86" t="n">
        <f aca="false">L7-L8</f>
        <v>11197.300739861</v>
      </c>
      <c r="M9" s="93" t="n">
        <f aca="false">M7-M8</f>
        <v>10620.5636535977</v>
      </c>
      <c r="N9" s="94" t="n">
        <f aca="false">M9/(M30-M2)</f>
        <v>202296.450544719</v>
      </c>
    </row>
    <row r="10" customFormat="false" ht="15" hidden="false" customHeight="true" outlineLevel="0" collapsed="false">
      <c r="A10" s="75" t="s">
        <v>137</v>
      </c>
      <c r="B10" s="85" t="n">
        <f aca="false">IF('Input sheet'!B72="Yes",'Input sheet'!B73,0)</f>
        <v>0</v>
      </c>
      <c r="C10" s="86" t="n">
        <f aca="false">IF(C5&lt;0,B10-C5,IF(B10&gt;C5,B10-C5,0))</f>
        <v>0</v>
      </c>
      <c r="D10" s="86" t="n">
        <f aca="false">IF(D5&lt;0,C10-D5,IF(C10&gt;D5,C10-D5,0))</f>
        <v>0</v>
      </c>
      <c r="E10" s="86" t="n">
        <f aca="false">IF(E5&lt;0,D10-E5,IF(D10&gt;E5,D10-E5,0))</f>
        <v>0</v>
      </c>
      <c r="F10" s="86" t="n">
        <f aca="false">IF(F5&lt;0,E10-F5,IF(E10&gt;F5,E10-F5,0))</f>
        <v>0</v>
      </c>
      <c r="G10" s="86" t="n">
        <f aca="false">IF(G5&lt;0,F10-G5,IF(F10&gt;G5,F10-G5,0))</f>
        <v>0</v>
      </c>
      <c r="H10" s="86" t="n">
        <f aca="false">IF(H5&lt;0,G10-H5,IF(G10&gt;H5,G10-H5,0))</f>
        <v>0</v>
      </c>
      <c r="I10" s="86" t="n">
        <f aca="false">IF(I5&lt;0,H10-I5,IF(H10&gt;I5,H10-I5,0))</f>
        <v>0</v>
      </c>
      <c r="J10" s="86" t="n">
        <f aca="false">IF(J5&lt;0,I10-J5,IF(I10&gt;J5,I10-J5,0))</f>
        <v>0</v>
      </c>
      <c r="K10" s="86" t="n">
        <f aca="false">IF(K5&lt;0,J10-K5,IF(J10&gt;K5,J10-K5,0))</f>
        <v>0</v>
      </c>
      <c r="L10" s="86" t="n">
        <f aca="false">IF(L5&lt;0,K10-L5,IF(K10&gt;L5,K10-L5,0))</f>
        <v>0</v>
      </c>
      <c r="M10" s="92" t="n">
        <f aca="false">IF(M5&lt;0,L10-M5,IF(L10&gt;M5,L10-M5,0))</f>
        <v>0</v>
      </c>
      <c r="N10" s="95"/>
    </row>
    <row r="11" customFormat="false" ht="15" hidden="false" customHeight="true" outlineLevel="0" collapsed="false">
      <c r="B11" s="85"/>
      <c r="C11" s="86"/>
      <c r="D11" s="86"/>
      <c r="E11" s="86"/>
      <c r="F11" s="86"/>
      <c r="G11" s="86"/>
      <c r="H11" s="86"/>
      <c r="I11" s="86"/>
      <c r="J11" s="86"/>
      <c r="K11" s="86"/>
      <c r="L11" s="86"/>
      <c r="M11" s="92"/>
      <c r="N11" s="95"/>
    </row>
    <row r="12" customFormat="false" ht="15" hidden="false" customHeight="true" outlineLevel="0" collapsed="false">
      <c r="A12" s="75" t="s">
        <v>138</v>
      </c>
      <c r="B12" s="85" t="n">
        <f aca="false">'Input sheet'!B44</f>
        <v>15000</v>
      </c>
      <c r="C12" s="86" t="n">
        <f aca="false">(G12-B12)/5+B12</f>
        <v>39800</v>
      </c>
      <c r="D12" s="86" t="n">
        <f aca="false">(G12-B12)/5+C12</f>
        <v>64600</v>
      </c>
      <c r="E12" s="86" t="n">
        <f aca="false">(G12-B12)/5+D12</f>
        <v>89400</v>
      </c>
      <c r="F12" s="86" t="n">
        <f aca="false">(G12-B12)/5+E12</f>
        <v>114200</v>
      </c>
      <c r="G12" s="86" t="n">
        <f aca="false">B12+2*(L12-B12)/5</f>
        <v>139000</v>
      </c>
      <c r="H12" s="86" t="n">
        <f aca="false">(L12-G12)/5+G12</f>
        <v>176200</v>
      </c>
      <c r="I12" s="86" t="n">
        <f aca="false">(L12-G12)/5+H12</f>
        <v>213400</v>
      </c>
      <c r="J12" s="86" t="n">
        <f aca="false">(L12-G12)/5+I12</f>
        <v>250600</v>
      </c>
      <c r="K12" s="86" t="n">
        <f aca="false">(L12-G12)/5+J12</f>
        <v>287800</v>
      </c>
      <c r="L12" s="86" t="n">
        <f aca="false">'Input sheet'!C44</f>
        <v>325000</v>
      </c>
      <c r="M12" s="92" t="n">
        <f aca="false">L12*(1+M2)</f>
        <v>336700</v>
      </c>
      <c r="N12" s="95"/>
    </row>
    <row r="13" customFormat="false" ht="15" hidden="false" customHeight="true" outlineLevel="0" collapsed="false">
      <c r="A13" s="75" t="s">
        <v>139</v>
      </c>
      <c r="B13" s="89" t="n">
        <f aca="false">'Input sheet'!B45</f>
        <v>0.75</v>
      </c>
      <c r="C13" s="82" t="n">
        <f aca="false">B13-($B$13-$L$13)/10</f>
        <v>0.735</v>
      </c>
      <c r="D13" s="82" t="n">
        <f aca="false">C13-($B$13-$L$13)/10</f>
        <v>0.72</v>
      </c>
      <c r="E13" s="82" t="n">
        <f aca="false">D13-($B$13-$L$13)/10</f>
        <v>0.705</v>
      </c>
      <c r="F13" s="82" t="n">
        <f aca="false">E13-($B$13-$L$13)/10</f>
        <v>0.69</v>
      </c>
      <c r="G13" s="82" t="n">
        <f aca="false">F13-($B$13-$L$13)/10</f>
        <v>0.675</v>
      </c>
      <c r="H13" s="82" t="n">
        <f aca="false">G13-($B$13-$L$13)/10</f>
        <v>0.66</v>
      </c>
      <c r="I13" s="82" t="n">
        <f aca="false">H13-($B$13-$L$13)/10</f>
        <v>0.645</v>
      </c>
      <c r="J13" s="82" t="n">
        <f aca="false">I13-($B$13-$L$13)/10</f>
        <v>0.63</v>
      </c>
      <c r="K13" s="82" t="n">
        <f aca="false">J13-($B$13-$L$13)/10</f>
        <v>0.615</v>
      </c>
      <c r="L13" s="90" t="n">
        <f aca="false">'Input sheet'!C45</f>
        <v>0.6</v>
      </c>
      <c r="M13" s="91" t="n">
        <f aca="false">L13</f>
        <v>0.6</v>
      </c>
      <c r="N13" s="95"/>
    </row>
    <row r="14" customFormat="false" ht="15" hidden="false" customHeight="true" outlineLevel="0" collapsed="false">
      <c r="A14" s="75" t="s">
        <v>140</v>
      </c>
      <c r="B14" s="85" t="n">
        <f aca="false">B12*B13</f>
        <v>11250</v>
      </c>
      <c r="C14" s="85" t="n">
        <f aca="false">C12*C13</f>
        <v>29253</v>
      </c>
      <c r="D14" s="85" t="n">
        <f aca="false">D12*D13</f>
        <v>46512</v>
      </c>
      <c r="E14" s="85" t="n">
        <f aca="false">E12*E13</f>
        <v>63027</v>
      </c>
      <c r="F14" s="85" t="n">
        <f aca="false">F12*F13</f>
        <v>78798</v>
      </c>
      <c r="G14" s="85" t="n">
        <f aca="false">G12*G13</f>
        <v>93825</v>
      </c>
      <c r="H14" s="85" t="n">
        <f aca="false">H12*H13</f>
        <v>116292</v>
      </c>
      <c r="I14" s="85" t="n">
        <f aca="false">I12*I13</f>
        <v>137643</v>
      </c>
      <c r="J14" s="85" t="n">
        <f aca="false">J12*J13</f>
        <v>157878</v>
      </c>
      <c r="K14" s="85" t="n">
        <f aca="false">K12*K13</f>
        <v>176997</v>
      </c>
      <c r="L14" s="85" t="n">
        <f aca="false">L12*L13</f>
        <v>195000</v>
      </c>
      <c r="M14" s="96" t="n">
        <f aca="false">M12*M13</f>
        <v>202020</v>
      </c>
      <c r="N14" s="95"/>
    </row>
    <row r="15" customFormat="false" ht="15" hidden="false" customHeight="true" outlineLevel="0" collapsed="false">
      <c r="A15" s="75" t="s">
        <v>141</v>
      </c>
      <c r="B15" s="89" t="n">
        <f aca="false">'Input sheet'!B46</f>
        <v>0.35</v>
      </c>
      <c r="C15" s="82" t="n">
        <f aca="false">B15</f>
        <v>0.35</v>
      </c>
      <c r="D15" s="82" t="n">
        <f aca="false">IF(D1&gt;'Input sheet'!$B$29,'Input sheet'!$C$46,'Input sheet'!$C$46-(('Input sheet'!$C$46-$C$15)/'Input sheet'!$B$29)*('Input sheet'!$B$29-D1))</f>
        <v>0.37</v>
      </c>
      <c r="E15" s="82" t="n">
        <f aca="false">IF(E1&gt;'Input sheet'!$B$29,'Input sheet'!$C$46,'Input sheet'!$C$46-(('Input sheet'!$C$46-$C$15)/'Input sheet'!$B$29)*('Input sheet'!$B$29-E1))</f>
        <v>0.38</v>
      </c>
      <c r="F15" s="82" t="n">
        <f aca="false">IF(F1&gt;'Input sheet'!$B$29,'Input sheet'!$C$46,'Input sheet'!$C$46-(('Input sheet'!$C$46-$C$15)/'Input sheet'!$B$29)*('Input sheet'!$B$29-F1))</f>
        <v>0.39</v>
      </c>
      <c r="G15" s="82" t="n">
        <f aca="false">IF(G1&gt;'Input sheet'!$B$29,'Input sheet'!$C$46,'Input sheet'!$C$46-(('Input sheet'!$C$46-$C$15)/'Input sheet'!$B$29)*('Input sheet'!$B$29-G1))</f>
        <v>0.4</v>
      </c>
      <c r="H15" s="82" t="n">
        <f aca="false">IF(H1&gt;'Input sheet'!$B$29,'Input sheet'!$C$46,'Input sheet'!$C$46-(('Input sheet'!$C$46-$C$15)/'Input sheet'!$B$29)*('Input sheet'!$B$29-H1))</f>
        <v>0.4</v>
      </c>
      <c r="I15" s="82" t="n">
        <f aca="false">IF(I1&gt;'Input sheet'!$B$29,'Input sheet'!$C$46,'Input sheet'!$C$46-(('Input sheet'!$C$46-$C$15)/'Input sheet'!$B$29)*('Input sheet'!$B$29-I1))</f>
        <v>0.4</v>
      </c>
      <c r="J15" s="82" t="n">
        <f aca="false">IF(J1&gt;'Input sheet'!$B$29,'Input sheet'!$C$46,'Input sheet'!$C$46-(('Input sheet'!$C$46-$C$15)/'Input sheet'!$B$29)*('Input sheet'!$B$29-J1))</f>
        <v>0.4</v>
      </c>
      <c r="K15" s="82" t="n">
        <f aca="false">IF(K1&gt;'Input sheet'!$B$29,'Input sheet'!$C$46,'Input sheet'!$C$46-(('Input sheet'!$C$46-$C$15)/'Input sheet'!$B$29)*('Input sheet'!$B$29-K1))</f>
        <v>0.4</v>
      </c>
      <c r="L15" s="82" t="n">
        <f aca="false">IF(L1&gt;'Input sheet'!$B$29,'Input sheet'!$C$46,'Input sheet'!$C$46-(('Input sheet'!$C$46-$C$15)/'Input sheet'!$B$29)*('Input sheet'!$B$29-L1))</f>
        <v>0.4</v>
      </c>
      <c r="M15" s="91" t="n">
        <f aca="false">L15</f>
        <v>0.4</v>
      </c>
      <c r="N15" s="95"/>
    </row>
    <row r="16" customFormat="false" ht="15" hidden="false" customHeight="true" outlineLevel="0" collapsed="false">
      <c r="A16" s="75" t="s">
        <v>142</v>
      </c>
      <c r="B16" s="86" t="n">
        <f aca="false">B14*B15</f>
        <v>3937.5</v>
      </c>
      <c r="C16" s="86" t="n">
        <f aca="false">C14*C15</f>
        <v>10238.55</v>
      </c>
      <c r="D16" s="86" t="n">
        <f aca="false">D14*D15</f>
        <v>17209.44</v>
      </c>
      <c r="E16" s="86" t="n">
        <f aca="false">E14*E15</f>
        <v>23950.26</v>
      </c>
      <c r="F16" s="86" t="n">
        <f aca="false">F14*F15</f>
        <v>30731.22</v>
      </c>
      <c r="G16" s="86" t="n">
        <f aca="false">G14*G15</f>
        <v>37530</v>
      </c>
      <c r="H16" s="86" t="n">
        <f aca="false">H14*H15</f>
        <v>46516.8</v>
      </c>
      <c r="I16" s="86" t="n">
        <f aca="false">I14*I15</f>
        <v>55057.2</v>
      </c>
      <c r="J16" s="86" t="n">
        <f aca="false">J14*J15</f>
        <v>63151.2</v>
      </c>
      <c r="K16" s="86" t="n">
        <f aca="false">K14*K15</f>
        <v>70798.8</v>
      </c>
      <c r="L16" s="86" t="n">
        <f aca="false">L14*L15</f>
        <v>78000</v>
      </c>
      <c r="M16" s="92" t="n">
        <f aca="false">M14*M15</f>
        <v>80808</v>
      </c>
      <c r="N16" s="95"/>
    </row>
    <row r="17" customFormat="false" ht="15" hidden="false" customHeight="true" outlineLevel="0" collapsed="false">
      <c r="A17" s="75" t="s">
        <v>143</v>
      </c>
      <c r="B17" s="85" t="n">
        <f aca="false">B16*(1-B6)</f>
        <v>3543.75</v>
      </c>
      <c r="C17" s="86" t="n">
        <f aca="false">C16*(1-C6)</f>
        <v>9214.695</v>
      </c>
      <c r="D17" s="86" t="n">
        <f aca="false">D16*(1-D6)</f>
        <v>15488.496</v>
      </c>
      <c r="E17" s="86" t="n">
        <f aca="false">E16*(1-E6)</f>
        <v>21555.234</v>
      </c>
      <c r="F17" s="86" t="n">
        <f aca="false">F16*(1-F6)</f>
        <v>27658.098</v>
      </c>
      <c r="G17" s="86" t="n">
        <f aca="false">G16*(1-G6)</f>
        <v>33777</v>
      </c>
      <c r="H17" s="86" t="n">
        <f aca="false">H16*(1-H6)</f>
        <v>40469.616</v>
      </c>
      <c r="I17" s="86" t="n">
        <f aca="false">I16*(1-I6)</f>
        <v>46248.048</v>
      </c>
      <c r="J17" s="86" t="n">
        <f aca="false">J16*(1-J6)</f>
        <v>51152.472</v>
      </c>
      <c r="K17" s="86" t="n">
        <f aca="false">K16*(1-K6)</f>
        <v>55223.064</v>
      </c>
      <c r="L17" s="86" t="n">
        <f aca="false">L16*(1-L6)</f>
        <v>58500</v>
      </c>
      <c r="M17" s="92" t="n">
        <f aca="false">M16*(1-M6)</f>
        <v>60606</v>
      </c>
      <c r="N17" s="95"/>
    </row>
    <row r="18" customFormat="false" ht="15" hidden="false" customHeight="true" outlineLevel="0" collapsed="false">
      <c r="A18" s="75" t="s">
        <v>135</v>
      </c>
      <c r="B18" s="85"/>
      <c r="C18" s="86" t="n">
        <f aca="false">IF('Input sheet'!$B$67="No",(D14-C14)/C57,IF('Input sheet'!$B$68=0,(D14-B14)/C57,IF('Input sheet'!$B$68=2,(E14-D14)/C57,IF('Input sheet'!$B$68=3,(F14-E14)/C57,(D14-C14)/C57))))</f>
        <v>15007.8260869565</v>
      </c>
      <c r="D18" s="86" t="n">
        <f aca="false">IF('Input sheet'!$B$67="No",(E14-D14)/D57,IF('Input sheet'!$B$68=0,(E14-C14)/D57,IF('Input sheet'!$B$68=2,(F14-E14)/D57,IF('Input sheet'!$B$68=3,(G14-F14)/D57,(E14-D14)/D57))))</f>
        <v>14360.8695652174</v>
      </c>
      <c r="E18" s="86" t="n">
        <f aca="false">IF('Input sheet'!$B$67="No",(F14-E14)/E57,IF('Input sheet'!$B$68=0,(F14-D14)/E57,IF('Input sheet'!$B$68=2,(G14-F14)/E57,IF('Input sheet'!$B$68=3,(H14-G14)/E57,(F14-E14)/E57))))</f>
        <v>13713.9130434783</v>
      </c>
      <c r="F18" s="86" t="n">
        <f aca="false">IF('Input sheet'!$B$67="No",(G14-F14)/F57,IF('Input sheet'!$B$68=0,(G14-E14)/F57,IF('Input sheet'!$B$68=2,(H14-G14)/F57,IF('Input sheet'!$B$68=3,(I14-H14)/F57,(G14-F14)/F57))))</f>
        <v>13066.9565217391</v>
      </c>
      <c r="G18" s="86" t="n">
        <f aca="false">IF('Input sheet'!$B$67="No",(H14-G14)/G57,IF('Input sheet'!$B$68=0,(H14-F14)/G57,IF('Input sheet'!$B$68=2,(I14-H14)/G57,IF('Input sheet'!$B$68=3,(J14-I14)/G57,(H14-G14)/G57))))</f>
        <v>19536.5217391304</v>
      </c>
      <c r="H18" s="86" t="n">
        <f aca="false">IF('Input sheet'!$B$67="No",(I14-H14)/H57,IF('Input sheet'!$B$68=0,(I14-G14)/H57,IF('Input sheet'!$B$68=2,(J14-I14)/H57,IF('Input sheet'!$B$68=3,(K14-J14)/H57,(I14-H14)/H57))))</f>
        <v>18566.0869565217</v>
      </c>
      <c r="I18" s="86" t="n">
        <f aca="false">IF('Input sheet'!$B$67="No",(J14-I14)/I57,IF('Input sheet'!$B$68=0,(J14-H14)/I57,IF('Input sheet'!$B$68=2,(K14-J14)/I57,IF('Input sheet'!$B$68=3,(L14-K14)/I57,(J14-I14)/I57))))</f>
        <v>17595.652173913</v>
      </c>
      <c r="J18" s="86" t="n">
        <f aca="false">IF('Input sheet'!$B$67="No",(K14-J14)/J57,IF('Input sheet'!$B$68=0,(K14-I14)/J57,IF('Input sheet'!$B$68=2,(L14-K14)/J57,IF('Input sheet'!$B$68=3,(M14-L14)/J57,(K14-J14)/J57))))</f>
        <v>16625.2173913043</v>
      </c>
      <c r="K18" s="86" t="n">
        <f aca="false">IF('Input sheet'!$B$67="No",(L14-K14)/K57,IF('Input sheet'!$B$68=0,(K14-J14)/K57,IF('Input sheet'!$B$68=2,L12*L2/K57,IF('Input sheet'!$B$68=3,M14*M2/K57,(L14-K14)/K57))))</f>
        <v>15654.7826086957</v>
      </c>
      <c r="L18" s="86" t="n">
        <f aca="false">IF('Input sheet'!$B$67="No",(M14-L14)/L57,IF('Input sheet'!$B$68=0,(L14-K14)/L57,IF('Input sheet'!$B$68=2,M14*M2/L57,IF('Input sheet'!$B$68=3,(M14*(1+M2)*M2)/L57,(M14-L14)/L57))))</f>
        <v>6104.34782608696</v>
      </c>
      <c r="M18" s="92" t="n">
        <f aca="false">IF(M2&gt;0,(M2/M59)*M17,0)</f>
        <v>10909.08</v>
      </c>
      <c r="N18" s="95"/>
    </row>
    <row r="19" customFormat="false" ht="15" hidden="false" customHeight="true" outlineLevel="0" collapsed="false">
      <c r="A19" s="75" t="s">
        <v>144</v>
      </c>
      <c r="B19" s="81"/>
      <c r="C19" s="97" t="n">
        <f aca="false">C17-C18</f>
        <v>-5793.13108695652</v>
      </c>
      <c r="D19" s="97" t="n">
        <f aca="false">D17-D18</f>
        <v>1127.62643478261</v>
      </c>
      <c r="E19" s="97" t="n">
        <f aca="false">E17-E18</f>
        <v>7841.32095652174</v>
      </c>
      <c r="F19" s="97" t="n">
        <f aca="false">F17-F18</f>
        <v>14591.1414782609</v>
      </c>
      <c r="G19" s="97" t="n">
        <f aca="false">G17-G18</f>
        <v>14240.4782608696</v>
      </c>
      <c r="H19" s="97" t="n">
        <f aca="false">H17-H18</f>
        <v>21903.5290434783</v>
      </c>
      <c r="I19" s="97" t="n">
        <f aca="false">I17-I18</f>
        <v>28652.3958260869</v>
      </c>
      <c r="J19" s="97" t="n">
        <f aca="false">J17-J18</f>
        <v>34527.2546086956</v>
      </c>
      <c r="K19" s="97" t="n">
        <f aca="false">K17-K18</f>
        <v>39568.2813913043</v>
      </c>
      <c r="L19" s="97" t="n">
        <f aca="false">L17-L18</f>
        <v>52395.652173913</v>
      </c>
      <c r="M19" s="93" t="n">
        <f aca="false">M17-M18</f>
        <v>49696.92</v>
      </c>
      <c r="N19" s="94" t="n">
        <f aca="false">M19/(M30-M2)</f>
        <v>946608</v>
      </c>
    </row>
    <row r="20" customFormat="false" ht="15" hidden="false" customHeight="true" outlineLevel="0" collapsed="false">
      <c r="N20" s="95"/>
    </row>
    <row r="21" customFormat="false" ht="15" hidden="false" customHeight="true" outlineLevel="0" collapsed="false">
      <c r="A21" s="75" t="s">
        <v>145</v>
      </c>
      <c r="B21" s="85" t="n">
        <f aca="false">'Input sheet'!B50</f>
        <v>20000</v>
      </c>
      <c r="C21" s="86" t="n">
        <f aca="false">(G21-B21)/5+B21</f>
        <v>44000</v>
      </c>
      <c r="D21" s="86" t="n">
        <f aca="false">(G21-B21)/5+C21</f>
        <v>68000</v>
      </c>
      <c r="E21" s="86" t="n">
        <f aca="false">(G21-B21)/5+D21</f>
        <v>92000</v>
      </c>
      <c r="F21" s="86" t="n">
        <f aca="false">(G21-B21)/5+E21</f>
        <v>116000</v>
      </c>
      <c r="G21" s="86" t="n">
        <f aca="false">B21+2*(L21-B21)/3</f>
        <v>140000</v>
      </c>
      <c r="H21" s="86" t="n">
        <f aca="false">(L21-G21)/5+G21</f>
        <v>152000</v>
      </c>
      <c r="I21" s="86" t="n">
        <f aca="false">(L21-G21)/5+H21</f>
        <v>164000</v>
      </c>
      <c r="J21" s="86" t="n">
        <f aca="false">(L21-G21)/5+I21</f>
        <v>176000</v>
      </c>
      <c r="K21" s="86" t="n">
        <f aca="false">(L21-G21)/5+J21</f>
        <v>188000</v>
      </c>
      <c r="L21" s="86" t="n">
        <f aca="false">'Input sheet'!C50</f>
        <v>200000</v>
      </c>
      <c r="M21" s="92" t="n">
        <f aca="false">L21*(1+M2)</f>
        <v>207200</v>
      </c>
      <c r="N21" s="95"/>
    </row>
    <row r="22" customFormat="false" ht="15" hidden="false" customHeight="true" outlineLevel="0" collapsed="false">
      <c r="A22" s="75" t="s">
        <v>146</v>
      </c>
      <c r="B22" s="89" t="n">
        <f aca="false">'Input sheet'!B51</f>
        <v>0.03</v>
      </c>
      <c r="C22" s="82" t="n">
        <f aca="false">B22-($B$22-$L$22)/10</f>
        <v>0.042</v>
      </c>
      <c r="D22" s="82" t="n">
        <f aca="false">C22-($B$22-$L$22)/10</f>
        <v>0.054</v>
      </c>
      <c r="E22" s="82" t="n">
        <f aca="false">D22-($B$22-$L$22)/10</f>
        <v>0.066</v>
      </c>
      <c r="F22" s="82" t="n">
        <f aca="false">E22-($B$22-$L$22)/10</f>
        <v>0.078</v>
      </c>
      <c r="G22" s="82" t="n">
        <f aca="false">F22-($B$22-$L$22)/10</f>
        <v>0.09</v>
      </c>
      <c r="H22" s="82" t="n">
        <f aca="false">G22-($B$22-$L$22)/10</f>
        <v>0.102</v>
      </c>
      <c r="I22" s="82" t="n">
        <f aca="false">H22-($B$22-$L$22)/10</f>
        <v>0.114</v>
      </c>
      <c r="J22" s="82" t="n">
        <f aca="false">I22-($B$22-$L$22)/10</f>
        <v>0.126</v>
      </c>
      <c r="K22" s="82" t="n">
        <f aca="false">J22-($B$22-$L$22)/10</f>
        <v>0.138</v>
      </c>
      <c r="L22" s="90" t="n">
        <f aca="false">'Input sheet'!C51</f>
        <v>0.15</v>
      </c>
      <c r="M22" s="91" t="n">
        <f aca="false">L22</f>
        <v>0.15</v>
      </c>
      <c r="N22" s="95"/>
    </row>
    <row r="23" customFormat="false" ht="15" hidden="false" customHeight="true" outlineLevel="0" collapsed="false">
      <c r="A23" s="75" t="s">
        <v>147</v>
      </c>
      <c r="B23" s="85" t="n">
        <f aca="false">B21*B22</f>
        <v>600</v>
      </c>
      <c r="C23" s="85" t="n">
        <f aca="false">C21*C22</f>
        <v>1848</v>
      </c>
      <c r="D23" s="85" t="n">
        <f aca="false">D21*D22</f>
        <v>3672</v>
      </c>
      <c r="E23" s="85" t="n">
        <f aca="false">E21*E22</f>
        <v>6072</v>
      </c>
      <c r="F23" s="85" t="n">
        <f aca="false">F21*F22</f>
        <v>9048</v>
      </c>
      <c r="G23" s="85" t="n">
        <f aca="false">G21*G22</f>
        <v>12600</v>
      </c>
      <c r="H23" s="85" t="n">
        <f aca="false">H21*H22</f>
        <v>15504</v>
      </c>
      <c r="I23" s="85" t="n">
        <f aca="false">I21*I22</f>
        <v>18696</v>
      </c>
      <c r="J23" s="85" t="n">
        <f aca="false">J21*J22</f>
        <v>22176</v>
      </c>
      <c r="K23" s="85" t="n">
        <f aca="false">K21*K22</f>
        <v>25944</v>
      </c>
      <c r="L23" s="85" t="n">
        <f aca="false">L21*L22</f>
        <v>30000</v>
      </c>
      <c r="M23" s="96" t="n">
        <f aca="false">M21*M22</f>
        <v>31080</v>
      </c>
      <c r="N23" s="95"/>
    </row>
    <row r="24" customFormat="false" ht="15" hidden="false" customHeight="true" outlineLevel="0" collapsed="false">
      <c r="A24" s="75" t="s">
        <v>141</v>
      </c>
      <c r="B24" s="89" t="n">
        <f aca="false">'Input sheet'!B52</f>
        <v>0.35</v>
      </c>
      <c r="C24" s="82" t="n">
        <f aca="false">'Input sheet'!B26</f>
        <v>0.35</v>
      </c>
      <c r="D24" s="82" t="n">
        <f aca="false">IF(D1&gt;'Input sheet'!$B$29,'Input sheet'!$C$52,'Input sheet'!$C$52-(('Input sheet'!$C$52-$C$24)/'Input sheet'!$B$29)*('Input sheet'!$B$29-D1))</f>
        <v>0.37</v>
      </c>
      <c r="E24" s="82" t="n">
        <f aca="false">IF(E1&gt;'Input sheet'!$B$29,'Input sheet'!$C$52,'Input sheet'!$C$52-(('Input sheet'!$C$52-$C$24)/'Input sheet'!$B$29)*('Input sheet'!$B$29-E1))</f>
        <v>0.38</v>
      </c>
      <c r="F24" s="82" t="n">
        <f aca="false">IF(F1&gt;'Input sheet'!$B$29,'Input sheet'!$C$52,'Input sheet'!$C$52-(('Input sheet'!$C$52-$C$24)/'Input sheet'!$B$29)*('Input sheet'!$B$29-F1))</f>
        <v>0.39</v>
      </c>
      <c r="G24" s="82" t="n">
        <f aca="false">IF(G1&gt;'Input sheet'!$B$29,'Input sheet'!$C$52,'Input sheet'!$C$52-(('Input sheet'!$C$52-$C$24)/'Input sheet'!$B$29)*('Input sheet'!$B$29-G1))</f>
        <v>0.4</v>
      </c>
      <c r="H24" s="82" t="n">
        <f aca="false">IF(H1&gt;'Input sheet'!$B$29,'Input sheet'!$C$52,'Input sheet'!$C$52-(('Input sheet'!$C$52-$C$24)/'Input sheet'!$B$29)*('Input sheet'!$B$29-H1))</f>
        <v>0.4</v>
      </c>
      <c r="I24" s="82" t="n">
        <f aca="false">IF(I1&gt;'Input sheet'!$B$29,'Input sheet'!$C$52,'Input sheet'!$C$52-(('Input sheet'!$C$52-$C$24)/'Input sheet'!$B$29)*('Input sheet'!$B$29-I1))</f>
        <v>0.4</v>
      </c>
      <c r="J24" s="82" t="n">
        <f aca="false">IF(J1&gt;'Input sheet'!$B$29,'Input sheet'!$C$52,'Input sheet'!$C$52-(('Input sheet'!$C$52-$C$24)/'Input sheet'!$B$29)*('Input sheet'!$B$29-J1))</f>
        <v>0.4</v>
      </c>
      <c r="K24" s="82" t="n">
        <f aca="false">IF(K1&gt;'Input sheet'!$B$29,'Input sheet'!$C$52,'Input sheet'!$C$52-(('Input sheet'!$C$52-$C$24)/'Input sheet'!$B$29)*('Input sheet'!$B$29-K1))</f>
        <v>0.4</v>
      </c>
      <c r="L24" s="82" t="n">
        <f aca="false">IF(L1&gt;'Input sheet'!$B$29,'Input sheet'!$C$52,'Input sheet'!$C$52-(('Input sheet'!$C$52-$C$24)/'Input sheet'!$B$29)*('Input sheet'!$B$29-L1))</f>
        <v>0.4</v>
      </c>
      <c r="M24" s="91" t="n">
        <f aca="false">L24</f>
        <v>0.4</v>
      </c>
      <c r="N24" s="95"/>
    </row>
    <row r="25" customFormat="false" ht="15" hidden="false" customHeight="true" outlineLevel="0" collapsed="false">
      <c r="A25" s="75" t="s">
        <v>142</v>
      </c>
      <c r="B25" s="85" t="n">
        <f aca="false">B23*B24</f>
        <v>210</v>
      </c>
      <c r="C25" s="86" t="n">
        <f aca="false">C23*C24</f>
        <v>646.8</v>
      </c>
      <c r="D25" s="86" t="n">
        <f aca="false">D23*D24</f>
        <v>1358.64</v>
      </c>
      <c r="E25" s="86" t="n">
        <f aca="false">E23*E24</f>
        <v>2307.36</v>
      </c>
      <c r="F25" s="86" t="n">
        <f aca="false">F23*F24</f>
        <v>3528.72</v>
      </c>
      <c r="G25" s="86" t="n">
        <f aca="false">G23*G24</f>
        <v>5040</v>
      </c>
      <c r="H25" s="86" t="n">
        <f aca="false">H23*H24</f>
        <v>6201.6</v>
      </c>
      <c r="I25" s="86" t="n">
        <f aca="false">I23*I24</f>
        <v>7478.4</v>
      </c>
      <c r="J25" s="86" t="n">
        <f aca="false">J23*J24</f>
        <v>8870.4</v>
      </c>
      <c r="K25" s="86" t="n">
        <f aca="false">K23*K24</f>
        <v>10377.6</v>
      </c>
      <c r="L25" s="86" t="n">
        <f aca="false">L23*L24</f>
        <v>12000</v>
      </c>
      <c r="M25" s="92" t="n">
        <f aca="false">M23*M24</f>
        <v>12432</v>
      </c>
      <c r="N25" s="95"/>
    </row>
    <row r="26" customFormat="false" ht="15" hidden="false" customHeight="true" outlineLevel="0" collapsed="false">
      <c r="A26" s="75" t="s">
        <v>143</v>
      </c>
      <c r="B26" s="85" t="n">
        <f aca="false">B25*(1-B6)</f>
        <v>189</v>
      </c>
      <c r="C26" s="86" t="n">
        <f aca="false">C25*(1-C6)</f>
        <v>582.12</v>
      </c>
      <c r="D26" s="86" t="n">
        <f aca="false">D25*(1-D6)</f>
        <v>1222.776</v>
      </c>
      <c r="E26" s="86" t="n">
        <f aca="false">E25*(1-E6)</f>
        <v>2076.624</v>
      </c>
      <c r="F26" s="86" t="n">
        <f aca="false">F25*(1-F6)</f>
        <v>3175.848</v>
      </c>
      <c r="G26" s="86" t="n">
        <f aca="false">G25*(1-G6)</f>
        <v>4536</v>
      </c>
      <c r="H26" s="86" t="n">
        <f aca="false">H25*(1-H6)</f>
        <v>5395.392</v>
      </c>
      <c r="I26" s="86" t="n">
        <f aca="false">I25*(1-I6)</f>
        <v>6281.856</v>
      </c>
      <c r="J26" s="86" t="n">
        <f aca="false">J25*(1-J6)</f>
        <v>7185.024</v>
      </c>
      <c r="K26" s="86" t="n">
        <f aca="false">K25*(1-K6)</f>
        <v>8094.528</v>
      </c>
      <c r="L26" s="86" t="n">
        <f aca="false">L25*(1-L6)</f>
        <v>9000</v>
      </c>
      <c r="M26" s="92" t="n">
        <f aca="false">M25*(1-M6)</f>
        <v>9324</v>
      </c>
      <c r="N26" s="95"/>
    </row>
    <row r="27" customFormat="false" ht="15" hidden="false" customHeight="true" outlineLevel="0" collapsed="false">
      <c r="A27" s="75" t="s">
        <v>135</v>
      </c>
      <c r="B27" s="85"/>
      <c r="C27" s="86" t="n">
        <f aca="false">IF('Input sheet'!$B$67="No",(D23-C23)/C57,IF('Input sheet'!$B$68=0,(D23-B23)/C57,IF('Input sheet'!$B$68=2,(E23-D23)/C57,IF('Input sheet'!$B$68=3,(F23-E23)/C57,(D23-C23)/C57))))</f>
        <v>1586.08695652174</v>
      </c>
      <c r="D27" s="86" t="n">
        <f aca="false">IF('Input sheet'!$B$67="No",(E23-D23)/D57,IF('Input sheet'!$B$68=0,(E23-C23)/D57,IF('Input sheet'!$B$68=2,(F23-E23)/D57,IF('Input sheet'!$B$68=3,(G23-F23)/D57,(E23-D23)/D57))))</f>
        <v>2086.95652173913</v>
      </c>
      <c r="E27" s="86" t="n">
        <f aca="false">IF('Input sheet'!$B$67="No",(F23-E23)/E57,IF('Input sheet'!$B$68=0,(F23-D23)/E57,IF('Input sheet'!$B$68=2,(G23-F23)/E57,IF('Input sheet'!$B$68=3,(H23-G23)/E57,(F23-E23)/E57))))</f>
        <v>2587.82608695652</v>
      </c>
      <c r="F27" s="86" t="n">
        <f aca="false">IF('Input sheet'!$B$67="No",(G23-F23)/F57,IF('Input sheet'!$B$68=0,(G23-E23)/F57,IF('Input sheet'!$B$68=2,(H23-G23)/F57,IF('Input sheet'!$B$68=3,(I23-H23)/F57,(G23-F23)/F57))))</f>
        <v>3088.69565217391</v>
      </c>
      <c r="G27" s="86" t="n">
        <f aca="false">IF('Input sheet'!$B$67="No",(H23-G23)/G57,IF('Input sheet'!$B$68=0,(H23-F23)/G57,IF('Input sheet'!$B$68=2,(I23-H23)/G57,IF('Input sheet'!$B$68=3,(J23-I23)/G57,(H23-G23)/G57))))</f>
        <v>2525.21739130435</v>
      </c>
      <c r="H27" s="86" t="n">
        <f aca="false">IF('Input sheet'!$B$67="No",(I23-H23)/H57,IF('Input sheet'!$B$68=0,(I23-G23)/H57,IF('Input sheet'!$B$68=2,(J23-I23)/H57,IF('Input sheet'!$B$68=3,(K23-J23)/H57,(I23-H23)/H57))))</f>
        <v>2775.65217391304</v>
      </c>
      <c r="I27" s="86" t="n">
        <f aca="false">IF('Input sheet'!$B$67="No",(J23-I23)/I57,IF('Input sheet'!$B$68=0,(J23-H23)/I57,IF('Input sheet'!$B$68=2,(K23-J23)/I57,IF('Input sheet'!$B$68=3,(L23-K23)/I57,(J23-I23)/I57))))</f>
        <v>3026.08695652174</v>
      </c>
      <c r="J27" s="86" t="n">
        <f aca="false">IF('Input sheet'!$B$67="No",(K23-J23)/J57,IF('Input sheet'!$B$68=0,(K23-I23)/J57,IF('Input sheet'!$B$68=2,(L23-K23)/J57,IF('Input sheet'!$B$68=3,(M23-L23)/J57,(K23-J23)/J57))))</f>
        <v>3276.52173913043</v>
      </c>
      <c r="K27" s="86" t="n">
        <f aca="false">IF('Input sheet'!$B$67="No",(L23-K23)/K57,IF('Input sheet'!$B$68=0,(K23-J23)/K57,IF('Input sheet'!$B$68=2,L12*L2/K57,IF('Input sheet'!$B$68=3,M23*M2/K57,(L23-K23)/K57))))</f>
        <v>3526.95652173913</v>
      </c>
      <c r="L27" s="86" t="n">
        <f aca="false">IF('Input sheet'!$B$67="No",(M23-L23)/L57,IF('Input sheet'!$B$68=0,(L23-K23)/L57,IF('Input sheet'!$B$68=2,M23*M2/L57,IF('Input sheet'!$B$68=3,(M23*(1+M2)*M2)/L57,(M23-L23)/L57))))</f>
        <v>939.130434782609</v>
      </c>
      <c r="M27" s="92" t="n">
        <f aca="false">IF(M2&gt;0,(M2/M59)*M26,0)</f>
        <v>1678.32</v>
      </c>
      <c r="N27" s="95"/>
    </row>
    <row r="28" customFormat="false" ht="15" hidden="false" customHeight="true" outlineLevel="0" collapsed="false">
      <c r="A28" s="75" t="s">
        <v>144</v>
      </c>
      <c r="B28" s="81"/>
      <c r="C28" s="97" t="n">
        <f aca="false">C26-C27</f>
        <v>-1003.96695652174</v>
      </c>
      <c r="D28" s="97" t="n">
        <f aca="false">D26-D27</f>
        <v>-864.18052173913</v>
      </c>
      <c r="E28" s="97" t="n">
        <f aca="false">E26-E27</f>
        <v>-511.202086956521</v>
      </c>
      <c r="F28" s="97" t="n">
        <f aca="false">F26-F27</f>
        <v>87.152347826086</v>
      </c>
      <c r="G28" s="97" t="n">
        <f aca="false">G26-G27</f>
        <v>2010.78260869565</v>
      </c>
      <c r="H28" s="97" t="n">
        <f aca="false">H26-H27</f>
        <v>2619.73982608696</v>
      </c>
      <c r="I28" s="97" t="n">
        <f aca="false">I26-I27</f>
        <v>3255.76904347826</v>
      </c>
      <c r="J28" s="97" t="n">
        <f aca="false">J26-J27</f>
        <v>3908.50226086957</v>
      </c>
      <c r="K28" s="97" t="n">
        <f aca="false">K26-K27</f>
        <v>4567.57147826087</v>
      </c>
      <c r="L28" s="97" t="n">
        <f aca="false">L26-L27</f>
        <v>8060.86956521739</v>
      </c>
      <c r="M28" s="93" t="n">
        <f aca="false">M26-M27</f>
        <v>7645.68</v>
      </c>
      <c r="N28" s="98" t="n">
        <f aca="false">M28/(M30-M2)</f>
        <v>145632</v>
      </c>
    </row>
    <row r="29" customFormat="false" ht="15" hidden="false" customHeight="true" outlineLevel="0" collapsed="false"/>
    <row r="30" customFormat="false" ht="15" hidden="false" customHeight="true" outlineLevel="0" collapsed="false">
      <c r="A30" s="75" t="s">
        <v>148</v>
      </c>
      <c r="B30" s="88"/>
      <c r="C30" s="82" t="n">
        <f aca="false">'Input sheet'!B34</f>
        <v>0.122078816118524</v>
      </c>
      <c r="D30" s="82" t="n">
        <f aca="false">C30</f>
        <v>0.122078816118524</v>
      </c>
      <c r="E30" s="82" t="n">
        <f aca="false">D30</f>
        <v>0.122078816118524</v>
      </c>
      <c r="F30" s="82" t="n">
        <f aca="false">E30</f>
        <v>0.122078816118524</v>
      </c>
      <c r="G30" s="82" t="n">
        <f aca="false">F30</f>
        <v>0.122078816118524</v>
      </c>
      <c r="H30" s="82" t="n">
        <f aca="false">G30-($G$30-$M$30)/5</f>
        <v>0.115363052894819</v>
      </c>
      <c r="I30" s="82" t="n">
        <f aca="false">H30-($G$30-$M$30)/5</f>
        <v>0.108647289671114</v>
      </c>
      <c r="J30" s="82" t="n">
        <f aca="false">I30-($G$30-$M$30)/5</f>
        <v>0.10193152644741</v>
      </c>
      <c r="K30" s="82" t="n">
        <f aca="false">J30-($G$30-$M$30)/5</f>
        <v>0.0952157632237048</v>
      </c>
      <c r="L30" s="82" t="n">
        <f aca="false">K30-($G$30-$M$30)/5</f>
        <v>0.0885</v>
      </c>
      <c r="M30" s="99" t="n">
        <f aca="false">IF('Input sheet'!B56="Yes",'Input sheet'!B57,IF('Input sheet'!B75="Yes",'Input sheet'!B76+'Country equity risk premiums'!B1,'Input sheet'!B33+'Country equity risk premiums'!B1))</f>
        <v>0.0885</v>
      </c>
    </row>
    <row r="31" customFormat="false" ht="15" hidden="false" customHeight="true" outlineLevel="0" collapsed="false">
      <c r="A31" s="75" t="s">
        <v>149</v>
      </c>
      <c r="B31" s="100"/>
      <c r="C31" s="101" t="n">
        <f aca="false">1/(1+C30)</f>
        <v>0.891202993617848</v>
      </c>
      <c r="D31" s="101" t="n">
        <f aca="false">C31*(1/(1+D30))</f>
        <v>0.794242775833414</v>
      </c>
      <c r="E31" s="101" t="n">
        <f aca="false">D31*(1/(1+E30))</f>
        <v>0.707831539482088</v>
      </c>
      <c r="F31" s="101" t="n">
        <f aca="false">E31*(1/(1+F30))</f>
        <v>0.630821586963567</v>
      </c>
      <c r="G31" s="101" t="n">
        <f aca="false">F31*(1/(1+G30))</f>
        <v>0.562190086740693</v>
      </c>
      <c r="H31" s="101" t="n">
        <f aca="false">G31*(1/(1+H30))</f>
        <v>0.504042235648367</v>
      </c>
      <c r="I31" s="101" t="n">
        <f aca="false">H31*(1/(1+I30))</f>
        <v>0.454646162349699</v>
      </c>
      <c r="J31" s="101" t="n">
        <f aca="false">I31*(1/(1+J30))</f>
        <v>0.412590212220775</v>
      </c>
      <c r="K31" s="101" t="n">
        <f aca="false">J31*(1/(1+K30))</f>
        <v>0.37672048383082</v>
      </c>
      <c r="L31" s="101" t="n">
        <f aca="false">K31*(1/(1+L30))</f>
        <v>0.346091395342967</v>
      </c>
      <c r="M31" s="102"/>
    </row>
    <row r="32" customFormat="false" ht="15" hidden="false" customHeight="true" outlineLevel="0" collapsed="false">
      <c r="A32" s="81" t="s">
        <v>150</v>
      </c>
      <c r="B32" s="81"/>
      <c r="C32" s="86" t="n">
        <f aca="false">C9*C31</f>
        <v>2653.50611492651</v>
      </c>
      <c r="D32" s="86" t="n">
        <f aca="false">D9*D31</f>
        <v>2984.76116666844</v>
      </c>
      <c r="E32" s="86" t="n">
        <f aca="false">E9*E31</f>
        <v>3194.94551875317</v>
      </c>
      <c r="F32" s="86" t="n">
        <f aca="false">F9*F31</f>
        <v>3413.74196989643</v>
      </c>
      <c r="G32" s="86" t="n">
        <f aca="false">G9*G31</f>
        <v>3955.93774934813</v>
      </c>
      <c r="H32" s="86" t="n">
        <f aca="false">H9*H31</f>
        <v>4123.3784568948</v>
      </c>
      <c r="I32" s="86" t="n">
        <f aca="false">I9*I31</f>
        <v>4232.55869047341</v>
      </c>
      <c r="J32" s="86" t="n">
        <f aca="false">J9*J31</f>
        <v>4277.13576272371</v>
      </c>
      <c r="K32" s="86" t="n">
        <f aca="false">K9*K31</f>
        <v>4253.51402546754</v>
      </c>
      <c r="L32" s="86" t="n">
        <f aca="false">L9*L31</f>
        <v>3875.28943713334</v>
      </c>
      <c r="M32" s="103"/>
    </row>
    <row r="33" customFormat="false" ht="15" hidden="false" customHeight="true" outlineLevel="0" collapsed="false">
      <c r="A33" s="81" t="s">
        <v>151</v>
      </c>
      <c r="B33" s="81"/>
      <c r="C33" s="86" t="n">
        <f aca="false">C19*C31</f>
        <v>-5162.85576711627</v>
      </c>
      <c r="D33" s="86" t="n">
        <f aca="false">D19*D31</f>
        <v>895.609149664875</v>
      </c>
      <c r="E33" s="86" t="n">
        <f aca="false">E19*E31</f>
        <v>5550.33428422795</v>
      </c>
      <c r="F33" s="86" t="n">
        <f aca="false">F19*F31</f>
        <v>9204.40702292646</v>
      </c>
      <c r="G33" s="86" t="n">
        <f aca="false">G19*G31</f>
        <v>8005.85570870721</v>
      </c>
      <c r="H33" s="86" t="n">
        <f aca="false">H19*H31</f>
        <v>11040.3037476637</v>
      </c>
      <c r="I33" s="86" t="n">
        <f aca="false">I19*I31</f>
        <v>13026.7018044549</v>
      </c>
      <c r="J33" s="86" t="n">
        <f aca="false">J19*J31</f>
        <v>14245.6073064024</v>
      </c>
      <c r="K33" s="86" t="n">
        <f aca="false">K19*K31</f>
        <v>14906.1821100862</v>
      </c>
      <c r="L33" s="86" t="n">
        <f aca="false">L19*L31</f>
        <v>18133.6843707743</v>
      </c>
      <c r="M33" s="103"/>
    </row>
    <row r="34" customFormat="false" ht="15" hidden="false" customHeight="true" outlineLevel="0" collapsed="false">
      <c r="A34" s="81" t="s">
        <v>152</v>
      </c>
      <c r="B34" s="81"/>
      <c r="C34" s="97" t="n">
        <f aca="false">C28*C31</f>
        <v>-894.738357145574</v>
      </c>
      <c r="D34" s="97" t="n">
        <f aca="false">D28*D31</f>
        <v>-686.369136407255</v>
      </c>
      <c r="E34" s="97" t="n">
        <f aca="false">E28*E31</f>
        <v>-361.844960196891</v>
      </c>
      <c r="F34" s="97" t="n">
        <f aca="false">F28*F31</f>
        <v>54.9775823632524</v>
      </c>
      <c r="G34" s="97" t="n">
        <f aca="false">G28*G31</f>
        <v>1130.44204919929</v>
      </c>
      <c r="H34" s="97" t="n">
        <f aca="false">H28*H31</f>
        <v>1320.45951875794</v>
      </c>
      <c r="I34" s="97" t="n">
        <f aca="false">I28*I31</f>
        <v>1480.22290111434</v>
      </c>
      <c r="J34" s="97" t="n">
        <f aca="false">J28*J31</f>
        <v>1612.60977727755</v>
      </c>
      <c r="K34" s="97" t="n">
        <f aca="false">K28*K31</f>
        <v>1720.69773722229</v>
      </c>
      <c r="L34" s="97" t="n">
        <f aca="false">L28*L31</f>
        <v>2789.79759550375</v>
      </c>
      <c r="M34" s="103"/>
    </row>
    <row r="35" customFormat="false" ht="15" hidden="false" customHeight="true" outlineLevel="0" collapsed="false"/>
    <row r="36" customFormat="false" ht="15" hidden="false" customHeight="true" outlineLevel="0" collapsed="false"/>
    <row r="37" customFormat="false" ht="15" hidden="false" customHeight="true" outlineLevel="0" collapsed="false">
      <c r="A37" s="104" t="s">
        <v>153</v>
      </c>
      <c r="B37" s="85" t="n">
        <f aca="false">SUM(C32:L32)+N9*L31</f>
        <v>106977.829734237</v>
      </c>
    </row>
    <row r="38" customFormat="false" ht="15" hidden="false" customHeight="true" outlineLevel="0" collapsed="false">
      <c r="A38" s="104" t="s">
        <v>154</v>
      </c>
      <c r="B38" s="105" t="n">
        <f aca="false">SUM(C33:L33)+N19*L31</f>
        <v>417458.713300608</v>
      </c>
      <c r="D38" s="106"/>
    </row>
    <row r="39" customFormat="false" ht="13.5" hidden="false" customHeight="false" outlineLevel="0" collapsed="false">
      <c r="A39" s="104" t="s">
        <v>155</v>
      </c>
      <c r="B39" s="85" t="n">
        <f aca="false">SUM(C34:L34)+N28*L31</f>
        <v>58568.2367942757</v>
      </c>
      <c r="D39" s="107"/>
      <c r="M39" s="106"/>
    </row>
    <row r="40" customFormat="false" ht="13.5" hidden="false" customHeight="false" outlineLevel="0" collapsed="false">
      <c r="A40" s="104" t="s">
        <v>156</v>
      </c>
      <c r="B40" s="108" t="n">
        <f aca="false">SUM(B37:B39)</f>
        <v>583004.77982912</v>
      </c>
    </row>
    <row r="41" customFormat="false" ht="13.5" hidden="false" customHeight="false" outlineLevel="0" collapsed="false">
      <c r="A41" s="104" t="s">
        <v>157</v>
      </c>
      <c r="B41" s="109" t="n">
        <f aca="false">IF('Input sheet'!B62="Yes",'Input sheet'!B63,0)</f>
        <v>0</v>
      </c>
      <c r="E41" s="106"/>
      <c r="L41" s="106"/>
    </row>
    <row r="42" customFormat="false" ht="13.5" hidden="false" customHeight="false" outlineLevel="0" collapsed="false">
      <c r="A42" s="104" t="s">
        <v>158</v>
      </c>
      <c r="B42" s="110" t="n">
        <f aca="false">IF('Input sheet'!B64="B",('Input sheet'!B13+'Input sheet'!B14)*'Input sheet'!B65,'Valuation output'!B40*'Input sheet'!B65)</f>
        <v>291502.38991456</v>
      </c>
    </row>
    <row r="43" customFormat="false" ht="13.5" hidden="false" customHeight="false" outlineLevel="0" collapsed="false">
      <c r="A43" s="104" t="s">
        <v>159</v>
      </c>
      <c r="B43" s="85" t="n">
        <f aca="false">B40*(1-B41)+B42*B41</f>
        <v>583004.77982912</v>
      </c>
    </row>
    <row r="44" customFormat="false" ht="13.5" hidden="false" customHeight="false" outlineLevel="0" collapsed="false">
      <c r="A44" s="104" t="s">
        <v>160</v>
      </c>
      <c r="B44" s="85" t="n">
        <f aca="false">IF('Input sheet'!B16="Yes",'Input sheet'!B14+'Operating lease converter'!C28,'Input sheet'!B14)</f>
        <v>12080</v>
      </c>
    </row>
    <row r="45" customFormat="false" ht="13.5" hidden="false" customHeight="false" outlineLevel="0" collapsed="false">
      <c r="A45" s="104" t="s">
        <v>161</v>
      </c>
      <c r="B45" s="85" t="n">
        <f aca="false">'Input sheet'!B19</f>
        <v>0</v>
      </c>
    </row>
    <row r="46" customFormat="false" ht="13.5" hidden="false" customHeight="false" outlineLevel="0" collapsed="false">
      <c r="A46" s="104" t="s">
        <v>162</v>
      </c>
      <c r="B46" s="85" t="n">
        <f aca="false">IF('Input sheet'!B81="YES",'Input sheet'!B17-'Input sheet'!B82*('Input sheet'!B23-'Input sheet'!B83),'Input sheet'!B17)</f>
        <v>15320</v>
      </c>
    </row>
    <row r="47" customFormat="false" ht="13.5" hidden="false" customHeight="false" outlineLevel="0" collapsed="false">
      <c r="A47" s="104" t="s">
        <v>163</v>
      </c>
      <c r="B47" s="85" t="n">
        <f aca="false">'Input sheet'!B18</f>
        <v>505</v>
      </c>
    </row>
    <row r="48" customFormat="false" ht="13.5" hidden="false" customHeight="false" outlineLevel="0" collapsed="false">
      <c r="A48" s="104" t="s">
        <v>164</v>
      </c>
      <c r="B48" s="108" t="n">
        <f aca="false">B43-B44-B45+B46+B47</f>
        <v>586749.77982912</v>
      </c>
    </row>
    <row r="49" customFormat="false" ht="13.5" hidden="false" customHeight="false" outlineLevel="0" collapsed="false">
      <c r="A49" s="104" t="s">
        <v>165</v>
      </c>
      <c r="B49" s="111" t="n">
        <f aca="false">IF('Input sheet'!B36="No",0,'Option value'!B29)</f>
        <v>0</v>
      </c>
    </row>
    <row r="50" customFormat="false" ht="13.5" hidden="false" customHeight="false" outlineLevel="0" collapsed="false">
      <c r="A50" s="104" t="s">
        <v>166</v>
      </c>
      <c r="B50" s="108" t="n">
        <f aca="false">B48-B49</f>
        <v>586749.77982912</v>
      </c>
    </row>
    <row r="51" customFormat="false" ht="13.5" hidden="false" customHeight="false" outlineLevel="0" collapsed="false">
      <c r="A51" s="104" t="s">
        <v>167</v>
      </c>
      <c r="B51" s="112" t="n">
        <f aca="false">'Input sheet'!B20</f>
        <v>2470</v>
      </c>
    </row>
    <row r="52" customFormat="false" ht="13.5" hidden="false" customHeight="false" outlineLevel="0" collapsed="false">
      <c r="A52" s="104" t="s">
        <v>168</v>
      </c>
      <c r="B52" s="113" t="n">
        <f aca="false">B50/B51</f>
        <v>237.550518149441</v>
      </c>
    </row>
    <row r="53" customFormat="false" ht="13.5" hidden="false" customHeight="false" outlineLevel="0" collapsed="false">
      <c r="A53" s="104" t="s">
        <v>169</v>
      </c>
      <c r="B53" s="85" t="n">
        <f aca="false">'Input sheet'!B21</f>
        <v>409</v>
      </c>
    </row>
    <row r="54" customFormat="false" ht="13.5" hidden="false" customHeight="false" outlineLevel="0" collapsed="false">
      <c r="A54" s="104" t="s">
        <v>170</v>
      </c>
      <c r="B54" s="89" t="n">
        <f aca="false">B53/B52</f>
        <v>1.72173903549518</v>
      </c>
    </row>
    <row r="56" customFormat="false" ht="13.5" hidden="false" customHeight="false" outlineLevel="0" collapsed="false">
      <c r="A56" s="114" t="s">
        <v>171</v>
      </c>
      <c r="B56" s="81"/>
      <c r="C56" s="103"/>
      <c r="D56" s="103"/>
      <c r="E56" s="103"/>
      <c r="F56" s="103"/>
      <c r="G56" s="103"/>
      <c r="H56" s="103"/>
      <c r="I56" s="103"/>
      <c r="J56" s="103"/>
      <c r="K56" s="103"/>
      <c r="L56" s="103"/>
      <c r="M56" s="103" t="s">
        <v>172</v>
      </c>
    </row>
    <row r="57" customFormat="false" ht="13.5" hidden="false" customHeight="false" outlineLevel="0" collapsed="false">
      <c r="A57" s="104" t="s">
        <v>173</v>
      </c>
      <c r="B57" s="81"/>
      <c r="C57" s="115" t="n">
        <f aca="false">'Input sheet'!B30</f>
        <v>1.15</v>
      </c>
      <c r="D57" s="115" t="n">
        <f aca="false">'Input sheet'!B30</f>
        <v>1.15</v>
      </c>
      <c r="E57" s="115" t="n">
        <f aca="false">D57</f>
        <v>1.15</v>
      </c>
      <c r="F57" s="115" t="n">
        <f aca="false">E57</f>
        <v>1.15</v>
      </c>
      <c r="G57" s="115" t="n">
        <f aca="false">'Input sheet'!B31</f>
        <v>1.15</v>
      </c>
      <c r="H57" s="115" t="n">
        <f aca="false">G57</f>
        <v>1.15</v>
      </c>
      <c r="I57" s="115" t="n">
        <f aca="false">H57</f>
        <v>1.15</v>
      </c>
      <c r="J57" s="115" t="n">
        <f aca="false">I57</f>
        <v>1.15</v>
      </c>
      <c r="K57" s="115" t="n">
        <f aca="false">J57</f>
        <v>1.15</v>
      </c>
      <c r="L57" s="115" t="n">
        <f aca="false">K57</f>
        <v>1.15</v>
      </c>
      <c r="M57" s="103"/>
    </row>
    <row r="58" customFormat="false" ht="13.5" hidden="false" customHeight="false" outlineLevel="0" collapsed="false">
      <c r="A58" s="104" t="s">
        <v>174</v>
      </c>
      <c r="B58" s="116" t="n">
        <f aca="false">IF('Input sheet'!B16="Yes",IF('Input sheet'!B15="Yes",'Input sheet'!B13+'Input sheet'!B14-'Input sheet'!B17+'Operating lease converter'!F33+'R&amp; D converter'!D35,'Input sheet'!B13+'Input sheet'!B14-'Input sheet'!B17+'Operating lease converter'!F33),IF('Input sheet'!B15="Yes",'Input sheet'!B13+'Input sheet'!B14-'Input sheet'!B17+'R&amp; D converter'!D35,'Input sheet'!B13+'Input sheet'!B14-'Input sheet'!B17))</f>
        <v>40043.4</v>
      </c>
      <c r="C58" s="117" t="n">
        <f aca="false">B58+C8+C18+C27</f>
        <v>58741.5130434783</v>
      </c>
      <c r="D58" s="117" t="n">
        <f aca="false">C58+D8+D18+D27</f>
        <v>77609.1691304348</v>
      </c>
      <c r="E58" s="117" t="n">
        <f aca="false">D58+E8+E18+E27</f>
        <v>96693.7127608696</v>
      </c>
      <c r="F58" s="117" t="n">
        <f aca="false">E58+F8+F18+F27</f>
        <v>116049.590109783</v>
      </c>
      <c r="G58" s="117" t="n">
        <f aca="false">F58+G8+G18+G27</f>
        <v>141232.188830877</v>
      </c>
      <c r="H58" s="117" t="n">
        <f aca="false">G58+H8+H18+H27</f>
        <v>165461.205932647</v>
      </c>
      <c r="I58" s="117" t="n">
        <f aca="false">H58+I8+I18+I27</f>
        <v>188575.269957621</v>
      </c>
      <c r="J58" s="117" t="n">
        <f aca="false">I58+J8+J18+J27</f>
        <v>210419.49778939</v>
      </c>
      <c r="K58" s="117" t="n">
        <f aca="false">J58+K8+K18+K27</f>
        <v>230860.445309808</v>
      </c>
      <c r="L58" s="117" t="n">
        <f aca="false">K58+L8+L18+L27</f>
        <v>239208.4634627</v>
      </c>
      <c r="M58" s="103"/>
    </row>
    <row r="59" customFormat="false" ht="13.5" hidden="false" customHeight="false" outlineLevel="0" collapsed="false">
      <c r="A59" s="104" t="s">
        <v>175</v>
      </c>
      <c r="B59" s="88" t="n">
        <f aca="false">((B3*B4+B14*B15+B23*B24)*(1-B6))/B58</f>
        <v>0.174069134988538</v>
      </c>
      <c r="C59" s="82" t="n">
        <f aca="false">(C7+C17+C26)/B58</f>
        <v>0.371558309234481</v>
      </c>
      <c r="D59" s="82" t="n">
        <f aca="false">(D7+D17+D26)/C58</f>
        <v>0.389657957449246</v>
      </c>
      <c r="E59" s="82" t="n">
        <f aca="false">(E7+E17+E26)/D58</f>
        <v>0.39851439907854</v>
      </c>
      <c r="F59" s="82" t="n">
        <f aca="false">(F7+F17+F26)/E58</f>
        <v>0.407945365005036</v>
      </c>
      <c r="G59" s="82" t="n">
        <f aca="false">(G7+G17+G26)/F58</f>
        <v>0.417670710078312</v>
      </c>
      <c r="H59" s="82" t="n">
        <f aca="false">(H7+H17+H26)/G58</f>
        <v>0.403115659124232</v>
      </c>
      <c r="I59" s="82" t="n">
        <f aca="false">(I7+I17+I26)/H58</f>
        <v>0.388802892193121</v>
      </c>
      <c r="J59" s="82" t="n">
        <f aca="false">(J7+J17+J26)/I58</f>
        <v>0.374633065948076</v>
      </c>
      <c r="K59" s="82" t="n">
        <f aca="false">(K7+K17+K26)/J58</f>
        <v>0.360554526001053</v>
      </c>
      <c r="L59" s="82" t="n">
        <f aca="false">(L7+L17+L26)/K58</f>
        <v>0.346537669216238</v>
      </c>
      <c r="M59" s="82" t="n">
        <f aca="false">IF('Input sheet'!B59="Yes",'Input sheet'!B60,L30)</f>
        <v>0.2</v>
      </c>
    </row>
    <row r="62" customFormat="false" ht="13.5" hidden="false" customHeight="false" outlineLevel="0" collapsed="false">
      <c r="B62" s="118"/>
      <c r="C62" s="106"/>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M40"/>
  <sheetViews>
    <sheetView showFormulas="false" showGridLines="true" showRowColHeaders="true" showZeros="true" rightToLeft="false" tabSelected="false" showOutlineSymbols="true" defaultGridColor="true" view="normal" topLeftCell="A1" colorId="64" zoomScale="116" zoomScaleNormal="116" zoomScalePageLayoutView="100" workbookViewId="0">
      <selection pane="topLeft" activeCell="A15" activeCellId="0" sqref="A15"/>
    </sheetView>
  </sheetViews>
  <sheetFormatPr defaultColWidth="10.65234375" defaultRowHeight="15.75" zeroHeight="false" outlineLevelRow="0" outlineLevelCol="0"/>
  <cols>
    <col collapsed="false" customWidth="true" hidden="false" outlineLevel="0" max="1" min="1" style="119" width="20.31"/>
    <col collapsed="false" customWidth="true" hidden="false" outlineLevel="0" max="2" min="2" style="119" width="19.5"/>
    <col collapsed="false" customWidth="true" hidden="false" outlineLevel="0" max="3" min="3" style="119" width="17.67"/>
    <col collapsed="false" customWidth="true" hidden="false" outlineLevel="0" max="4" min="4" style="119" width="16.52"/>
    <col collapsed="false" customWidth="true" hidden="false" outlineLevel="0" max="5" min="5" style="119" width="19.16"/>
    <col collapsed="false" customWidth="true" hidden="false" outlineLevel="0" max="6" min="6" style="120" width="24.66"/>
    <col collapsed="false" customWidth="true" hidden="false" outlineLevel="0" max="7" min="7" style="119" width="37.33"/>
    <col collapsed="false" customWidth="true" hidden="false" outlineLevel="0" max="8" min="8" style="0" width="17"/>
    <col collapsed="false" customWidth="true" hidden="false" outlineLevel="0" max="13" min="13" style="0" width="12.51"/>
  </cols>
  <sheetData>
    <row r="1" customFormat="false" ht="15.75" hidden="false" customHeight="false" outlineLevel="0" collapsed="false">
      <c r="A1" s="121" t="str">
        <f aca="false">'Input sheet'!B4</f>
        <v>Nvidia</v>
      </c>
      <c r="B1" s="121"/>
      <c r="C1" s="121"/>
      <c r="D1" s="121"/>
      <c r="E1" s="121"/>
      <c r="F1" s="121"/>
      <c r="G1" s="122" t="n">
        <f aca="false">'Input sheet'!B3</f>
        <v>43616</v>
      </c>
    </row>
    <row r="2" customFormat="false" ht="15.75" hidden="false" customHeight="false" outlineLevel="0" collapsed="false">
      <c r="A2" s="123" t="s">
        <v>176</v>
      </c>
      <c r="B2" s="123"/>
      <c r="C2" s="123"/>
      <c r="D2" s="123"/>
      <c r="E2" s="123"/>
      <c r="F2" s="123"/>
      <c r="G2" s="123"/>
    </row>
    <row r="3" customFormat="false" ht="15.75" hidden="false" customHeight="true" outlineLevel="0" collapsed="false">
      <c r="A3" s="124" t="s">
        <v>177</v>
      </c>
      <c r="B3" s="124"/>
      <c r="C3" s="124"/>
      <c r="D3" s="124"/>
      <c r="E3" s="124"/>
      <c r="F3" s="124"/>
      <c r="G3" s="124"/>
      <c r="H3" s="125" t="s">
        <v>178</v>
      </c>
      <c r="I3" s="125"/>
      <c r="J3" s="125"/>
      <c r="K3" s="125"/>
    </row>
    <row r="4" customFormat="false" ht="15.75" hidden="false" customHeight="true" outlineLevel="0" collapsed="false">
      <c r="A4" s="124"/>
      <c r="B4" s="124"/>
      <c r="C4" s="124"/>
      <c r="D4" s="124"/>
      <c r="E4" s="124"/>
      <c r="F4" s="124"/>
      <c r="G4" s="124"/>
      <c r="H4" s="125"/>
      <c r="I4" s="125"/>
      <c r="J4" s="125"/>
      <c r="K4" s="125"/>
    </row>
    <row r="5" customFormat="false" ht="12" hidden="false" customHeight="true" outlineLevel="0" collapsed="false">
      <c r="A5" s="124"/>
      <c r="B5" s="124"/>
      <c r="C5" s="124"/>
      <c r="D5" s="124"/>
      <c r="E5" s="124"/>
      <c r="F5" s="124"/>
      <c r="G5" s="124"/>
      <c r="H5" s="125"/>
      <c r="I5" s="125"/>
      <c r="J5" s="125"/>
      <c r="K5" s="125"/>
    </row>
    <row r="6" customFormat="false" ht="16.5" hidden="false" customHeight="true" outlineLevel="0" collapsed="false">
      <c r="A6" s="124"/>
      <c r="B6" s="124"/>
      <c r="C6" s="124"/>
      <c r="D6" s="124"/>
      <c r="E6" s="124"/>
      <c r="F6" s="124"/>
      <c r="G6" s="124"/>
      <c r="H6" s="125"/>
      <c r="I6" s="125"/>
      <c r="J6" s="125"/>
      <c r="K6" s="125"/>
    </row>
    <row r="7" customFormat="false" ht="15.75" hidden="false" customHeight="false" outlineLevel="0" collapsed="false">
      <c r="A7" s="126" t="s">
        <v>179</v>
      </c>
      <c r="B7" s="126"/>
      <c r="C7" s="126"/>
      <c r="D7" s="126"/>
      <c r="E7" s="126"/>
      <c r="F7" s="126"/>
      <c r="G7" s="126"/>
    </row>
    <row r="8" customFormat="false" ht="15.75" hidden="false" customHeight="false" outlineLevel="0" collapsed="false">
      <c r="A8" s="127"/>
      <c r="B8" s="128" t="s">
        <v>126</v>
      </c>
      <c r="C8" s="129" t="s">
        <v>180</v>
      </c>
      <c r="D8" s="130" t="s">
        <v>181</v>
      </c>
      <c r="E8" s="128" t="s">
        <v>182</v>
      </c>
      <c r="F8" s="128" t="s">
        <v>172</v>
      </c>
      <c r="G8" s="131" t="s">
        <v>183</v>
      </c>
    </row>
    <row r="9" customFormat="false" ht="67.5" hidden="false" customHeight="true" outlineLevel="0" collapsed="false">
      <c r="A9" s="132" t="s">
        <v>184</v>
      </c>
      <c r="B9" s="133" t="n">
        <f aca="false">'Valuation output'!B3</f>
        <v>14028</v>
      </c>
      <c r="C9" s="134" t="n">
        <f aca="false">'Input sheet'!B25</f>
        <v>0.15</v>
      </c>
      <c r="D9" s="135" t="n">
        <f aca="false">'Input sheet'!B27</f>
        <v>0.15</v>
      </c>
      <c r="E9" s="135"/>
      <c r="F9" s="136" t="n">
        <f aca="false">'Valuation output'!M2</f>
        <v>0.036</v>
      </c>
      <c r="G9" s="137" t="s">
        <v>185</v>
      </c>
      <c r="H9" s="138" t="s">
        <v>186</v>
      </c>
      <c r="I9" s="138"/>
      <c r="J9" s="138"/>
      <c r="K9" s="138"/>
    </row>
    <row r="10" customFormat="false" ht="84.75" hidden="false" customHeight="false" outlineLevel="0" collapsed="false">
      <c r="A10" s="132" t="s">
        <v>187</v>
      </c>
      <c r="B10" s="136" t="n">
        <f aca="false">'Valuation output'!B4</f>
        <v>0.256437125748503</v>
      </c>
      <c r="C10" s="134" t="n">
        <f aca="false">'Input sheet'!B26</f>
        <v>0.35</v>
      </c>
      <c r="D10" s="139"/>
      <c r="E10" s="140"/>
      <c r="F10" s="136" t="n">
        <f aca="false">'Valuation output'!M4</f>
        <v>0.4</v>
      </c>
      <c r="G10" s="141" t="s">
        <v>188</v>
      </c>
      <c r="H10" s="138"/>
      <c r="I10" s="138"/>
      <c r="J10" s="138"/>
      <c r="K10" s="138"/>
    </row>
    <row r="11" customFormat="false" ht="15.75" hidden="false" customHeight="false" outlineLevel="0" collapsed="false">
      <c r="A11" s="132" t="s">
        <v>133</v>
      </c>
      <c r="B11" s="136" t="n">
        <f aca="false">'Valuation output'!B6</f>
        <v>0.1</v>
      </c>
      <c r="C11" s="142"/>
      <c r="D11" s="139" t="n">
        <f aca="false">B11</f>
        <v>0.1</v>
      </c>
      <c r="E11" s="140"/>
      <c r="F11" s="136" t="n">
        <f aca="false">'Valuation output'!M6</f>
        <v>0.25</v>
      </c>
      <c r="G11" s="143" t="s">
        <v>189</v>
      </c>
      <c r="H11" s="138"/>
      <c r="I11" s="138"/>
      <c r="J11" s="138"/>
      <c r="K11" s="138"/>
    </row>
    <row r="12" customFormat="false" ht="67.5" hidden="false" customHeight="false" outlineLevel="0" collapsed="false">
      <c r="A12" s="132" t="s">
        <v>190</v>
      </c>
      <c r="B12" s="144"/>
      <c r="C12" s="145" t="n">
        <f aca="false">'Input sheet'!B30</f>
        <v>1.15</v>
      </c>
      <c r="D12" s="146" t="n">
        <f aca="false">'Input sheet'!B30</f>
        <v>1.15</v>
      </c>
      <c r="E12" s="147" t="n">
        <f aca="false">'Input sheet'!B31</f>
        <v>1.15</v>
      </c>
      <c r="F12" s="148" t="n">
        <f aca="false">'Valuation output'!M2/'Valuation output'!M59</f>
        <v>0.18</v>
      </c>
      <c r="G12" s="149" t="s">
        <v>191</v>
      </c>
      <c r="H12" s="138"/>
      <c r="I12" s="138"/>
      <c r="J12" s="138"/>
      <c r="K12" s="138"/>
    </row>
    <row r="13" customFormat="false" ht="51" hidden="false" customHeight="false" outlineLevel="0" collapsed="false">
      <c r="A13" s="150" t="s">
        <v>192</v>
      </c>
      <c r="B13" s="151" t="n">
        <f aca="false">'Valuation output'!B59</f>
        <v>0.174069134988538</v>
      </c>
      <c r="C13" s="136" t="s">
        <v>193</v>
      </c>
      <c r="D13" s="152" t="n">
        <f aca="false">Diagnostics!C27</f>
        <v>0.365739449306207</v>
      </c>
      <c r="E13" s="152"/>
      <c r="F13" s="153" t="n">
        <f aca="false">'Valuation output'!M59</f>
        <v>0.2</v>
      </c>
      <c r="G13" s="154" t="s">
        <v>194</v>
      </c>
      <c r="H13" s="138"/>
      <c r="I13" s="138"/>
      <c r="J13" s="138"/>
      <c r="K13" s="138"/>
    </row>
    <row r="14" customFormat="false" ht="102.75" hidden="false" customHeight="false" outlineLevel="0" collapsed="false">
      <c r="A14" s="155" t="s">
        <v>195</v>
      </c>
      <c r="B14" s="156"/>
      <c r="C14" s="144"/>
      <c r="D14" s="139" t="n">
        <f aca="false">'Valuation output'!C30</f>
        <v>0.122078816118524</v>
      </c>
      <c r="E14" s="140"/>
      <c r="F14" s="157" t="n">
        <f aca="false">'Valuation output'!M30</f>
        <v>0.0885</v>
      </c>
      <c r="G14" s="158" t="s">
        <v>196</v>
      </c>
      <c r="H14" s="138"/>
      <c r="I14" s="138"/>
      <c r="J14" s="138"/>
      <c r="K14" s="138"/>
    </row>
    <row r="15" customFormat="false" ht="16.5" hidden="false" customHeight="false" outlineLevel="0" collapsed="false">
      <c r="A15" s="159" t="s">
        <v>197</v>
      </c>
      <c r="B15" s="159"/>
      <c r="C15" s="159"/>
      <c r="D15" s="159"/>
      <c r="E15" s="159"/>
      <c r="F15" s="159"/>
      <c r="G15" s="159"/>
    </row>
    <row r="16" customFormat="false" ht="15.75" hidden="false" customHeight="true" outlineLevel="0" collapsed="false">
      <c r="A16" s="160"/>
      <c r="B16" s="161" t="s">
        <v>18</v>
      </c>
      <c r="C16" s="161" t="s">
        <v>141</v>
      </c>
      <c r="D16" s="162" t="s">
        <v>198</v>
      </c>
      <c r="E16" s="162" t="s">
        <v>143</v>
      </c>
      <c r="F16" s="162" t="s">
        <v>199</v>
      </c>
      <c r="G16" s="163" t="s">
        <v>136</v>
      </c>
      <c r="H16" s="164" t="s">
        <v>200</v>
      </c>
      <c r="I16" s="164"/>
      <c r="J16" s="164"/>
      <c r="K16" s="164"/>
    </row>
    <row r="17" customFormat="false" ht="15.75" hidden="false" customHeight="false" outlineLevel="0" collapsed="false">
      <c r="A17" s="165" t="n">
        <v>1</v>
      </c>
      <c r="B17" s="133" t="n">
        <f aca="false">'Valuation output'!C3+'Valuation output'!C14+'Valuation output'!C23</f>
        <v>47233.2</v>
      </c>
      <c r="C17" s="166" t="n">
        <f aca="false">'Valuation output'!C4</f>
        <v>0.35</v>
      </c>
      <c r="D17" s="133" t="n">
        <f aca="false">B17*C17</f>
        <v>16531.62</v>
      </c>
      <c r="E17" s="133" t="n">
        <f aca="false">'Valuation output'!C7</f>
        <v>5081.643</v>
      </c>
      <c r="F17" s="133" t="n">
        <f aca="false">'Valuation output'!C8</f>
        <v>2104.2</v>
      </c>
      <c r="G17" s="167" t="n">
        <f aca="false">E17-F17</f>
        <v>2977.443</v>
      </c>
      <c r="H17" s="164"/>
      <c r="I17" s="164"/>
      <c r="J17" s="164"/>
      <c r="K17" s="164"/>
    </row>
    <row r="18" customFormat="false" ht="15.75" hidden="false" customHeight="false" outlineLevel="0" collapsed="false">
      <c r="A18" s="165" t="n">
        <v>2</v>
      </c>
      <c r="B18" s="133" t="n">
        <f aca="false">'Valuation output'!D3+'Valuation output'!D14+'Valuation output'!D23</f>
        <v>68736.03</v>
      </c>
      <c r="C18" s="166" t="n">
        <f aca="false">'Valuation output'!D4</f>
        <v>0.37</v>
      </c>
      <c r="D18" s="133" t="n">
        <f aca="false">B18*C18</f>
        <v>25432.3311</v>
      </c>
      <c r="E18" s="133" t="n">
        <f aca="false">'Valuation output'!D7</f>
        <v>6177.82599</v>
      </c>
      <c r="F18" s="133" t="n">
        <f aca="false">'Valuation output'!D8</f>
        <v>2419.83</v>
      </c>
      <c r="G18" s="167" t="n">
        <f aca="false">E18-F18</f>
        <v>3757.99599</v>
      </c>
      <c r="H18" s="164"/>
      <c r="I18" s="164"/>
      <c r="J18" s="164"/>
      <c r="K18" s="164"/>
    </row>
    <row r="19" customFormat="false" ht="15.75" hidden="false" customHeight="false" outlineLevel="0" collapsed="false">
      <c r="A19" s="165" t="n">
        <v>3</v>
      </c>
      <c r="B19" s="133" t="n">
        <f aca="false">'Valuation output'!E3+'Valuation output'!E14+'Valuation output'!E23</f>
        <v>90433.8345</v>
      </c>
      <c r="C19" s="166" t="n">
        <f aca="false">'Valuation output'!E4</f>
        <v>0.38</v>
      </c>
      <c r="D19" s="133" t="n">
        <f aca="false">B19*C19</f>
        <v>34364.85711</v>
      </c>
      <c r="E19" s="133" t="n">
        <f aca="false">'Valuation output'!E7</f>
        <v>7296.513399</v>
      </c>
      <c r="F19" s="133" t="n">
        <f aca="false">'Valuation output'!E8</f>
        <v>2782.8045</v>
      </c>
      <c r="G19" s="167" t="n">
        <f aca="false">E19-F19</f>
        <v>4513.708899</v>
      </c>
      <c r="H19" s="164"/>
      <c r="I19" s="164"/>
      <c r="J19" s="164"/>
      <c r="K19" s="164"/>
    </row>
    <row r="20" customFormat="false" ht="15.75" hidden="false" customHeight="false" outlineLevel="0" collapsed="false">
      <c r="A20" s="165" t="n">
        <v>4</v>
      </c>
      <c r="B20" s="133" t="n">
        <f aca="false">'Valuation output'!F3+'Valuation output'!F14+'Valuation output'!F23</f>
        <v>112381.059675</v>
      </c>
      <c r="C20" s="166" t="n">
        <f aca="false">'Valuation output'!F4</f>
        <v>0.39</v>
      </c>
      <c r="D20" s="133" t="n">
        <f aca="false">B20*C20</f>
        <v>43828.61327325</v>
      </c>
      <c r="E20" s="133" t="n">
        <f aca="false">'Valuation output'!F7</f>
        <v>8611.805945925</v>
      </c>
      <c r="F20" s="133" t="n">
        <f aca="false">'Valuation output'!F8</f>
        <v>3200.225175</v>
      </c>
      <c r="G20" s="167" t="n">
        <f aca="false">E20-F20</f>
        <v>5411.580770925</v>
      </c>
      <c r="H20" s="164"/>
      <c r="I20" s="164"/>
      <c r="J20" s="164"/>
      <c r="K20" s="164"/>
    </row>
    <row r="21" customFormat="false" ht="15.75" hidden="false" customHeight="false" outlineLevel="0" collapsed="false">
      <c r="A21" s="165" t="n">
        <v>5</v>
      </c>
      <c r="B21" s="133" t="n">
        <f aca="false">'Valuation output'!G3+'Valuation output'!G14+'Valuation output'!G23</f>
        <v>134640.31862625</v>
      </c>
      <c r="C21" s="166" t="n">
        <f aca="false">'Valuation output'!G4</f>
        <v>0.4</v>
      </c>
      <c r="D21" s="133" t="n">
        <f aca="false">B21*C21</f>
        <v>53856.1274505</v>
      </c>
      <c r="E21" s="133" t="n">
        <f aca="false">'Valuation output'!G7</f>
        <v>10157.51470545</v>
      </c>
      <c r="F21" s="133" t="n">
        <f aca="false">'Valuation output'!G8</f>
        <v>3120.85959066</v>
      </c>
      <c r="G21" s="167" t="n">
        <f aca="false">E21-F21</f>
        <v>7036.65511479</v>
      </c>
      <c r="H21" s="164"/>
      <c r="I21" s="164"/>
      <c r="J21" s="164"/>
      <c r="K21" s="164"/>
    </row>
    <row r="22" customFormat="false" ht="15.75" hidden="false" customHeight="false" outlineLevel="0" collapsed="false">
      <c r="A22" s="165" t="n">
        <v>6</v>
      </c>
      <c r="B22" s="133" t="n">
        <f aca="false">'Valuation output'!H3+'Valuation output'!H14+'Valuation output'!H23</f>
        <v>163600.307155509</v>
      </c>
      <c r="C22" s="166" t="n">
        <f aca="false">'Valuation output'!H4</f>
        <v>0.4</v>
      </c>
      <c r="D22" s="133" t="n">
        <f aca="false">B22*C22</f>
        <v>65440.1228622036</v>
      </c>
      <c r="E22" s="133" t="n">
        <f aca="false">'Valuation output'!H7</f>
        <v>11067.8988901171</v>
      </c>
      <c r="F22" s="133" t="n">
        <f aca="false">'Valuation output'!H8</f>
        <v>2887.2779713349</v>
      </c>
      <c r="G22" s="167" t="n">
        <f aca="false">E22-F22</f>
        <v>8180.62091878223</v>
      </c>
      <c r="H22" s="164"/>
      <c r="I22" s="164"/>
      <c r="J22" s="164"/>
      <c r="K22" s="164"/>
    </row>
    <row r="23" customFormat="false" ht="15.75" hidden="false" customHeight="false" outlineLevel="0" collapsed="false">
      <c r="A23" s="165" t="n">
        <v>7</v>
      </c>
      <c r="B23" s="133" t="n">
        <f aca="false">'Valuation output'!I3+'Valuation output'!I14+'Valuation output'!I23</f>
        <v>191463.676822544</v>
      </c>
      <c r="C23" s="166" t="n">
        <f aca="false">'Valuation output'!I4</f>
        <v>0.4</v>
      </c>
      <c r="D23" s="133" t="n">
        <f aca="false">B23*C23</f>
        <v>76585.4707290176</v>
      </c>
      <c r="E23" s="133" t="n">
        <f aca="false">'Valuation output'!I7</f>
        <v>11801.8914123748</v>
      </c>
      <c r="F23" s="133" t="n">
        <f aca="false">'Valuation output'!I8</f>
        <v>2492.32489453878</v>
      </c>
      <c r="G23" s="167" t="n">
        <f aca="false">E23-F23</f>
        <v>9309.56651783605</v>
      </c>
      <c r="H23" s="164"/>
      <c r="I23" s="164"/>
      <c r="J23" s="164"/>
      <c r="K23" s="164"/>
    </row>
    <row r="24" customFormat="false" ht="15.75" hidden="false" customHeight="false" outlineLevel="0" collapsed="false">
      <c r="A24" s="165" t="n">
        <v>8</v>
      </c>
      <c r="B24" s="133" t="n">
        <f aca="false">'Valuation output'!J3+'Valuation output'!J14+'Valuation output'!J23</f>
        <v>218044.850451264</v>
      </c>
      <c r="C24" s="166" t="n">
        <f aca="false">'Valuation output'!J4</f>
        <v>0.4</v>
      </c>
      <c r="D24" s="133" t="n">
        <f aca="false">B24*C24</f>
        <v>87217.9401805055</v>
      </c>
      <c r="E24" s="133" t="n">
        <f aca="false">'Valuation output'!J7</f>
        <v>12309.0355462094</v>
      </c>
      <c r="F24" s="133" t="n">
        <f aca="false">'Valuation output'!J8</f>
        <v>1942.48870133418</v>
      </c>
      <c r="G24" s="167" t="n">
        <f aca="false">E24-F24</f>
        <v>10366.5468448753</v>
      </c>
      <c r="H24" s="164"/>
      <c r="I24" s="164"/>
      <c r="J24" s="164"/>
      <c r="K24" s="164"/>
    </row>
    <row r="25" customFormat="false" ht="15.75" hidden="false" customHeight="false" outlineLevel="0" collapsed="false">
      <c r="A25" s="165" t="n">
        <v>9</v>
      </c>
      <c r="B25" s="133" t="n">
        <f aca="false">'Valuation output'!K3+'Valuation output'!K14+'Valuation output'!K23</f>
        <v>243165.712457798</v>
      </c>
      <c r="C25" s="166" t="n">
        <f aca="false">'Valuation output'!K4</f>
        <v>0.4</v>
      </c>
      <c r="D25" s="133" t="n">
        <f aca="false">B25*C25</f>
        <v>97266.2849831192</v>
      </c>
      <c r="E25" s="133" t="n">
        <f aca="false">'Valuation output'!K7</f>
        <v>12550.110286833</v>
      </c>
      <c r="F25" s="133" t="n">
        <f aca="false">'Valuation output'!K8</f>
        <v>1259.20838998324</v>
      </c>
      <c r="G25" s="167" t="n">
        <f aca="false">E25-F25</f>
        <v>11290.9018968497</v>
      </c>
      <c r="H25" s="164"/>
      <c r="I25" s="164"/>
      <c r="J25" s="164"/>
      <c r="K25" s="164"/>
    </row>
    <row r="26" customFormat="false" ht="15.75" hidden="false" customHeight="false" outlineLevel="0" collapsed="false">
      <c r="A26" s="165" t="n">
        <v>10</v>
      </c>
      <c r="B26" s="133" t="n">
        <f aca="false">'Valuation output'!L3+'Valuation output'!L14+'Valuation output'!L23</f>
        <v>266672.802106279</v>
      </c>
      <c r="C26" s="166" t="n">
        <f aca="false">'Valuation output'!L4</f>
        <v>0.4</v>
      </c>
      <c r="D26" s="133" t="n">
        <f aca="false">B26*C26</f>
        <v>106669.120842512</v>
      </c>
      <c r="E26" s="133" t="n">
        <f aca="false">'Valuation output'!L7</f>
        <v>12501.8406318836</v>
      </c>
      <c r="F26" s="133" t="n">
        <f aca="false">'Valuation output'!L8</f>
        <v>1304.53989202264</v>
      </c>
      <c r="G26" s="167" t="n">
        <f aca="false">E26-F26</f>
        <v>11197.300739861</v>
      </c>
      <c r="H26" s="164"/>
      <c r="I26" s="164"/>
      <c r="J26" s="164"/>
      <c r="K26" s="164"/>
    </row>
    <row r="27" customFormat="false" ht="16.5" hidden="false" customHeight="false" outlineLevel="0" collapsed="false">
      <c r="A27" s="168" t="s">
        <v>127</v>
      </c>
      <c r="B27" s="169" t="n">
        <f aca="false">'Valuation output'!M3+'Valuation output'!M14+'Valuation output'!M23</f>
        <v>276273.022982105</v>
      </c>
      <c r="C27" s="170" t="n">
        <f aca="false">'Valuation output'!M4</f>
        <v>0.4</v>
      </c>
      <c r="D27" s="169" t="n">
        <f aca="false">B27*C27</f>
        <v>110509.209192842</v>
      </c>
      <c r="E27" s="169" t="n">
        <f aca="false">'Valuation output'!M7</f>
        <v>12951.9068946314</v>
      </c>
      <c r="F27" s="169" t="n">
        <f aca="false">'Valuation output'!M8</f>
        <v>2331.34324103365</v>
      </c>
      <c r="G27" s="171" t="n">
        <f aca="false">E27-F27</f>
        <v>10620.5636535977</v>
      </c>
      <c r="H27" s="164"/>
      <c r="I27" s="164"/>
      <c r="J27" s="164"/>
      <c r="K27" s="164"/>
    </row>
    <row r="28" customFormat="false" ht="15.75" hidden="false" customHeight="false" outlineLevel="0" collapsed="false">
      <c r="A28" s="159" t="s">
        <v>201</v>
      </c>
      <c r="B28" s="159"/>
      <c r="C28" s="159"/>
      <c r="D28" s="159"/>
      <c r="E28" s="159"/>
      <c r="F28" s="159"/>
      <c r="G28" s="159"/>
    </row>
    <row r="29" customFormat="false" ht="15.75" hidden="false" customHeight="false" outlineLevel="0" collapsed="false">
      <c r="A29" s="172" t="s">
        <v>202</v>
      </c>
      <c r="B29" s="172"/>
      <c r="C29" s="172"/>
      <c r="D29" s="173" t="n">
        <f aca="false">'Valuation output'!B37</f>
        <v>106977.829734237</v>
      </c>
      <c r="E29" s="174"/>
      <c r="F29" s="174"/>
      <c r="G29" s="174"/>
    </row>
    <row r="30" customFormat="false" ht="15.75" hidden="false" customHeight="false" outlineLevel="0" collapsed="false">
      <c r="A30" s="172" t="s">
        <v>154</v>
      </c>
      <c r="B30" s="172"/>
      <c r="C30" s="172"/>
      <c r="D30" s="173" t="n">
        <f aca="false">'Valuation output'!B38</f>
        <v>417458.713300608</v>
      </c>
      <c r="E30" s="174"/>
      <c r="F30" s="174"/>
      <c r="G30" s="174"/>
    </row>
    <row r="31" customFormat="false" ht="15.75" hidden="false" customHeight="false" outlineLevel="0" collapsed="false">
      <c r="A31" s="172" t="s">
        <v>155</v>
      </c>
      <c r="B31" s="172"/>
      <c r="C31" s="172"/>
      <c r="D31" s="173" t="n">
        <f aca="false">'Valuation output'!B39</f>
        <v>58568.2367942757</v>
      </c>
      <c r="E31" s="174"/>
      <c r="F31" s="174"/>
      <c r="G31" s="174"/>
    </row>
    <row r="32" customFormat="false" ht="15.75" hidden="false" customHeight="false" outlineLevel="0" collapsed="false">
      <c r="A32" s="175" t="s">
        <v>159</v>
      </c>
      <c r="B32" s="175"/>
      <c r="C32" s="175"/>
      <c r="D32" s="176" t="n">
        <f aca="false">'Valuation output'!B40</f>
        <v>583004.77982912</v>
      </c>
      <c r="E32" s="177"/>
      <c r="F32" s="119"/>
      <c r="G32" s="178"/>
      <c r="H32" s="179"/>
      <c r="I32" s="179"/>
      <c r="J32" s="179"/>
      <c r="K32" s="179"/>
    </row>
    <row r="33" customFormat="false" ht="15.75" hidden="false" customHeight="false" outlineLevel="0" collapsed="false">
      <c r="A33" s="175" t="s">
        <v>203</v>
      </c>
      <c r="B33" s="175"/>
      <c r="C33" s="175"/>
      <c r="D33" s="180" t="n">
        <f aca="false">D32-'Valuation output'!B43</f>
        <v>0</v>
      </c>
      <c r="E33" s="181" t="s">
        <v>157</v>
      </c>
      <c r="F33" s="181"/>
      <c r="G33" s="182" t="n">
        <f aca="false">'Valuation output'!B41</f>
        <v>0</v>
      </c>
      <c r="H33" s="179"/>
      <c r="I33" s="179"/>
      <c r="J33" s="179"/>
      <c r="K33" s="179"/>
    </row>
    <row r="34" customFormat="false" ht="15.75" hidden="false" customHeight="false" outlineLevel="0" collapsed="false">
      <c r="A34" s="175" t="s">
        <v>204</v>
      </c>
      <c r="B34" s="175"/>
      <c r="C34" s="175"/>
      <c r="D34" s="176" t="n">
        <f aca="false">'Valuation output'!B44+'Valuation output'!B45</f>
        <v>12080</v>
      </c>
      <c r="E34" s="177"/>
      <c r="F34" s="119"/>
      <c r="G34" s="178"/>
      <c r="H34" s="179"/>
      <c r="I34" s="179"/>
      <c r="J34" s="179"/>
      <c r="K34" s="179"/>
    </row>
    <row r="35" customFormat="false" ht="15.75" hidden="false" customHeight="false" outlineLevel="0" collapsed="false">
      <c r="A35" s="175" t="s">
        <v>205</v>
      </c>
      <c r="B35" s="175"/>
      <c r="C35" s="175"/>
      <c r="D35" s="176" t="n">
        <f aca="false">'Valuation output'!B46+'Valuation output'!B47</f>
        <v>15825</v>
      </c>
      <c r="E35" s="177"/>
      <c r="F35" s="119"/>
      <c r="G35" s="178"/>
      <c r="H35" s="179"/>
      <c r="I35" s="179"/>
      <c r="J35" s="179"/>
      <c r="K35" s="179"/>
    </row>
    <row r="36" customFormat="false" ht="15.75" hidden="false" customHeight="false" outlineLevel="0" collapsed="false">
      <c r="A36" s="175" t="s">
        <v>164</v>
      </c>
      <c r="B36" s="175"/>
      <c r="C36" s="175"/>
      <c r="D36" s="176" t="n">
        <f aca="false">D32-D33-D34+D35</f>
        <v>586749.77982912</v>
      </c>
      <c r="E36" s="177"/>
      <c r="F36" s="119"/>
      <c r="G36" s="178"/>
      <c r="H36" s="179"/>
      <c r="I36" s="179"/>
      <c r="J36" s="179"/>
      <c r="K36" s="179"/>
    </row>
    <row r="37" customFormat="false" ht="15.75" hidden="false" customHeight="false" outlineLevel="0" collapsed="false">
      <c r="A37" s="175" t="s">
        <v>206</v>
      </c>
      <c r="B37" s="175"/>
      <c r="C37" s="175"/>
      <c r="D37" s="176" t="n">
        <f aca="false">'Valuation output'!B49</f>
        <v>0</v>
      </c>
      <c r="E37" s="177"/>
      <c r="F37" s="119"/>
      <c r="G37" s="178"/>
      <c r="H37" s="179"/>
      <c r="I37" s="179"/>
      <c r="J37" s="179"/>
      <c r="K37" s="179"/>
    </row>
    <row r="38" customFormat="false" ht="16.5" hidden="false" customHeight="false" outlineLevel="0" collapsed="false">
      <c r="A38" s="175" t="s">
        <v>167</v>
      </c>
      <c r="B38" s="175"/>
      <c r="C38" s="175"/>
      <c r="D38" s="183" t="n">
        <f aca="false">'Valuation output'!B51</f>
        <v>2470</v>
      </c>
      <c r="G38" s="178"/>
      <c r="H38" s="179"/>
      <c r="I38" s="179"/>
      <c r="J38" s="179"/>
      <c r="K38" s="179"/>
    </row>
    <row r="39" customFormat="false" ht="16.5" hidden="false" customHeight="false" outlineLevel="0" collapsed="false">
      <c r="A39" s="184" t="s">
        <v>207</v>
      </c>
      <c r="B39" s="184"/>
      <c r="C39" s="184"/>
      <c r="D39" s="185" t="n">
        <f aca="false">(D36-D37)/D38</f>
        <v>237.550518149441</v>
      </c>
      <c r="E39" s="186" t="s">
        <v>208</v>
      </c>
      <c r="F39" s="186"/>
      <c r="G39" s="187" t="n">
        <f aca="false">'Input sheet'!B21</f>
        <v>409</v>
      </c>
      <c r="H39" s="179"/>
      <c r="I39" s="179"/>
      <c r="J39" s="179"/>
      <c r="K39" s="179"/>
      <c r="M39" s="188"/>
    </row>
    <row r="40" customFormat="false" ht="15.75" hidden="false" customHeight="false" outlineLevel="0" collapsed="false">
      <c r="M40" s="189"/>
    </row>
  </sheetData>
  <mergeCells count="24">
    <mergeCell ref="A1:F1"/>
    <mergeCell ref="A2:G2"/>
    <mergeCell ref="A3:G6"/>
    <mergeCell ref="H3:K6"/>
    <mergeCell ref="A7:G7"/>
    <mergeCell ref="H9:K14"/>
    <mergeCell ref="D13:E13"/>
    <mergeCell ref="A15:G15"/>
    <mergeCell ref="H16:K27"/>
    <mergeCell ref="A28:G28"/>
    <mergeCell ref="A29:C29"/>
    <mergeCell ref="A30:C30"/>
    <mergeCell ref="A31:C31"/>
    <mergeCell ref="A32:C32"/>
    <mergeCell ref="H32:K39"/>
    <mergeCell ref="A33:C33"/>
    <mergeCell ref="E33:F33"/>
    <mergeCell ref="A34:C34"/>
    <mergeCell ref="A35:C35"/>
    <mergeCell ref="A36:C36"/>
    <mergeCell ref="A37:C37"/>
    <mergeCell ref="A38:C38"/>
    <mergeCell ref="A39:C39"/>
    <mergeCell ref="E39:F3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40"/>
  <sheetViews>
    <sheetView showFormulas="false" showGridLines="true" showRowColHeaders="true" showZeros="true" rightToLeft="false" tabSelected="false" showOutlineSymbols="true" defaultGridColor="true" view="normal" topLeftCell="A1" colorId="64" zoomScale="88" zoomScaleNormal="88" zoomScalePageLayoutView="100" workbookViewId="0">
      <selection pane="topLeft" activeCell="AE17" activeCellId="0" sqref="AE17"/>
    </sheetView>
  </sheetViews>
  <sheetFormatPr defaultColWidth="10.65234375" defaultRowHeight="15.75" zeroHeight="false" outlineLevelRow="0" outlineLevelCol="0"/>
  <cols>
    <col collapsed="false" customWidth="true" hidden="false" outlineLevel="0" max="1" min="1" style="2" width="27.83"/>
    <col collapsed="false" customWidth="true" hidden="false" outlineLevel="0" max="2" min="2" style="2" width="15.67"/>
    <col collapsed="false" customWidth="true" hidden="false" outlineLevel="0" max="3" min="3" style="2" width="10.83"/>
    <col collapsed="false" customWidth="true" hidden="false" outlineLevel="0" max="4" min="4" style="2" width="26.83"/>
    <col collapsed="false" customWidth="true" hidden="false" outlineLevel="0" max="5" min="5" style="2" width="12.66"/>
    <col collapsed="false" customWidth="true" hidden="false" outlineLevel="0" max="8" min="6" style="2" width="11.5"/>
    <col collapsed="false" customWidth="true" hidden="false" outlineLevel="0" max="9" min="9" style="2" width="16.67"/>
    <col collapsed="false" customWidth="true" hidden="false" outlineLevel="0" max="10" min="10" style="2" width="11.5"/>
    <col collapsed="false" customWidth="true" hidden="false" outlineLevel="0" max="11" min="11" style="2" width="13"/>
    <col collapsed="false" customWidth="true" hidden="false" outlineLevel="0" max="12" min="12" style="2" width="18.33"/>
    <col collapsed="false" customWidth="true" hidden="false" outlineLevel="0" max="13" min="13" style="2" width="13"/>
    <col collapsed="false" customWidth="true" hidden="false" outlineLevel="0" max="14" min="14" style="2" width="13.66"/>
    <col collapsed="false" customWidth="true" hidden="false" outlineLevel="0" max="15" min="15" style="2" width="21.17"/>
    <col collapsed="false" customWidth="true" hidden="false" outlineLevel="0" max="16" min="16" style="2" width="10.83"/>
  </cols>
  <sheetData>
    <row r="1" s="191" customFormat="true" ht="15.75" hidden="false" customHeight="false" outlineLevel="0" collapsed="false">
      <c r="A1" s="190" t="s">
        <v>209</v>
      </c>
      <c r="B1" s="190"/>
      <c r="C1" s="190"/>
      <c r="D1" s="190"/>
      <c r="E1" s="190"/>
      <c r="F1" s="190"/>
      <c r="G1" s="190"/>
      <c r="H1" s="190"/>
      <c r="I1" s="190"/>
      <c r="J1" s="190"/>
      <c r="K1" s="190"/>
      <c r="L1" s="190"/>
      <c r="M1" s="190"/>
      <c r="N1" s="190"/>
      <c r="O1" s="190"/>
      <c r="P1" s="190"/>
    </row>
    <row r="2" s="191" customFormat="true" ht="16.5" hidden="false" customHeight="false" outlineLevel="0" collapsed="false">
      <c r="A2" s="190"/>
      <c r="B2" s="190"/>
      <c r="C2" s="190"/>
      <c r="D2" s="190"/>
      <c r="E2" s="190"/>
      <c r="F2" s="190"/>
      <c r="G2" s="190"/>
      <c r="H2" s="190"/>
      <c r="I2" s="190"/>
      <c r="J2" s="190"/>
      <c r="K2" s="190"/>
      <c r="L2" s="190"/>
      <c r="M2" s="190"/>
      <c r="N2" s="190"/>
      <c r="O2" s="190"/>
      <c r="P2" s="190"/>
    </row>
    <row r="3" customFormat="false" ht="16.5" hidden="false" customHeight="false" outlineLevel="0" collapsed="false">
      <c r="A3" s="192" t="str">
        <f aca="false">'Input sheet'!B4</f>
        <v>Nvidia</v>
      </c>
      <c r="B3" s="192"/>
      <c r="C3" s="192"/>
      <c r="D3" s="192"/>
      <c r="E3" s="192"/>
      <c r="F3" s="192"/>
      <c r="G3" s="192"/>
      <c r="H3" s="192"/>
      <c r="I3" s="192"/>
      <c r="J3" s="192"/>
      <c r="K3" s="192"/>
      <c r="L3" s="192"/>
      <c r="M3" s="192"/>
      <c r="N3" s="192"/>
      <c r="O3" s="193" t="n">
        <f aca="false">'Input sheet'!B3</f>
        <v>43616</v>
      </c>
      <c r="P3" s="193"/>
    </row>
    <row r="4" customFormat="false" ht="16.5" hidden="false" customHeight="false" outlineLevel="0" collapsed="false">
      <c r="A4" s="194"/>
      <c r="P4" s="195"/>
    </row>
    <row r="5" customFormat="false" ht="16.5" hidden="false" customHeight="false" outlineLevel="0" collapsed="false">
      <c r="A5" s="196" t="s">
        <v>210</v>
      </c>
      <c r="B5" s="196"/>
      <c r="C5" s="196"/>
      <c r="E5" s="197" t="s">
        <v>211</v>
      </c>
      <c r="F5" s="197"/>
      <c r="H5" s="197" t="s">
        <v>212</v>
      </c>
      <c r="I5" s="197"/>
      <c r="K5" s="197" t="s">
        <v>213</v>
      </c>
      <c r="L5" s="197"/>
      <c r="P5" s="195"/>
    </row>
    <row r="6" customFormat="false" ht="13.5" hidden="false" customHeight="true" outlineLevel="0" collapsed="false">
      <c r="A6" s="194"/>
      <c r="B6" s="198" t="s">
        <v>40</v>
      </c>
      <c r="C6" s="198" t="s">
        <v>214</v>
      </c>
      <c r="E6" s="199" t="str">
        <f aca="false">'Stories to Numbers'!G9</f>
        <v>Even as gaming and other chip businesses mature, NVIDIA''s investments in the AI and Auto chip businesses will deliver healthy growth over the next decade.</v>
      </c>
      <c r="F6" s="199"/>
      <c r="H6" s="199" t="str">
        <f aca="false">'Stories to Numbers'!G10</f>
        <v>Margins improve, first as NVIDIA rebounds from a down-year and then  long term,  because of competitive advantages, especially in their growth businesses  and economies of scale.</v>
      </c>
      <c r="I6" s="199"/>
      <c r="K6" s="199" t="str">
        <f aca="false">'Stories to Numbers'!G12</f>
        <v>Sales to capital moves to industry median, as company is able to slow its investment pace, and see payoffs from past investments in AI &amp; Auto.</v>
      </c>
      <c r="L6" s="199"/>
      <c r="O6" s="200" t="s">
        <v>128</v>
      </c>
      <c r="P6" s="200"/>
    </row>
    <row r="7" customFormat="false" ht="15.75" hidden="false" customHeight="false" outlineLevel="0" collapsed="false">
      <c r="A7" s="201" t="s">
        <v>215</v>
      </c>
      <c r="B7" s="202" t="n">
        <f aca="false">'Input sheet'!I25</f>
        <v>-0.152886853972484</v>
      </c>
      <c r="C7" s="202" t="n">
        <f aca="false">'Input sheet'!K25</f>
        <v>0.0881332808988765</v>
      </c>
      <c r="E7" s="199"/>
      <c r="F7" s="199"/>
      <c r="H7" s="199"/>
      <c r="I7" s="199"/>
      <c r="K7" s="199"/>
      <c r="L7" s="199"/>
      <c r="O7" s="203" t="s">
        <v>216</v>
      </c>
      <c r="P7" s="204" t="n">
        <f aca="false">'Valuation output'!M2</f>
        <v>0.036</v>
      </c>
    </row>
    <row r="8" customFormat="false" ht="15.75" hidden="false" customHeight="false" outlineLevel="0" collapsed="false">
      <c r="A8" s="201" t="s">
        <v>217</v>
      </c>
      <c r="B8" s="205" t="n">
        <f aca="false">'Valuation output'!B3</f>
        <v>14028</v>
      </c>
      <c r="E8" s="199"/>
      <c r="F8" s="199"/>
      <c r="H8" s="199"/>
      <c r="I8" s="199"/>
      <c r="K8" s="199"/>
      <c r="L8" s="199"/>
      <c r="O8" s="203" t="s">
        <v>148</v>
      </c>
      <c r="P8" s="204" t="n">
        <f aca="false">'Valuation output'!M30</f>
        <v>0.0885</v>
      </c>
    </row>
    <row r="9" customFormat="false" ht="15.75" hidden="false" customHeight="false" outlineLevel="0" collapsed="false">
      <c r="A9" s="201" t="s">
        <v>141</v>
      </c>
      <c r="B9" s="202" t="n">
        <f aca="false">'Valuation output'!B4</f>
        <v>0.256437125748503</v>
      </c>
      <c r="C9" s="202" t="n">
        <f aca="false">'Input sheet'!K26</f>
        <v>0.229589515152798</v>
      </c>
      <c r="E9" s="199"/>
      <c r="F9" s="199"/>
      <c r="H9" s="199"/>
      <c r="I9" s="199"/>
      <c r="K9" s="199"/>
      <c r="L9" s="199"/>
      <c r="O9" s="203" t="s">
        <v>192</v>
      </c>
      <c r="P9" s="204" t="n">
        <f aca="false">'Valuation output'!M59</f>
        <v>0.2</v>
      </c>
    </row>
    <row r="10" customFormat="false" ht="15.75" hidden="false" customHeight="false" outlineLevel="0" collapsed="false">
      <c r="A10" s="201" t="s">
        <v>142</v>
      </c>
      <c r="B10" s="205" t="n">
        <f aca="false">'Valuation output'!B5</f>
        <v>3597.3</v>
      </c>
      <c r="E10" s="199"/>
      <c r="F10" s="199"/>
      <c r="H10" s="199"/>
      <c r="I10" s="199"/>
      <c r="K10" s="199"/>
      <c r="L10" s="199"/>
      <c r="O10" s="203" t="s">
        <v>218</v>
      </c>
      <c r="P10" s="204" t="n">
        <f aca="false">P7/P9</f>
        <v>0.18</v>
      </c>
    </row>
    <row r="11" customFormat="false" ht="15.75" hidden="false" customHeight="false" outlineLevel="0" collapsed="false">
      <c r="A11" s="201" t="s">
        <v>143</v>
      </c>
      <c r="B11" s="205" t="n">
        <f aca="false">'Valuation output'!B7</f>
        <v>3237.57</v>
      </c>
      <c r="E11" s="199"/>
      <c r="F11" s="199"/>
      <c r="H11" s="199"/>
      <c r="I11" s="199"/>
      <c r="K11" s="199"/>
      <c r="L11" s="199"/>
      <c r="P11" s="206"/>
    </row>
    <row r="12" customFormat="false" ht="15.75" hidden="false" customHeight="false" outlineLevel="0" collapsed="false">
      <c r="A12" s="194"/>
      <c r="E12" s="199"/>
      <c r="F12" s="199"/>
      <c r="H12" s="199"/>
      <c r="I12" s="199"/>
      <c r="K12" s="199"/>
      <c r="L12" s="199"/>
      <c r="P12" s="206"/>
    </row>
    <row r="13" customFormat="false" ht="16.5" hidden="false" customHeight="false" outlineLevel="0" collapsed="false">
      <c r="A13" s="194"/>
      <c r="E13" s="199"/>
      <c r="F13" s="199"/>
      <c r="H13" s="199"/>
      <c r="I13" s="199"/>
      <c r="K13" s="199"/>
      <c r="L13" s="199"/>
      <c r="P13" s="206"/>
    </row>
    <row r="14" customFormat="false" ht="16.5" hidden="false" customHeight="false" outlineLevel="0" collapsed="false">
      <c r="A14" s="194"/>
      <c r="P14" s="195"/>
    </row>
    <row r="15" customFormat="false" ht="15.75" hidden="false" customHeight="false" outlineLevel="0" collapsed="false">
      <c r="A15" s="207" t="str">
        <f aca="false">'Valuation output'!A37</f>
        <v>Value of Rest</v>
      </c>
      <c r="B15" s="208" t="n">
        <f aca="false">'Valuation output'!B37</f>
        <v>106977.829734237</v>
      </c>
      <c r="D15" s="203"/>
      <c r="E15" s="209" t="n">
        <f aca="false">'Valuation output'!C1</f>
        <v>1</v>
      </c>
      <c r="F15" s="209" t="n">
        <f aca="false">'Valuation output'!D1</f>
        <v>2</v>
      </c>
      <c r="G15" s="209" t="n">
        <f aca="false">'Valuation output'!E1</f>
        <v>3</v>
      </c>
      <c r="H15" s="209" t="n">
        <f aca="false">'Valuation output'!F1</f>
        <v>4</v>
      </c>
      <c r="I15" s="209" t="n">
        <f aca="false">'Valuation output'!G1</f>
        <v>5</v>
      </c>
      <c r="J15" s="209" t="n">
        <f aca="false">'Valuation output'!H1</f>
        <v>6</v>
      </c>
      <c r="K15" s="209" t="n">
        <f aca="false">'Valuation output'!I1</f>
        <v>7</v>
      </c>
      <c r="L15" s="209" t="n">
        <f aca="false">'Valuation output'!J1</f>
        <v>8</v>
      </c>
      <c r="M15" s="209" t="n">
        <f aca="false">'Valuation output'!K1</f>
        <v>9</v>
      </c>
      <c r="N15" s="209" t="n">
        <f aca="false">'Valuation output'!L1</f>
        <v>10</v>
      </c>
      <c r="O15" s="210" t="str">
        <f aca="false">'Valuation output'!M1</f>
        <v>Terminal year</v>
      </c>
      <c r="P15" s="211"/>
    </row>
    <row r="16" customFormat="false" ht="15.75" hidden="false" customHeight="false" outlineLevel="0" collapsed="false">
      <c r="A16" s="212" t="str">
        <f aca="false">'Valuation output'!A38</f>
        <v>Value of AI</v>
      </c>
      <c r="B16" s="213" t="n">
        <f aca="false">'Valuation output'!B38</f>
        <v>417458.713300608</v>
      </c>
      <c r="D16" s="203" t="s">
        <v>219</v>
      </c>
      <c r="E16" s="214" t="n">
        <f aca="false">'Valuation output'!C3</f>
        <v>16132.2</v>
      </c>
      <c r="F16" s="214" t="n">
        <f aca="false">'Valuation output'!D3</f>
        <v>18552.03</v>
      </c>
      <c r="G16" s="214" t="n">
        <f aca="false">'Valuation output'!E3</f>
        <v>21334.8345</v>
      </c>
      <c r="H16" s="214" t="n">
        <f aca="false">'Valuation output'!F3</f>
        <v>24535.059675</v>
      </c>
      <c r="I16" s="214" t="n">
        <f aca="false">'Valuation output'!G3</f>
        <v>28215.31862625</v>
      </c>
      <c r="J16" s="214" t="n">
        <f aca="false">'Valuation output'!H3</f>
        <v>31804.307155509</v>
      </c>
      <c r="K16" s="214" t="n">
        <f aca="false">'Valuation output'!I3</f>
        <v>35124.6768225441</v>
      </c>
      <c r="L16" s="214" t="n">
        <f aca="false">'Valuation output'!J3</f>
        <v>37990.8504512637</v>
      </c>
      <c r="M16" s="214" t="n">
        <f aca="false">'Valuation output'!K3</f>
        <v>40224.712457798</v>
      </c>
      <c r="N16" s="214" t="n">
        <f aca="false">'Valuation output'!L3</f>
        <v>41672.8021062788</v>
      </c>
      <c r="O16" s="215" t="n">
        <f aca="false">'Valuation output'!M3</f>
        <v>43173.0229821048</v>
      </c>
      <c r="P16" s="195"/>
    </row>
    <row r="17" customFormat="false" ht="15.75" hidden="false" customHeight="false" outlineLevel="0" collapsed="false">
      <c r="A17" s="212" t="str">
        <f aca="false">'Valuation output'!A39</f>
        <v>Value of Auto</v>
      </c>
      <c r="B17" s="213" t="n">
        <f aca="false">'Valuation output'!B39</f>
        <v>58568.2367942757</v>
      </c>
      <c r="D17" s="203" t="s">
        <v>220</v>
      </c>
      <c r="E17" s="214" t="n">
        <f aca="false">'Valuation output'!C14</f>
        <v>29253</v>
      </c>
      <c r="F17" s="214" t="n">
        <f aca="false">'Valuation output'!D14</f>
        <v>46512</v>
      </c>
      <c r="G17" s="214" t="n">
        <f aca="false">'Valuation output'!E14</f>
        <v>63027</v>
      </c>
      <c r="H17" s="214" t="n">
        <f aca="false">'Valuation output'!F14</f>
        <v>78798</v>
      </c>
      <c r="I17" s="214" t="n">
        <f aca="false">'Valuation output'!G14</f>
        <v>93825</v>
      </c>
      <c r="J17" s="214" t="n">
        <f aca="false">'Valuation output'!H14</f>
        <v>116292</v>
      </c>
      <c r="K17" s="214" t="n">
        <f aca="false">'Valuation output'!I14</f>
        <v>137643</v>
      </c>
      <c r="L17" s="214" t="n">
        <f aca="false">'Valuation output'!J14</f>
        <v>157878</v>
      </c>
      <c r="M17" s="214" t="n">
        <f aca="false">'Valuation output'!K14</f>
        <v>176997</v>
      </c>
      <c r="N17" s="214" t="n">
        <f aca="false">'Valuation output'!L14</f>
        <v>195000</v>
      </c>
      <c r="O17" s="215" t="n">
        <f aca="false">'Valuation output'!M14</f>
        <v>202020</v>
      </c>
      <c r="P17" s="195"/>
    </row>
    <row r="18" customFormat="false" ht="15.75" hidden="false" customHeight="false" outlineLevel="0" collapsed="false">
      <c r="A18" s="216" t="str">
        <f aca="false">'Valuation output'!A41</f>
        <v>Probability of failure =</v>
      </c>
      <c r="B18" s="204" t="n">
        <f aca="false">'Valuation output'!B41</f>
        <v>0</v>
      </c>
      <c r="D18" s="203" t="s">
        <v>221</v>
      </c>
      <c r="E18" s="214" t="n">
        <f aca="false">'Valuation output'!C23</f>
        <v>1848</v>
      </c>
      <c r="F18" s="214" t="n">
        <f aca="false">'Valuation output'!D23</f>
        <v>3672</v>
      </c>
      <c r="G18" s="214" t="n">
        <f aca="false">'Valuation output'!E23</f>
        <v>6072</v>
      </c>
      <c r="H18" s="214" t="n">
        <f aca="false">'Valuation output'!F23</f>
        <v>9048</v>
      </c>
      <c r="I18" s="214" t="n">
        <f aca="false">'Valuation output'!G23</f>
        <v>12600</v>
      </c>
      <c r="J18" s="214" t="n">
        <f aca="false">'Valuation output'!H23</f>
        <v>15504</v>
      </c>
      <c r="K18" s="214" t="n">
        <f aca="false">'Valuation output'!I23</f>
        <v>18696</v>
      </c>
      <c r="L18" s="214" t="n">
        <f aca="false">'Valuation output'!J23</f>
        <v>22176</v>
      </c>
      <c r="M18" s="214" t="n">
        <f aca="false">'Valuation output'!K23</f>
        <v>25944</v>
      </c>
      <c r="N18" s="214" t="n">
        <f aca="false">'Valuation output'!L23</f>
        <v>30000</v>
      </c>
      <c r="O18" s="215" t="n">
        <f aca="false">'Valuation output'!M23</f>
        <v>31080</v>
      </c>
      <c r="P18" s="195"/>
    </row>
    <row r="19" customFormat="false" ht="15.75" hidden="false" customHeight="false" outlineLevel="0" collapsed="false">
      <c r="A19" s="212" t="str">
        <f aca="false">'Valuation output'!A43</f>
        <v>Value of operating assets =</v>
      </c>
      <c r="B19" s="217" t="n">
        <f aca="false">'Valuation output'!B43</f>
        <v>583004.77982912</v>
      </c>
      <c r="D19" s="203" t="s">
        <v>222</v>
      </c>
      <c r="E19" s="214" t="n">
        <f aca="false">E16+E17+E18</f>
        <v>47233.2</v>
      </c>
      <c r="F19" s="214" t="n">
        <f aca="false">F16+F17+F18</f>
        <v>68736.03</v>
      </c>
      <c r="G19" s="214" t="n">
        <f aca="false">G16+G17+G18</f>
        <v>90433.8345</v>
      </c>
      <c r="H19" s="214" t="n">
        <f aca="false">H16+H17+H18</f>
        <v>112381.059675</v>
      </c>
      <c r="I19" s="214" t="n">
        <f aca="false">I16+I17+I18</f>
        <v>134640.31862625</v>
      </c>
      <c r="J19" s="214" t="n">
        <f aca="false">J16+J17+J18</f>
        <v>163600.307155509</v>
      </c>
      <c r="K19" s="214" t="n">
        <f aca="false">K16+K17+K18</f>
        <v>191463.676822544</v>
      </c>
      <c r="L19" s="214" t="n">
        <f aca="false">L16+L17+L18</f>
        <v>218044.850451264</v>
      </c>
      <c r="M19" s="214" t="n">
        <f aca="false">M16+M17+M18</f>
        <v>243165.712457798</v>
      </c>
      <c r="N19" s="214" t="n">
        <f aca="false">N16+N17+N18</f>
        <v>266672.802106279</v>
      </c>
      <c r="O19" s="215" t="n">
        <f aca="false">O16+O17+O18</f>
        <v>276273.022982105</v>
      </c>
      <c r="P19" s="195"/>
    </row>
    <row r="20" customFormat="false" ht="15.75" hidden="false" customHeight="false" outlineLevel="0" collapsed="false">
      <c r="A20" s="212" t="str">
        <f aca="false">'Valuation output'!A44</f>
        <v>- Debt</v>
      </c>
      <c r="B20" s="217" t="n">
        <f aca="false">'Valuation output'!B44</f>
        <v>12080</v>
      </c>
      <c r="D20" s="203" t="s">
        <v>223</v>
      </c>
      <c r="E20" s="202" t="n">
        <f aca="false">'Valuation output'!C4</f>
        <v>0.35</v>
      </c>
      <c r="F20" s="202" t="n">
        <f aca="false">'Valuation output'!D4</f>
        <v>0.37</v>
      </c>
      <c r="G20" s="202" t="n">
        <f aca="false">'Valuation output'!E4</f>
        <v>0.38</v>
      </c>
      <c r="H20" s="202" t="n">
        <f aca="false">'Valuation output'!F4</f>
        <v>0.39</v>
      </c>
      <c r="I20" s="202" t="n">
        <f aca="false">'Valuation output'!G4</f>
        <v>0.4</v>
      </c>
      <c r="J20" s="202" t="n">
        <f aca="false">'Valuation output'!H4</f>
        <v>0.4</v>
      </c>
      <c r="K20" s="202" t="n">
        <f aca="false">'Valuation output'!I4</f>
        <v>0.4</v>
      </c>
      <c r="L20" s="202" t="n">
        <f aca="false">'Valuation output'!J4</f>
        <v>0.4</v>
      </c>
      <c r="M20" s="202" t="n">
        <f aca="false">'Valuation output'!K4</f>
        <v>0.4</v>
      </c>
      <c r="N20" s="202" t="n">
        <f aca="false">'Valuation output'!L4</f>
        <v>0.4</v>
      </c>
      <c r="O20" s="218" t="n">
        <f aca="false">'Valuation output'!M4</f>
        <v>0.4</v>
      </c>
      <c r="P20" s="195"/>
    </row>
    <row r="21" customFormat="false" ht="15.75" hidden="false" customHeight="false" outlineLevel="0" collapsed="false">
      <c r="A21" s="212" t="str">
        <f aca="false">'Valuation output'!A45</f>
        <v>- Minority interests</v>
      </c>
      <c r="B21" s="217" t="n">
        <f aca="false">'Valuation output'!B45</f>
        <v>0</v>
      </c>
      <c r="D21" s="203" t="s">
        <v>142</v>
      </c>
      <c r="E21" s="214" t="n">
        <f aca="false">'Valuation output'!C5+'Valuation output'!C16+'Valuation output'!C25</f>
        <v>16531.62</v>
      </c>
      <c r="F21" s="214" t="n">
        <f aca="false">'Valuation output'!D5+'Valuation output'!D16+'Valuation output'!D25</f>
        <v>25432.3311</v>
      </c>
      <c r="G21" s="214" t="n">
        <f aca="false">'Valuation output'!E5+'Valuation output'!E16+'Valuation output'!E25</f>
        <v>34364.85711</v>
      </c>
      <c r="H21" s="214" t="n">
        <f aca="false">'Valuation output'!F5+'Valuation output'!F16+'Valuation output'!F25</f>
        <v>43828.61327325</v>
      </c>
      <c r="I21" s="214" t="n">
        <f aca="false">'Valuation output'!G5+'Valuation output'!G16+'Valuation output'!G25</f>
        <v>53856.1274505</v>
      </c>
      <c r="J21" s="214" t="n">
        <f aca="false">'Valuation output'!H5+'Valuation output'!H16+'Valuation output'!H25</f>
        <v>65440.1228622036</v>
      </c>
      <c r="K21" s="214" t="n">
        <f aca="false">'Valuation output'!I5+'Valuation output'!I16+'Valuation output'!I25</f>
        <v>76585.4707290176</v>
      </c>
      <c r="L21" s="214" t="n">
        <f aca="false">'Valuation output'!J5+'Valuation output'!J16+'Valuation output'!J25</f>
        <v>87217.9401805055</v>
      </c>
      <c r="M21" s="214" t="n">
        <f aca="false">'Valuation output'!K5+'Valuation output'!K16+'Valuation output'!K25</f>
        <v>97266.2849831192</v>
      </c>
      <c r="N21" s="214" t="n">
        <f aca="false">'Valuation output'!L5+'Valuation output'!L16+'Valuation output'!L25</f>
        <v>106669.120842512</v>
      </c>
      <c r="O21" s="215" t="n">
        <f aca="false">'Valuation output'!M5</f>
        <v>17269.2091928419</v>
      </c>
      <c r="P21" s="195"/>
    </row>
    <row r="22" customFormat="false" ht="15.75" hidden="false" customHeight="false" outlineLevel="0" collapsed="false">
      <c r="A22" s="212" t="str">
        <f aca="false">'Valuation output'!A46</f>
        <v>+  Cash</v>
      </c>
      <c r="B22" s="217" t="n">
        <f aca="false">'Valuation output'!B46</f>
        <v>15320</v>
      </c>
      <c r="D22" s="203" t="s">
        <v>143</v>
      </c>
      <c r="E22" s="214" t="n">
        <f aca="false">'Valuation output'!C7+'Valuation output'!C17+'Valuation output'!C26</f>
        <v>14878.458</v>
      </c>
      <c r="F22" s="214" t="n">
        <f aca="false">'Valuation output'!D7+'Valuation output'!D17+'Valuation output'!D26</f>
        <v>22889.09799</v>
      </c>
      <c r="G22" s="214" t="n">
        <f aca="false">'Valuation output'!E7+'Valuation output'!E17+'Valuation output'!E26</f>
        <v>30928.371399</v>
      </c>
      <c r="H22" s="214" t="n">
        <f aca="false">'Valuation output'!F7+'Valuation output'!F17+'Valuation output'!F26</f>
        <v>39445.751945925</v>
      </c>
      <c r="I22" s="214" t="n">
        <f aca="false">'Valuation output'!G7+'Valuation output'!G17+'Valuation output'!G26</f>
        <v>48470.51470545</v>
      </c>
      <c r="J22" s="214" t="n">
        <f aca="false">'Valuation output'!H7+'Valuation output'!H17+'Valuation output'!H26</f>
        <v>56932.9068901171</v>
      </c>
      <c r="K22" s="214" t="n">
        <f aca="false">'Valuation output'!I7+'Valuation output'!I17+'Valuation output'!I26</f>
        <v>64331.7954123748</v>
      </c>
      <c r="L22" s="214" t="n">
        <f aca="false">'Valuation output'!J7+'Valuation output'!J17+'Valuation output'!J26</f>
        <v>70646.5315462094</v>
      </c>
      <c r="M22" s="214" t="n">
        <f aca="false">'Valuation output'!K7+'Valuation output'!K17+'Valuation output'!K26</f>
        <v>75867.702286833</v>
      </c>
      <c r="N22" s="214" t="n">
        <f aca="false">'Valuation output'!L7+'Valuation output'!L17+'Valuation output'!L26</f>
        <v>80001.8406318836</v>
      </c>
      <c r="O22" s="215" t="n">
        <f aca="false">'Valuation output'!M7</f>
        <v>12951.9068946314</v>
      </c>
      <c r="P22" s="195"/>
    </row>
    <row r="23" customFormat="false" ht="15.75" hidden="false" customHeight="false" outlineLevel="0" collapsed="false">
      <c r="A23" s="212" t="str">
        <f aca="false">'Valuation output'!A47</f>
        <v>+ Non-operating assets</v>
      </c>
      <c r="B23" s="217" t="n">
        <f aca="false">'Valuation output'!B47</f>
        <v>505</v>
      </c>
      <c r="D23" s="203" t="s">
        <v>224</v>
      </c>
      <c r="E23" s="214" t="n">
        <f aca="false">'Valuation output'!C8+'Valuation output'!C18+'Valuation output'!C27</f>
        <v>18698.1130434783</v>
      </c>
      <c r="F23" s="214" t="n">
        <f aca="false">'Valuation output'!D8+'Valuation output'!D18+'Valuation output'!D27</f>
        <v>18867.6560869565</v>
      </c>
      <c r="G23" s="214" t="n">
        <f aca="false">'Valuation output'!E8+'Valuation output'!E18+'Valuation output'!E27</f>
        <v>19084.5436304348</v>
      </c>
      <c r="H23" s="214" t="n">
        <f aca="false">'Valuation output'!F8+'Valuation output'!F18+'Valuation output'!F27</f>
        <v>19355.877348913</v>
      </c>
      <c r="I23" s="214" t="n">
        <f aca="false">'Valuation output'!G8+'Valuation output'!G18+'Valuation output'!G27</f>
        <v>25182.5987210948</v>
      </c>
      <c r="J23" s="214" t="n">
        <f aca="false">'Valuation output'!H8+'Valuation output'!H18+'Valuation output'!H27</f>
        <v>24229.0171017697</v>
      </c>
      <c r="K23" s="214" t="n">
        <f aca="false">'Valuation output'!I8+'Valuation output'!I18+'Valuation output'!I27</f>
        <v>23114.0640249736</v>
      </c>
      <c r="L23" s="214" t="n">
        <f aca="false">'Valuation output'!J8+'Valuation output'!J18+'Valuation output'!J27</f>
        <v>21844.227831769</v>
      </c>
      <c r="M23" s="214" t="n">
        <f aca="false">'Valuation output'!K8+'Valuation output'!K18+'Valuation output'!K27</f>
        <v>20440.9475204181</v>
      </c>
      <c r="N23" s="214" t="n">
        <f aca="false">'Valuation output'!L8+'Valuation output'!L18+'Valuation output'!L27</f>
        <v>8348.01815289221</v>
      </c>
      <c r="O23" s="215" t="n">
        <f aca="false">'Valuation output'!M8</f>
        <v>2331.34324103365</v>
      </c>
      <c r="P23" s="195"/>
    </row>
    <row r="24" customFormat="false" ht="15.75" hidden="false" customHeight="false" outlineLevel="0" collapsed="false">
      <c r="A24" s="212" t="str">
        <f aca="false">'Valuation output'!A48</f>
        <v>Value of equity</v>
      </c>
      <c r="B24" s="217" t="n">
        <f aca="false">'Valuation output'!B48</f>
        <v>586749.77982912</v>
      </c>
      <c r="D24" s="219" t="s">
        <v>136</v>
      </c>
      <c r="E24" s="215" t="n">
        <f aca="false">'Valuation output'!C9+'Valuation output'!C19+'Valuation output'!C28</f>
        <v>-3819.65504347826</v>
      </c>
      <c r="F24" s="215" t="n">
        <f aca="false">'Valuation output'!D9+'Valuation output'!D19+'Valuation output'!D28</f>
        <v>4021.44190304348</v>
      </c>
      <c r="G24" s="215" t="n">
        <f aca="false">'Valuation output'!E9+'Valuation output'!E19+'Valuation output'!E28</f>
        <v>11843.8277685652</v>
      </c>
      <c r="H24" s="215" t="n">
        <f aca="false">'Valuation output'!F9+'Valuation output'!F19+'Valuation output'!F28</f>
        <v>20089.874597012</v>
      </c>
      <c r="I24" s="215" t="n">
        <f aca="false">'Valuation output'!G9+'Valuation output'!G19+'Valuation output'!G28</f>
        <v>23287.9159843552</v>
      </c>
      <c r="J24" s="215" t="n">
        <f aca="false">'Valuation output'!H9+'Valuation output'!H19+'Valuation output'!H28</f>
        <v>32703.8897883474</v>
      </c>
      <c r="K24" s="215" t="n">
        <f aca="false">'Valuation output'!I9+'Valuation output'!I19+'Valuation output'!I28</f>
        <v>41217.7313874012</v>
      </c>
      <c r="L24" s="215" t="n">
        <f aca="false">'Valuation output'!J9+'Valuation output'!J19+'Valuation output'!J28</f>
        <v>48802.3037144405</v>
      </c>
      <c r="M24" s="215" t="n">
        <f aca="false">'Valuation output'!K9+'Valuation output'!K19+'Valuation output'!K28</f>
        <v>55426.7547664149</v>
      </c>
      <c r="N24" s="215" t="n">
        <f aca="false">'Valuation output'!L9+'Valuation output'!L19+'Valuation output'!L28</f>
        <v>71653.8224789914</v>
      </c>
      <c r="O24" s="215" t="n">
        <f aca="false">'Valuation output'!M9</f>
        <v>10620.5636535977</v>
      </c>
      <c r="P24" s="195"/>
    </row>
    <row r="25" customFormat="false" ht="15.75" hidden="false" customHeight="false" outlineLevel="0" collapsed="false">
      <c r="A25" s="212" t="str">
        <f aca="false">'Valuation output'!A49</f>
        <v>- Value of options</v>
      </c>
      <c r="B25" s="217" t="n">
        <f aca="false">'Valuation output'!B49</f>
        <v>0</v>
      </c>
      <c r="N25" s="220" t="n">
        <f aca="false">'Valuation output'!B39</f>
        <v>58568.2367942757</v>
      </c>
      <c r="P25" s="195"/>
    </row>
    <row r="26" customFormat="false" ht="15.75" hidden="false" customHeight="false" outlineLevel="0" collapsed="false">
      <c r="A26" s="212" t="str">
        <f aca="false">'Valuation output'!A50</f>
        <v>Value of equity in common stock</v>
      </c>
      <c r="B26" s="217" t="n">
        <f aca="false">'Valuation output'!B50</f>
        <v>586749.77982912</v>
      </c>
      <c r="P26" s="195"/>
    </row>
    <row r="27" customFormat="false" ht="15.75" hidden="false" customHeight="false" outlineLevel="0" collapsed="false">
      <c r="A27" s="221" t="str">
        <f aca="false">'Valuation output'!A51</f>
        <v>Number of shares</v>
      </c>
      <c r="B27" s="222" t="n">
        <f aca="false">'Valuation output'!B51</f>
        <v>2470</v>
      </c>
      <c r="D27" s="219" t="s">
        <v>225</v>
      </c>
      <c r="E27" s="218" t="n">
        <f aca="false">'Valuation output'!C30</f>
        <v>0.122078816118524</v>
      </c>
      <c r="F27" s="218" t="n">
        <f aca="false">'Valuation output'!D30</f>
        <v>0.122078816118524</v>
      </c>
      <c r="G27" s="218" t="n">
        <f aca="false">'Valuation output'!E30</f>
        <v>0.122078816118524</v>
      </c>
      <c r="H27" s="218" t="n">
        <f aca="false">'Valuation output'!F30</f>
        <v>0.122078816118524</v>
      </c>
      <c r="I27" s="218" t="n">
        <f aca="false">'Valuation output'!G30</f>
        <v>0.122078816118524</v>
      </c>
      <c r="J27" s="218" t="n">
        <f aca="false">'Valuation output'!H30</f>
        <v>0.115363052894819</v>
      </c>
      <c r="K27" s="218" t="n">
        <f aca="false">'Valuation output'!I30</f>
        <v>0.108647289671114</v>
      </c>
      <c r="L27" s="218" t="n">
        <f aca="false">'Valuation output'!J30</f>
        <v>0.10193152644741</v>
      </c>
      <c r="M27" s="218" t="n">
        <f aca="false">'Valuation output'!K30</f>
        <v>0.0952157632237048</v>
      </c>
      <c r="N27" s="218" t="n">
        <f aca="false">'Valuation output'!L30</f>
        <v>0.0885</v>
      </c>
      <c r="O27" s="223"/>
      <c r="P27" s="195"/>
    </row>
    <row r="28" customFormat="false" ht="15.75" hidden="false" customHeight="false" outlineLevel="0" collapsed="false">
      <c r="A28" s="224" t="str">
        <f aca="false">'Valuation output'!A52</f>
        <v>Estimated value /share</v>
      </c>
      <c r="B28" s="225" t="n">
        <f aca="false">'Valuation output'!B52</f>
        <v>237.550518149441</v>
      </c>
      <c r="D28" s="203" t="s">
        <v>226</v>
      </c>
      <c r="E28" s="226" t="n">
        <f aca="false">'Valuation output'!C31</f>
        <v>0.891202993617848</v>
      </c>
      <c r="F28" s="226" t="n">
        <f aca="false">'Valuation output'!D31</f>
        <v>0.794242775833414</v>
      </c>
      <c r="G28" s="226" t="n">
        <f aca="false">'Valuation output'!E31</f>
        <v>0.707831539482088</v>
      </c>
      <c r="H28" s="226" t="n">
        <f aca="false">'Valuation output'!F31</f>
        <v>0.630821586963567</v>
      </c>
      <c r="I28" s="226" t="n">
        <f aca="false">'Valuation output'!G31</f>
        <v>0.562190086740693</v>
      </c>
      <c r="J28" s="226" t="n">
        <f aca="false">'Valuation output'!H31</f>
        <v>0.504042235648367</v>
      </c>
      <c r="K28" s="226" t="n">
        <f aca="false">'Valuation output'!I31</f>
        <v>0.454646162349699</v>
      </c>
      <c r="L28" s="226" t="n">
        <f aca="false">'Valuation output'!J31</f>
        <v>0.412590212220775</v>
      </c>
      <c r="M28" s="226" t="n">
        <f aca="false">'Valuation output'!K31</f>
        <v>0.37672048383082</v>
      </c>
      <c r="N28" s="226" t="n">
        <f aca="false">'Valuation output'!L31</f>
        <v>0.346091395342967</v>
      </c>
      <c r="P28" s="195"/>
    </row>
    <row r="29" customFormat="false" ht="15.75" hidden="false" customHeight="false" outlineLevel="0" collapsed="false">
      <c r="A29" s="227"/>
      <c r="B29" s="228"/>
      <c r="P29" s="195"/>
    </row>
    <row r="30" customFormat="false" ht="15.75" hidden="false" customHeight="false" outlineLevel="0" collapsed="false">
      <c r="A30" s="229" t="s">
        <v>227</v>
      </c>
      <c r="B30" s="230" t="n">
        <f aca="false">'Stories to Numbers'!G39</f>
        <v>409</v>
      </c>
      <c r="D30" s="219" t="s">
        <v>228</v>
      </c>
      <c r="E30" s="231" t="n">
        <f aca="false">'Valuation output'!C57</f>
        <v>1.15</v>
      </c>
      <c r="F30" s="231" t="n">
        <f aca="false">'Valuation output'!D57</f>
        <v>1.15</v>
      </c>
      <c r="G30" s="231" t="n">
        <f aca="false">'Valuation output'!E57</f>
        <v>1.15</v>
      </c>
      <c r="H30" s="231" t="n">
        <f aca="false">'Valuation output'!F57</f>
        <v>1.15</v>
      </c>
      <c r="I30" s="231" t="n">
        <f aca="false">'Valuation output'!G57</f>
        <v>1.15</v>
      </c>
      <c r="J30" s="231" t="n">
        <f aca="false">'Valuation output'!H57</f>
        <v>1.15</v>
      </c>
      <c r="K30" s="231" t="n">
        <f aca="false">'Valuation output'!I57</f>
        <v>1.15</v>
      </c>
      <c r="L30" s="231" t="n">
        <f aca="false">'Valuation output'!J57</f>
        <v>1.15</v>
      </c>
      <c r="M30" s="231" t="n">
        <f aca="false">'Valuation output'!K57</f>
        <v>1.15</v>
      </c>
      <c r="N30" s="231" t="n">
        <f aca="false">'Valuation output'!L57</f>
        <v>1.15</v>
      </c>
      <c r="P30" s="195"/>
    </row>
    <row r="31" customFormat="false" ht="15.75" hidden="false" customHeight="false" outlineLevel="0" collapsed="false">
      <c r="A31" s="212" t="s">
        <v>229</v>
      </c>
      <c r="B31" s="232" t="n">
        <f aca="false">B30/B28-1</f>
        <v>0.721739035495182</v>
      </c>
      <c r="D31" s="203" t="s">
        <v>175</v>
      </c>
      <c r="E31" s="202" t="n">
        <f aca="false">'Valuation output'!C59</f>
        <v>0.371558309234481</v>
      </c>
      <c r="F31" s="202" t="n">
        <f aca="false">'Valuation output'!D59</f>
        <v>0.389657957449246</v>
      </c>
      <c r="G31" s="202" t="n">
        <f aca="false">'Valuation output'!E59</f>
        <v>0.39851439907854</v>
      </c>
      <c r="H31" s="202" t="n">
        <f aca="false">'Valuation output'!F59</f>
        <v>0.407945365005036</v>
      </c>
      <c r="I31" s="202" t="n">
        <f aca="false">'Valuation output'!G59</f>
        <v>0.417670710078312</v>
      </c>
      <c r="J31" s="202" t="n">
        <f aca="false">'Valuation output'!H59</f>
        <v>0.403115659124232</v>
      </c>
      <c r="K31" s="202" t="n">
        <f aca="false">'Valuation output'!I59</f>
        <v>0.388802892193121</v>
      </c>
      <c r="L31" s="202" t="n">
        <f aca="false">'Valuation output'!J59</f>
        <v>0.374633065948076</v>
      </c>
      <c r="M31" s="202" t="n">
        <f aca="false">'Valuation output'!K59</f>
        <v>0.360554526001053</v>
      </c>
      <c r="N31" s="202" t="n">
        <f aca="false">'Valuation output'!L59</f>
        <v>0.346537669216238</v>
      </c>
      <c r="O31" s="218" t="n">
        <f aca="false">'Valuation output'!M59</f>
        <v>0.2</v>
      </c>
      <c r="P31" s="195"/>
    </row>
    <row r="32" customFormat="false" ht="15.75" hidden="false" customHeight="false" outlineLevel="0" collapsed="false">
      <c r="A32" s="194"/>
      <c r="P32" s="195"/>
    </row>
    <row r="33" customFormat="false" ht="13.5" hidden="false" customHeight="true" outlineLevel="0" collapsed="false">
      <c r="A33" s="194"/>
      <c r="P33" s="195"/>
    </row>
    <row r="34" customFormat="false" ht="15.75" hidden="false" customHeight="false" outlineLevel="0" collapsed="false">
      <c r="A34" s="194"/>
      <c r="D34" s="197" t="s">
        <v>230</v>
      </c>
      <c r="E34" s="197"/>
      <c r="G34" s="197" t="s">
        <v>231</v>
      </c>
      <c r="H34" s="197"/>
      <c r="I34" s="197"/>
      <c r="L34" s="200" t="s">
        <v>232</v>
      </c>
      <c r="M34" s="200"/>
      <c r="N34" s="200"/>
      <c r="O34" s="200"/>
      <c r="P34" s="200"/>
    </row>
    <row r="35" customFormat="false" ht="15.75" hidden="false" customHeight="false" outlineLevel="0" collapsed="false">
      <c r="A35" s="194"/>
      <c r="D35" s="233" t="str">
        <f aca="false">'Stories to Numbers'!G14</f>
        <v>Initial cost of capital set equal to semiconductor industry average, for first 5 years, moving towards average for entire market over time. Dependence on TSMC for chip production creates risk exposures to Taiwan and China.</v>
      </c>
      <c r="E35" s="233"/>
      <c r="G35" s="233" t="str">
        <f aca="false">'Stories to Numbers'!G13</f>
        <v>Strong competitive edges allow NVIDIA to earn well above its cost of capital for the next decade and beyond.</v>
      </c>
      <c r="H35" s="233"/>
      <c r="I35" s="233"/>
      <c r="L35" s="234"/>
      <c r="M35" s="235" t="s">
        <v>233</v>
      </c>
      <c r="N35" s="235"/>
      <c r="O35" s="236" t="s">
        <v>234</v>
      </c>
      <c r="P35" s="236"/>
    </row>
    <row r="36" customFormat="false" ht="15.75" hidden="false" customHeight="false" outlineLevel="0" collapsed="false">
      <c r="A36" s="194"/>
      <c r="D36" s="233"/>
      <c r="E36" s="233"/>
      <c r="G36" s="233"/>
      <c r="H36" s="233"/>
      <c r="I36" s="233"/>
      <c r="L36" s="234"/>
      <c r="M36" s="237" t="s">
        <v>79</v>
      </c>
      <c r="N36" s="238" t="s">
        <v>235</v>
      </c>
      <c r="O36" s="237" t="s">
        <v>79</v>
      </c>
      <c r="P36" s="239" t="s">
        <v>235</v>
      </c>
    </row>
    <row r="37" customFormat="false" ht="15.75" hidden="false" customHeight="false" outlineLevel="0" collapsed="false">
      <c r="A37" s="194"/>
      <c r="D37" s="233"/>
      <c r="E37" s="233"/>
      <c r="G37" s="233"/>
      <c r="H37" s="233"/>
      <c r="I37" s="233"/>
      <c r="L37" s="240" t="s">
        <v>236</v>
      </c>
      <c r="M37" s="241" t="n">
        <v>15000</v>
      </c>
      <c r="N37" s="242" t="n">
        <v>325000</v>
      </c>
      <c r="O37" s="241" t="n">
        <v>20000</v>
      </c>
      <c r="P37" s="243" t="n">
        <v>200000</v>
      </c>
    </row>
    <row r="38" customFormat="false" ht="15.75" hidden="false" customHeight="true" outlineLevel="0" collapsed="false">
      <c r="A38" s="194"/>
      <c r="D38" s="233"/>
      <c r="E38" s="233"/>
      <c r="G38" s="233"/>
      <c r="H38" s="233"/>
      <c r="I38" s="233"/>
      <c r="L38" s="244" t="s">
        <v>237</v>
      </c>
      <c r="M38" s="245" t="n">
        <v>0.75</v>
      </c>
      <c r="N38" s="246" t="n">
        <v>0.6</v>
      </c>
      <c r="O38" s="247" t="n">
        <v>0.03</v>
      </c>
      <c r="P38" s="248" t="n">
        <v>0.15</v>
      </c>
    </row>
    <row r="39" customFormat="false" ht="15.75" hidden="false" customHeight="false" outlineLevel="0" collapsed="false">
      <c r="A39" s="194"/>
      <c r="D39" s="233"/>
      <c r="E39" s="233"/>
      <c r="G39" s="233"/>
      <c r="H39" s="233"/>
      <c r="I39" s="233"/>
      <c r="L39" s="240" t="s">
        <v>238</v>
      </c>
      <c r="M39" s="241" t="n">
        <f aca="false">M37*M38</f>
        <v>11250</v>
      </c>
      <c r="N39" s="242" t="n">
        <f aca="false">N37*N38</f>
        <v>195000</v>
      </c>
      <c r="O39" s="241" t="n">
        <f aca="false">O37*O38</f>
        <v>600</v>
      </c>
      <c r="P39" s="243" t="n">
        <f aca="false">P37*P38</f>
        <v>30000</v>
      </c>
    </row>
    <row r="40" customFormat="false" ht="16.5" hidden="false" customHeight="false" outlineLevel="0" collapsed="false">
      <c r="A40" s="249"/>
      <c r="B40" s="250"/>
      <c r="C40" s="250"/>
      <c r="D40" s="233"/>
      <c r="E40" s="233"/>
      <c r="F40" s="250"/>
      <c r="G40" s="233"/>
      <c r="H40" s="233"/>
      <c r="I40" s="233"/>
      <c r="J40" s="250"/>
      <c r="K40" s="250"/>
      <c r="L40" s="250"/>
      <c r="M40" s="250"/>
      <c r="N40" s="250"/>
      <c r="O40" s="250"/>
      <c r="P40" s="251"/>
    </row>
  </sheetData>
  <mergeCells count="17">
    <mergeCell ref="A3:N3"/>
    <mergeCell ref="O3:P3"/>
    <mergeCell ref="A5:C5"/>
    <mergeCell ref="E5:F5"/>
    <mergeCell ref="H5:I5"/>
    <mergeCell ref="K5:L5"/>
    <mergeCell ref="E6:F13"/>
    <mergeCell ref="H6:I13"/>
    <mergeCell ref="K6:L13"/>
    <mergeCell ref="O6:P6"/>
    <mergeCell ref="D34:E34"/>
    <mergeCell ref="G34:I34"/>
    <mergeCell ref="L34:P34"/>
    <mergeCell ref="D35:E40"/>
    <mergeCell ref="G35:I40"/>
    <mergeCell ref="M35:N35"/>
    <mergeCell ref="O35:P3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42"/>
  <sheetViews>
    <sheetView showFormulas="false" showGridLines="true" showRowColHeaders="true" showZeros="true" rightToLeft="false" tabSelected="false" showOutlineSymbols="true" defaultGridColor="true" view="normal" topLeftCell="A1" colorId="64" zoomScale="125" zoomScaleNormal="125" zoomScalePageLayoutView="100" workbookViewId="0">
      <selection pane="topLeft" activeCell="D42" activeCellId="0" sqref="D42"/>
    </sheetView>
  </sheetViews>
  <sheetFormatPr defaultColWidth="10.828125" defaultRowHeight="15.75" zeroHeight="false" outlineLevelRow="0" outlineLevelCol="0"/>
  <cols>
    <col collapsed="false" customWidth="true" hidden="false" outlineLevel="0" max="1" min="1" style="2" width="61.68"/>
    <col collapsed="false" customWidth="true" hidden="false" outlineLevel="0" max="2" min="2" style="252" width="17.67"/>
    <col collapsed="false" customWidth="true" hidden="false" outlineLevel="0" max="3" min="3" style="252" width="21"/>
    <col collapsed="false" customWidth="true" hidden="false" outlineLevel="0" max="4" min="4" style="252" width="20.5"/>
    <col collapsed="false" customWidth="true" hidden="false" outlineLevel="0" max="5" min="5" style="252" width="17.67"/>
    <col collapsed="false" customWidth="true" hidden="false" outlineLevel="0" max="6" min="6" style="2" width="11.16"/>
    <col collapsed="false" customWidth="true" hidden="false" outlineLevel="0" max="7" min="7" style="2" width="72"/>
    <col collapsed="false" customWidth="false" hidden="false" outlineLevel="0" max="1024" min="8" style="2" width="10.83"/>
  </cols>
  <sheetData>
    <row r="1" customFormat="false" ht="15.75" hidden="false" customHeight="false" outlineLevel="0" collapsed="false">
      <c r="A1" s="253" t="s">
        <v>239</v>
      </c>
      <c r="B1" s="254"/>
      <c r="C1" s="255"/>
      <c r="D1" s="256" t="s">
        <v>240</v>
      </c>
      <c r="E1" s="256"/>
      <c r="G1" s="257" t="s">
        <v>241</v>
      </c>
    </row>
    <row r="2" customFormat="false" ht="33.75" hidden="false" customHeight="false" outlineLevel="0" collapsed="false">
      <c r="A2" s="194"/>
      <c r="B2" s="258" t="s">
        <v>242</v>
      </c>
      <c r="C2" s="258" t="s">
        <v>243</v>
      </c>
      <c r="D2" s="258" t="s">
        <v>180</v>
      </c>
      <c r="E2" s="259" t="s">
        <v>181</v>
      </c>
      <c r="G2" s="260" t="s">
        <v>244</v>
      </c>
    </row>
    <row r="3" customFormat="false" ht="33.75" hidden="false" customHeight="false" outlineLevel="0" collapsed="false">
      <c r="A3" s="203" t="s">
        <v>245</v>
      </c>
      <c r="B3" s="261" t="n">
        <f aca="false">'Input sheet'!J25</f>
        <v>0.0887989130434782</v>
      </c>
      <c r="C3" s="261" t="n">
        <f aca="false">'Input sheet'!I25</f>
        <v>-0.152886853972484</v>
      </c>
      <c r="D3" s="261" t="n">
        <f aca="false">C7/B7-1</f>
        <v>0.82522606074658</v>
      </c>
      <c r="E3" s="261" t="n">
        <f aca="false">(D7/B7)^(1/5)-1</f>
        <v>0.390749410217759</v>
      </c>
      <c r="G3" s="260" t="s">
        <v>246</v>
      </c>
    </row>
    <row r="4" customFormat="false" ht="16.5" hidden="false" customHeight="false" outlineLevel="0" collapsed="false"/>
    <row r="5" customFormat="false" ht="15.75" hidden="false" customHeight="false" outlineLevel="0" collapsed="false">
      <c r="A5" s="253" t="s">
        <v>247</v>
      </c>
      <c r="B5" s="255"/>
      <c r="C5" s="255"/>
      <c r="D5" s="255"/>
      <c r="E5" s="262"/>
    </row>
    <row r="6" customFormat="false" ht="15.75" hidden="false" customHeight="false" outlineLevel="0" collapsed="false">
      <c r="A6" s="194"/>
      <c r="B6" s="252" t="s">
        <v>243</v>
      </c>
      <c r="C6" s="252" t="s">
        <v>180</v>
      </c>
      <c r="D6" s="252" t="s">
        <v>248</v>
      </c>
      <c r="E6" s="211" t="s">
        <v>80</v>
      </c>
      <c r="G6" s="203" t="s">
        <v>249</v>
      </c>
    </row>
    <row r="7" customFormat="false" ht="15.75" hidden="false" customHeight="false" outlineLevel="0" collapsed="false">
      <c r="A7" s="219" t="s">
        <v>18</v>
      </c>
      <c r="B7" s="263" t="n">
        <f aca="false">'Valuation output'!B3+'Valuation output'!B14+'Valuation output'!B23</f>
        <v>25878</v>
      </c>
      <c r="C7" s="263" t="n">
        <f aca="false">'Valuation output'!C3+'Valuation output'!C14+'Valuation output'!C23</f>
        <v>47233.2</v>
      </c>
      <c r="D7" s="263" t="n">
        <f aca="false">'Valuation output'!G3+'Valuation output'!G14+'Valuation output'!G23</f>
        <v>134640.31862625</v>
      </c>
      <c r="E7" s="263" t="n">
        <f aca="false">'Valuation output'!L3+'Valuation output'!L14+'Valuation output'!L23</f>
        <v>266672.802106279</v>
      </c>
      <c r="G7" s="203" t="s">
        <v>250</v>
      </c>
    </row>
    <row r="8" customFormat="false" ht="15.75" hidden="false" customHeight="false" outlineLevel="0" collapsed="false">
      <c r="G8" s="203" t="s">
        <v>251</v>
      </c>
    </row>
    <row r="9" customFormat="false" ht="15.75" hidden="false" customHeight="false" outlineLevel="0" collapsed="false">
      <c r="G9" s="203" t="s">
        <v>252</v>
      </c>
    </row>
    <row r="10" customFormat="false" ht="16.5" hidden="false" customHeight="false" outlineLevel="0" collapsed="false"/>
    <row r="11" customFormat="false" ht="15.75" hidden="false" customHeight="false" outlineLevel="0" collapsed="false">
      <c r="A11" s="253" t="s">
        <v>253</v>
      </c>
      <c r="B11" s="264" t="s">
        <v>243</v>
      </c>
      <c r="C11" s="264" t="s">
        <v>180</v>
      </c>
      <c r="D11" s="264" t="s">
        <v>248</v>
      </c>
      <c r="E11" s="265" t="s">
        <v>80</v>
      </c>
      <c r="G11" s="203" t="s">
        <v>254</v>
      </c>
    </row>
    <row r="12" customFormat="false" ht="33.75" hidden="false" customHeight="false" outlineLevel="0" collapsed="false">
      <c r="A12" s="219" t="s">
        <v>141</v>
      </c>
      <c r="B12" s="266" t="n">
        <f aca="false">'Valuation output'!B4</f>
        <v>0.256437125748503</v>
      </c>
      <c r="C12" s="266" t="n">
        <f aca="false">'Valuation output'!C4</f>
        <v>0.35</v>
      </c>
      <c r="D12" s="266" t="n">
        <f aca="false">'Valuation output'!G4</f>
        <v>0.4</v>
      </c>
      <c r="E12" s="266" t="n">
        <f aca="false">'Valuation output'!M4</f>
        <v>0.4</v>
      </c>
      <c r="G12" s="260" t="s">
        <v>255</v>
      </c>
    </row>
    <row r="13" customFormat="false" ht="15.75" hidden="false" customHeight="false" outlineLevel="0" collapsed="false">
      <c r="G13" s="203" t="s">
        <v>256</v>
      </c>
    </row>
    <row r="14" customFormat="false" ht="16.5" hidden="false" customHeight="false" outlineLevel="0" collapsed="false"/>
    <row r="15" customFormat="false" ht="15.75" hidden="false" customHeight="false" outlineLevel="0" collapsed="false">
      <c r="A15" s="253" t="s">
        <v>257</v>
      </c>
      <c r="B15" s="255"/>
      <c r="C15" s="255"/>
      <c r="D15" s="255"/>
      <c r="E15" s="262"/>
    </row>
    <row r="16" customFormat="false" ht="15.75" hidden="false" customHeight="false" outlineLevel="0" collapsed="false">
      <c r="A16" s="194"/>
      <c r="B16" s="258" t="s">
        <v>243</v>
      </c>
      <c r="C16" s="258" t="s">
        <v>180</v>
      </c>
      <c r="D16" s="258" t="s">
        <v>248</v>
      </c>
      <c r="E16" s="259" t="s">
        <v>80</v>
      </c>
      <c r="G16" s="203" t="s">
        <v>258</v>
      </c>
    </row>
    <row r="17" customFormat="false" ht="15.75" hidden="false" customHeight="false" outlineLevel="0" collapsed="false">
      <c r="A17" s="219" t="s">
        <v>228</v>
      </c>
      <c r="B17" s="267" t="n">
        <f aca="false">'Input sheet'!I27</f>
        <v>0.646248820030267</v>
      </c>
      <c r="C17" s="267" t="n">
        <f aca="false">'Valuation output'!C57</f>
        <v>1.15</v>
      </c>
      <c r="D17" s="267" t="n">
        <f aca="false">'Valuation output'!G57</f>
        <v>1.15</v>
      </c>
      <c r="E17" s="267" t="n">
        <f aca="false">'Valuation output'!L57</f>
        <v>1.15</v>
      </c>
      <c r="G17" s="203" t="s">
        <v>259</v>
      </c>
    </row>
    <row r="18" customFormat="false" ht="15.75" hidden="false" customHeight="false" outlineLevel="0" collapsed="false">
      <c r="A18" s="194"/>
      <c r="E18" s="211"/>
      <c r="G18" s="203" t="s">
        <v>260</v>
      </c>
    </row>
    <row r="19" customFormat="false" ht="15.75" hidden="false" customHeight="false" outlineLevel="0" collapsed="false">
      <c r="A19" s="268" t="s">
        <v>261</v>
      </c>
      <c r="E19" s="211"/>
    </row>
    <row r="20" customFormat="false" ht="15.75" hidden="false" customHeight="false" outlineLevel="0" collapsed="false">
      <c r="A20" s="194"/>
      <c r="B20" s="269" t="s">
        <v>262</v>
      </c>
      <c r="C20" s="269" t="s">
        <v>263</v>
      </c>
      <c r="E20" s="211"/>
    </row>
    <row r="21" customFormat="false" ht="15.75" hidden="false" customHeight="false" outlineLevel="0" collapsed="false">
      <c r="A21" s="194" t="s">
        <v>264</v>
      </c>
      <c r="B21" s="270" t="n">
        <f aca="false">('Valuation output'!C7+'Valuation output'!C17+'Valuation output'!C26)*'Valuation output'!C31+('Valuation output'!D7+'Valuation output'!D17+'Valuation output'!D26)*'Valuation output'!D31+('Valuation output'!E7+'Valuation output'!E17+'Valuation output'!E26)*'Valuation output'!E31+('Valuation output'!F7+'Valuation output'!F17+'Valuation output'!F26)*'Valuation output'!F31+('Valuation output'!G7+'Valuation output'!G17+'Valuation output'!G26)*'Valuation output'!G31+('Valuation output'!H7+'Valuation output'!H17+'Valuation output'!H26)*'Valuation output'!H31+('Valuation output'!I7+'Valuation output'!I17+'Valuation output'!I26)*'Valuation output'!I31+('Valuation output'!J7+'Valuation output'!J17+'Valuation output'!J26)*'Valuation output'!J31+('Valuation output'!K7+'Valuation output'!K17+'Valuation output'!K26)*'Valuation output'!K31+('Valuation output'!L7+'Valuation output'!L17+'Valuation output'!L26)*'Valuation output'!C31+('Valuation output'!M7+'Valuation output'!M17+'Valuation output'!M26)*'Valuation output'!M31</f>
        <v>292435.836877239</v>
      </c>
      <c r="C21" s="271" t="n">
        <f aca="false">B21/B21</f>
        <v>1</v>
      </c>
      <c r="E21" s="211"/>
      <c r="G21" s="203" t="s">
        <v>265</v>
      </c>
    </row>
    <row r="22" customFormat="false" ht="15.75" hidden="false" customHeight="false" outlineLevel="0" collapsed="false">
      <c r="A22" s="272" t="s">
        <v>266</v>
      </c>
      <c r="B22" s="273" t="n">
        <f aca="false">B21-B23</f>
        <v>157458.983539473</v>
      </c>
      <c r="C22" s="274" t="n">
        <f aca="false">B22/B21</f>
        <v>0.538439423912235</v>
      </c>
      <c r="E22" s="211"/>
      <c r="G22" s="203" t="s">
        <v>267</v>
      </c>
    </row>
    <row r="23" customFormat="false" ht="15.75" hidden="false" customHeight="false" outlineLevel="0" collapsed="false">
      <c r="A23" s="194" t="s">
        <v>268</v>
      </c>
      <c r="B23" s="270" t="n">
        <f aca="false">SUM('Valuation output'!C32:L32)+SUM('Valuation output'!C33:L33)+SUM('Valuation output'!C34:L34)</f>
        <v>134976.853337766</v>
      </c>
      <c r="C23" s="261" t="n">
        <f aca="false">C21-C22</f>
        <v>0.461560576087765</v>
      </c>
      <c r="E23" s="211"/>
    </row>
    <row r="24" customFormat="false" ht="15.75" hidden="false" customHeight="false" outlineLevel="0" collapsed="false">
      <c r="A24" s="194"/>
      <c r="E24" s="211"/>
    </row>
    <row r="25" customFormat="false" ht="15.75" hidden="false" customHeight="false" outlineLevel="0" collapsed="false">
      <c r="A25" s="268" t="s">
        <v>269</v>
      </c>
      <c r="E25" s="211"/>
    </row>
    <row r="26" customFormat="false" ht="15.75" hidden="false" customHeight="false" outlineLevel="0" collapsed="false">
      <c r="A26" s="194"/>
      <c r="B26" s="258" t="s">
        <v>270</v>
      </c>
      <c r="C26" s="258" t="s">
        <v>271</v>
      </c>
      <c r="D26" s="258" t="s">
        <v>272</v>
      </c>
      <c r="E26" s="259" t="s">
        <v>273</v>
      </c>
    </row>
    <row r="27" customFormat="false" ht="16.5" hidden="false" customHeight="false" outlineLevel="0" collapsed="false">
      <c r="A27" s="275" t="s">
        <v>192</v>
      </c>
      <c r="B27" s="276" t="n">
        <f aca="false">'Valuation output'!B59</f>
        <v>0.174069134988538</v>
      </c>
      <c r="C27" s="277" t="n">
        <f aca="false">('Valuation output'!L7-'Valuation output'!B7+'Valuation output'!L17-'Valuation output'!B17+'Valuation output'!L26-'Valuation output'!B26-'Valuation output'!B26)/('Valuation output'!L58-'Valuation output'!B58)</f>
        <v>0.365739449306207</v>
      </c>
      <c r="D27" s="276" t="n">
        <f aca="false">'Valuation output'!L59</f>
        <v>0.346537669216238</v>
      </c>
      <c r="E27" s="278" t="n">
        <f aca="false">'Valuation output'!M59</f>
        <v>0.2</v>
      </c>
    </row>
    <row r="28" customFormat="false" ht="16.5" hidden="false" customHeight="false" outlineLevel="0" collapsed="false"/>
    <row r="29" customFormat="false" ht="15.75" hidden="false" customHeight="false" outlineLevel="0" collapsed="false">
      <c r="A29" s="253" t="s">
        <v>274</v>
      </c>
      <c r="B29" s="255"/>
      <c r="C29" s="255"/>
      <c r="D29" s="255"/>
      <c r="E29" s="262"/>
    </row>
    <row r="30" customFormat="false" ht="15.75" hidden="false" customHeight="false" outlineLevel="0" collapsed="false">
      <c r="A30" s="194"/>
      <c r="B30" s="258" t="s">
        <v>242</v>
      </c>
      <c r="C30" s="258" t="s">
        <v>275</v>
      </c>
      <c r="D30" s="258" t="s">
        <v>276</v>
      </c>
      <c r="E30" s="259" t="s">
        <v>277</v>
      </c>
      <c r="G30" s="203" t="s">
        <v>278</v>
      </c>
    </row>
    <row r="31" customFormat="false" ht="15.75" hidden="false" customHeight="false" outlineLevel="0" collapsed="false">
      <c r="A31" s="279" t="s">
        <v>148</v>
      </c>
      <c r="B31" s="274" t="n">
        <f aca="false">'Input sheet'!J31</f>
        <v>0.124878816118524</v>
      </c>
      <c r="C31" s="274" t="n">
        <f aca="false">(1/'Valuation output'!L31)^(1/10)-1</f>
        <v>0.111938889732247</v>
      </c>
      <c r="D31" s="274" t="n">
        <f aca="false">'Valuation output'!C30</f>
        <v>0.122078816118524</v>
      </c>
      <c r="E31" s="280" t="n">
        <f aca="false">'Valuation output'!M30</f>
        <v>0.0885</v>
      </c>
      <c r="G31" s="203" t="s">
        <v>279</v>
      </c>
    </row>
    <row r="32" customFormat="false" ht="15.75" hidden="false" customHeight="false" outlineLevel="0" collapsed="false">
      <c r="A32" s="194"/>
      <c r="E32" s="211"/>
      <c r="G32" s="203" t="s">
        <v>280</v>
      </c>
    </row>
    <row r="33" customFormat="false" ht="16.5" hidden="false" customHeight="false" outlineLevel="0" collapsed="false">
      <c r="A33" s="275" t="s">
        <v>281</v>
      </c>
      <c r="B33" s="276" t="n">
        <f aca="false">'Valuation output'!B41</f>
        <v>0</v>
      </c>
      <c r="C33" s="281"/>
      <c r="D33" s="281"/>
      <c r="E33" s="282"/>
    </row>
    <row r="34" customFormat="false" ht="16.5" hidden="false" customHeight="false" outlineLevel="0" collapsed="false"/>
    <row r="35" customFormat="false" ht="15.75" hidden="false" customHeight="false" outlineLevel="0" collapsed="false">
      <c r="A35" s="253" t="s">
        <v>282</v>
      </c>
      <c r="B35" s="255"/>
      <c r="C35" s="255"/>
      <c r="D35" s="255"/>
      <c r="E35" s="262"/>
    </row>
    <row r="36" s="75" customFormat="true" ht="13.5" hidden="false" customHeight="false" outlineLevel="0" collapsed="false">
      <c r="A36" s="283" t="s">
        <v>283</v>
      </c>
      <c r="B36" s="284" t="n">
        <f aca="false">'Valuation output'!B52/'Valuation output'!B53</f>
        <v>0.58080811283482</v>
      </c>
      <c r="C36" s="76"/>
      <c r="D36" s="76"/>
      <c r="E36" s="285"/>
    </row>
    <row r="37" s="75" customFormat="true" ht="16.5" hidden="false" customHeight="false" outlineLevel="0" collapsed="false">
      <c r="A37" s="286"/>
      <c r="B37" s="287" t="str">
        <f aca="false">IF(B36="NA","Value is negative. See below",IF(B36&gt;2,"Value seems high. See below",IF(B36&lt;0.5,"Value seems low. See below"," ")))</f>
        <v> </v>
      </c>
      <c r="C37" s="287"/>
      <c r="D37" s="76"/>
      <c r="E37" s="285"/>
      <c r="F37" s="288"/>
    </row>
    <row r="38" s="288" customFormat="true" ht="42" hidden="false" customHeight="false" outlineLevel="0" collapsed="false">
      <c r="A38" s="289" t="s">
        <v>284</v>
      </c>
      <c r="B38" s="290" t="s">
        <v>285</v>
      </c>
      <c r="C38" s="291" t="s">
        <v>286</v>
      </c>
      <c r="D38" s="292"/>
      <c r="E38" s="293"/>
    </row>
    <row r="39" s="288" customFormat="true" ht="34.5" hidden="false" customHeight="true" outlineLevel="0" collapsed="false">
      <c r="A39" s="294" t="s">
        <v>287</v>
      </c>
      <c r="B39" s="295" t="s">
        <v>288</v>
      </c>
      <c r="C39" s="296" t="s">
        <v>289</v>
      </c>
      <c r="D39" s="292"/>
      <c r="E39" s="293"/>
    </row>
    <row r="40" s="288" customFormat="true" ht="42" hidden="false" customHeight="false" outlineLevel="0" collapsed="false">
      <c r="A40" s="294" t="s">
        <v>290</v>
      </c>
      <c r="B40" s="297" t="s">
        <v>291</v>
      </c>
      <c r="C40" s="296" t="s">
        <v>292</v>
      </c>
      <c r="D40" s="292" t="s">
        <v>293</v>
      </c>
      <c r="E40" s="293"/>
    </row>
    <row r="41" s="288" customFormat="true" ht="33.75" hidden="false" customHeight="true" outlineLevel="0" collapsed="false">
      <c r="A41" s="298" t="s">
        <v>294</v>
      </c>
      <c r="B41" s="295" t="s">
        <v>295</v>
      </c>
      <c r="C41" s="296" t="s">
        <v>296</v>
      </c>
      <c r="D41" s="292" t="s">
        <v>293</v>
      </c>
      <c r="E41" s="293"/>
    </row>
    <row r="42" s="288" customFormat="true" ht="48" hidden="false" customHeight="true" outlineLevel="0" collapsed="false">
      <c r="A42" s="299" t="s">
        <v>297</v>
      </c>
      <c r="B42" s="300" t="s">
        <v>298</v>
      </c>
      <c r="C42" s="301" t="s">
        <v>299</v>
      </c>
      <c r="D42" s="302"/>
      <c r="E42" s="303"/>
      <c r="F42" s="2"/>
    </row>
  </sheetData>
  <mergeCells count="2">
    <mergeCell ref="D1:E1"/>
    <mergeCell ref="B37:C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33" activeCellId="0" sqref="D33"/>
    </sheetView>
  </sheetViews>
  <sheetFormatPr defaultColWidth="10.65234375" defaultRowHeight="15.75" zeroHeight="false" outlineLevelRow="0" outlineLevelCol="0"/>
  <cols>
    <col collapsed="false" customWidth="true" hidden="false" outlineLevel="0" max="1" min="1" style="2" width="44.32"/>
    <col collapsed="false" customWidth="true" hidden="false" outlineLevel="0" max="2" min="2" style="2" width="28.16"/>
    <col collapsed="false" customWidth="true" hidden="false" outlineLevel="0" max="3" min="3" style="2" width="30.66"/>
    <col collapsed="false" customWidth="true" hidden="false" outlineLevel="0" max="4" min="4" style="2" width="24.85"/>
    <col collapsed="false" customWidth="true" hidden="false" outlineLevel="0" max="7" min="5" style="119" width="44.32"/>
  </cols>
  <sheetData>
    <row r="1" customFormat="false" ht="18.75" hidden="false" customHeight="true" outlineLevel="0" collapsed="false">
      <c r="A1" s="304" t="s">
        <v>300</v>
      </c>
      <c r="B1" s="304"/>
      <c r="C1" s="304"/>
      <c r="D1" s="304"/>
    </row>
    <row r="2" customFormat="false" ht="37.5" hidden="false" customHeight="true" outlineLevel="0" collapsed="false">
      <c r="A2" s="304"/>
      <c r="B2" s="304"/>
      <c r="C2" s="304"/>
      <c r="D2" s="304"/>
    </row>
    <row r="3" s="306" customFormat="true" ht="18" hidden="false" customHeight="false" outlineLevel="0" collapsed="false">
      <c r="A3" s="305" t="s">
        <v>301</v>
      </c>
      <c r="B3" s="305"/>
      <c r="C3" s="305"/>
      <c r="D3" s="305"/>
      <c r="E3" s="305"/>
      <c r="F3" s="305"/>
      <c r="G3" s="305"/>
    </row>
    <row r="4" s="308" customFormat="true" ht="15.75" hidden="false" customHeight="false" outlineLevel="0" collapsed="false">
      <c r="A4" s="2" t="s">
        <v>302</v>
      </c>
      <c r="B4" s="307" t="n">
        <f aca="false">'Input sheet'!B21</f>
        <v>409</v>
      </c>
      <c r="C4" s="2"/>
      <c r="D4" s="2"/>
      <c r="E4" s="2"/>
    </row>
    <row r="5" s="308" customFormat="true" ht="15.75" hidden="false" customHeight="false" outlineLevel="0" collapsed="false">
      <c r="A5" s="2" t="s">
        <v>303</v>
      </c>
      <c r="B5" s="309" t="n">
        <f aca="false">'Input sheet'!B38</f>
        <v>1.29</v>
      </c>
      <c r="C5" s="2"/>
      <c r="D5" s="2"/>
      <c r="E5" s="2"/>
    </row>
    <row r="6" s="308" customFormat="true" ht="15.75" hidden="false" customHeight="false" outlineLevel="0" collapsed="false">
      <c r="A6" s="2" t="s">
        <v>304</v>
      </c>
      <c r="B6" s="310" t="n">
        <f aca="false">'Input sheet'!B39</f>
        <v>7</v>
      </c>
      <c r="C6" s="2"/>
      <c r="D6" s="2"/>
      <c r="E6" s="2"/>
    </row>
    <row r="7" s="308" customFormat="true" ht="15.75" hidden="false" customHeight="false" outlineLevel="0" collapsed="false">
      <c r="A7" s="2" t="s">
        <v>305</v>
      </c>
      <c r="B7" s="311" t="n">
        <f aca="false">'Input sheet'!B40</f>
        <v>0.45</v>
      </c>
      <c r="C7" s="2" t="s">
        <v>306</v>
      </c>
      <c r="D7" s="2"/>
      <c r="E7" s="2"/>
    </row>
    <row r="8" s="308" customFormat="true" ht="15.75" hidden="false" customHeight="false" outlineLevel="0" collapsed="false">
      <c r="A8" s="2" t="s">
        <v>307</v>
      </c>
      <c r="B8" s="312" t="n">
        <v>0</v>
      </c>
      <c r="C8" s="2"/>
      <c r="D8" s="2"/>
      <c r="E8" s="2"/>
    </row>
    <row r="9" s="308" customFormat="true" ht="15.75" hidden="false" customHeight="false" outlineLevel="0" collapsed="false">
      <c r="A9" s="2" t="s">
        <v>308</v>
      </c>
      <c r="B9" s="312" t="n">
        <f aca="false">'Input sheet'!B33</f>
        <v>0.036</v>
      </c>
      <c r="C9" s="2"/>
      <c r="D9" s="2"/>
      <c r="E9" s="2"/>
    </row>
    <row r="10" s="308" customFormat="true" ht="15.75" hidden="false" customHeight="false" outlineLevel="0" collapsed="false">
      <c r="A10" s="2" t="s">
        <v>309</v>
      </c>
      <c r="B10" s="310" t="n">
        <f aca="false">'Input sheet'!B37</f>
        <v>7.72</v>
      </c>
      <c r="C10" s="2"/>
      <c r="D10" s="2"/>
      <c r="E10" s="2"/>
    </row>
    <row r="11" s="308" customFormat="true" ht="15.75" hidden="false" customHeight="false" outlineLevel="0" collapsed="false">
      <c r="A11" s="2" t="s">
        <v>310</v>
      </c>
      <c r="B11" s="313" t="n">
        <f aca="false">'Input sheet'!B20</f>
        <v>2470</v>
      </c>
      <c r="C11" s="2"/>
      <c r="D11" s="2"/>
      <c r="E11" s="2"/>
    </row>
    <row r="12" s="308" customFormat="true" ht="15.75" hidden="false" customHeight="false" outlineLevel="0" collapsed="false">
      <c r="A12" s="2"/>
      <c r="B12" s="2"/>
      <c r="C12" s="2"/>
      <c r="D12" s="2"/>
      <c r="E12" s="2"/>
      <c r="F12" s="2"/>
      <c r="G12" s="2"/>
    </row>
    <row r="13" s="315" customFormat="true" ht="15.75" hidden="false" customHeight="false" outlineLevel="0" collapsed="false">
      <c r="A13" s="314" t="s">
        <v>311</v>
      </c>
      <c r="B13" s="190"/>
      <c r="C13" s="190"/>
      <c r="D13" s="190"/>
      <c r="E13" s="190"/>
      <c r="F13" s="190"/>
      <c r="G13" s="190"/>
    </row>
    <row r="14" s="75" customFormat="true" ht="15.75" hidden="false" customHeight="false" outlineLevel="0" collapsed="false">
      <c r="A14" s="305" t="s">
        <v>312</v>
      </c>
      <c r="B14" s="2"/>
      <c r="C14" s="2"/>
      <c r="D14" s="2"/>
      <c r="E14" s="2"/>
      <c r="F14" s="2"/>
      <c r="G14" s="2"/>
    </row>
    <row r="15" s="75" customFormat="true" ht="15.75" hidden="false" customHeight="false" outlineLevel="0" collapsed="false">
      <c r="A15" s="203" t="s">
        <v>313</v>
      </c>
      <c r="B15" s="316" t="n">
        <f aca="false">B4</f>
        <v>409</v>
      </c>
      <c r="C15" s="203" t="s">
        <v>314</v>
      </c>
      <c r="D15" s="209" t="n">
        <f aca="false">B10</f>
        <v>7.72</v>
      </c>
      <c r="E15" s="317"/>
    </row>
    <row r="16" s="75" customFormat="true" ht="15.75" hidden="false" customHeight="false" outlineLevel="0" collapsed="false">
      <c r="A16" s="203" t="s">
        <v>315</v>
      </c>
      <c r="B16" s="318" t="n">
        <f aca="false">B5</f>
        <v>1.29</v>
      </c>
      <c r="C16" s="203" t="s">
        <v>316</v>
      </c>
      <c r="D16" s="319" t="n">
        <f aca="false">B11</f>
        <v>2470</v>
      </c>
      <c r="E16" s="317"/>
    </row>
    <row r="17" s="75" customFormat="true" ht="15.75" hidden="false" customHeight="false" outlineLevel="0" collapsed="false">
      <c r="A17" s="203" t="s">
        <v>317</v>
      </c>
      <c r="B17" s="316" t="n">
        <f aca="false">(B15*D16+B28*D15)/(D16+D15)</f>
        <v>408.996866227361</v>
      </c>
      <c r="C17" s="203" t="s">
        <v>318</v>
      </c>
      <c r="D17" s="320" t="n">
        <f aca="false">B9</f>
        <v>0.036</v>
      </c>
      <c r="E17" s="2"/>
    </row>
    <row r="18" s="75" customFormat="true" ht="15.75" hidden="false" customHeight="false" outlineLevel="0" collapsed="false">
      <c r="A18" s="203" t="s">
        <v>319</v>
      </c>
      <c r="B18" s="318" t="n">
        <f aca="false">B16</f>
        <v>1.29</v>
      </c>
      <c r="C18" s="203" t="s">
        <v>320</v>
      </c>
      <c r="D18" s="321" t="n">
        <f aca="false">B7^2</f>
        <v>0.2025</v>
      </c>
      <c r="E18" s="2"/>
    </row>
    <row r="19" s="75" customFormat="true" ht="15.75" hidden="false" customHeight="false" outlineLevel="0" collapsed="false">
      <c r="A19" s="203" t="s">
        <v>321</v>
      </c>
      <c r="B19" s="318" t="n">
        <f aca="false">B6</f>
        <v>7</v>
      </c>
      <c r="C19" s="203" t="s">
        <v>322</v>
      </c>
      <c r="D19" s="320" t="n">
        <f aca="false">B8</f>
        <v>0</v>
      </c>
      <c r="E19" s="2"/>
    </row>
    <row r="20" s="75" customFormat="true" ht="15.75" hidden="false" customHeight="false" outlineLevel="0" collapsed="false">
      <c r="A20" s="2"/>
      <c r="B20" s="2"/>
      <c r="C20" s="203" t="s">
        <v>323</v>
      </c>
      <c r="D20" s="261" t="n">
        <f aca="false">D17-D19</f>
        <v>0.036</v>
      </c>
      <c r="E20" s="2"/>
    </row>
    <row r="21" s="75" customFormat="true" ht="15.75" hidden="false" customHeight="false" outlineLevel="0" collapsed="false">
      <c r="A21" s="2"/>
      <c r="B21" s="2"/>
      <c r="C21" s="2"/>
      <c r="D21" s="2"/>
      <c r="E21" s="2"/>
      <c r="F21" s="2"/>
      <c r="G21" s="2"/>
    </row>
    <row r="22" s="75" customFormat="true" ht="15.75" hidden="false" customHeight="false" outlineLevel="0" collapsed="false">
      <c r="A22" s="2" t="s">
        <v>324</v>
      </c>
      <c r="B22" s="322" t="n">
        <f aca="false">(LN(B17/B18)+(D20+(D18/2))*B19)/(((D18)^(0.5))*(B19^0.5))</f>
        <v>5.64411430969567</v>
      </c>
      <c r="C22" s="2"/>
      <c r="D22" s="2"/>
      <c r="E22" s="2"/>
      <c r="F22" s="2"/>
      <c r="G22" s="2"/>
    </row>
    <row r="23" s="75" customFormat="true" ht="15.75" hidden="false" customHeight="false" outlineLevel="0" collapsed="false">
      <c r="A23" s="2" t="s">
        <v>325</v>
      </c>
      <c r="B23" s="322" t="n">
        <f aca="false">NORMSDIST(B22)</f>
        <v>0.999999991698313</v>
      </c>
      <c r="C23" s="2"/>
      <c r="D23" s="2"/>
      <c r="E23" s="2"/>
      <c r="F23" s="2"/>
      <c r="G23" s="2"/>
    </row>
    <row r="24" s="75" customFormat="true" ht="15.75" hidden="false" customHeight="false" outlineLevel="0" collapsed="false">
      <c r="A24" s="2"/>
      <c r="B24" s="252"/>
      <c r="C24" s="2"/>
      <c r="D24" s="2"/>
      <c r="E24" s="2"/>
      <c r="F24" s="2"/>
      <c r="G24" s="2"/>
    </row>
    <row r="25" s="75" customFormat="true" ht="15.75" hidden="false" customHeight="true" outlineLevel="0" collapsed="false">
      <c r="A25" s="2" t="s">
        <v>326</v>
      </c>
      <c r="B25" s="322" t="n">
        <f aca="false">B22-((D18^0.5)*(B19^(0.5)))</f>
        <v>4.4535262197166</v>
      </c>
      <c r="C25" s="2"/>
      <c r="D25" s="2"/>
      <c r="E25" s="2"/>
      <c r="F25" s="2"/>
      <c r="G25" s="2"/>
    </row>
    <row r="26" s="75" customFormat="true" ht="15.75" hidden="false" customHeight="false" outlineLevel="0" collapsed="false">
      <c r="A26" s="2" t="s">
        <v>327</v>
      </c>
      <c r="B26" s="322" t="n">
        <f aca="false">NORMSDIST(B25)</f>
        <v>0.999995776430639</v>
      </c>
      <c r="C26" s="2"/>
      <c r="D26" s="2"/>
      <c r="E26" s="2"/>
      <c r="F26" s="2"/>
      <c r="G26" s="2"/>
    </row>
    <row r="27" s="308" customFormat="true" ht="16.5" hidden="false" customHeight="false" outlineLevel="0" collapsed="false">
      <c r="A27" s="2"/>
      <c r="B27" s="2"/>
      <c r="C27" s="2"/>
      <c r="D27" s="2"/>
      <c r="E27" s="2"/>
      <c r="F27" s="2"/>
      <c r="G27" s="2"/>
    </row>
    <row r="28" s="75" customFormat="true" ht="16.5" hidden="false" customHeight="false" outlineLevel="0" collapsed="false">
      <c r="A28" s="2" t="s">
        <v>328</v>
      </c>
      <c r="B28" s="323" t="n">
        <f aca="false">((EXP((0-D19)*B19))*B17*B23-B18*(EXP((0-D17)*B19))*B26)</f>
        <v>407.994221354632</v>
      </c>
      <c r="C28" s="2"/>
      <c r="D28" s="2"/>
      <c r="E28" s="2"/>
      <c r="F28" s="324"/>
    </row>
    <row r="29" s="75" customFormat="true" ht="16.5" hidden="false" customHeight="false" outlineLevel="0" collapsed="false">
      <c r="A29" s="2" t="s">
        <v>329</v>
      </c>
      <c r="B29" s="325" t="n">
        <f aca="false">B28*B10</f>
        <v>3149.71538885776</v>
      </c>
      <c r="C29" s="2"/>
      <c r="D29" s="2"/>
      <c r="E29" s="2"/>
    </row>
  </sheetData>
  <mergeCells count="1">
    <mergeCell ref="A1:D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34"/>
  <sheetViews>
    <sheetView showFormulas="false" showGridLines="true" showRowColHeaders="true" showZeros="true" rightToLeft="false" tabSelected="false" showOutlineSymbols="true" defaultGridColor="true" view="normal" topLeftCell="A1" colorId="64" zoomScale="125" zoomScaleNormal="125" zoomScalePageLayoutView="100" workbookViewId="0">
      <selection pane="topLeft" activeCell="H3" activeCellId="0" sqref="H3"/>
    </sheetView>
  </sheetViews>
  <sheetFormatPr defaultColWidth="10.65234375" defaultRowHeight="12.75" zeroHeight="false" outlineLevelRow="0" outlineLevelCol="0"/>
  <sheetData>
    <row r="1" s="327" customFormat="true" ht="18" hidden="false" customHeight="false" outlineLevel="0" collapsed="false">
      <c r="A1" s="326" t="s">
        <v>330</v>
      </c>
      <c r="B1" s="326"/>
      <c r="C1" s="326"/>
      <c r="D1" s="326"/>
      <c r="E1" s="326"/>
      <c r="F1" s="326"/>
      <c r="G1" s="326"/>
      <c r="H1" s="326"/>
      <c r="I1" s="326"/>
      <c r="J1" s="326"/>
      <c r="K1" s="326"/>
    </row>
    <row r="2" s="327" customFormat="true" ht="18.75" hidden="false" customHeight="false" outlineLevel="0" collapsed="false">
      <c r="A2" s="326" t="s">
        <v>331</v>
      </c>
      <c r="B2" s="326"/>
      <c r="C2" s="326"/>
      <c r="D2" s="326"/>
      <c r="E2" s="326"/>
      <c r="F2" s="326"/>
      <c r="G2" s="326"/>
      <c r="H2" s="326"/>
      <c r="I2" s="326"/>
      <c r="J2" s="326"/>
      <c r="K2" s="326"/>
    </row>
    <row r="3" s="328" customFormat="true" ht="12.75" hidden="false" customHeight="true" outlineLevel="0" collapsed="false">
      <c r="A3" s="328" t="s">
        <v>284</v>
      </c>
      <c r="H3" s="329" t="s">
        <v>332</v>
      </c>
      <c r="I3" s="329"/>
      <c r="J3" s="329"/>
      <c r="K3" s="329"/>
      <c r="L3" s="329"/>
    </row>
    <row r="4" s="288" customFormat="true" ht="12.75" hidden="false" customHeight="false" outlineLevel="0" collapsed="false">
      <c r="A4" s="288" t="s">
        <v>333</v>
      </c>
      <c r="E4" s="330" t="n">
        <v>295</v>
      </c>
      <c r="H4" s="329"/>
      <c r="I4" s="329"/>
      <c r="J4" s="329"/>
      <c r="K4" s="329"/>
      <c r="L4" s="329"/>
    </row>
    <row r="5" s="331" customFormat="true" ht="12.75" hidden="false" customHeight="false" outlineLevel="0" collapsed="false">
      <c r="A5" s="331" t="s">
        <v>334</v>
      </c>
      <c r="H5" s="329"/>
      <c r="I5" s="329"/>
      <c r="J5" s="329"/>
      <c r="K5" s="329"/>
      <c r="L5" s="329"/>
    </row>
    <row r="6" s="288" customFormat="true" ht="12.75" hidden="false" customHeight="false" outlineLevel="0" collapsed="false">
      <c r="A6" s="332" t="s">
        <v>335</v>
      </c>
      <c r="B6" s="332" t="s">
        <v>336</v>
      </c>
      <c r="C6" s="288" t="s">
        <v>337</v>
      </c>
      <c r="H6" s="329"/>
      <c r="I6" s="329"/>
      <c r="J6" s="329"/>
      <c r="K6" s="329"/>
      <c r="L6" s="329"/>
    </row>
    <row r="7" s="288" customFormat="true" ht="12.75" hidden="false" customHeight="false" outlineLevel="0" collapsed="false">
      <c r="A7" s="332" t="n">
        <v>1</v>
      </c>
      <c r="B7" s="333" t="n">
        <v>287</v>
      </c>
      <c r="H7" s="329"/>
      <c r="I7" s="329"/>
      <c r="J7" s="329"/>
      <c r="K7" s="329"/>
      <c r="L7" s="329"/>
    </row>
    <row r="8" s="288" customFormat="true" ht="12.75" hidden="false" customHeight="false" outlineLevel="0" collapsed="false">
      <c r="A8" s="332" t="n">
        <v>2</v>
      </c>
      <c r="B8" s="333" t="n">
        <v>235</v>
      </c>
      <c r="H8" s="329"/>
      <c r="I8" s="329"/>
      <c r="J8" s="329"/>
      <c r="K8" s="329"/>
      <c r="L8" s="329"/>
    </row>
    <row r="9" s="288" customFormat="true" ht="12.75" hidden="false" customHeight="false" outlineLevel="0" collapsed="false">
      <c r="A9" s="332" t="n">
        <v>3</v>
      </c>
      <c r="B9" s="333" t="n">
        <v>194</v>
      </c>
      <c r="H9" s="329"/>
      <c r="I9" s="329"/>
      <c r="J9" s="329"/>
      <c r="K9" s="329"/>
      <c r="L9" s="329"/>
    </row>
    <row r="10" s="288" customFormat="true" ht="12.75" hidden="false" customHeight="false" outlineLevel="0" collapsed="false">
      <c r="A10" s="332" t="n">
        <v>4</v>
      </c>
      <c r="B10" s="333" t="n">
        <v>151</v>
      </c>
      <c r="H10" s="329"/>
      <c r="I10" s="329"/>
      <c r="J10" s="329"/>
      <c r="K10" s="329"/>
      <c r="L10" s="329"/>
    </row>
    <row r="11" s="288" customFormat="true" ht="13.5" hidden="false" customHeight="false" outlineLevel="0" collapsed="false">
      <c r="A11" s="332" t="n">
        <v>5</v>
      </c>
      <c r="B11" s="333" t="n">
        <v>98</v>
      </c>
      <c r="H11" s="329"/>
      <c r="I11" s="329"/>
      <c r="J11" s="329"/>
      <c r="K11" s="329"/>
      <c r="L11" s="329"/>
    </row>
    <row r="12" s="288" customFormat="true" ht="13.5" hidden="false" customHeight="false" outlineLevel="0" collapsed="false">
      <c r="A12" s="332" t="s">
        <v>338</v>
      </c>
      <c r="B12" s="334" t="n">
        <v>605</v>
      </c>
    </row>
    <row r="13" s="288" customFormat="true" ht="12.75" hidden="false" customHeight="false" outlineLevel="0" collapsed="false"/>
    <row r="14" s="335" customFormat="true" ht="16.5" hidden="false" customHeight="false" outlineLevel="0" collapsed="false">
      <c r="A14" s="335" t="s">
        <v>339</v>
      </c>
    </row>
    <row r="15" s="288" customFormat="true" ht="13.5" hidden="false" customHeight="false" outlineLevel="0" collapsed="false">
      <c r="A15" s="288" t="s">
        <v>340</v>
      </c>
      <c r="C15" s="336" t="n">
        <f aca="false">'Cost of capital worksheet'!B37</f>
        <v>0.0502</v>
      </c>
      <c r="D15" s="288" t="s">
        <v>341</v>
      </c>
    </row>
    <row r="16" s="288" customFormat="true" ht="12.75" hidden="false" customHeight="false" outlineLevel="0" collapsed="false"/>
    <row r="17" s="288" customFormat="true" ht="12.75" hidden="false" customHeight="false" outlineLevel="0" collapsed="false">
      <c r="D17" s="337"/>
    </row>
    <row r="18" s="288" customFormat="true" ht="12.75" hidden="false" customHeight="false" outlineLevel="0" collapsed="false">
      <c r="A18" s="288" t="s">
        <v>342</v>
      </c>
      <c r="D18" s="338" t="n">
        <f aca="false">IF(B12&gt;0,ROUND(B12/AVERAGE(B7:B11),0),0)</f>
        <v>3</v>
      </c>
      <c r="E18" s="288" t="s">
        <v>343</v>
      </c>
    </row>
    <row r="19" s="328" customFormat="true" ht="12.75" hidden="false" customHeight="false" outlineLevel="0" collapsed="false">
      <c r="E19" s="288" t="s">
        <v>344</v>
      </c>
    </row>
    <row r="20" s="331" customFormat="true" ht="12.75" hidden="false" customHeight="false" outlineLevel="0" collapsed="false">
      <c r="A20" s="331" t="s">
        <v>345</v>
      </c>
    </row>
    <row r="21" s="288" customFormat="true" ht="12.75" hidden="false" customHeight="false" outlineLevel="0" collapsed="false">
      <c r="A21" s="332" t="s">
        <v>335</v>
      </c>
      <c r="B21" s="332" t="s">
        <v>336</v>
      </c>
      <c r="C21" s="332" t="s">
        <v>346</v>
      </c>
    </row>
    <row r="22" s="288" customFormat="true" ht="12.75" hidden="false" customHeight="false" outlineLevel="0" collapsed="false">
      <c r="A22" s="339" t="n">
        <f aca="false">A7</f>
        <v>1</v>
      </c>
      <c r="B22" s="340" t="n">
        <f aca="false">B7</f>
        <v>287</v>
      </c>
      <c r="C22" s="341" t="n">
        <f aca="false">B22/(1+$C$15)^A22</f>
        <v>273.281279756237</v>
      </c>
    </row>
    <row r="23" s="288" customFormat="true" ht="12.75" hidden="false" customHeight="false" outlineLevel="0" collapsed="false">
      <c r="A23" s="339" t="n">
        <f aca="false">A8</f>
        <v>2</v>
      </c>
      <c r="B23" s="340" t="n">
        <f aca="false">B8</f>
        <v>235</v>
      </c>
      <c r="C23" s="341" t="n">
        <f aca="false">B23/(1+$C$15)^A23</f>
        <v>213.070749897699</v>
      </c>
    </row>
    <row r="24" s="288" customFormat="true" ht="12.75" hidden="false" customHeight="false" outlineLevel="0" collapsed="false">
      <c r="A24" s="339" t="n">
        <f aca="false">A9</f>
        <v>3</v>
      </c>
      <c r="B24" s="340" t="n">
        <f aca="false">B9</f>
        <v>194</v>
      </c>
      <c r="C24" s="341" t="n">
        <f aca="false">B24/(1+$C$15)^A24</f>
        <v>167.488768016441</v>
      </c>
    </row>
    <row r="25" s="288" customFormat="true" ht="12.75" hidden="false" customHeight="false" outlineLevel="0" collapsed="false">
      <c r="A25" s="339" t="n">
        <f aca="false">A10</f>
        <v>4</v>
      </c>
      <c r="B25" s="340" t="n">
        <f aca="false">B10</f>
        <v>151</v>
      </c>
      <c r="C25" s="341" t="n">
        <f aca="false">B25/(1+$C$15)^A25</f>
        <v>124.13346878691</v>
      </c>
    </row>
    <row r="26" s="288" customFormat="true" ht="12.75" hidden="false" customHeight="false" outlineLevel="0" collapsed="false">
      <c r="A26" s="339" t="n">
        <f aca="false">A11</f>
        <v>5</v>
      </c>
      <c r="B26" s="340" t="n">
        <f aca="false">B11</f>
        <v>98</v>
      </c>
      <c r="C26" s="341" t="n">
        <f aca="false">B26/(1+$C$15)^A26</f>
        <v>76.7124769745354</v>
      </c>
    </row>
    <row r="27" s="288" customFormat="true" ht="13.5" hidden="false" customHeight="false" outlineLevel="0" collapsed="false">
      <c r="A27" s="342" t="str">
        <f aca="false">A12</f>
        <v>6 and beyond</v>
      </c>
      <c r="B27" s="343" t="n">
        <f aca="false">IF(B12&gt;0,IF(D18&gt;0,B12/D18,B12),0)</f>
        <v>201.666666666667</v>
      </c>
      <c r="C27" s="344" t="n">
        <f aca="false">IF(D18&gt;0,(B27*(1-(1+C15)^(-D18))/C15)/(1+$C$15)^5,B27/(1+C15)^6)</f>
        <v>429.732809846501</v>
      </c>
      <c r="D27" s="288" t="s">
        <v>347</v>
      </c>
    </row>
    <row r="28" s="288" customFormat="true" ht="13.5" hidden="false" customHeight="false" outlineLevel="0" collapsed="false">
      <c r="A28" s="345" t="s">
        <v>348</v>
      </c>
      <c r="B28" s="346"/>
      <c r="C28" s="347" t="n">
        <f aca="false">SUM(C22:C27)</f>
        <v>1284.41955327832</v>
      </c>
    </row>
    <row r="29" s="288" customFormat="true" ht="12.75" hidden="false" customHeight="false" outlineLevel="0" collapsed="false"/>
    <row r="30" s="288" customFormat="true" ht="12.75" hidden="false" customHeight="false" outlineLevel="0" collapsed="false">
      <c r="A30" s="331" t="s">
        <v>349</v>
      </c>
    </row>
    <row r="31" s="288" customFormat="true" ht="13.5" hidden="false" customHeight="false" outlineLevel="0" collapsed="false">
      <c r="A31" s="288" t="s">
        <v>350</v>
      </c>
      <c r="F31" s="344" t="n">
        <f aca="false">C28/(5+D18)</f>
        <v>160.55244415979</v>
      </c>
      <c r="G31" s="288" t="s">
        <v>351</v>
      </c>
    </row>
    <row r="32" s="288" customFormat="true" ht="13.5" hidden="false" customHeight="false" outlineLevel="0" collapsed="false">
      <c r="A32" s="288" t="s">
        <v>352</v>
      </c>
      <c r="F32" s="348" t="n">
        <f aca="false">E4-F31</f>
        <v>134.44755584021</v>
      </c>
      <c r="G32" s="288" t="s">
        <v>353</v>
      </c>
    </row>
    <row r="33" s="288" customFormat="true" ht="13.5" hidden="false" customHeight="false" outlineLevel="0" collapsed="false">
      <c r="A33" s="288" t="s">
        <v>354</v>
      </c>
      <c r="F33" s="349" t="n">
        <f aca="false">C28</f>
        <v>1284.41955327832</v>
      </c>
      <c r="G33" s="288" t="s">
        <v>355</v>
      </c>
    </row>
    <row r="34" customFormat="false" ht="13.5" hidden="false" customHeight="false" outlineLevel="0" collapsed="false">
      <c r="A34" s="288" t="s">
        <v>356</v>
      </c>
      <c r="F34" s="350" t="n">
        <f aca="false">C28/(5+D18)</f>
        <v>160.55244415979</v>
      </c>
    </row>
  </sheetData>
  <mergeCells count="3">
    <mergeCell ref="A1:K1"/>
    <mergeCell ref="A2:K2"/>
    <mergeCell ref="H3:L1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Y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47" activeCellId="0" sqref="L47"/>
    </sheetView>
  </sheetViews>
  <sheetFormatPr defaultColWidth="10.65234375" defaultRowHeight="15.75" zeroHeight="false" outlineLevelRow="0" outlineLevelCol="0"/>
  <cols>
    <col collapsed="false" customWidth="true" hidden="false" outlineLevel="0" max="4" min="1" style="2" width="11.16"/>
    <col collapsed="false" customWidth="true" hidden="false" outlineLevel="0" max="5" min="5" style="2" width="10.83"/>
    <col collapsed="false" customWidth="true" hidden="false" outlineLevel="0" max="6" min="6" style="2" width="12.83"/>
    <col collapsed="false" customWidth="true" hidden="false" outlineLevel="0" max="7" min="7" style="2" width="10.83"/>
    <col collapsed="false" customWidth="true" hidden="false" outlineLevel="0" max="8" min="8" style="2" width="11.16"/>
    <col collapsed="false" customWidth="true" hidden="false" outlineLevel="0" max="10" min="9" style="2" width="10.83"/>
    <col collapsed="false" customWidth="true" hidden="false" outlineLevel="0" max="20" min="11" style="2" width="11.16"/>
  </cols>
  <sheetData>
    <row r="1" customFormat="false" ht="15.75" hidden="false" customHeight="true" outlineLevel="0" collapsed="false">
      <c r="A1" s="351" t="s">
        <v>357</v>
      </c>
      <c r="B1" s="351"/>
      <c r="C1" s="351"/>
      <c r="D1" s="351"/>
      <c r="E1" s="351"/>
      <c r="F1" s="351"/>
      <c r="G1" s="351"/>
      <c r="H1" s="351"/>
      <c r="I1" s="351"/>
      <c r="J1" s="351"/>
      <c r="K1" s="351"/>
      <c r="L1" s="351"/>
    </row>
    <row r="2" customFormat="false" ht="21" hidden="false" customHeight="true" outlineLevel="0" collapsed="false">
      <c r="A2" s="351"/>
      <c r="B2" s="351"/>
      <c r="C2" s="351"/>
      <c r="D2" s="351"/>
      <c r="E2" s="351"/>
      <c r="F2" s="351"/>
      <c r="G2" s="351"/>
      <c r="H2" s="351"/>
      <c r="I2" s="351"/>
      <c r="J2" s="351"/>
      <c r="K2" s="351"/>
      <c r="L2" s="351"/>
    </row>
    <row r="4" customFormat="false" ht="15.75" hidden="false" customHeight="false" outlineLevel="0" collapsed="false">
      <c r="A4" s="305" t="s">
        <v>358</v>
      </c>
    </row>
    <row r="5" customFormat="false" ht="15.75" hidden="false" customHeight="false" outlineLevel="0" collapsed="false">
      <c r="A5" s="305" t="s">
        <v>359</v>
      </c>
    </row>
    <row r="6" s="352" customFormat="true" ht="16.5" hidden="false" customHeight="false" outlineLevel="0" collapsed="false">
      <c r="A6" s="314" t="s">
        <v>360</v>
      </c>
      <c r="B6" s="190"/>
      <c r="C6" s="190"/>
      <c r="D6" s="190"/>
      <c r="E6" s="190"/>
      <c r="F6" s="190"/>
      <c r="G6" s="190"/>
      <c r="H6" s="190"/>
      <c r="I6" s="190"/>
      <c r="J6" s="190"/>
      <c r="K6" s="190"/>
      <c r="L6" s="190"/>
      <c r="M6" s="190"/>
      <c r="N6" s="190"/>
      <c r="O6" s="190"/>
      <c r="P6" s="190"/>
      <c r="Q6" s="190"/>
      <c r="R6" s="190"/>
      <c r="S6" s="190"/>
      <c r="T6" s="190"/>
    </row>
    <row r="7" s="354" customFormat="true" ht="16.5" hidden="false" customHeight="false" outlineLevel="0" collapsed="false">
      <c r="A7" s="2" t="s">
        <v>361</v>
      </c>
      <c r="B7" s="2"/>
      <c r="C7" s="353" t="n">
        <f aca="false">'Cost of capital worksheet'!B36</f>
        <v>2</v>
      </c>
      <c r="D7" s="2"/>
      <c r="E7" s="2"/>
      <c r="F7" s="2"/>
      <c r="G7" s="2"/>
      <c r="H7" s="2"/>
      <c r="I7" s="2"/>
      <c r="J7" s="2"/>
      <c r="K7" s="2"/>
      <c r="L7" s="2"/>
      <c r="M7" s="2"/>
      <c r="N7" s="2"/>
      <c r="O7" s="2"/>
      <c r="P7" s="2"/>
      <c r="Q7" s="2"/>
      <c r="R7" s="2"/>
      <c r="S7" s="2"/>
      <c r="T7" s="2"/>
    </row>
    <row r="8" s="354" customFormat="true" ht="16.5" hidden="false" customHeight="false" outlineLevel="0" collapsed="false">
      <c r="A8" s="2" t="s">
        <v>362</v>
      </c>
      <c r="B8" s="2"/>
      <c r="C8" s="2"/>
      <c r="D8" s="2"/>
      <c r="E8" s="2"/>
      <c r="F8" s="307" t="n">
        <f aca="false">IF('Input sheet'!B16="Yes",'Input sheet'!B11+'Operating lease converter'!F32,'Input sheet'!B11)</f>
        <v>4496</v>
      </c>
      <c r="G8" s="2" t="s">
        <v>363</v>
      </c>
      <c r="H8" s="2"/>
      <c r="I8" s="2"/>
      <c r="J8" s="2"/>
      <c r="K8" s="2"/>
      <c r="L8" s="2"/>
      <c r="M8" s="2"/>
      <c r="N8" s="2"/>
      <c r="O8" s="2"/>
      <c r="P8" s="2"/>
      <c r="Q8" s="2"/>
      <c r="R8" s="2"/>
      <c r="S8" s="2"/>
      <c r="T8" s="2"/>
    </row>
    <row r="9" s="354" customFormat="true" ht="16.5" hidden="false" customHeight="false" outlineLevel="0" collapsed="false">
      <c r="A9" s="2" t="s">
        <v>364</v>
      </c>
      <c r="B9" s="2"/>
      <c r="C9" s="2"/>
      <c r="D9" s="2"/>
      <c r="E9" s="2"/>
      <c r="F9" s="355" t="n">
        <f aca="false">IF('Input sheet'!B16="Yes",'Cost of capital worksheet'!B31+'Operating lease converter'!C28*'Operating lease converter'!C15,'Cost of capital worksheet'!B31)</f>
        <v>260</v>
      </c>
      <c r="G9" s="2" t="s">
        <v>365</v>
      </c>
      <c r="H9" s="2"/>
      <c r="I9" s="2"/>
      <c r="J9" s="2"/>
      <c r="K9" s="2"/>
      <c r="L9" s="2"/>
      <c r="M9" s="2"/>
      <c r="N9" s="2"/>
      <c r="O9" s="2"/>
      <c r="P9" s="2"/>
      <c r="Q9" s="2"/>
      <c r="R9" s="2"/>
      <c r="S9" s="2"/>
      <c r="T9" s="2"/>
    </row>
    <row r="10" s="354" customFormat="true" ht="16.5" hidden="false" customHeight="false" outlineLevel="0" collapsed="false">
      <c r="A10" s="2" t="s">
        <v>366</v>
      </c>
      <c r="B10" s="2"/>
      <c r="C10" s="2"/>
      <c r="D10" s="2"/>
      <c r="E10" s="2"/>
      <c r="F10" s="356" t="n">
        <f aca="false">'Input sheet'!B33</f>
        <v>0.036</v>
      </c>
      <c r="G10" s="2"/>
      <c r="H10" s="2"/>
      <c r="I10" s="2"/>
      <c r="J10" s="2"/>
      <c r="K10" s="2"/>
      <c r="L10" s="2"/>
      <c r="M10" s="2"/>
      <c r="N10" s="2"/>
      <c r="O10" s="2"/>
      <c r="P10" s="2"/>
      <c r="Q10" s="2"/>
      <c r="R10" s="2"/>
      <c r="S10" s="2"/>
      <c r="T10" s="2"/>
    </row>
    <row r="11" s="354" customFormat="true" ht="16.5" hidden="false" customHeight="false" outlineLevel="0" collapsed="false">
      <c r="A11" s="305" t="s">
        <v>339</v>
      </c>
      <c r="B11" s="2"/>
      <c r="C11" s="2"/>
      <c r="D11" s="2"/>
      <c r="E11" s="2"/>
      <c r="F11" s="2"/>
      <c r="G11" s="2"/>
      <c r="H11" s="2"/>
      <c r="I11" s="2"/>
      <c r="J11" s="2"/>
      <c r="K11" s="2"/>
      <c r="L11" s="2"/>
      <c r="M11" s="2"/>
      <c r="N11" s="2"/>
      <c r="O11" s="2"/>
      <c r="P11" s="2"/>
      <c r="Q11" s="2"/>
      <c r="R11" s="2"/>
      <c r="S11" s="2"/>
      <c r="T11" s="2"/>
    </row>
    <row r="12" s="354" customFormat="true" ht="16.5" hidden="false" customHeight="false" outlineLevel="0" collapsed="false">
      <c r="A12" s="2" t="s">
        <v>367</v>
      </c>
      <c r="B12" s="2"/>
      <c r="C12" s="2"/>
      <c r="D12" s="357" t="n">
        <f aca="false">IF(F9=0,1000000,IF(F8&lt;0,-100000,F8/F9))</f>
        <v>17.2923076923077</v>
      </c>
      <c r="E12" s="2"/>
      <c r="F12" s="2"/>
      <c r="G12" s="2"/>
      <c r="H12" s="2"/>
      <c r="I12" s="2"/>
      <c r="J12" s="2"/>
      <c r="K12" s="2"/>
      <c r="L12" s="2"/>
      <c r="M12" s="2"/>
      <c r="N12" s="2"/>
      <c r="O12" s="2"/>
      <c r="P12" s="2"/>
      <c r="Q12" s="2"/>
      <c r="R12" s="2"/>
      <c r="S12" s="2"/>
      <c r="T12" s="2"/>
    </row>
    <row r="13" s="354" customFormat="true" ht="16.5" hidden="false" customHeight="false" outlineLevel="0" collapsed="false">
      <c r="A13" s="2" t="s">
        <v>368</v>
      </c>
      <c r="B13" s="2"/>
      <c r="C13" s="2"/>
      <c r="D13" s="358" t="str">
        <f aca="false">IF(C7=1,VLOOKUP(D12,A22:D36,3),(IF(C7=2,VLOOKUP(D12,A41:D55,3),VLOOKUP(D12,F22:I36,3))))</f>
        <v>Aaa/AAA</v>
      </c>
      <c r="E13" s="2"/>
      <c r="F13" s="190" t="s">
        <v>369</v>
      </c>
      <c r="G13" s="2"/>
      <c r="H13" s="2"/>
      <c r="I13" s="2"/>
      <c r="J13" s="2"/>
      <c r="K13" s="2"/>
      <c r="L13" s="2"/>
      <c r="M13" s="2"/>
      <c r="N13" s="2"/>
      <c r="O13" s="2"/>
      <c r="P13" s="2"/>
      <c r="Q13" s="2"/>
      <c r="R13" s="2"/>
      <c r="S13" s="2"/>
      <c r="T13" s="2"/>
    </row>
    <row r="14" s="354" customFormat="true" ht="16.5" hidden="false" customHeight="false" outlineLevel="0" collapsed="false">
      <c r="A14" s="2" t="s">
        <v>370</v>
      </c>
      <c r="B14" s="2"/>
      <c r="C14" s="2"/>
      <c r="D14" s="359" t="n">
        <f aca="false">IF(C7=1,VLOOKUP(D12,A22:D36,4),(IF(C7=2,VLOOKUP(D12,A41:D55,4),VLOOKUP(D12,F22:I36,4))))</f>
        <v>0.0069</v>
      </c>
      <c r="E14" s="2"/>
      <c r="F14" s="190" t="s">
        <v>371</v>
      </c>
      <c r="G14" s="2"/>
      <c r="H14" s="2"/>
      <c r="I14" s="2"/>
      <c r="J14" s="2"/>
      <c r="K14" s="2"/>
      <c r="L14" s="2"/>
      <c r="M14" s="2"/>
      <c r="N14" s="2"/>
      <c r="O14" s="2"/>
      <c r="P14" s="2"/>
      <c r="Q14" s="2"/>
      <c r="R14" s="2"/>
      <c r="S14" s="2"/>
      <c r="T14" s="2"/>
    </row>
    <row r="15" s="354" customFormat="true" ht="16.5" hidden="false" customHeight="false" outlineLevel="0" collapsed="false">
      <c r="A15" s="2" t="s">
        <v>372</v>
      </c>
      <c r="B15" s="2"/>
      <c r="C15" s="2"/>
      <c r="D15" s="359" t="n">
        <f aca="false">VLOOKUP('Input sheet'!B7,'Country equity risk premiums'!A5:C181,3)</f>
        <v>0</v>
      </c>
      <c r="E15" s="2"/>
      <c r="F15" s="190"/>
      <c r="G15" s="2"/>
      <c r="H15" s="2"/>
      <c r="I15" s="2"/>
      <c r="J15" s="2"/>
      <c r="K15" s="2"/>
      <c r="L15" s="2"/>
      <c r="M15" s="2"/>
      <c r="N15" s="2"/>
      <c r="O15" s="2"/>
      <c r="P15" s="2"/>
      <c r="Q15" s="2"/>
      <c r="R15" s="2"/>
      <c r="S15" s="2"/>
      <c r="T15" s="2"/>
    </row>
    <row r="16" s="288" customFormat="true" ht="16.5" hidden="false" customHeight="false" outlineLevel="0" collapsed="false">
      <c r="A16" s="2" t="s">
        <v>373</v>
      </c>
      <c r="B16" s="2"/>
      <c r="C16" s="2"/>
      <c r="D16" s="360" t="n">
        <f aca="false">F10+D14+D15</f>
        <v>0.0429</v>
      </c>
      <c r="E16" s="2"/>
      <c r="F16" s="2"/>
      <c r="G16" s="2"/>
      <c r="H16" s="2"/>
      <c r="I16" s="2"/>
      <c r="J16" s="2"/>
      <c r="K16" s="2"/>
      <c r="L16" s="2"/>
      <c r="M16" s="2"/>
      <c r="N16" s="2"/>
      <c r="O16" s="2"/>
      <c r="P16" s="2"/>
      <c r="Q16" s="2"/>
      <c r="R16" s="2"/>
      <c r="S16" s="2"/>
      <c r="T16" s="2"/>
    </row>
    <row r="17" s="288" customFormat="true" ht="15.75" hidden="false" customHeight="false" outlineLevel="0" collapsed="false">
      <c r="A17" s="2"/>
      <c r="B17" s="2"/>
      <c r="C17" s="2"/>
      <c r="D17" s="361"/>
      <c r="E17" s="2"/>
      <c r="F17" s="2"/>
      <c r="G17" s="2"/>
      <c r="H17" s="2"/>
      <c r="I17" s="2"/>
      <c r="J17" s="2"/>
      <c r="K17" s="2"/>
      <c r="L17" s="2"/>
      <c r="M17" s="2"/>
      <c r="N17" s="2"/>
      <c r="O17" s="2"/>
      <c r="P17" s="2"/>
      <c r="Q17" s="2"/>
      <c r="R17" s="2"/>
      <c r="S17" s="2"/>
      <c r="T17" s="2"/>
    </row>
    <row r="18" s="331" customFormat="true" ht="16.5" hidden="false" customHeight="false" outlineLevel="0" collapsed="false">
      <c r="A18" s="190" t="s">
        <v>374</v>
      </c>
      <c r="B18" s="190"/>
      <c r="C18" s="190"/>
      <c r="D18" s="362"/>
      <c r="E18" s="190"/>
      <c r="F18" s="190"/>
      <c r="G18" s="190"/>
      <c r="H18" s="190"/>
      <c r="I18" s="190"/>
      <c r="J18" s="190"/>
      <c r="K18" s="190"/>
      <c r="L18" s="190"/>
      <c r="M18" s="190"/>
      <c r="N18" s="190"/>
      <c r="O18" s="190"/>
      <c r="P18" s="190"/>
      <c r="Q18" s="190"/>
      <c r="R18" s="190"/>
      <c r="S18" s="190"/>
      <c r="T18" s="190"/>
    </row>
    <row r="19" s="354" customFormat="true" ht="16.5" hidden="false" customHeight="false" outlineLevel="0" collapsed="false">
      <c r="A19" s="305" t="s">
        <v>375</v>
      </c>
      <c r="B19" s="2"/>
      <c r="C19" s="2"/>
      <c r="D19" s="2"/>
      <c r="E19" s="2"/>
      <c r="F19" s="2"/>
      <c r="G19" s="2"/>
      <c r="H19" s="2"/>
      <c r="I19" s="2"/>
      <c r="J19" s="363" t="s">
        <v>376</v>
      </c>
      <c r="K19" s="363"/>
      <c r="L19" s="363"/>
      <c r="M19" s="363"/>
      <c r="N19" s="363"/>
      <c r="O19" s="363"/>
      <c r="P19" s="363"/>
      <c r="Q19" s="363"/>
      <c r="R19" s="363"/>
      <c r="S19" s="363"/>
      <c r="T19" s="363"/>
    </row>
    <row r="20" s="354" customFormat="true" ht="15.75" hidden="false" customHeight="false" outlineLevel="0" collapsed="false">
      <c r="A20" s="269" t="s">
        <v>377</v>
      </c>
      <c r="B20" s="269"/>
      <c r="C20" s="364"/>
      <c r="D20" s="364"/>
      <c r="E20" s="2"/>
      <c r="F20" s="2"/>
      <c r="G20" s="2"/>
      <c r="H20" s="2"/>
      <c r="I20" s="2"/>
      <c r="J20" s="365" t="s">
        <v>378</v>
      </c>
      <c r="K20" s="366" t="n">
        <v>1</v>
      </c>
      <c r="L20" s="366" t="n">
        <v>2</v>
      </c>
      <c r="M20" s="366" t="n">
        <v>3</v>
      </c>
      <c r="N20" s="366" t="n">
        <v>4</v>
      </c>
      <c r="O20" s="366" t="n">
        <v>5</v>
      </c>
      <c r="P20" s="366" t="n">
        <v>6</v>
      </c>
      <c r="Q20" s="366" t="n">
        <v>7</v>
      </c>
      <c r="R20" s="366" t="n">
        <v>8</v>
      </c>
      <c r="S20" s="366" t="n">
        <v>9</v>
      </c>
      <c r="T20" s="366" t="n">
        <v>10</v>
      </c>
    </row>
    <row r="21" s="354" customFormat="true" ht="15.75" hidden="false" customHeight="false" outlineLevel="0" collapsed="false">
      <c r="A21" s="269" t="s">
        <v>379</v>
      </c>
      <c r="B21" s="269" t="s">
        <v>380</v>
      </c>
      <c r="C21" s="269" t="s">
        <v>381</v>
      </c>
      <c r="D21" s="269" t="s">
        <v>382</v>
      </c>
      <c r="E21" s="2"/>
      <c r="F21" s="2"/>
      <c r="G21" s="2"/>
      <c r="H21" s="2"/>
      <c r="I21" s="2"/>
      <c r="J21" s="367" t="s">
        <v>383</v>
      </c>
      <c r="K21" s="368" t="n">
        <v>0</v>
      </c>
      <c r="L21" s="368" t="n">
        <v>0.0003</v>
      </c>
      <c r="M21" s="368" t="n">
        <v>0.0013</v>
      </c>
      <c r="N21" s="368" t="n">
        <v>0.0024</v>
      </c>
      <c r="O21" s="368" t="n">
        <v>0.0035</v>
      </c>
      <c r="P21" s="368" t="n">
        <v>0.0045</v>
      </c>
      <c r="Q21" s="368" t="n">
        <v>0.0051</v>
      </c>
      <c r="R21" s="368" t="n">
        <v>0.0059</v>
      </c>
      <c r="S21" s="368" t="n">
        <v>0.0064</v>
      </c>
      <c r="T21" s="368" t="n">
        <v>0.007</v>
      </c>
    </row>
    <row r="22" s="354" customFormat="true" ht="15.75" hidden="false" customHeight="false" outlineLevel="0" collapsed="false">
      <c r="A22" s="209" t="n">
        <v>-100000</v>
      </c>
      <c r="B22" s="209" t="n">
        <v>0.199999</v>
      </c>
      <c r="C22" s="209" t="s">
        <v>384</v>
      </c>
      <c r="D22" s="369" t="n">
        <v>0.2</v>
      </c>
      <c r="E22" s="2"/>
      <c r="F22" s="2"/>
      <c r="G22" s="2"/>
      <c r="H22" s="2"/>
      <c r="I22" s="2"/>
      <c r="J22" s="367" t="s">
        <v>385</v>
      </c>
      <c r="K22" s="368" t="n">
        <v>0.0002</v>
      </c>
      <c r="L22" s="368" t="n">
        <v>0.0006</v>
      </c>
      <c r="M22" s="368" t="n">
        <v>0.0012</v>
      </c>
      <c r="N22" s="368" t="n">
        <v>0.0021</v>
      </c>
      <c r="O22" s="368" t="n">
        <v>0.0031</v>
      </c>
      <c r="P22" s="368" t="n">
        <v>0.0042</v>
      </c>
      <c r="Q22" s="368" t="n">
        <v>0.005</v>
      </c>
      <c r="R22" s="368" t="n">
        <v>0.0058</v>
      </c>
      <c r="S22" s="368" t="n">
        <v>0.0065</v>
      </c>
      <c r="T22" s="368" t="n">
        <v>0.0072</v>
      </c>
    </row>
    <row r="23" s="354" customFormat="true" ht="15.75" hidden="false" customHeight="false" outlineLevel="0" collapsed="false">
      <c r="A23" s="209" t="n">
        <v>0.2</v>
      </c>
      <c r="B23" s="209" t="n">
        <v>0.649999</v>
      </c>
      <c r="C23" s="209" t="s">
        <v>386</v>
      </c>
      <c r="D23" s="369" t="n">
        <v>0.175</v>
      </c>
      <c r="E23" s="2"/>
      <c r="F23" s="209"/>
      <c r="G23" s="2"/>
      <c r="H23" s="2"/>
      <c r="I23" s="2"/>
      <c r="J23" s="367" t="s">
        <v>387</v>
      </c>
      <c r="K23" s="368" t="n">
        <v>0.0005</v>
      </c>
      <c r="L23" s="368" t="n">
        <v>0.0014</v>
      </c>
      <c r="M23" s="368" t="n">
        <v>0.0023</v>
      </c>
      <c r="N23" s="368" t="n">
        <v>0.0035</v>
      </c>
      <c r="O23" s="368" t="n">
        <v>0.0047</v>
      </c>
      <c r="P23" s="368" t="n">
        <v>0.0062</v>
      </c>
      <c r="Q23" s="368" t="n">
        <v>0.0079</v>
      </c>
      <c r="R23" s="368" t="n">
        <v>0.0093</v>
      </c>
      <c r="S23" s="368" t="n">
        <v>0.0108</v>
      </c>
      <c r="T23" s="368" t="n">
        <v>0.0124</v>
      </c>
    </row>
    <row r="24" s="354" customFormat="true" ht="15.75" hidden="false" customHeight="false" outlineLevel="0" collapsed="false">
      <c r="A24" s="209" t="n">
        <v>0.65</v>
      </c>
      <c r="B24" s="209" t="n">
        <v>0.799999</v>
      </c>
      <c r="C24" s="209" t="s">
        <v>388</v>
      </c>
      <c r="D24" s="369" t="n">
        <v>0.1578</v>
      </c>
      <c r="E24" s="2"/>
      <c r="F24" s="2"/>
      <c r="G24" s="2"/>
      <c r="H24" s="2"/>
      <c r="I24" s="2"/>
      <c r="J24" s="367" t="s">
        <v>389</v>
      </c>
      <c r="K24" s="368" t="n">
        <v>0.0016</v>
      </c>
      <c r="L24" s="368" t="n">
        <v>0.0045</v>
      </c>
      <c r="M24" s="368" t="n">
        <v>0.0078</v>
      </c>
      <c r="N24" s="368" t="n">
        <v>0.0117</v>
      </c>
      <c r="O24" s="368" t="n">
        <v>0.0158</v>
      </c>
      <c r="P24" s="368" t="n">
        <v>0.0198</v>
      </c>
      <c r="Q24" s="368" t="n">
        <v>0.0233</v>
      </c>
      <c r="R24" s="368" t="n">
        <v>0.0267</v>
      </c>
      <c r="S24" s="368" t="n">
        <v>0.03</v>
      </c>
      <c r="T24" s="368" t="n">
        <v>0.0332</v>
      </c>
    </row>
    <row r="25" s="354" customFormat="true" ht="15.75" hidden="false" customHeight="false" outlineLevel="0" collapsed="false">
      <c r="A25" s="209" t="n">
        <v>0.8</v>
      </c>
      <c r="B25" s="209" t="n">
        <v>1.249999</v>
      </c>
      <c r="C25" s="209" t="s">
        <v>390</v>
      </c>
      <c r="D25" s="369" t="n">
        <v>0.1157</v>
      </c>
      <c r="E25" s="2"/>
      <c r="F25" s="2"/>
      <c r="G25" s="2"/>
      <c r="H25" s="2"/>
      <c r="I25" s="2"/>
      <c r="J25" s="367" t="s">
        <v>391</v>
      </c>
      <c r="K25" s="368" t="n">
        <v>0.0061</v>
      </c>
      <c r="L25" s="368" t="n">
        <v>0.0192</v>
      </c>
      <c r="M25" s="368" t="n">
        <v>0.0348</v>
      </c>
      <c r="N25" s="368" t="n">
        <v>0.0505</v>
      </c>
      <c r="O25" s="368" t="n">
        <v>0.0652</v>
      </c>
      <c r="P25" s="368" t="n">
        <v>0.0785</v>
      </c>
      <c r="Q25" s="368" t="n">
        <v>0.0901</v>
      </c>
      <c r="R25" s="368" t="n">
        <v>0.1004</v>
      </c>
      <c r="S25" s="368" t="n">
        <v>0.1097</v>
      </c>
      <c r="T25" s="368" t="n">
        <v>0.1178</v>
      </c>
    </row>
    <row r="26" s="354" customFormat="true" ht="15.75" hidden="false" customHeight="false" outlineLevel="0" collapsed="false">
      <c r="A26" s="209" t="n">
        <v>1.25</v>
      </c>
      <c r="B26" s="209" t="n">
        <v>1.499999</v>
      </c>
      <c r="C26" s="209" t="s">
        <v>392</v>
      </c>
      <c r="D26" s="369" t="n">
        <v>0.0737</v>
      </c>
      <c r="E26" s="2"/>
      <c r="F26" s="2"/>
      <c r="G26" s="2"/>
      <c r="H26" s="2"/>
      <c r="I26" s="2"/>
      <c r="J26" s="367" t="s">
        <v>393</v>
      </c>
      <c r="K26" s="368" t="n">
        <v>0.0333</v>
      </c>
      <c r="L26" s="368" t="n">
        <v>0.0771</v>
      </c>
      <c r="M26" s="368" t="n">
        <v>0.1155</v>
      </c>
      <c r="N26" s="368" t="n">
        <v>0.1458</v>
      </c>
      <c r="O26" s="368" t="n">
        <v>0.1693</v>
      </c>
      <c r="P26" s="368" t="n">
        <v>0.1883</v>
      </c>
      <c r="Q26" s="368" t="n">
        <v>0.2036</v>
      </c>
      <c r="R26" s="368" t="n">
        <v>0.216</v>
      </c>
      <c r="S26" s="368" t="n">
        <v>0.227</v>
      </c>
      <c r="T26" s="368" t="n">
        <v>0.2374</v>
      </c>
    </row>
    <row r="27" s="354" customFormat="true" ht="15.75" hidden="false" customHeight="false" outlineLevel="0" collapsed="false">
      <c r="A27" s="209" t="n">
        <v>1.5</v>
      </c>
      <c r="B27" s="209" t="n">
        <v>1.749999</v>
      </c>
      <c r="C27" s="209" t="s">
        <v>394</v>
      </c>
      <c r="D27" s="369" t="n">
        <v>0.0526</v>
      </c>
      <c r="E27" s="2"/>
      <c r="F27" s="2"/>
      <c r="G27" s="2"/>
      <c r="H27" s="2"/>
      <c r="I27" s="2"/>
      <c r="J27" s="367" t="s">
        <v>395</v>
      </c>
      <c r="K27" s="368" t="n">
        <v>0.2708</v>
      </c>
      <c r="L27" s="368" t="n">
        <v>0.3664</v>
      </c>
      <c r="M27" s="368" t="n">
        <v>0.4141</v>
      </c>
      <c r="N27" s="368" t="n">
        <v>0.441</v>
      </c>
      <c r="O27" s="368" t="n">
        <v>0.4619</v>
      </c>
      <c r="P27" s="368" t="n">
        <v>0.4709</v>
      </c>
      <c r="Q27" s="368" t="n">
        <v>0.4826</v>
      </c>
      <c r="R27" s="368" t="n">
        <v>0.4905</v>
      </c>
      <c r="S27" s="368" t="n">
        <v>0.4976</v>
      </c>
      <c r="T27" s="368" t="n">
        <v>0.5038</v>
      </c>
    </row>
    <row r="28" s="354" customFormat="true" ht="15.75" hidden="false" customHeight="false" outlineLevel="0" collapsed="false">
      <c r="A28" s="209" t="n">
        <v>1.75</v>
      </c>
      <c r="B28" s="209" t="n">
        <v>1.999999</v>
      </c>
      <c r="C28" s="209" t="s">
        <v>396</v>
      </c>
      <c r="D28" s="369" t="n">
        <v>0.0455</v>
      </c>
      <c r="E28" s="2"/>
      <c r="F28" s="2"/>
      <c r="G28" s="2"/>
      <c r="H28" s="2"/>
      <c r="I28" s="2"/>
      <c r="J28" s="2"/>
      <c r="K28" s="2"/>
      <c r="L28" s="2"/>
      <c r="M28" s="2"/>
      <c r="N28" s="2"/>
      <c r="O28" s="2"/>
      <c r="P28" s="2"/>
      <c r="Q28" s="2"/>
      <c r="R28" s="2"/>
      <c r="S28" s="2"/>
      <c r="T28" s="2"/>
    </row>
    <row r="29" s="354" customFormat="true" ht="15.75" hidden="false" customHeight="false" outlineLevel="0" collapsed="false">
      <c r="A29" s="209" t="n">
        <v>2</v>
      </c>
      <c r="B29" s="209" t="n">
        <v>2.2499999</v>
      </c>
      <c r="C29" s="209" t="s">
        <v>397</v>
      </c>
      <c r="D29" s="369" t="n">
        <v>0.0313</v>
      </c>
      <c r="E29" s="2"/>
      <c r="F29" s="2"/>
      <c r="G29" s="2"/>
      <c r="H29" s="2"/>
      <c r="I29" s="2"/>
      <c r="J29" s="2"/>
      <c r="K29" s="2"/>
      <c r="L29" s="2"/>
      <c r="M29" s="2"/>
      <c r="N29" s="2"/>
      <c r="O29" s="2"/>
      <c r="P29" s="2"/>
      <c r="Q29" s="2"/>
      <c r="R29" s="2"/>
      <c r="S29" s="2"/>
      <c r="T29" s="2"/>
    </row>
    <row r="30" s="354" customFormat="true" ht="15.75" hidden="false" customHeight="false" outlineLevel="0" collapsed="false">
      <c r="A30" s="209" t="n">
        <v>2.25</v>
      </c>
      <c r="B30" s="209" t="n">
        <v>2.49999</v>
      </c>
      <c r="C30" s="209" t="s">
        <v>398</v>
      </c>
      <c r="D30" s="369" t="n">
        <v>0.0242</v>
      </c>
      <c r="E30" s="2"/>
      <c r="F30" s="2"/>
      <c r="G30" s="2"/>
      <c r="H30" s="2"/>
      <c r="I30" s="2"/>
      <c r="J30" s="2"/>
      <c r="K30" s="2"/>
      <c r="L30" s="2"/>
      <c r="M30" s="2"/>
      <c r="N30" s="2"/>
      <c r="O30" s="2"/>
      <c r="P30" s="2"/>
      <c r="Q30" s="2"/>
      <c r="R30" s="2"/>
      <c r="S30" s="2"/>
      <c r="T30" s="2"/>
    </row>
    <row r="31" s="354" customFormat="true" ht="15.75" hidden="false" customHeight="false" outlineLevel="0" collapsed="false">
      <c r="A31" s="209" t="n">
        <v>2.5</v>
      </c>
      <c r="B31" s="209" t="n">
        <v>2.999999</v>
      </c>
      <c r="C31" s="209" t="s">
        <v>399</v>
      </c>
      <c r="D31" s="369" t="n">
        <v>0.02</v>
      </c>
      <c r="E31" s="2"/>
      <c r="F31" s="2"/>
      <c r="G31" s="2"/>
      <c r="H31" s="2"/>
      <c r="I31" s="2"/>
      <c r="J31" s="2"/>
      <c r="K31" s="2"/>
      <c r="L31" s="2"/>
      <c r="M31" s="2"/>
      <c r="N31" s="2"/>
      <c r="O31" s="2"/>
      <c r="P31" s="2"/>
      <c r="Q31" s="2"/>
      <c r="R31" s="2"/>
      <c r="S31" s="2"/>
      <c r="T31" s="2"/>
    </row>
    <row r="32" s="354" customFormat="true" ht="15.75" hidden="false" customHeight="false" outlineLevel="0" collapsed="false">
      <c r="A32" s="209" t="n">
        <v>3</v>
      </c>
      <c r="B32" s="209" t="n">
        <v>4.249999</v>
      </c>
      <c r="C32" s="209" t="s">
        <v>400</v>
      </c>
      <c r="D32" s="369" t="n">
        <v>0.0162</v>
      </c>
      <c r="E32" s="2"/>
      <c r="F32" s="2"/>
      <c r="G32" s="2"/>
      <c r="H32" s="2"/>
      <c r="I32" s="2"/>
      <c r="J32" s="2"/>
      <c r="K32" s="2"/>
      <c r="L32" s="2"/>
      <c r="M32" s="2"/>
      <c r="N32" s="2"/>
      <c r="O32" s="2"/>
      <c r="P32" s="2"/>
      <c r="Q32" s="2"/>
      <c r="R32" s="2"/>
      <c r="S32" s="2"/>
      <c r="T32" s="2"/>
    </row>
    <row r="33" s="354" customFormat="true" ht="15.75" hidden="false" customHeight="false" outlineLevel="0" collapsed="false">
      <c r="A33" s="209" t="n">
        <v>4.25</v>
      </c>
      <c r="B33" s="209" t="n">
        <v>5.499999</v>
      </c>
      <c r="C33" s="209" t="s">
        <v>401</v>
      </c>
      <c r="D33" s="369" t="n">
        <v>0.0142</v>
      </c>
      <c r="E33" s="2"/>
      <c r="F33" s="2"/>
      <c r="G33" s="2"/>
      <c r="H33" s="2"/>
      <c r="I33" s="2"/>
      <c r="J33" s="2"/>
      <c r="K33" s="2"/>
      <c r="L33" s="2"/>
      <c r="M33" s="2"/>
      <c r="N33" s="2"/>
      <c r="O33" s="2"/>
      <c r="P33" s="2"/>
      <c r="Q33" s="2"/>
      <c r="R33" s="2"/>
      <c r="S33" s="2"/>
      <c r="T33" s="2"/>
    </row>
    <row r="34" s="354" customFormat="true" ht="15.75" hidden="false" customHeight="false" outlineLevel="0" collapsed="false">
      <c r="A34" s="209" t="n">
        <v>5.5</v>
      </c>
      <c r="B34" s="209" t="n">
        <v>6.499999</v>
      </c>
      <c r="C34" s="209" t="s">
        <v>402</v>
      </c>
      <c r="D34" s="369" t="n">
        <v>0.0123</v>
      </c>
      <c r="E34" s="2"/>
      <c r="F34" s="2"/>
      <c r="G34" s="2"/>
      <c r="H34" s="2"/>
      <c r="I34" s="2"/>
      <c r="J34" s="2"/>
      <c r="K34" s="2"/>
      <c r="L34" s="2"/>
      <c r="M34" s="2"/>
      <c r="N34" s="2"/>
      <c r="O34" s="2"/>
      <c r="P34" s="2"/>
      <c r="Q34" s="2"/>
      <c r="R34" s="2"/>
      <c r="S34" s="2"/>
      <c r="T34" s="2"/>
    </row>
    <row r="35" s="354" customFormat="true" ht="15.75" hidden="false" customHeight="false" outlineLevel="0" collapsed="false">
      <c r="A35" s="209" t="n">
        <v>6.5</v>
      </c>
      <c r="B35" s="209" t="n">
        <v>8.499999</v>
      </c>
      <c r="C35" s="209" t="s">
        <v>403</v>
      </c>
      <c r="D35" s="369" t="n">
        <v>0.0085</v>
      </c>
      <c r="E35" s="2"/>
      <c r="F35" s="2"/>
      <c r="G35" s="2"/>
      <c r="H35" s="2"/>
      <c r="I35" s="2"/>
      <c r="J35" s="2"/>
      <c r="K35" s="2"/>
      <c r="L35" s="2"/>
      <c r="M35" s="2"/>
      <c r="N35" s="2"/>
      <c r="O35" s="2"/>
      <c r="P35" s="2"/>
      <c r="Q35" s="2"/>
      <c r="R35" s="2"/>
      <c r="S35" s="2"/>
      <c r="T35" s="2"/>
    </row>
    <row r="36" s="354" customFormat="true" ht="15.75" hidden="false" customHeight="false" outlineLevel="0" collapsed="false">
      <c r="A36" s="370" t="n">
        <v>8.5</v>
      </c>
      <c r="B36" s="209" t="n">
        <v>100000</v>
      </c>
      <c r="C36" s="209" t="s">
        <v>404</v>
      </c>
      <c r="D36" s="369" t="n">
        <v>0.0069</v>
      </c>
      <c r="E36" s="2"/>
      <c r="F36" s="2"/>
      <c r="G36" s="2"/>
      <c r="H36" s="2"/>
      <c r="I36" s="2"/>
      <c r="J36" s="2"/>
      <c r="K36" s="2"/>
      <c r="L36" s="2"/>
      <c r="M36" s="2"/>
      <c r="N36" s="2"/>
      <c r="O36" s="2"/>
      <c r="P36" s="2"/>
      <c r="Q36" s="2"/>
      <c r="R36" s="2"/>
      <c r="S36" s="2"/>
      <c r="T36" s="2"/>
    </row>
    <row r="37" s="354" customFormat="true" ht="15.75" hidden="false" customHeight="false" outlineLevel="0" collapsed="false">
      <c r="A37" s="2"/>
      <c r="B37" s="2"/>
      <c r="C37" s="2"/>
      <c r="D37" s="2"/>
      <c r="E37" s="2"/>
      <c r="F37" s="2"/>
      <c r="G37" s="2"/>
      <c r="H37" s="2"/>
      <c r="I37" s="2"/>
      <c r="J37" s="2"/>
      <c r="K37" s="2"/>
      <c r="L37" s="2"/>
      <c r="M37" s="2"/>
      <c r="N37" s="2"/>
      <c r="O37" s="2"/>
      <c r="P37" s="2"/>
      <c r="Q37" s="2"/>
      <c r="R37" s="2"/>
      <c r="S37" s="2"/>
      <c r="T37" s="2"/>
    </row>
    <row r="38" s="354" customFormat="true" ht="15.75" hidden="false" customHeight="false" outlineLevel="0" collapsed="false">
      <c r="A38" s="305" t="s">
        <v>405</v>
      </c>
      <c r="B38" s="2"/>
      <c r="C38" s="2"/>
      <c r="D38" s="2"/>
      <c r="E38" s="2"/>
      <c r="F38" s="2"/>
      <c r="G38" s="2"/>
      <c r="H38" s="2"/>
      <c r="I38" s="2"/>
      <c r="J38" s="2"/>
      <c r="K38" s="2"/>
      <c r="L38" s="2"/>
      <c r="M38" s="2"/>
      <c r="N38" s="2"/>
      <c r="O38" s="2"/>
      <c r="P38" s="2"/>
      <c r="Q38" s="2"/>
      <c r="R38" s="2"/>
      <c r="S38" s="2"/>
      <c r="T38" s="2"/>
    </row>
    <row r="39" s="354" customFormat="true" ht="15.75" hidden="false" customHeight="false" outlineLevel="0" collapsed="false">
      <c r="A39" s="269" t="s">
        <v>377</v>
      </c>
      <c r="B39" s="269"/>
      <c r="C39" s="209"/>
      <c r="D39" s="209"/>
      <c r="E39" s="2"/>
      <c r="F39" s="2"/>
      <c r="G39" s="2"/>
      <c r="H39" s="2"/>
      <c r="I39" s="2"/>
      <c r="J39" s="2"/>
      <c r="K39" s="2"/>
      <c r="L39" s="2"/>
      <c r="M39" s="2"/>
      <c r="N39" s="2"/>
      <c r="O39" s="2"/>
      <c r="P39" s="2"/>
      <c r="Q39" s="2"/>
      <c r="R39" s="2"/>
      <c r="S39" s="2"/>
      <c r="T39" s="2"/>
    </row>
    <row r="40" s="354" customFormat="true" ht="15.75" hidden="false" customHeight="false" outlineLevel="0" collapsed="false">
      <c r="A40" s="209" t="s">
        <v>406</v>
      </c>
      <c r="B40" s="209" t="s">
        <v>380</v>
      </c>
      <c r="C40" s="209" t="s">
        <v>381</v>
      </c>
      <c r="D40" s="209" t="s">
        <v>382</v>
      </c>
      <c r="E40" s="2"/>
      <c r="F40" s="2"/>
      <c r="G40" s="2"/>
      <c r="H40" s="2"/>
      <c r="I40" s="2"/>
      <c r="J40" s="2"/>
      <c r="K40" s="2"/>
      <c r="L40" s="2"/>
      <c r="M40" s="2"/>
      <c r="N40" s="2"/>
      <c r="O40" s="2"/>
      <c r="P40" s="2"/>
      <c r="Q40" s="2"/>
      <c r="R40" s="2"/>
      <c r="S40" s="2"/>
      <c r="T40" s="2"/>
    </row>
    <row r="41" s="354" customFormat="true" ht="15.75" hidden="false" customHeight="false" outlineLevel="0" collapsed="false">
      <c r="A41" s="209" t="n">
        <v>-100000</v>
      </c>
      <c r="B41" s="209" t="n">
        <v>0.499999</v>
      </c>
      <c r="C41" s="209" t="s">
        <v>384</v>
      </c>
      <c r="D41" s="369" t="n">
        <v>0.2</v>
      </c>
      <c r="E41" s="2"/>
      <c r="F41" s="2"/>
      <c r="G41" s="269" t="s">
        <v>381</v>
      </c>
      <c r="H41" s="269" t="s">
        <v>382</v>
      </c>
      <c r="I41" s="2"/>
      <c r="J41" s="2"/>
      <c r="K41" s="2"/>
      <c r="L41" s="2"/>
      <c r="M41" s="2"/>
      <c r="N41" s="2"/>
      <c r="O41" s="2"/>
      <c r="P41" s="2"/>
      <c r="Q41" s="2"/>
      <c r="R41" s="2"/>
      <c r="S41" s="2"/>
      <c r="T41" s="2"/>
    </row>
    <row r="42" s="354" customFormat="true" ht="15.75" hidden="false" customHeight="false" outlineLevel="0" collapsed="false">
      <c r="A42" s="209" t="n">
        <v>0.5</v>
      </c>
      <c r="B42" s="209" t="n">
        <v>0.799999</v>
      </c>
      <c r="C42" s="209" t="s">
        <v>386</v>
      </c>
      <c r="D42" s="369" t="n">
        <v>0.175</v>
      </c>
      <c r="E42" s="2"/>
      <c r="F42" s="2"/>
      <c r="G42" s="209" t="s">
        <v>402</v>
      </c>
      <c r="H42" s="369" t="n">
        <v>0.0123</v>
      </c>
      <c r="I42" s="2"/>
      <c r="J42" s="2"/>
      <c r="K42" s="2"/>
      <c r="L42" s="2"/>
      <c r="M42" s="2"/>
      <c r="N42" s="2"/>
      <c r="O42" s="2"/>
      <c r="P42" s="2"/>
      <c r="Q42" s="2"/>
      <c r="R42" s="2"/>
      <c r="S42" s="2"/>
      <c r="T42" s="2"/>
    </row>
    <row r="43" s="354" customFormat="true" ht="15.75" hidden="false" customHeight="false" outlineLevel="0" collapsed="false">
      <c r="A43" s="209" t="n">
        <v>0.8</v>
      </c>
      <c r="B43" s="209" t="n">
        <v>1.249999</v>
      </c>
      <c r="C43" s="209" t="s">
        <v>388</v>
      </c>
      <c r="D43" s="369" t="n">
        <v>0.1578</v>
      </c>
      <c r="E43" s="2"/>
      <c r="F43" s="2"/>
      <c r="G43" s="209" t="s">
        <v>401</v>
      </c>
      <c r="H43" s="369" t="n">
        <v>0.0142</v>
      </c>
      <c r="I43" s="2"/>
      <c r="J43" s="2"/>
      <c r="K43" s="2"/>
      <c r="L43" s="2"/>
      <c r="M43" s="2"/>
      <c r="N43" s="2"/>
      <c r="O43" s="2"/>
      <c r="P43" s="2"/>
      <c r="Q43" s="2"/>
      <c r="R43" s="2"/>
      <c r="S43" s="2"/>
      <c r="T43" s="2"/>
    </row>
    <row r="44" s="354" customFormat="true" ht="15.75" hidden="false" customHeight="false" outlineLevel="0" collapsed="false">
      <c r="A44" s="209" t="n">
        <v>1.25</v>
      </c>
      <c r="B44" s="209" t="n">
        <v>1.499999</v>
      </c>
      <c r="C44" s="209" t="s">
        <v>390</v>
      </c>
      <c r="D44" s="369" t="n">
        <v>0.1157</v>
      </c>
      <c r="E44" s="2"/>
      <c r="F44" s="2"/>
      <c r="G44" s="209" t="s">
        <v>400</v>
      </c>
      <c r="H44" s="369" t="n">
        <v>0.0162</v>
      </c>
      <c r="I44" s="2"/>
      <c r="J44" s="2"/>
      <c r="K44" s="2"/>
      <c r="L44" s="2"/>
      <c r="M44" s="2"/>
      <c r="N44" s="2"/>
      <c r="O44" s="2"/>
      <c r="P44" s="2"/>
      <c r="Q44" s="2"/>
      <c r="R44" s="2"/>
      <c r="S44" s="2"/>
      <c r="T44" s="2"/>
    </row>
    <row r="45" s="354" customFormat="true" ht="15.75" hidden="false" customHeight="false" outlineLevel="0" collapsed="false">
      <c r="A45" s="209" t="n">
        <v>1.5</v>
      </c>
      <c r="B45" s="209" t="n">
        <v>1.999999</v>
      </c>
      <c r="C45" s="209" t="s">
        <v>392</v>
      </c>
      <c r="D45" s="369" t="n">
        <v>0.0737</v>
      </c>
      <c r="E45" s="2"/>
      <c r="F45" s="2"/>
      <c r="G45" s="209" t="s">
        <v>403</v>
      </c>
      <c r="H45" s="369" t="n">
        <v>0.0085</v>
      </c>
      <c r="I45" s="2"/>
      <c r="J45" s="2"/>
      <c r="K45" s="2"/>
      <c r="L45" s="2"/>
      <c r="M45" s="2"/>
      <c r="N45" s="2"/>
      <c r="O45" s="2"/>
      <c r="P45" s="2"/>
      <c r="Q45" s="2"/>
      <c r="R45" s="2"/>
      <c r="S45" s="2"/>
      <c r="T45" s="2"/>
    </row>
    <row r="46" s="354" customFormat="true" ht="15.75" hidden="false" customHeight="false" outlineLevel="0" collapsed="false">
      <c r="A46" s="209" t="n">
        <v>2</v>
      </c>
      <c r="B46" s="209" t="n">
        <v>2.499999</v>
      </c>
      <c r="C46" s="209" t="s">
        <v>394</v>
      </c>
      <c r="D46" s="369" t="n">
        <v>0.0526</v>
      </c>
      <c r="E46" s="2"/>
      <c r="F46" s="2"/>
      <c r="G46" s="209" t="s">
        <v>404</v>
      </c>
      <c r="H46" s="369" t="n">
        <v>0.0069</v>
      </c>
      <c r="I46" s="2"/>
      <c r="J46" s="2"/>
      <c r="K46" s="2"/>
      <c r="L46" s="2"/>
      <c r="M46" s="2"/>
      <c r="N46" s="2"/>
      <c r="O46" s="2"/>
      <c r="P46" s="2"/>
      <c r="Q46" s="2"/>
      <c r="R46" s="2"/>
      <c r="S46" s="2"/>
      <c r="T46" s="2"/>
    </row>
    <row r="47" s="354" customFormat="true" ht="15.75" hidden="false" customHeight="false" outlineLevel="0" collapsed="false">
      <c r="A47" s="209" t="n">
        <v>2.5</v>
      </c>
      <c r="B47" s="209" t="n">
        <v>2.999999</v>
      </c>
      <c r="C47" s="209" t="s">
        <v>396</v>
      </c>
      <c r="D47" s="369" t="n">
        <v>0.0455</v>
      </c>
      <c r="E47" s="2"/>
      <c r="F47" s="2"/>
      <c r="G47" s="209" t="s">
        <v>396</v>
      </c>
      <c r="H47" s="369" t="n">
        <v>0.0455</v>
      </c>
      <c r="I47" s="2"/>
      <c r="J47" s="2"/>
      <c r="K47" s="2"/>
      <c r="L47" s="2"/>
      <c r="M47" s="2"/>
      <c r="N47" s="2"/>
      <c r="O47" s="2"/>
      <c r="P47" s="2"/>
      <c r="Q47" s="2"/>
      <c r="R47" s="2"/>
      <c r="S47" s="2"/>
      <c r="T47" s="2"/>
    </row>
    <row r="48" s="354" customFormat="true" ht="15.75" hidden="false" customHeight="false" outlineLevel="0" collapsed="false">
      <c r="A48" s="209" t="n">
        <v>3</v>
      </c>
      <c r="B48" s="209" t="n">
        <v>3.499999</v>
      </c>
      <c r="C48" s="209" t="s">
        <v>397</v>
      </c>
      <c r="D48" s="369" t="n">
        <v>0.0313</v>
      </c>
      <c r="E48" s="2"/>
      <c r="F48" s="2"/>
      <c r="G48" s="209" t="s">
        <v>394</v>
      </c>
      <c r="H48" s="369" t="n">
        <v>0.0526</v>
      </c>
      <c r="I48" s="2"/>
      <c r="J48" s="2"/>
      <c r="K48" s="2"/>
      <c r="L48" s="2"/>
      <c r="M48" s="2"/>
      <c r="N48" s="2"/>
      <c r="O48" s="2"/>
      <c r="P48" s="2"/>
      <c r="Q48" s="2"/>
      <c r="R48" s="2"/>
      <c r="S48" s="2"/>
      <c r="T48" s="2"/>
    </row>
    <row r="49" s="354" customFormat="true" ht="15.75" hidden="false" customHeight="false" outlineLevel="0" collapsed="false">
      <c r="A49" s="209" t="n">
        <v>3.5</v>
      </c>
      <c r="B49" s="209" t="n">
        <v>3.9999999</v>
      </c>
      <c r="C49" s="209" t="s">
        <v>398</v>
      </c>
      <c r="D49" s="369" t="n">
        <v>0.0242</v>
      </c>
      <c r="E49" s="2"/>
      <c r="F49" s="2"/>
      <c r="G49" s="209" t="s">
        <v>392</v>
      </c>
      <c r="H49" s="369" t="n">
        <v>0.0737</v>
      </c>
      <c r="I49" s="2"/>
      <c r="J49" s="2"/>
      <c r="K49" s="2"/>
      <c r="L49" s="2"/>
      <c r="M49" s="2"/>
      <c r="N49" s="2"/>
      <c r="O49" s="2"/>
      <c r="P49" s="2"/>
      <c r="Q49" s="2"/>
      <c r="R49" s="2"/>
      <c r="S49" s="2"/>
      <c r="T49" s="2"/>
    </row>
    <row r="50" s="354" customFormat="true" ht="15.75" hidden="false" customHeight="false" outlineLevel="0" collapsed="false">
      <c r="A50" s="209" t="n">
        <v>4</v>
      </c>
      <c r="B50" s="209" t="n">
        <v>4.499999</v>
      </c>
      <c r="C50" s="209" t="s">
        <v>399</v>
      </c>
      <c r="D50" s="369" t="n">
        <v>0.02</v>
      </c>
      <c r="E50" s="2"/>
      <c r="F50" s="2"/>
      <c r="G50" s="209" t="s">
        <v>398</v>
      </c>
      <c r="H50" s="369" t="n">
        <v>0.0242</v>
      </c>
      <c r="I50" s="2"/>
      <c r="J50" s="2"/>
      <c r="K50" s="2"/>
      <c r="L50" s="2"/>
      <c r="M50" s="2"/>
      <c r="N50" s="2"/>
      <c r="O50" s="2"/>
      <c r="P50" s="2"/>
      <c r="Q50" s="2"/>
      <c r="R50" s="2"/>
      <c r="S50" s="2"/>
      <c r="T50" s="2"/>
    </row>
    <row r="51" s="354" customFormat="true" ht="15.75" hidden="false" customHeight="false" outlineLevel="0" collapsed="false">
      <c r="A51" s="209" t="n">
        <v>4.5</v>
      </c>
      <c r="B51" s="209" t="n">
        <v>5.999999</v>
      </c>
      <c r="C51" s="209" t="s">
        <v>400</v>
      </c>
      <c r="D51" s="369" t="n">
        <v>0.0162</v>
      </c>
      <c r="E51" s="2"/>
      <c r="F51" s="2"/>
      <c r="G51" s="209" t="s">
        <v>397</v>
      </c>
      <c r="H51" s="369" t="n">
        <v>0.0313</v>
      </c>
      <c r="I51" s="2"/>
      <c r="J51" s="2"/>
      <c r="K51" s="2"/>
      <c r="L51" s="2"/>
      <c r="M51" s="2"/>
      <c r="N51" s="2"/>
      <c r="O51" s="2"/>
      <c r="P51" s="2"/>
      <c r="Q51" s="2"/>
      <c r="R51" s="2"/>
      <c r="S51" s="2"/>
      <c r="T51" s="2"/>
    </row>
    <row r="52" s="354" customFormat="true" ht="15.75" hidden="false" customHeight="false" outlineLevel="0" collapsed="false">
      <c r="A52" s="209" t="n">
        <v>6</v>
      </c>
      <c r="B52" s="209" t="n">
        <v>7.499999</v>
      </c>
      <c r="C52" s="209" t="s">
        <v>401</v>
      </c>
      <c r="D52" s="369" t="n">
        <v>0.0142</v>
      </c>
      <c r="E52" s="2"/>
      <c r="F52" s="2"/>
      <c r="G52" s="209" t="s">
        <v>399</v>
      </c>
      <c r="H52" s="369" t="n">
        <v>0.02</v>
      </c>
      <c r="I52" s="2"/>
      <c r="J52" s="2"/>
      <c r="K52" s="2"/>
      <c r="L52" s="2"/>
      <c r="M52" s="2"/>
      <c r="N52" s="2"/>
      <c r="O52" s="2"/>
      <c r="P52" s="2"/>
      <c r="Q52" s="2"/>
      <c r="R52" s="2"/>
      <c r="S52" s="2"/>
      <c r="T52" s="2"/>
    </row>
    <row r="53" s="354" customFormat="true" ht="15.75" hidden="false" customHeight="false" outlineLevel="0" collapsed="false">
      <c r="A53" s="209" t="n">
        <v>7.5</v>
      </c>
      <c r="B53" s="209" t="n">
        <v>9.499999</v>
      </c>
      <c r="C53" s="209" t="s">
        <v>402</v>
      </c>
      <c r="D53" s="369" t="n">
        <v>0.0123</v>
      </c>
      <c r="E53" s="2"/>
      <c r="F53" s="2"/>
      <c r="G53" s="209" t="s">
        <v>386</v>
      </c>
      <c r="H53" s="369" t="n">
        <v>0.175</v>
      </c>
      <c r="I53" s="2"/>
      <c r="J53" s="2"/>
      <c r="K53" s="2"/>
      <c r="L53" s="2"/>
      <c r="M53" s="2"/>
      <c r="N53" s="2"/>
      <c r="O53" s="2"/>
      <c r="P53" s="2"/>
      <c r="Q53" s="2"/>
      <c r="R53" s="2"/>
      <c r="S53" s="2"/>
      <c r="T53" s="2"/>
    </row>
    <row r="54" customFormat="false" ht="15.75" hidden="false" customHeight="false" outlineLevel="0" collapsed="false">
      <c r="A54" s="209" t="n">
        <v>9.5</v>
      </c>
      <c r="B54" s="209" t="n">
        <v>12.499999</v>
      </c>
      <c r="C54" s="209" t="s">
        <v>403</v>
      </c>
      <c r="D54" s="369" t="n">
        <v>0.0085</v>
      </c>
      <c r="G54" s="209" t="s">
        <v>388</v>
      </c>
      <c r="H54" s="369" t="n">
        <v>0.1578</v>
      </c>
      <c r="U54" s="354"/>
      <c r="V54" s="354"/>
      <c r="W54" s="354"/>
      <c r="X54" s="354"/>
      <c r="Y54" s="354"/>
    </row>
    <row r="55" customFormat="false" ht="15.75" hidden="false" customHeight="false" outlineLevel="0" collapsed="false">
      <c r="A55" s="209" t="n">
        <v>12.5</v>
      </c>
      <c r="B55" s="209" t="n">
        <v>100000</v>
      </c>
      <c r="C55" s="209" t="s">
        <v>404</v>
      </c>
      <c r="D55" s="369" t="n">
        <v>0.0069</v>
      </c>
      <c r="G55" s="209" t="s">
        <v>390</v>
      </c>
      <c r="H55" s="369" t="n">
        <v>0.1157</v>
      </c>
      <c r="U55" s="354"/>
      <c r="V55" s="354"/>
      <c r="W55" s="354"/>
      <c r="X55" s="354"/>
      <c r="Y55" s="354"/>
    </row>
    <row r="56" customFormat="false" ht="15.75" hidden="false" customHeight="false" outlineLevel="0" collapsed="false">
      <c r="G56" s="209" t="s">
        <v>384</v>
      </c>
      <c r="H56" s="369" t="n">
        <v>0.2</v>
      </c>
      <c r="U56" s="354"/>
      <c r="V56" s="354"/>
      <c r="W56" s="354"/>
      <c r="X56" s="354"/>
      <c r="Y56" s="354"/>
    </row>
    <row r="57" customFormat="false" ht="15.75" hidden="false" customHeight="false" outlineLevel="0" collapsed="false">
      <c r="U57" s="354"/>
      <c r="V57" s="354"/>
      <c r="W57" s="354"/>
      <c r="X57" s="354"/>
      <c r="Y57" s="354"/>
    </row>
    <row r="58" customFormat="false" ht="15.75" hidden="false" customHeight="false" outlineLevel="0" collapsed="false">
      <c r="U58" s="354"/>
      <c r="V58" s="354"/>
      <c r="W58" s="354"/>
      <c r="X58" s="354"/>
      <c r="Y58" s="354"/>
    </row>
    <row r="59" customFormat="false" ht="15.75" hidden="false" customHeight="false" outlineLevel="0" collapsed="false">
      <c r="U59" s="354"/>
      <c r="V59" s="354"/>
      <c r="W59" s="354"/>
      <c r="X59" s="354"/>
      <c r="Y59" s="354"/>
    </row>
    <row r="60" customFormat="false" ht="15.75" hidden="false" customHeight="false" outlineLevel="0" collapsed="false">
      <c r="U60" s="354"/>
      <c r="V60" s="354"/>
      <c r="W60" s="354"/>
      <c r="X60" s="354"/>
      <c r="Y60" s="354"/>
    </row>
  </sheetData>
  <mergeCells count="4">
    <mergeCell ref="A1:L2"/>
    <mergeCell ref="J19:T19"/>
    <mergeCell ref="A20:B20"/>
    <mergeCell ref="A39:B3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6" activeCellId="0" sqref="B16"/>
    </sheetView>
  </sheetViews>
  <sheetFormatPr defaultColWidth="10.65234375" defaultRowHeight="12.75" zeroHeight="false" outlineLevelRow="0" outlineLevelCol="0"/>
  <cols>
    <col collapsed="false" customWidth="true" hidden="false" outlineLevel="0" max="3" min="1" style="308" width="11"/>
    <col collapsed="false" customWidth="true" hidden="false" outlineLevel="0" max="6" min="4" style="308" width="11.16"/>
    <col collapsed="false" customWidth="true" hidden="false" outlineLevel="0" max="10" min="7" style="308" width="10.83"/>
  </cols>
  <sheetData>
    <row r="1" s="327" customFormat="true" ht="18" hidden="false" customHeight="false" outlineLevel="0" collapsed="false">
      <c r="A1" s="371" t="s">
        <v>407</v>
      </c>
      <c r="B1" s="371"/>
      <c r="C1" s="371"/>
      <c r="D1" s="371"/>
      <c r="E1" s="371"/>
      <c r="F1" s="371"/>
      <c r="G1" s="371"/>
      <c r="H1" s="371"/>
      <c r="I1" s="371"/>
      <c r="J1" s="371"/>
    </row>
    <row r="2" s="288" customFormat="true" ht="12.75" hidden="false" customHeight="false" outlineLevel="0" collapsed="false">
      <c r="A2" s="75" t="s">
        <v>408</v>
      </c>
      <c r="B2" s="75"/>
      <c r="C2" s="75"/>
      <c r="D2" s="75"/>
      <c r="E2" s="75"/>
      <c r="F2" s="75"/>
      <c r="G2" s="75"/>
      <c r="H2" s="75"/>
      <c r="I2" s="75"/>
      <c r="J2" s="75"/>
    </row>
    <row r="3" s="288" customFormat="true" ht="12.75" hidden="false" customHeight="false" outlineLevel="0" collapsed="false">
      <c r="A3" s="75" t="s">
        <v>409</v>
      </c>
      <c r="B3" s="75"/>
      <c r="C3" s="75"/>
      <c r="D3" s="75"/>
      <c r="E3" s="75"/>
      <c r="F3" s="75"/>
      <c r="G3" s="75"/>
      <c r="H3" s="75"/>
      <c r="I3" s="75"/>
      <c r="J3" s="75"/>
    </row>
    <row r="4" s="288" customFormat="true" ht="12.75" hidden="false" customHeight="false" outlineLevel="0" collapsed="false">
      <c r="A4" s="75"/>
      <c r="B4" s="75"/>
      <c r="C4" s="75"/>
      <c r="D4" s="75"/>
      <c r="E4" s="75"/>
      <c r="F4" s="75"/>
      <c r="G4" s="75"/>
      <c r="H4" s="75"/>
      <c r="I4" s="75"/>
      <c r="J4" s="75"/>
    </row>
    <row r="5" s="288" customFormat="true" ht="12.75" hidden="false" customHeight="false" outlineLevel="0" collapsed="false">
      <c r="A5" s="372" t="s">
        <v>284</v>
      </c>
      <c r="B5" s="75"/>
      <c r="C5" s="75"/>
      <c r="D5" s="75"/>
      <c r="E5" s="75"/>
      <c r="F5" s="75"/>
      <c r="G5" s="75"/>
      <c r="H5" s="75"/>
      <c r="I5" s="75"/>
      <c r="J5" s="75"/>
    </row>
    <row r="6" s="288" customFormat="true" ht="12.75" hidden="false" customHeight="false" outlineLevel="0" collapsed="false">
      <c r="A6" s="75" t="s">
        <v>410</v>
      </c>
      <c r="B6" s="75"/>
      <c r="C6" s="75"/>
      <c r="D6" s="75"/>
      <c r="E6" s="75"/>
      <c r="F6" s="373" t="n">
        <v>5</v>
      </c>
      <c r="G6" s="75" t="s">
        <v>411</v>
      </c>
      <c r="H6" s="75"/>
      <c r="I6" s="75"/>
      <c r="J6" s="75"/>
    </row>
    <row r="7" s="288" customFormat="true" ht="12.75" hidden="false" customHeight="false" outlineLevel="0" collapsed="false">
      <c r="A7" s="75" t="s">
        <v>412</v>
      </c>
      <c r="B7" s="75"/>
      <c r="C7" s="75"/>
      <c r="D7" s="75"/>
      <c r="E7" s="75"/>
      <c r="F7" s="374" t="n">
        <v>7596</v>
      </c>
      <c r="G7" s="75" t="s">
        <v>413</v>
      </c>
      <c r="H7" s="75"/>
      <c r="I7" s="75"/>
      <c r="J7" s="75"/>
    </row>
    <row r="8" s="288" customFormat="true" ht="12.75" hidden="false" customHeight="false" outlineLevel="0" collapsed="false">
      <c r="A8" s="75" t="s">
        <v>414</v>
      </c>
      <c r="B8" s="75"/>
      <c r="C8" s="75"/>
      <c r="D8" s="75"/>
      <c r="E8" s="75"/>
      <c r="F8" s="75"/>
      <c r="G8" s="75"/>
      <c r="H8" s="75"/>
      <c r="I8" s="75"/>
      <c r="J8" s="75"/>
    </row>
    <row r="9" s="288" customFormat="true" ht="12.75" hidden="false" customHeight="false" outlineLevel="0" collapsed="false">
      <c r="A9" s="75" t="s">
        <v>415</v>
      </c>
      <c r="B9" s="75"/>
      <c r="C9" s="75"/>
      <c r="D9" s="75"/>
      <c r="E9" s="75"/>
      <c r="F9" s="75"/>
      <c r="G9" s="75"/>
      <c r="H9" s="75"/>
      <c r="I9" s="75"/>
      <c r="J9" s="75"/>
    </row>
    <row r="10" s="378" customFormat="true" ht="12.75" hidden="false" customHeight="false" outlineLevel="0" collapsed="false">
      <c r="A10" s="375" t="s">
        <v>335</v>
      </c>
      <c r="B10" s="375" t="s">
        <v>416</v>
      </c>
      <c r="C10" s="376"/>
      <c r="D10" s="376"/>
      <c r="E10" s="376"/>
      <c r="F10" s="376"/>
      <c r="G10" s="376"/>
      <c r="H10" s="376"/>
      <c r="I10" s="376"/>
      <c r="J10" s="377"/>
    </row>
    <row r="11" s="378" customFormat="true" ht="12.75" hidden="false" customHeight="false" outlineLevel="0" collapsed="false">
      <c r="A11" s="379" t="n">
        <v>-1</v>
      </c>
      <c r="B11" s="380" t="n">
        <v>7339</v>
      </c>
      <c r="C11" s="376" t="s">
        <v>417</v>
      </c>
      <c r="D11" s="376"/>
      <c r="E11" s="376"/>
      <c r="F11" s="376"/>
      <c r="G11" s="376"/>
      <c r="H11" s="376"/>
      <c r="I11" s="376"/>
      <c r="J11" s="377"/>
    </row>
    <row r="12" s="378" customFormat="true" ht="12.75" hidden="false" customHeight="false" outlineLevel="0" collapsed="false">
      <c r="A12" s="379" t="n">
        <f aca="false">IF((0-A11)&lt;$F$6,IF(A11&gt;-1,,A11-1),)</f>
        <v>-2</v>
      </c>
      <c r="B12" s="380" t="n">
        <v>5268</v>
      </c>
      <c r="C12" s="376" t="s">
        <v>418</v>
      </c>
      <c r="D12" s="376"/>
      <c r="E12" s="376"/>
      <c r="F12" s="376"/>
      <c r="G12" s="376"/>
      <c r="H12" s="376"/>
      <c r="I12" s="376"/>
      <c r="J12" s="377"/>
    </row>
    <row r="13" s="378" customFormat="true" ht="12.75" hidden="false" customHeight="false" outlineLevel="0" collapsed="false">
      <c r="A13" s="379" t="n">
        <f aca="false">IF((0-A12)&lt;$F$6,IF(A12&gt;-1,,A12-1),)</f>
        <v>-3</v>
      </c>
      <c r="B13" s="380" t="n">
        <v>3924</v>
      </c>
      <c r="C13" s="376"/>
      <c r="D13" s="376"/>
      <c r="E13" s="376"/>
      <c r="F13" s="376"/>
      <c r="G13" s="376"/>
      <c r="H13" s="376"/>
      <c r="I13" s="376"/>
      <c r="J13" s="377"/>
    </row>
    <row r="14" s="378" customFormat="true" ht="12.75" hidden="false" customHeight="false" outlineLevel="0" collapsed="false">
      <c r="A14" s="379" t="n">
        <f aca="false">IF((0-A13)&lt;$F$6,IF(A13&gt;-1,,A13-1),)</f>
        <v>-4</v>
      </c>
      <c r="B14" s="380" t="n">
        <v>2829</v>
      </c>
      <c r="C14" s="376"/>
      <c r="D14" s="376"/>
      <c r="E14" s="376"/>
      <c r="F14" s="376"/>
      <c r="G14" s="376"/>
      <c r="H14" s="376"/>
      <c r="I14" s="376"/>
      <c r="J14" s="377"/>
    </row>
    <row r="15" s="378" customFormat="true" ht="12.75" hidden="false" customHeight="false" outlineLevel="0" collapsed="false">
      <c r="A15" s="379" t="n">
        <f aca="false">IF((0-A14)&lt;$F$6,IF(A14&gt;-1,,A14-1),)</f>
        <v>-5</v>
      </c>
      <c r="B15" s="380" t="n">
        <v>2376</v>
      </c>
      <c r="C15" s="376"/>
      <c r="D15" s="376"/>
      <c r="E15" s="376"/>
      <c r="F15" s="376"/>
      <c r="G15" s="376"/>
      <c r="H15" s="376"/>
      <c r="I15" s="376"/>
      <c r="J15" s="377"/>
    </row>
    <row r="16" s="378" customFormat="true" ht="12.75" hidden="false" customHeight="false" outlineLevel="0" collapsed="false">
      <c r="A16" s="379" t="n">
        <f aca="false">IF((0-A15)&lt;$F$6,IF(A15&gt;-1,,A15-1),)</f>
        <v>0</v>
      </c>
      <c r="B16" s="380"/>
      <c r="C16" s="376"/>
      <c r="D16" s="376"/>
      <c r="E16" s="376"/>
      <c r="F16" s="376"/>
      <c r="G16" s="376"/>
      <c r="H16" s="376"/>
      <c r="I16" s="376"/>
      <c r="J16" s="377"/>
    </row>
    <row r="17" s="378" customFormat="true" ht="12.75" hidden="false" customHeight="false" outlineLevel="0" collapsed="false">
      <c r="A17" s="379" t="n">
        <f aca="false">IF((0-A16)&lt;$F$6,IF(A16&gt;-1,,A16-1),)</f>
        <v>0</v>
      </c>
      <c r="B17" s="380"/>
      <c r="C17" s="376"/>
      <c r="D17" s="376"/>
      <c r="E17" s="376"/>
      <c r="F17" s="376"/>
      <c r="G17" s="376"/>
      <c r="H17" s="376"/>
      <c r="I17" s="376"/>
      <c r="J17" s="377"/>
    </row>
    <row r="18" s="378" customFormat="true" ht="12.75" hidden="false" customHeight="false" outlineLevel="0" collapsed="false">
      <c r="A18" s="379" t="n">
        <f aca="false">IF((0-A17)&lt;$F$6,IF(A17&gt;-1,,A17-1),)</f>
        <v>0</v>
      </c>
      <c r="B18" s="380"/>
      <c r="C18" s="376"/>
      <c r="D18" s="376"/>
      <c r="E18" s="376"/>
      <c r="F18" s="376"/>
      <c r="G18" s="376"/>
      <c r="H18" s="376"/>
      <c r="I18" s="376"/>
      <c r="J18" s="377"/>
    </row>
    <row r="19" s="378" customFormat="true" ht="12.75" hidden="false" customHeight="false" outlineLevel="0" collapsed="false">
      <c r="A19" s="379" t="n">
        <f aca="false">IF((0-A18)&lt;$F$6,IF(A18&gt;-1,,A18-1),)</f>
        <v>0</v>
      </c>
      <c r="B19" s="380"/>
      <c r="C19" s="376"/>
      <c r="D19" s="376"/>
      <c r="E19" s="376"/>
      <c r="F19" s="376"/>
      <c r="G19" s="376"/>
      <c r="H19" s="376"/>
      <c r="I19" s="376"/>
      <c r="J19" s="377"/>
    </row>
    <row r="20" s="378" customFormat="true" ht="12.75" hidden="false" customHeight="false" outlineLevel="0" collapsed="false">
      <c r="A20" s="379" t="n">
        <f aca="false">IF((0-A19)&lt;$F$6,IF(A19&gt;-1,,A19-1),)</f>
        <v>0</v>
      </c>
      <c r="B20" s="380"/>
      <c r="C20" s="376"/>
      <c r="D20" s="376"/>
      <c r="E20" s="376"/>
      <c r="F20" s="376"/>
      <c r="G20" s="376"/>
      <c r="H20" s="376"/>
      <c r="I20" s="376"/>
      <c r="J20" s="377"/>
    </row>
    <row r="21" s="378" customFormat="true" ht="12.75" hidden="false" customHeight="false" outlineLevel="0" collapsed="false">
      <c r="A21" s="376"/>
      <c r="B21" s="376"/>
      <c r="C21" s="376"/>
      <c r="D21" s="376"/>
      <c r="E21" s="376"/>
      <c r="F21" s="376"/>
      <c r="G21" s="376"/>
      <c r="H21" s="376"/>
      <c r="I21" s="376"/>
      <c r="J21" s="377"/>
    </row>
    <row r="22" s="378" customFormat="true" ht="12.75" hidden="false" customHeight="false" outlineLevel="0" collapsed="false">
      <c r="A22" s="381" t="s">
        <v>339</v>
      </c>
      <c r="B22" s="376"/>
      <c r="C22" s="376"/>
      <c r="D22" s="376"/>
      <c r="E22" s="376"/>
      <c r="F22" s="376"/>
      <c r="G22" s="376"/>
      <c r="H22" s="376"/>
      <c r="I22" s="376"/>
      <c r="J22" s="377"/>
    </row>
    <row r="23" s="378" customFormat="true" ht="12.75" hidden="false" customHeight="false" outlineLevel="0" collapsed="false">
      <c r="A23" s="375" t="s">
        <v>335</v>
      </c>
      <c r="B23" s="375" t="s">
        <v>419</v>
      </c>
      <c r="C23" s="375" t="s">
        <v>420</v>
      </c>
      <c r="D23" s="375"/>
      <c r="E23" s="376" t="s">
        <v>421</v>
      </c>
      <c r="F23" s="376"/>
      <c r="G23" s="376"/>
      <c r="H23" s="376"/>
      <c r="I23" s="376"/>
      <c r="J23" s="377"/>
    </row>
    <row r="24" s="378" customFormat="true" ht="12.75" hidden="false" customHeight="false" outlineLevel="0" collapsed="false">
      <c r="A24" s="375" t="s">
        <v>79</v>
      </c>
      <c r="B24" s="375" t="n">
        <f aca="false">F7</f>
        <v>7596</v>
      </c>
      <c r="C24" s="375" t="n">
        <f aca="false">1</f>
        <v>1</v>
      </c>
      <c r="D24" s="375" t="n">
        <f aca="false">B24*C24</f>
        <v>7596</v>
      </c>
      <c r="E24" s="376"/>
      <c r="F24" s="376"/>
      <c r="G24" s="376"/>
      <c r="H24" s="376"/>
      <c r="I24" s="376"/>
      <c r="J24" s="377"/>
    </row>
    <row r="25" s="378" customFormat="true" ht="12.75" hidden="false" customHeight="false" outlineLevel="0" collapsed="false">
      <c r="A25" s="379" t="n">
        <f aca="false">A11</f>
        <v>-1</v>
      </c>
      <c r="B25" s="375" t="n">
        <f aca="false">B11</f>
        <v>7339</v>
      </c>
      <c r="C25" s="375" t="n">
        <f aca="false">IF(A25&lt;0,($F$6+A25)/$F$6,0)</f>
        <v>0.8</v>
      </c>
      <c r="D25" s="375" t="n">
        <f aca="false">B25*C25</f>
        <v>5871.2</v>
      </c>
      <c r="E25" s="382" t="n">
        <f aca="false">IF(A25&lt;0,B25/$F$6,0)</f>
        <v>1467.8</v>
      </c>
      <c r="F25" s="376"/>
      <c r="G25" s="376"/>
      <c r="H25" s="376"/>
      <c r="I25" s="376"/>
      <c r="J25" s="377"/>
    </row>
    <row r="26" s="378" customFormat="true" ht="12.75" hidden="false" customHeight="false" outlineLevel="0" collapsed="false">
      <c r="A26" s="379" t="n">
        <f aca="false">A12</f>
        <v>-2</v>
      </c>
      <c r="B26" s="375" t="n">
        <f aca="false">B12</f>
        <v>5268</v>
      </c>
      <c r="C26" s="375" t="n">
        <f aca="false">IF(A26&lt;0,($F$6+A26)/$F$6,0)</f>
        <v>0.6</v>
      </c>
      <c r="D26" s="375" t="n">
        <f aca="false">B26*C26</f>
        <v>3160.8</v>
      </c>
      <c r="E26" s="382" t="n">
        <f aca="false">IF(A26&lt;0,B26/$F$6,0)</f>
        <v>1053.6</v>
      </c>
      <c r="F26" s="376"/>
      <c r="G26" s="376"/>
      <c r="H26" s="376"/>
      <c r="I26" s="376"/>
      <c r="J26" s="377"/>
    </row>
    <row r="27" s="378" customFormat="true" ht="12.75" hidden="false" customHeight="false" outlineLevel="0" collapsed="false">
      <c r="A27" s="379" t="n">
        <f aca="false">A13</f>
        <v>-3</v>
      </c>
      <c r="B27" s="375" t="n">
        <f aca="false">B13</f>
        <v>3924</v>
      </c>
      <c r="C27" s="375" t="n">
        <f aca="false">IF(A27&lt;0,($F$6+A27)/$F$6,0)</f>
        <v>0.4</v>
      </c>
      <c r="D27" s="375" t="n">
        <f aca="false">B27*C27</f>
        <v>1569.6</v>
      </c>
      <c r="E27" s="382" t="n">
        <f aca="false">IF(A27&lt;0,B27/$F$6,0)</f>
        <v>784.8</v>
      </c>
      <c r="F27" s="376"/>
      <c r="G27" s="376"/>
      <c r="H27" s="376"/>
      <c r="I27" s="376"/>
      <c r="J27" s="377"/>
    </row>
    <row r="28" s="378" customFormat="true" ht="12.75" hidden="false" customHeight="false" outlineLevel="0" collapsed="false">
      <c r="A28" s="379" t="n">
        <f aca="false">A14</f>
        <v>-4</v>
      </c>
      <c r="B28" s="375" t="n">
        <f aca="false">B14</f>
        <v>2829</v>
      </c>
      <c r="C28" s="375" t="n">
        <f aca="false">IF(A28&lt;0,($F$6+A28)/$F$6,0)</f>
        <v>0.2</v>
      </c>
      <c r="D28" s="375" t="n">
        <f aca="false">B28*C28</f>
        <v>565.8</v>
      </c>
      <c r="E28" s="382" t="n">
        <f aca="false">IF(A28&lt;0,B28/$F$6,0)</f>
        <v>565.8</v>
      </c>
      <c r="F28" s="376"/>
      <c r="G28" s="376"/>
      <c r="H28" s="376"/>
      <c r="I28" s="376"/>
      <c r="J28" s="377"/>
    </row>
    <row r="29" s="378" customFormat="true" ht="12.75" hidden="false" customHeight="false" outlineLevel="0" collapsed="false">
      <c r="A29" s="379" t="n">
        <f aca="false">A15</f>
        <v>-5</v>
      </c>
      <c r="B29" s="375" t="n">
        <f aca="false">B15</f>
        <v>2376</v>
      </c>
      <c r="C29" s="375" t="n">
        <f aca="false">IF(A29&lt;0,($F$6+A29)/$F$6,0)</f>
        <v>0</v>
      </c>
      <c r="D29" s="375" t="n">
        <f aca="false">B29*C29</f>
        <v>0</v>
      </c>
      <c r="E29" s="382" t="n">
        <f aca="false">IF(A29&lt;0,B29/$F$6,0)</f>
        <v>475.2</v>
      </c>
      <c r="F29" s="376"/>
      <c r="G29" s="376"/>
      <c r="H29" s="376"/>
      <c r="I29" s="376"/>
      <c r="J29" s="377"/>
    </row>
    <row r="30" s="378" customFormat="true" ht="12.75" hidden="false" customHeight="false" outlineLevel="0" collapsed="false">
      <c r="A30" s="379" t="n">
        <f aca="false">A16</f>
        <v>0</v>
      </c>
      <c r="B30" s="375" t="n">
        <f aca="false">B16</f>
        <v>0</v>
      </c>
      <c r="C30" s="375" t="n">
        <f aca="false">IF(A30&lt;0,($F$6+A30)/$F$6,0)</f>
        <v>0</v>
      </c>
      <c r="D30" s="375" t="n">
        <f aca="false">B30*C30</f>
        <v>0</v>
      </c>
      <c r="E30" s="382" t="n">
        <f aca="false">IF(A30&lt;0,B30/$F$6,0)</f>
        <v>0</v>
      </c>
      <c r="F30" s="376"/>
      <c r="G30" s="376"/>
      <c r="H30" s="376"/>
      <c r="I30" s="376"/>
      <c r="J30" s="377"/>
    </row>
    <row r="31" s="378" customFormat="true" ht="12.75" hidden="false" customHeight="false" outlineLevel="0" collapsed="false">
      <c r="A31" s="379" t="n">
        <f aca="false">A17</f>
        <v>0</v>
      </c>
      <c r="B31" s="375" t="n">
        <f aca="false">B17</f>
        <v>0</v>
      </c>
      <c r="C31" s="375" t="n">
        <f aca="false">IF(A31&lt;0,($F$6+A31)/$F$6,0)</f>
        <v>0</v>
      </c>
      <c r="D31" s="375" t="n">
        <f aca="false">B31*C31</f>
        <v>0</v>
      </c>
      <c r="E31" s="382" t="n">
        <f aca="false">IF(A31&lt;0,B31/$F$6,0)</f>
        <v>0</v>
      </c>
      <c r="F31" s="376"/>
      <c r="G31" s="376"/>
      <c r="H31" s="376"/>
      <c r="I31" s="376"/>
      <c r="J31" s="377"/>
    </row>
    <row r="32" s="378" customFormat="true" ht="12.75" hidden="false" customHeight="false" outlineLevel="0" collapsed="false">
      <c r="A32" s="379" t="n">
        <f aca="false">A18</f>
        <v>0</v>
      </c>
      <c r="B32" s="375" t="n">
        <f aca="false">B18</f>
        <v>0</v>
      </c>
      <c r="C32" s="375" t="n">
        <f aca="false">IF(A32&lt;0,($F$6+A32)/$F$6,0)</f>
        <v>0</v>
      </c>
      <c r="D32" s="375" t="n">
        <f aca="false">B32*C32</f>
        <v>0</v>
      </c>
      <c r="E32" s="382" t="n">
        <f aca="false">IF(A32&lt;0,B32/$F$6,0)</f>
        <v>0</v>
      </c>
      <c r="F32" s="376"/>
      <c r="G32" s="376"/>
      <c r="H32" s="376"/>
      <c r="I32" s="376"/>
      <c r="J32" s="377"/>
    </row>
    <row r="33" s="378" customFormat="true" ht="12.75" hidden="false" customHeight="false" outlineLevel="0" collapsed="false">
      <c r="A33" s="379" t="n">
        <f aca="false">A19</f>
        <v>0</v>
      </c>
      <c r="B33" s="375" t="n">
        <f aca="false">B19</f>
        <v>0</v>
      </c>
      <c r="C33" s="375" t="n">
        <f aca="false">IF(A33&lt;0,($F$6+A33)/$F$6,0)</f>
        <v>0</v>
      </c>
      <c r="D33" s="375" t="n">
        <f aca="false">B33*C33</f>
        <v>0</v>
      </c>
      <c r="E33" s="382" t="n">
        <f aca="false">IF(A33&lt;0,B33/$F$6,0)</f>
        <v>0</v>
      </c>
      <c r="F33" s="376"/>
      <c r="G33" s="376"/>
      <c r="H33" s="376"/>
      <c r="I33" s="376"/>
      <c r="J33" s="377"/>
    </row>
    <row r="34" s="378" customFormat="true" ht="15.75" hidden="false" customHeight="true" outlineLevel="0" collapsed="false">
      <c r="A34" s="379" t="n">
        <f aca="false">A20</f>
        <v>0</v>
      </c>
      <c r="B34" s="375" t="n">
        <f aca="false">B20</f>
        <v>0</v>
      </c>
      <c r="C34" s="375" t="n">
        <f aca="false">IF(A34&lt;0,($F$6+A34)/$F$6,0)</f>
        <v>0</v>
      </c>
      <c r="D34" s="383" t="n">
        <f aca="false">B34*C34</f>
        <v>0</v>
      </c>
      <c r="E34" s="384" t="n">
        <f aca="false">IF(A34&lt;0,B34/$F$6,0)</f>
        <v>0</v>
      </c>
      <c r="F34" s="376"/>
      <c r="G34" s="376"/>
      <c r="H34" s="376"/>
      <c r="I34" s="376"/>
      <c r="J34" s="377"/>
    </row>
    <row r="35" s="288" customFormat="true" ht="13.5" hidden="false" customHeight="false" outlineLevel="0" collapsed="false">
      <c r="A35" s="75" t="s">
        <v>422</v>
      </c>
      <c r="B35" s="75"/>
      <c r="C35" s="75"/>
      <c r="D35" s="385" t="n">
        <f aca="false">SUM(D24:D34)</f>
        <v>18763.4</v>
      </c>
      <c r="E35" s="385" t="n">
        <f aca="false">SUM(E25:E34)</f>
        <v>4347.2</v>
      </c>
      <c r="F35" s="75"/>
      <c r="G35" s="75"/>
      <c r="H35" s="75"/>
      <c r="I35" s="75"/>
      <c r="J35" s="75"/>
    </row>
    <row r="36" customFormat="false" ht="13.5" hidden="false" customHeight="false" outlineLevel="0" collapsed="false">
      <c r="D36" s="386"/>
      <c r="E36" s="386"/>
    </row>
    <row r="37" s="288" customFormat="true" ht="13.5" hidden="false" customHeight="false" outlineLevel="0" collapsed="false">
      <c r="A37" s="75" t="s">
        <v>423</v>
      </c>
      <c r="B37" s="75"/>
      <c r="C37" s="75"/>
      <c r="D37" s="385" t="n">
        <f aca="false">E35</f>
        <v>4347.2</v>
      </c>
      <c r="E37" s="387"/>
      <c r="F37" s="75"/>
      <c r="G37" s="75"/>
      <c r="H37" s="75"/>
      <c r="I37" s="75"/>
      <c r="J37" s="75"/>
    </row>
    <row r="38" s="288" customFormat="true" ht="13.5" hidden="false" customHeight="false" outlineLevel="0" collapsed="false">
      <c r="A38" s="75"/>
      <c r="B38" s="75"/>
      <c r="C38" s="75"/>
      <c r="D38" s="75"/>
      <c r="E38" s="75"/>
      <c r="F38" s="75"/>
      <c r="G38" s="75"/>
      <c r="H38" s="75"/>
      <c r="I38" s="75"/>
      <c r="J38" s="75"/>
    </row>
    <row r="39" s="288" customFormat="true" ht="12.75" hidden="false" customHeight="false" outlineLevel="0" collapsed="false">
      <c r="A39" s="75" t="s">
        <v>424</v>
      </c>
      <c r="B39" s="75"/>
      <c r="C39" s="75"/>
      <c r="D39" s="388" t="n">
        <f aca="false">F7-D37</f>
        <v>3248.8</v>
      </c>
      <c r="E39" s="75" t="s">
        <v>425</v>
      </c>
      <c r="F39" s="75"/>
      <c r="G39" s="75"/>
      <c r="H39" s="75"/>
      <c r="I39" s="75"/>
      <c r="J39" s="75"/>
    </row>
    <row r="40" customFormat="false" ht="13.5" hidden="false" customHeight="false" outlineLevel="0" collapsed="false">
      <c r="A40" s="308" t="s">
        <v>426</v>
      </c>
      <c r="D40" s="389" t="n">
        <f aca="false">D39*'Input sheet'!B23</f>
        <v>812.2</v>
      </c>
      <c r="E40" s="75"/>
    </row>
  </sheetData>
  <mergeCells count="2">
    <mergeCell ref="A1:J1"/>
    <mergeCell ref="C23:D23"/>
  </mergeCells>
  <conditionalFormatting sqref="B14:B20">
    <cfRule type="cellIs" priority="2" operator="equal" aboveAverage="0" equalAverage="0" bottom="0" percent="0" rank="0" text="" dxfId="0">
      <formula>0</formula>
    </cfRule>
  </conditionalFormatting>
  <conditionalFormatting sqref="B11:B13">
    <cfRule type="cellIs" priority="3" operator="equal" aboveAverage="0" equalAverage="0" bottom="0" percent="0" rank="0" text="" dxfId="1">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7</TotalTime>
  <Application>LibreOffice/7.3.7.2$Linux_X86_64 LibreOffice_project/30$Build-2</Application>
  <AppVersion>15.0000</AppVersion>
  <Company>Stern School</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2000-02-22T13:53:50Z</dcterms:created>
  <dc:creator>Aswath Damodaran</dc:creator>
  <dc:description/>
  <dc:language>de-DE</dc:language>
  <cp:lastModifiedBy/>
  <cp:lastPrinted>2011-01-17T15:04:26Z</cp:lastPrinted>
  <dcterms:modified xsi:type="dcterms:W3CDTF">2024-06-22T11:36:42Z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