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Mi\Desktop\"/>
    </mc:Choice>
  </mc:AlternateContent>
  <xr:revisionPtr revIDLastSave="0" documentId="8_{94C2ABE4-E8D7-414C-8FA9-BF4A4768B32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Übersicht" sheetId="1" r:id="rId1"/>
    <sheet name="Berechnung Beitrag und Kosten" sheetId="2" r:id="rId2"/>
    <sheet name="Berechnung Zinsen" sheetId="3" r:id="rId3"/>
    <sheet name="Berechnung Verringerung" sheetId="4" r:id="rId4"/>
  </sheets>
  <calcPr calcId="181029"/>
</workbook>
</file>

<file path=xl/calcChain.xml><?xml version="1.0" encoding="utf-8"?>
<calcChain xmlns="http://schemas.openxmlformats.org/spreadsheetml/2006/main">
  <c r="B18" i="2" l="1"/>
  <c r="B16" i="2"/>
  <c r="B14" i="2"/>
  <c r="B6" i="2" s="1"/>
  <c r="E6" i="2"/>
  <c r="B11" i="2"/>
  <c r="W18" i="1"/>
  <c r="Q5" i="1"/>
  <c r="Q6" i="1" s="1"/>
  <c r="Q7" i="1" s="1"/>
  <c r="Q8" i="1" s="1"/>
  <c r="Q9" i="1" s="1"/>
  <c r="Q10" i="1" s="1"/>
  <c r="Q4" i="1"/>
  <c r="C17" i="1"/>
  <c r="U17" i="1" s="1"/>
  <c r="C18" i="1"/>
  <c r="T18" i="1" s="1"/>
  <c r="B18" i="1"/>
  <c r="B17" i="1"/>
  <c r="W17" i="1" l="1"/>
  <c r="T17" i="1"/>
  <c r="H18" i="1"/>
  <c r="I18" i="1" s="1"/>
  <c r="O18" i="1" s="1"/>
  <c r="P18" i="1" s="1"/>
  <c r="U18" i="1"/>
  <c r="H17" i="1"/>
  <c r="I17" i="1" s="1"/>
  <c r="O17" i="1" s="1"/>
  <c r="P17" i="1" s="1"/>
  <c r="V18" i="1"/>
  <c r="V17" i="1"/>
  <c r="B16" i="1"/>
  <c r="T16" i="1" l="1"/>
  <c r="U16" i="1"/>
  <c r="V16" i="1"/>
  <c r="W16" i="1"/>
  <c r="H16" i="1"/>
  <c r="I16" i="1" s="1"/>
  <c r="O16" i="1" s="1"/>
  <c r="P16" i="1" s="1"/>
  <c r="G14" i="1" l="1"/>
  <c r="H9" i="1"/>
  <c r="H5" i="1"/>
  <c r="H7" i="1"/>
  <c r="H8" i="1"/>
  <c r="H4" i="1"/>
  <c r="G7" i="4" l="1"/>
  <c r="E7" i="4"/>
  <c r="B7" i="4"/>
  <c r="E5" i="4"/>
  <c r="B1" i="4" l="1"/>
  <c r="B5" i="4" l="1"/>
  <c r="G1" i="4"/>
  <c r="B15" i="1"/>
  <c r="V15" i="1" l="1"/>
  <c r="W15" i="1"/>
  <c r="T15" i="1"/>
  <c r="U15" i="1"/>
  <c r="H15" i="1"/>
  <c r="I15" i="1" s="1"/>
  <c r="O15" i="1" s="1"/>
  <c r="P15" i="1" s="1"/>
  <c r="B14" i="1"/>
  <c r="B13" i="1"/>
  <c r="B13" i="2"/>
  <c r="H14" i="1" l="1"/>
  <c r="U14" i="1"/>
  <c r="T14" i="1"/>
  <c r="V14" i="1"/>
  <c r="W14" i="1"/>
  <c r="H13" i="1"/>
  <c r="I13" i="1" s="1"/>
  <c r="O13" i="1" s="1"/>
  <c r="P13" i="1" s="1"/>
  <c r="U13" i="1"/>
  <c r="W13" i="1"/>
  <c r="T13" i="1"/>
  <c r="V13" i="1"/>
  <c r="B12" i="1"/>
  <c r="J14" i="1" l="1"/>
  <c r="J15" i="1" s="1"/>
  <c r="J16" i="1" s="1"/>
  <c r="J17" i="1" s="1"/>
  <c r="J18" i="1" s="1"/>
  <c r="I14" i="1"/>
  <c r="O14" i="1" s="1"/>
  <c r="P14" i="1" s="1"/>
  <c r="T12" i="1"/>
  <c r="V12" i="1"/>
  <c r="B17" i="2" l="1"/>
  <c r="E12" i="1" l="1"/>
  <c r="D12" i="1"/>
  <c r="H12" i="1" s="1"/>
  <c r="I12" i="1" l="1"/>
  <c r="O12" i="1" s="1"/>
  <c r="P12" i="1" s="1"/>
  <c r="U12" i="1"/>
  <c r="W12" i="1"/>
  <c r="T10" i="1"/>
  <c r="W5" i="1" l="1"/>
  <c r="W7" i="1"/>
  <c r="W8" i="1"/>
  <c r="W9" i="1"/>
  <c r="W4" i="1"/>
  <c r="U5" i="1"/>
  <c r="U7" i="1"/>
  <c r="U8" i="1"/>
  <c r="U9" i="1"/>
  <c r="U4" i="1"/>
  <c r="T5" i="1" l="1"/>
  <c r="T7" i="1"/>
  <c r="T8" i="1"/>
  <c r="T9" i="1"/>
  <c r="T4" i="1"/>
  <c r="V5" i="1"/>
  <c r="V7" i="1"/>
  <c r="V8" i="1"/>
  <c r="V9" i="1"/>
  <c r="V10" i="1"/>
  <c r="V4" i="1"/>
  <c r="M51" i="1" l="1"/>
  <c r="B11" i="1" l="1"/>
  <c r="D11" i="1" l="1"/>
  <c r="Q11" i="1"/>
  <c r="Q12" i="1" s="1"/>
  <c r="Q13" i="1" s="1"/>
  <c r="Q14" i="1" s="1"/>
  <c r="Q15" i="1" s="1"/>
  <c r="Q16" i="1" s="1"/>
  <c r="Q17" i="1" s="1"/>
  <c r="Q18" i="1" s="1"/>
  <c r="V11" i="1"/>
  <c r="T11" i="1"/>
  <c r="E11" i="1"/>
  <c r="D10" i="1"/>
  <c r="N4" i="1"/>
  <c r="H10" i="1" l="1"/>
  <c r="I10" i="1" s="1"/>
  <c r="O10" i="1" s="1"/>
  <c r="P10" i="1" s="1"/>
  <c r="H11" i="1"/>
  <c r="I11" i="1" s="1"/>
  <c r="O11" i="1" s="1"/>
  <c r="P11" i="1" s="1"/>
  <c r="U11" i="1"/>
  <c r="W11" i="1"/>
  <c r="B9" i="3"/>
  <c r="B10" i="3" s="1"/>
  <c r="U10" i="1"/>
  <c r="W10" i="1"/>
  <c r="N5" i="1"/>
  <c r="R5" i="1" s="1"/>
  <c r="R4" i="1"/>
  <c r="J4" i="1"/>
  <c r="B20" i="2" l="1"/>
  <c r="J5" i="1"/>
  <c r="G51" i="1"/>
  <c r="F51" i="1"/>
  <c r="E51" i="1"/>
  <c r="D51" i="1"/>
  <c r="B51" i="1"/>
  <c r="I5" i="1"/>
  <c r="O5" i="1" s="1"/>
  <c r="P5" i="1" s="1"/>
  <c r="I7" i="1"/>
  <c r="O7" i="1" s="1"/>
  <c r="P7" i="1" s="1"/>
  <c r="I8" i="1"/>
  <c r="O8" i="1" s="1"/>
  <c r="P8" i="1" s="1"/>
  <c r="I9" i="1"/>
  <c r="O9" i="1" s="1"/>
  <c r="P9" i="1" s="1"/>
  <c r="C6" i="1"/>
  <c r="H6" i="1" l="1"/>
  <c r="H51" i="1" s="1"/>
  <c r="W6" i="1"/>
  <c r="U6" i="1"/>
  <c r="V6" i="1"/>
  <c r="T6" i="1"/>
  <c r="C51" i="1"/>
  <c r="I4" i="1"/>
  <c r="O4" i="1" l="1"/>
  <c r="I6" i="1"/>
  <c r="O6" i="1" s="1"/>
  <c r="P6" i="1" s="1"/>
  <c r="N6" i="1"/>
  <c r="J6" i="1"/>
  <c r="I51" i="1" l="1"/>
  <c r="N7" i="1"/>
  <c r="R6" i="1"/>
  <c r="J7" i="1"/>
  <c r="N8" i="1" l="1"/>
  <c r="R8" i="1" s="1"/>
  <c r="R7" i="1"/>
  <c r="J8" i="1"/>
  <c r="J9" i="1" s="1"/>
  <c r="J10" i="1" s="1"/>
  <c r="J11" i="1" s="1"/>
  <c r="J12" i="1" s="1"/>
  <c r="N9" i="1" l="1"/>
  <c r="N10" i="1" l="1"/>
  <c r="R9" i="1"/>
  <c r="R10" i="1" l="1"/>
  <c r="N11" i="1"/>
  <c r="N12" i="1" s="1"/>
  <c r="N13" i="1" s="1"/>
  <c r="R13" i="1" l="1"/>
  <c r="N14" i="1"/>
  <c r="R12" i="1"/>
  <c r="R11" i="1"/>
  <c r="N15" i="1" l="1"/>
  <c r="R14" i="1"/>
  <c r="R15" i="1" l="1"/>
  <c r="N16" i="1"/>
  <c r="N17" i="1" l="1"/>
  <c r="R16" i="1"/>
  <c r="N18" i="1" l="1"/>
  <c r="R18" i="1" s="1"/>
  <c r="R17" i="1"/>
</calcChain>
</file>

<file path=xl/sharedStrings.xml><?xml version="1.0" encoding="utf-8"?>
<sst xmlns="http://schemas.openxmlformats.org/spreadsheetml/2006/main" count="65" uniqueCount="53">
  <si>
    <t>Jahr</t>
  </si>
  <si>
    <t>Eigenbeitrag</t>
  </si>
  <si>
    <t>Zulage</t>
  </si>
  <si>
    <t>Garantiezinsen</t>
  </si>
  <si>
    <t>Überschuss</t>
  </si>
  <si>
    <t>Jahressumme</t>
  </si>
  <si>
    <t>Jahresergebnis</t>
  </si>
  <si>
    <t>Summe</t>
  </si>
  <si>
    <t>Riesterrente</t>
  </si>
  <si>
    <t>Vorjahreseinkommen (Brutto)</t>
  </si>
  <si>
    <t>Jahresbeitrag</t>
  </si>
  <si>
    <t>monatlicher Beitrag</t>
  </si>
  <si>
    <t>Berechnung laufende Kosten</t>
  </si>
  <si>
    <t>davon Grundbeitrag</t>
  </si>
  <si>
    <t>Erhöhungsbeitrag</t>
  </si>
  <si>
    <t>A) Abschluss- und Vertriebskosten</t>
  </si>
  <si>
    <t>B) Vertragsführungsgebühr</t>
  </si>
  <si>
    <t>C) Verwaltungskosten (inkl. Vertragsführungsgebühr)</t>
  </si>
  <si>
    <t>Gesamtkosten</t>
  </si>
  <si>
    <t>AuVK</t>
  </si>
  <si>
    <t>Vertragswert</t>
  </si>
  <si>
    <t>VerwK</t>
  </si>
  <si>
    <t>Steuerermäßigung</t>
  </si>
  <si>
    <t>inkl. Steuervorteil</t>
  </si>
  <si>
    <t>Vergleich Anlage</t>
  </si>
  <si>
    <t>Riesterrente Übersicht und Vergleich</t>
  </si>
  <si>
    <t>Differenz</t>
  </si>
  <si>
    <t>Riester</t>
  </si>
  <si>
    <t>Jahresrendite</t>
  </si>
  <si>
    <t>in Prozent</t>
  </si>
  <si>
    <t>Jahres-</t>
  </si>
  <si>
    <t>ergebnis</t>
  </si>
  <si>
    <t>Förderquote</t>
  </si>
  <si>
    <t>BMF</t>
  </si>
  <si>
    <t>reale Förderung</t>
  </si>
  <si>
    <t>Nettoeigenbeitrag</t>
  </si>
  <si>
    <t>inkl. entstandener</t>
  </si>
  <si>
    <t>Kosten</t>
  </si>
  <si>
    <t>ÜB Debeka</t>
  </si>
  <si>
    <t>Berechnung Beitrag und Kosten</t>
  </si>
  <si>
    <t>Berechnung Zinsen</t>
  </si>
  <si>
    <t>(s. dazu auch Schreiben Debeka vom 16.04.2018)</t>
  </si>
  <si>
    <t>Verzinsung mit Garantiezins 2,25 %</t>
  </si>
  <si>
    <t>Restbetrag (jeweils aktueller Rechnungszins)</t>
  </si>
  <si>
    <t>Der Garantiezins in Höhe von 2,25 % gilt maximal für die Summe aus Eigenbeitrag und Zulage in 2017 (=1.355,08 €)</t>
  </si>
  <si>
    <t>Alle darüber hinausgehenden Beiträge werden mit dem aktuellen Rechnungszins verzinst.</t>
  </si>
  <si>
    <t>Eigenbeitrag (Eigenbeitrag + Zulage)</t>
  </si>
  <si>
    <t>4%-Beitrag</t>
  </si>
  <si>
    <t>Steuervorteil</t>
  </si>
  <si>
    <t>Ergebnis</t>
  </si>
  <si>
    <t>100 Euro</t>
  </si>
  <si>
    <t>36 Jahre</t>
  </si>
  <si>
    <t>6 Prozent Zinsen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</si>
</sst>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44" fontId="0" fillId="0" borderId="0" xfId="1" applyFont="1"/>
    <xf numFmtId="0" fontId="2" fillId="0" borderId="0" xfId="0" applyFont="1"/>
    <xf numFmtId="44" fontId="0" fillId="0" borderId="1" xfId="0" applyNumberFormat="1" applyBorder="1"/>
    <xf numFmtId="17" fontId="4" fillId="0" borderId="0" xfId="0" applyNumberFormat="1" applyFont="1"/>
    <xf numFmtId="44" fontId="3" fillId="0" borderId="0" xfId="1" applyFont="1"/>
    <xf numFmtId="17" fontId="0" fillId="0" borderId="2" xfId="0" applyNumberFormat="1" applyBorder="1"/>
    <xf numFmtId="44" fontId="1" fillId="2" borderId="3" xfId="1" applyFont="1" applyFill="1" applyBorder="1"/>
    <xf numFmtId="17" fontId="0" fillId="0" borderId="4" xfId="0" applyNumberFormat="1" applyBorder="1"/>
    <xf numFmtId="44" fontId="0" fillId="0" borderId="5" xfId="1" applyFont="1" applyBorder="1"/>
    <xf numFmtId="17" fontId="0" fillId="0" borderId="6" xfId="0" applyNumberFormat="1" applyBorder="1"/>
    <xf numFmtId="44" fontId="3" fillId="0" borderId="1" xfId="1" applyFont="1" applyFill="1" applyBorder="1"/>
    <xf numFmtId="17" fontId="0" fillId="0" borderId="0" xfId="0" applyNumberFormat="1"/>
    <xf numFmtId="44" fontId="0" fillId="2" borderId="1" xfId="1" applyFont="1" applyFill="1" applyBorder="1"/>
    <xf numFmtId="44" fontId="0" fillId="0" borderId="7" xfId="1" applyFont="1" applyBorder="1"/>
    <xf numFmtId="17" fontId="3" fillId="0" borderId="0" xfId="0" applyNumberFormat="1" applyFont="1"/>
    <xf numFmtId="17" fontId="3" fillId="0" borderId="8" xfId="0" applyNumberFormat="1" applyFont="1" applyBorder="1"/>
    <xf numFmtId="44" fontId="3" fillId="0" borderId="1" xfId="1" applyFont="1" applyBorder="1"/>
    <xf numFmtId="44" fontId="0" fillId="0" borderId="0" xfId="1" applyFont="1" applyBorder="1"/>
    <xf numFmtId="44" fontId="0" fillId="0" borderId="0" xfId="0" applyNumberFormat="1"/>
    <xf numFmtId="44" fontId="0" fillId="0" borderId="5" xfId="0" applyNumberFormat="1" applyBorder="1"/>
    <xf numFmtId="0" fontId="0" fillId="0" borderId="5" xfId="0" applyBorder="1"/>
    <xf numFmtId="0" fontId="0" fillId="0" borderId="10" xfId="0" applyBorder="1"/>
    <xf numFmtId="0" fontId="0" fillId="0" borderId="1" xfId="0" applyBorder="1"/>
    <xf numFmtId="44" fontId="0" fillId="0" borderId="1" xfId="1" applyFont="1" applyBorder="1"/>
    <xf numFmtId="44" fontId="0" fillId="0" borderId="4" xfId="0" applyNumberFormat="1" applyBorder="1"/>
    <xf numFmtId="0" fontId="0" fillId="0" borderId="4" xfId="0" applyBorder="1"/>
    <xf numFmtId="0" fontId="0" fillId="0" borderId="9" xfId="0" applyBorder="1"/>
    <xf numFmtId="0" fontId="0" fillId="0" borderId="11" xfId="0" applyBorder="1"/>
    <xf numFmtId="9" fontId="0" fillId="0" borderId="11" xfId="0" applyNumberFormat="1" applyBorder="1"/>
    <xf numFmtId="44" fontId="0" fillId="0" borderId="4" xfId="1" applyFont="1" applyBorder="1"/>
    <xf numFmtId="44" fontId="0" fillId="0" borderId="2" xfId="1" applyFont="1" applyBorder="1"/>
    <xf numFmtId="44" fontId="0" fillId="0" borderId="12" xfId="0" applyNumberFormat="1" applyBorder="1"/>
    <xf numFmtId="44" fontId="0" fillId="0" borderId="3" xfId="0" applyNumberFormat="1" applyBorder="1"/>
    <xf numFmtId="0" fontId="0" fillId="3" borderId="1" xfId="0" applyFill="1" applyBorder="1"/>
    <xf numFmtId="0" fontId="0" fillId="3" borderId="8" xfId="0" applyFill="1" applyBorder="1"/>
    <xf numFmtId="44" fontId="0" fillId="3" borderId="1" xfId="0" applyNumberFormat="1" applyFill="1" applyBorder="1"/>
    <xf numFmtId="9" fontId="0" fillId="0" borderId="12" xfId="2" applyFont="1" applyBorder="1"/>
    <xf numFmtId="10" fontId="0" fillId="0" borderId="0" xfId="2" applyNumberFormat="1" applyFont="1" applyBorder="1"/>
    <xf numFmtId="0" fontId="0" fillId="0" borderId="3" xfId="0" applyBorder="1"/>
    <xf numFmtId="10" fontId="0" fillId="0" borderId="4" xfId="2" applyNumberFormat="1" applyFont="1" applyBorder="1"/>
    <xf numFmtId="10" fontId="0" fillId="0" borderId="5" xfId="2" applyNumberFormat="1" applyFont="1" applyBorder="1"/>
    <xf numFmtId="0" fontId="0" fillId="0" borderId="7" xfId="0" applyBorder="1"/>
    <xf numFmtId="0" fontId="0" fillId="0" borderId="2" xfId="0" applyBorder="1"/>
    <xf numFmtId="0" fontId="0" fillId="0" borderId="6" xfId="0" applyBorder="1"/>
    <xf numFmtId="0" fontId="0" fillId="0" borderId="12" xfId="0" applyBorder="1"/>
    <xf numFmtId="0" fontId="0" fillId="0" borderId="14" xfId="0" applyBorder="1"/>
    <xf numFmtId="0" fontId="0" fillId="3" borderId="13" xfId="0" applyFill="1" applyBorder="1"/>
    <xf numFmtId="0" fontId="0" fillId="3" borderId="15" xfId="0" applyFill="1" applyBorder="1"/>
    <xf numFmtId="10" fontId="0" fillId="0" borderId="0" xfId="2" applyNumberFormat="1" applyFont="1" applyFill="1" applyBorder="1"/>
    <xf numFmtId="44" fontId="0" fillId="4" borderId="0" xfId="1" applyFont="1" applyFill="1" applyBorder="1"/>
    <xf numFmtId="10" fontId="0" fillId="0" borderId="0" xfId="0" applyNumberFormat="1"/>
    <xf numFmtId="9" fontId="0" fillId="0" borderId="0" xfId="0" applyNumberFormat="1"/>
    <xf numFmtId="10" fontId="0" fillId="0" borderId="4" xfId="0" applyNumberFormat="1" applyBorder="1"/>
    <xf numFmtId="10" fontId="0" fillId="0" borderId="5" xfId="0" applyNumberFormat="1" applyBorder="1"/>
    <xf numFmtId="44" fontId="5" fillId="0" borderId="0" xfId="1" applyFont="1" applyBorder="1"/>
    <xf numFmtId="44" fontId="0" fillId="5" borderId="0" xfId="1" applyFont="1" applyFill="1" applyBorder="1"/>
    <xf numFmtId="44" fontId="5" fillId="0" borderId="4" xfId="1" applyFont="1" applyBorder="1"/>
    <xf numFmtId="9" fontId="0" fillId="0" borderId="0" xfId="2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1"/>
  <sheetViews>
    <sheetView tabSelected="1" zoomScale="90" zoomScaleNormal="90" workbookViewId="0">
      <pane ySplit="3" topLeftCell="A12" activePane="bottomLeft" state="frozen"/>
      <selection pane="bottomLeft" activeCell="B19" sqref="B19:K22"/>
    </sheetView>
  </sheetViews>
  <sheetFormatPr baseColWidth="10" defaultRowHeight="14.5" x14ac:dyDescent="0.35"/>
  <cols>
    <col min="1" max="1" width="8.6328125" customWidth="1"/>
    <col min="2" max="2" width="12.6328125" bestFit="1" customWidth="1"/>
    <col min="3" max="3" width="11.54296875" bestFit="1" customWidth="1"/>
    <col min="4" max="5" width="10" bestFit="1" customWidth="1"/>
    <col min="6" max="6" width="13.90625" bestFit="1" customWidth="1"/>
    <col min="7" max="7" width="11" bestFit="1" customWidth="1"/>
    <col min="8" max="8" width="12.6328125" bestFit="1" customWidth="1"/>
    <col min="9" max="9" width="13.6328125" bestFit="1" customWidth="1"/>
    <col min="10" max="10" width="12.6328125" bestFit="1" customWidth="1"/>
    <col min="11" max="11" width="10.36328125" bestFit="1" customWidth="1"/>
    <col min="12" max="12" width="8.90625" customWidth="1"/>
    <col min="13" max="13" width="16.90625" bestFit="1" customWidth="1"/>
    <col min="14" max="14" width="16.36328125" bestFit="1" customWidth="1"/>
    <col min="15" max="15" width="10" bestFit="1" customWidth="1"/>
    <col min="16" max="16" width="12.54296875" bestFit="1" customWidth="1"/>
    <col min="17" max="17" width="15.453125" bestFit="1" customWidth="1"/>
    <col min="18" max="18" width="11.54296875" bestFit="1" customWidth="1"/>
    <col min="20" max="21" width="16.6328125" bestFit="1" customWidth="1"/>
    <col min="22" max="22" width="11.90625" bestFit="1" customWidth="1"/>
    <col min="23" max="23" width="16.6328125" bestFit="1" customWidth="1"/>
  </cols>
  <sheetData>
    <row r="1" spans="1:23" ht="16" thickBot="1" x14ac:dyDescent="0.4">
      <c r="A1" s="2" t="s">
        <v>25</v>
      </c>
    </row>
    <row r="2" spans="1:23" ht="15" thickBot="1" x14ac:dyDescent="0.4">
      <c r="N2" s="27" t="s">
        <v>20</v>
      </c>
      <c r="O2" s="27" t="s">
        <v>30</v>
      </c>
      <c r="P2" s="27" t="s">
        <v>28</v>
      </c>
      <c r="Q2" s="27" t="s">
        <v>24</v>
      </c>
      <c r="R2" s="27" t="s">
        <v>26</v>
      </c>
      <c r="T2" s="43" t="s">
        <v>34</v>
      </c>
      <c r="U2" s="45" t="s">
        <v>36</v>
      </c>
      <c r="V2" s="43" t="s">
        <v>33</v>
      </c>
      <c r="W2" s="39" t="s">
        <v>36</v>
      </c>
    </row>
    <row r="3" spans="1:23" ht="15" thickBot="1" x14ac:dyDescent="0.4">
      <c r="A3" s="23" t="s">
        <v>0</v>
      </c>
      <c r="B3" s="23" t="s">
        <v>1</v>
      </c>
      <c r="C3" s="23" t="s">
        <v>2</v>
      </c>
      <c r="D3" s="23" t="s">
        <v>19</v>
      </c>
      <c r="E3" s="23" t="s">
        <v>21</v>
      </c>
      <c r="F3" s="23" t="s">
        <v>3</v>
      </c>
      <c r="G3" s="23" t="s">
        <v>4</v>
      </c>
      <c r="H3" s="23" t="s">
        <v>5</v>
      </c>
      <c r="I3" s="23" t="s">
        <v>6</v>
      </c>
      <c r="J3" s="23" t="s">
        <v>20</v>
      </c>
      <c r="K3" s="23" t="s">
        <v>38</v>
      </c>
      <c r="M3" s="23" t="s">
        <v>22</v>
      </c>
      <c r="N3" s="28" t="s">
        <v>23</v>
      </c>
      <c r="O3" s="28" t="s">
        <v>31</v>
      </c>
      <c r="P3" s="28" t="s">
        <v>29</v>
      </c>
      <c r="Q3" s="29" t="s">
        <v>52</v>
      </c>
      <c r="R3" s="28" t="s">
        <v>27</v>
      </c>
      <c r="T3" s="44" t="s">
        <v>35</v>
      </c>
      <c r="U3" s="46" t="s">
        <v>37</v>
      </c>
      <c r="V3" s="44" t="s">
        <v>32</v>
      </c>
      <c r="W3" s="42" t="s">
        <v>37</v>
      </c>
    </row>
    <row r="4" spans="1:23" x14ac:dyDescent="0.35">
      <c r="A4" s="22">
        <v>2009</v>
      </c>
      <c r="B4" s="18">
        <v>60</v>
      </c>
      <c r="C4" s="18">
        <v>0</v>
      </c>
      <c r="D4" s="18">
        <v>54.48</v>
      </c>
      <c r="E4" s="18">
        <v>17.100000000000001</v>
      </c>
      <c r="F4" s="18">
        <v>-0.9</v>
      </c>
      <c r="G4" s="18"/>
      <c r="H4" s="19">
        <f t="shared" ref="H4:H14" si="0">B4+C4-D4-E4+F4+G4</f>
        <v>-12.479999999999999</v>
      </c>
      <c r="I4" s="19">
        <f t="shared" ref="I4:I16" si="1">H4-B4</f>
        <v>-72.48</v>
      </c>
      <c r="J4" s="19">
        <f>H4</f>
        <v>-12.479999999999999</v>
      </c>
      <c r="K4" s="38">
        <v>4.8000000000000001E-2</v>
      </c>
      <c r="L4" s="25"/>
      <c r="M4" s="31"/>
      <c r="N4" s="32">
        <f>H4</f>
        <v>-12.479999999999999</v>
      </c>
      <c r="O4" s="32">
        <f t="shared" ref="O4:O9" si="2">I4+M4</f>
        <v>-72.48</v>
      </c>
      <c r="P4" s="37"/>
      <c r="Q4" s="32">
        <f>B4*1.06</f>
        <v>63.6</v>
      </c>
      <c r="R4" s="33">
        <f>N4-Q4</f>
        <v>-76.08</v>
      </c>
      <c r="T4" s="40">
        <f t="shared" ref="T4:T14" si="3">(C4+M4)/(B4-M4)</f>
        <v>0</v>
      </c>
      <c r="U4" s="38">
        <f t="shared" ref="U4:U18" si="4">(C4+M4)/(B4-M4+D4+E4)</f>
        <v>0</v>
      </c>
      <c r="V4" s="40">
        <f t="shared" ref="V4:V18" si="5">(M4+C4)/(B4+C4)</f>
        <v>0</v>
      </c>
      <c r="W4" s="41">
        <f t="shared" ref="W4:W18" si="6">(M4+C4)/(B4+C4+D4+E4)</f>
        <v>0</v>
      </c>
    </row>
    <row r="5" spans="1:23" x14ac:dyDescent="0.35">
      <c r="A5" s="22">
        <v>2010</v>
      </c>
      <c r="B5" s="18">
        <v>68.52</v>
      </c>
      <c r="C5" s="18">
        <v>354</v>
      </c>
      <c r="D5" s="18">
        <v>54.73</v>
      </c>
      <c r="E5" s="18">
        <v>29.87</v>
      </c>
      <c r="F5" s="18">
        <v>4.1900000000000004</v>
      </c>
      <c r="G5" s="18"/>
      <c r="H5" s="19">
        <f t="shared" si="0"/>
        <v>342.10999999999996</v>
      </c>
      <c r="I5" s="19">
        <f t="shared" si="1"/>
        <v>273.58999999999997</v>
      </c>
      <c r="J5" s="19">
        <f>J4+H5</f>
        <v>329.62999999999994</v>
      </c>
      <c r="K5" s="38">
        <v>4.5999999999999999E-2</v>
      </c>
      <c r="L5" s="25"/>
      <c r="M5" s="30"/>
      <c r="N5" s="19">
        <f>N4+H5+M5</f>
        <v>329.62999999999994</v>
      </c>
      <c r="O5" s="19">
        <f t="shared" si="2"/>
        <v>273.58999999999997</v>
      </c>
      <c r="P5" s="38">
        <f t="shared" ref="P5:P18" si="7">O5/B5</f>
        <v>3.9928488032691183</v>
      </c>
      <c r="Q5" s="19">
        <f t="shared" ref="Q5:Q18" si="8">(Q4+B5)*1.06</f>
        <v>140.0472</v>
      </c>
      <c r="R5" s="20">
        <f>N5-Q5</f>
        <v>189.58279999999993</v>
      </c>
      <c r="T5" s="40">
        <f t="shared" si="3"/>
        <v>5.1663747810858149</v>
      </c>
      <c r="U5" s="38">
        <f t="shared" si="4"/>
        <v>2.3119122257053291</v>
      </c>
      <c r="V5" s="40">
        <f t="shared" si="5"/>
        <v>0.83783016188582793</v>
      </c>
      <c r="W5" s="41">
        <f t="shared" si="6"/>
        <v>0.69805963085660194</v>
      </c>
    </row>
    <row r="6" spans="1:23" x14ac:dyDescent="0.35">
      <c r="A6" s="22">
        <v>2011</v>
      </c>
      <c r="B6" s="18">
        <v>77.400000000000006</v>
      </c>
      <c r="C6" s="18">
        <f>154-508</f>
        <v>-354</v>
      </c>
      <c r="D6" s="18">
        <v>55</v>
      </c>
      <c r="E6" s="18">
        <v>23.27</v>
      </c>
      <c r="F6" s="18">
        <v>6.33</v>
      </c>
      <c r="G6" s="18"/>
      <c r="H6" s="19">
        <f t="shared" si="0"/>
        <v>-348.54</v>
      </c>
      <c r="I6" s="19">
        <f t="shared" si="1"/>
        <v>-425.94000000000005</v>
      </c>
      <c r="J6" s="19">
        <f t="shared" ref="J6:J8" si="9">J5+H6</f>
        <v>-18.910000000000082</v>
      </c>
      <c r="K6" s="38">
        <v>4.2999999999999997E-2</v>
      </c>
      <c r="L6" s="25"/>
      <c r="M6" s="30"/>
      <c r="N6" s="19">
        <f t="shared" ref="N6:N11" si="10">N5+H6+M6</f>
        <v>-18.910000000000082</v>
      </c>
      <c r="O6" s="19">
        <f t="shared" si="2"/>
        <v>-425.94000000000005</v>
      </c>
      <c r="P6" s="38">
        <f t="shared" si="7"/>
        <v>-5.5031007751937988</v>
      </c>
      <c r="Q6" s="19">
        <f t="shared" si="8"/>
        <v>230.49403200000003</v>
      </c>
      <c r="R6" s="20">
        <f>N6-Q6</f>
        <v>-249.40403200000011</v>
      </c>
      <c r="T6" s="40">
        <f t="shared" si="3"/>
        <v>-4.5736434108527124</v>
      </c>
      <c r="U6" s="38">
        <f t="shared" si="4"/>
        <v>-2.2740412410869144</v>
      </c>
      <c r="V6" s="40">
        <f t="shared" si="5"/>
        <v>1.2798264642082429</v>
      </c>
      <c r="W6" s="41">
        <f t="shared" si="6"/>
        <v>1.784903947965512</v>
      </c>
    </row>
    <row r="7" spans="1:23" x14ac:dyDescent="0.35">
      <c r="A7" s="22">
        <v>2012</v>
      </c>
      <c r="B7" s="18">
        <v>339.72</v>
      </c>
      <c r="C7" s="18">
        <v>544.12</v>
      </c>
      <c r="D7" s="18">
        <v>62.56</v>
      </c>
      <c r="E7" s="18">
        <v>48.63</v>
      </c>
      <c r="F7" s="18">
        <v>9.5299999999999994</v>
      </c>
      <c r="G7" s="18">
        <v>8.52</v>
      </c>
      <c r="H7" s="19">
        <f t="shared" si="0"/>
        <v>790.69999999999993</v>
      </c>
      <c r="I7" s="19">
        <f t="shared" si="1"/>
        <v>450.9799999999999</v>
      </c>
      <c r="J7" s="19">
        <f t="shared" si="9"/>
        <v>771.78999999999985</v>
      </c>
      <c r="K7" s="38">
        <v>4.1000000000000002E-2</v>
      </c>
      <c r="L7" s="25"/>
      <c r="M7" s="30"/>
      <c r="N7" s="19">
        <f t="shared" si="10"/>
        <v>771.78999999999985</v>
      </c>
      <c r="O7" s="19">
        <f t="shared" si="2"/>
        <v>450.9799999999999</v>
      </c>
      <c r="P7" s="38">
        <f t="shared" si="7"/>
        <v>1.3275050041210406</v>
      </c>
      <c r="Q7" s="19">
        <f t="shared" si="8"/>
        <v>604.42687392000016</v>
      </c>
      <c r="R7" s="20">
        <f t="shared" ref="R7:R10" si="11">N7-Q7</f>
        <v>167.36312607999969</v>
      </c>
      <c r="T7" s="40">
        <f t="shared" si="3"/>
        <v>1.6016719651477687</v>
      </c>
      <c r="U7" s="38">
        <f t="shared" si="4"/>
        <v>1.2067153090417155</v>
      </c>
      <c r="V7" s="40">
        <f t="shared" si="5"/>
        <v>0.61563178855901524</v>
      </c>
      <c r="W7" s="41">
        <f t="shared" si="6"/>
        <v>0.54683778378541348</v>
      </c>
    </row>
    <row r="8" spans="1:23" x14ac:dyDescent="0.35">
      <c r="A8" s="22">
        <v>2013</v>
      </c>
      <c r="B8" s="18">
        <v>573.24</v>
      </c>
      <c r="C8" s="18">
        <v>154</v>
      </c>
      <c r="D8" s="18">
        <v>49.51</v>
      </c>
      <c r="E8" s="18">
        <v>45.63</v>
      </c>
      <c r="F8" s="18">
        <v>25.02</v>
      </c>
      <c r="G8" s="18">
        <v>9.1199999999999992</v>
      </c>
      <c r="H8" s="19">
        <f t="shared" si="0"/>
        <v>666.24</v>
      </c>
      <c r="I8" s="19">
        <f t="shared" si="1"/>
        <v>93</v>
      </c>
      <c r="J8" s="19">
        <f t="shared" si="9"/>
        <v>1438.0299999999997</v>
      </c>
      <c r="K8" s="38">
        <v>3.6999999999999998E-2</v>
      </c>
      <c r="L8" s="25"/>
      <c r="M8" s="30">
        <v>58</v>
      </c>
      <c r="N8" s="19">
        <f>N7+H8+M8</f>
        <v>1496.0299999999997</v>
      </c>
      <c r="O8" s="19">
        <f t="shared" si="2"/>
        <v>151</v>
      </c>
      <c r="P8" s="38">
        <f t="shared" si="7"/>
        <v>0.26341497453073753</v>
      </c>
      <c r="Q8" s="19">
        <f t="shared" si="8"/>
        <v>1248.3268863552003</v>
      </c>
      <c r="R8" s="20">
        <f t="shared" si="11"/>
        <v>247.70311364479949</v>
      </c>
      <c r="T8" s="40">
        <f t="shared" si="3"/>
        <v>0.41145873767564628</v>
      </c>
      <c r="U8" s="38">
        <f t="shared" si="4"/>
        <v>0.34732461745142368</v>
      </c>
      <c r="V8" s="40">
        <f t="shared" si="5"/>
        <v>0.29151311809031405</v>
      </c>
      <c r="W8" s="41">
        <f t="shared" si="6"/>
        <v>0.25778837033974561</v>
      </c>
    </row>
    <row r="9" spans="1:23" x14ac:dyDescent="0.35">
      <c r="A9" s="22">
        <v>2014</v>
      </c>
      <c r="B9" s="18">
        <v>982.2</v>
      </c>
      <c r="C9" s="18">
        <v>154</v>
      </c>
      <c r="D9" s="18">
        <v>27.66</v>
      </c>
      <c r="E9" s="18">
        <v>63.98</v>
      </c>
      <c r="F9" s="18">
        <v>44.99</v>
      </c>
      <c r="G9" s="18">
        <v>16.32</v>
      </c>
      <c r="H9" s="19">
        <f t="shared" si="0"/>
        <v>1105.8699999999999</v>
      </c>
      <c r="I9" s="19">
        <f t="shared" si="1"/>
        <v>123.66999999999985</v>
      </c>
      <c r="J9" s="19">
        <f>J8+H9</f>
        <v>2543.8999999999996</v>
      </c>
      <c r="K9" s="38">
        <v>3.5999999999999997E-2</v>
      </c>
      <c r="L9" s="25"/>
      <c r="M9" s="30">
        <v>183</v>
      </c>
      <c r="N9" s="19">
        <f t="shared" si="10"/>
        <v>2784.8999999999996</v>
      </c>
      <c r="O9" s="19">
        <f t="shared" si="2"/>
        <v>306.66999999999985</v>
      </c>
      <c r="P9" s="38">
        <f t="shared" si="7"/>
        <v>0.31222765220932586</v>
      </c>
      <c r="Q9" s="19">
        <f t="shared" si="8"/>
        <v>2364.3584995365122</v>
      </c>
      <c r="R9" s="20">
        <f t="shared" si="11"/>
        <v>420.54150046348741</v>
      </c>
      <c r="T9" s="40">
        <f t="shared" si="3"/>
        <v>0.42167167167167163</v>
      </c>
      <c r="U9" s="38">
        <f t="shared" si="4"/>
        <v>0.37829464325804857</v>
      </c>
      <c r="V9" s="40">
        <f t="shared" si="5"/>
        <v>0.29660271079035377</v>
      </c>
      <c r="W9" s="41">
        <f t="shared" si="6"/>
        <v>0.27446572843367212</v>
      </c>
    </row>
    <row r="10" spans="1:23" x14ac:dyDescent="0.35">
      <c r="A10" s="22">
        <v>2015</v>
      </c>
      <c r="B10" s="18">
        <v>1028.4000000000001</v>
      </c>
      <c r="C10" s="18">
        <v>154</v>
      </c>
      <c r="D10" s="18">
        <f>(B10-60)*3%</f>
        <v>29.052000000000003</v>
      </c>
      <c r="E10" s="18">
        <v>66.06</v>
      </c>
      <c r="F10" s="18">
        <v>70.05</v>
      </c>
      <c r="G10" s="18">
        <v>24.88</v>
      </c>
      <c r="H10" s="19">
        <f t="shared" si="0"/>
        <v>1182.2180000000003</v>
      </c>
      <c r="I10" s="19">
        <f t="shared" si="1"/>
        <v>153.81800000000021</v>
      </c>
      <c r="J10" s="19">
        <f>J9+H10</f>
        <v>3726.1179999999999</v>
      </c>
      <c r="K10" s="38">
        <v>3.4000000000000002E-2</v>
      </c>
      <c r="L10" s="25"/>
      <c r="M10" s="30">
        <v>202</v>
      </c>
      <c r="N10" s="19">
        <f t="shared" si="10"/>
        <v>4169.1180000000004</v>
      </c>
      <c r="O10" s="19">
        <f t="shared" ref="O10:O18" si="12">I10+M10</f>
        <v>355.81800000000021</v>
      </c>
      <c r="P10" s="38">
        <f t="shared" si="7"/>
        <v>0.34599183197199551</v>
      </c>
      <c r="Q10" s="19">
        <f t="shared" si="8"/>
        <v>3596.3240095087031</v>
      </c>
      <c r="R10" s="20">
        <f t="shared" si="11"/>
        <v>572.79399049129734</v>
      </c>
      <c r="T10" s="40">
        <f t="shared" si="3"/>
        <v>0.43078412391093895</v>
      </c>
      <c r="U10" s="38">
        <f t="shared" si="4"/>
        <v>0.38632161057045372</v>
      </c>
      <c r="V10" s="40">
        <f t="shared" si="5"/>
        <v>0.3010825439783491</v>
      </c>
      <c r="W10" s="41">
        <f t="shared" si="6"/>
        <v>0.27866665831710391</v>
      </c>
    </row>
    <row r="11" spans="1:23" x14ac:dyDescent="0.35">
      <c r="A11" s="22">
        <v>2016</v>
      </c>
      <c r="B11" s="18">
        <f>88.23*12</f>
        <v>1058.76</v>
      </c>
      <c r="C11" s="18">
        <v>154</v>
      </c>
      <c r="D11" s="18">
        <f>(B11-60)*3%</f>
        <v>29.962799999999998</v>
      </c>
      <c r="E11" s="18">
        <f>(60+C11)*3.5%+(B11-60)*4.5%+12*1.25</f>
        <v>67.434200000000004</v>
      </c>
      <c r="F11" s="18">
        <v>96.41</v>
      </c>
      <c r="G11" s="18">
        <v>29.04</v>
      </c>
      <c r="H11" s="19">
        <f t="shared" si="0"/>
        <v>1240.8130000000001</v>
      </c>
      <c r="I11" s="19">
        <f t="shared" si="1"/>
        <v>182.05300000000011</v>
      </c>
      <c r="J11" s="19">
        <f>J10+H11</f>
        <v>4966.9310000000005</v>
      </c>
      <c r="K11" s="38">
        <v>3.1E-2</v>
      </c>
      <c r="L11" s="25"/>
      <c r="M11" s="30">
        <v>228</v>
      </c>
      <c r="N11" s="19">
        <f t="shared" si="10"/>
        <v>5637.9310000000005</v>
      </c>
      <c r="O11" s="19">
        <f t="shared" si="12"/>
        <v>410.05300000000011</v>
      </c>
      <c r="P11" s="38">
        <f t="shared" si="7"/>
        <v>0.38729551550870839</v>
      </c>
      <c r="Q11" s="19">
        <f t="shared" si="8"/>
        <v>4934.3890500792259</v>
      </c>
      <c r="R11" s="20">
        <f>N11-Q11</f>
        <v>703.54194992077464</v>
      </c>
      <c r="T11" s="40">
        <f t="shared" si="3"/>
        <v>0.45981992392508064</v>
      </c>
      <c r="U11" s="38">
        <f t="shared" si="4"/>
        <v>0.41156830148347745</v>
      </c>
      <c r="V11" s="40">
        <f t="shared" si="5"/>
        <v>0.31498400343019228</v>
      </c>
      <c r="W11" s="41">
        <f t="shared" si="6"/>
        <v>0.2915681097761566</v>
      </c>
    </row>
    <row r="12" spans="1:23" x14ac:dyDescent="0.35">
      <c r="A12" s="22">
        <v>2017</v>
      </c>
      <c r="B12" s="50">
        <f>100.09*12</f>
        <v>1201.08</v>
      </c>
      <c r="C12" s="50">
        <v>154</v>
      </c>
      <c r="D12" s="18">
        <f>(B12-60)*3%</f>
        <v>34.232399999999998</v>
      </c>
      <c r="E12" s="18">
        <f>(60+C12)*3.5%+(B12-60)*4.5%+12*1.25</f>
        <v>73.8386</v>
      </c>
      <c r="F12" s="18">
        <v>125.27</v>
      </c>
      <c r="G12" s="18">
        <v>2.04</v>
      </c>
      <c r="H12" s="19">
        <f t="shared" si="0"/>
        <v>1374.3189999999997</v>
      </c>
      <c r="I12" s="19">
        <f t="shared" si="1"/>
        <v>173.23899999999981</v>
      </c>
      <c r="J12" s="19">
        <f>J11+H12</f>
        <v>6341.25</v>
      </c>
      <c r="K12" s="38">
        <v>2.75E-2</v>
      </c>
      <c r="L12" s="26"/>
      <c r="M12" s="30">
        <v>285</v>
      </c>
      <c r="N12" s="19">
        <f>N11+H12+M12</f>
        <v>7297.25</v>
      </c>
      <c r="O12" s="19">
        <f t="shared" si="12"/>
        <v>458.23899999999981</v>
      </c>
      <c r="P12" s="49">
        <f t="shared" si="7"/>
        <v>0.38152246311652832</v>
      </c>
      <c r="Q12" s="19">
        <f t="shared" si="8"/>
        <v>6503.5971930839796</v>
      </c>
      <c r="R12" s="20">
        <f>N12-Q12</f>
        <v>793.65280691602038</v>
      </c>
      <c r="T12" s="40">
        <f t="shared" si="3"/>
        <v>0.47921578901405992</v>
      </c>
      <c r="U12" s="49">
        <f t="shared" si="4"/>
        <v>0.42864772870406814</v>
      </c>
      <c r="V12" s="40">
        <f t="shared" si="5"/>
        <v>0.32396611270183312</v>
      </c>
      <c r="W12" s="41">
        <f t="shared" si="6"/>
        <v>0.30003738506825339</v>
      </c>
    </row>
    <row r="13" spans="1:23" x14ac:dyDescent="0.35">
      <c r="A13" s="22">
        <v>2018</v>
      </c>
      <c r="B13" s="18">
        <f>106*12</f>
        <v>1272</v>
      </c>
      <c r="C13" s="18">
        <v>154</v>
      </c>
      <c r="D13" s="18">
        <v>36.18</v>
      </c>
      <c r="E13" s="18">
        <v>76.97</v>
      </c>
      <c r="F13" s="18">
        <v>156.44</v>
      </c>
      <c r="G13" s="18">
        <v>2.04</v>
      </c>
      <c r="H13" s="19">
        <f t="shared" si="0"/>
        <v>1471.33</v>
      </c>
      <c r="I13" s="19">
        <f t="shared" si="1"/>
        <v>199.32999999999993</v>
      </c>
      <c r="J13" s="19">
        <v>7812.6</v>
      </c>
      <c r="K13" s="38">
        <v>2.5000000000000001E-2</v>
      </c>
      <c r="L13" s="26"/>
      <c r="M13" s="30">
        <v>318</v>
      </c>
      <c r="N13" s="19">
        <f>N12+H13+M13</f>
        <v>9086.58</v>
      </c>
      <c r="O13" s="19">
        <f t="shared" si="12"/>
        <v>517.32999999999993</v>
      </c>
      <c r="P13" s="49">
        <f t="shared" si="7"/>
        <v>0.40670597484276722</v>
      </c>
      <c r="Q13" s="19">
        <f t="shared" si="8"/>
        <v>8242.1330246690195</v>
      </c>
      <c r="R13" s="20">
        <f>N13-Q13</f>
        <v>844.44697533098042</v>
      </c>
      <c r="T13" s="40">
        <f t="shared" si="3"/>
        <v>0.4947589098532495</v>
      </c>
      <c r="U13" s="49">
        <f t="shared" si="4"/>
        <v>0.4422995830014525</v>
      </c>
      <c r="V13" s="40">
        <f t="shared" si="5"/>
        <v>0.33099579242636745</v>
      </c>
      <c r="W13" s="41">
        <f t="shared" si="6"/>
        <v>0.30666276841113599</v>
      </c>
    </row>
    <row r="14" spans="1:23" x14ac:dyDescent="0.35">
      <c r="A14" s="22">
        <v>2019</v>
      </c>
      <c r="B14" s="18">
        <f>120.32*12</f>
        <v>1443.84</v>
      </c>
      <c r="C14" s="18">
        <v>175</v>
      </c>
      <c r="D14" s="18">
        <v>41.71</v>
      </c>
      <c r="E14" s="18">
        <v>85.56</v>
      </c>
      <c r="F14" s="18">
        <v>189.53</v>
      </c>
      <c r="G14" s="18">
        <f>2.45</f>
        <v>2.4500000000000002</v>
      </c>
      <c r="H14" s="19">
        <f t="shared" si="0"/>
        <v>1683.55</v>
      </c>
      <c r="I14" s="19">
        <f>H14-B14</f>
        <v>239.71000000000004</v>
      </c>
      <c r="J14" s="19">
        <f>J13+H14</f>
        <v>9496.15</v>
      </c>
      <c r="K14" s="38">
        <v>2.2499999999999999E-2</v>
      </c>
      <c r="L14" s="26"/>
      <c r="M14" s="30">
        <v>413</v>
      </c>
      <c r="N14" s="19">
        <f>N13+H14+M14</f>
        <v>11183.13</v>
      </c>
      <c r="O14" s="19">
        <f t="shared" si="12"/>
        <v>652.71</v>
      </c>
      <c r="P14" s="49">
        <f t="shared" si="7"/>
        <v>0.4520653257978724</v>
      </c>
      <c r="Q14" s="19">
        <f t="shared" si="8"/>
        <v>10267.131406149161</v>
      </c>
      <c r="R14" s="20">
        <f>N14-Q14</f>
        <v>915.99859385083801</v>
      </c>
      <c r="T14" s="53">
        <f t="shared" si="3"/>
        <v>0.57040859881261885</v>
      </c>
      <c r="U14" s="49">
        <f t="shared" si="4"/>
        <v>0.50772379134969914</v>
      </c>
      <c r="V14" s="53">
        <f t="shared" si="5"/>
        <v>0.36322304860270321</v>
      </c>
      <c r="W14" s="54">
        <f t="shared" si="6"/>
        <v>0.3367485439061686</v>
      </c>
    </row>
    <row r="15" spans="1:23" x14ac:dyDescent="0.35">
      <c r="A15" s="22">
        <v>2020</v>
      </c>
      <c r="B15" s="18">
        <f>140.58*12</f>
        <v>1686.96</v>
      </c>
      <c r="C15" s="18">
        <v>175</v>
      </c>
      <c r="D15" s="18">
        <v>48.83</v>
      </c>
      <c r="E15" s="18">
        <v>96.44</v>
      </c>
      <c r="F15" s="18">
        <v>225.24</v>
      </c>
      <c r="G15" s="18">
        <v>3.21</v>
      </c>
      <c r="H15" s="19">
        <f>B15+C15-D15-E15+F15+G15</f>
        <v>1945.14</v>
      </c>
      <c r="I15" s="19">
        <f t="shared" si="1"/>
        <v>258.18000000000006</v>
      </c>
      <c r="J15" s="19">
        <f>J14+H15</f>
        <v>11441.289999999999</v>
      </c>
      <c r="K15" s="38">
        <v>1.7500000000000002E-2</v>
      </c>
      <c r="L15" s="26"/>
      <c r="M15" s="30">
        <v>579</v>
      </c>
      <c r="N15" s="19">
        <f>N14+H15+M15</f>
        <v>13707.269999999999</v>
      </c>
      <c r="O15" s="19">
        <f t="shared" si="12"/>
        <v>837.18000000000006</v>
      </c>
      <c r="P15" s="49">
        <f t="shared" si="7"/>
        <v>0.49626547161758433</v>
      </c>
      <c r="Q15" s="19">
        <f t="shared" si="8"/>
        <v>12671.336890518111</v>
      </c>
      <c r="R15" s="20">
        <f>N15-Q15</f>
        <v>1035.9331094818881</v>
      </c>
      <c r="T15" s="53">
        <f>(C15+M15)/(B15-M15)</f>
        <v>0.68052998303187839</v>
      </c>
      <c r="U15" s="49">
        <f t="shared" si="4"/>
        <v>0.60164534841968353</v>
      </c>
      <c r="V15" s="53">
        <f t="shared" si="5"/>
        <v>0.40494962297793724</v>
      </c>
      <c r="W15" s="54">
        <f t="shared" si="6"/>
        <v>0.37564205397488082</v>
      </c>
    </row>
    <row r="16" spans="1:23" x14ac:dyDescent="0.35">
      <c r="A16" s="22">
        <v>2021</v>
      </c>
      <c r="B16" s="55">
        <f>100.09*12</f>
        <v>1201.08</v>
      </c>
      <c r="C16" s="55">
        <v>175</v>
      </c>
      <c r="D16" s="18">
        <v>32.409999999999997</v>
      </c>
      <c r="E16" s="18">
        <v>78.239999999999995</v>
      </c>
      <c r="F16" s="18">
        <v>267.86</v>
      </c>
      <c r="G16" s="18">
        <v>3.86</v>
      </c>
      <c r="H16" s="19">
        <f>B16+C16-D16-E16+F16+G16</f>
        <v>1537.1499999999999</v>
      </c>
      <c r="I16" s="19">
        <f t="shared" si="1"/>
        <v>336.06999999999994</v>
      </c>
      <c r="J16" s="19">
        <f>J15+H16</f>
        <v>12978.439999999999</v>
      </c>
      <c r="K16" s="38">
        <v>1.2500000000000001E-2</v>
      </c>
      <c r="L16" s="26"/>
      <c r="M16" s="57">
        <v>117</v>
      </c>
      <c r="N16" s="19">
        <f t="shared" ref="N16:N18" si="13">N15+H16+M16</f>
        <v>15361.419999999998</v>
      </c>
      <c r="O16" s="19">
        <f t="shared" si="12"/>
        <v>453.06999999999994</v>
      </c>
      <c r="P16" s="49">
        <f t="shared" si="7"/>
        <v>0.37721883638059078</v>
      </c>
      <c r="Q16" s="19">
        <f t="shared" si="8"/>
        <v>14704.761903949198</v>
      </c>
      <c r="R16" s="20">
        <f t="shared" ref="R16:R18" si="14">N16-Q16</f>
        <v>656.65809605079994</v>
      </c>
      <c r="T16" s="40">
        <f>(C16+M16)/(B16-M16)</f>
        <v>0.26935281529038452</v>
      </c>
      <c r="U16" s="49">
        <f t="shared" si="4"/>
        <v>0.24440668602947946</v>
      </c>
      <c r="V16" s="40">
        <f t="shared" si="5"/>
        <v>0.21219696529271556</v>
      </c>
      <c r="W16" s="41">
        <f t="shared" si="6"/>
        <v>0.19640418905921048</v>
      </c>
    </row>
    <row r="17" spans="1:23" x14ac:dyDescent="0.35">
      <c r="A17" s="22">
        <v>2022</v>
      </c>
      <c r="B17" s="55">
        <f>100.09*12</f>
        <v>1201.08</v>
      </c>
      <c r="C17" s="56">
        <f>175+300</f>
        <v>475</v>
      </c>
      <c r="D17" s="18">
        <v>43.86</v>
      </c>
      <c r="E17" s="18">
        <v>88.28</v>
      </c>
      <c r="F17" s="18">
        <v>299.54000000000002</v>
      </c>
      <c r="G17" s="18">
        <v>2.2200000000000002</v>
      </c>
      <c r="H17" s="19">
        <f>B17+C17-D17-E17+F17+G17</f>
        <v>1845.7</v>
      </c>
      <c r="I17" s="19">
        <f>H17-B17</f>
        <v>644.62000000000012</v>
      </c>
      <c r="J17" s="19">
        <f>J16+H17</f>
        <v>14824.14</v>
      </c>
      <c r="K17" s="38">
        <v>8.9999999999999993E-3</v>
      </c>
      <c r="L17" s="26"/>
      <c r="M17" s="30">
        <v>142</v>
      </c>
      <c r="N17" s="19">
        <f t="shared" si="13"/>
        <v>17349.12</v>
      </c>
      <c r="O17" s="19">
        <f t="shared" si="12"/>
        <v>786.62000000000012</v>
      </c>
      <c r="P17" s="49">
        <f t="shared" si="7"/>
        <v>0.65492723215772486</v>
      </c>
      <c r="Q17" s="19">
        <f t="shared" si="8"/>
        <v>16860.19241818615</v>
      </c>
      <c r="R17" s="20">
        <f t="shared" si="14"/>
        <v>488.92758181384852</v>
      </c>
      <c r="T17" s="40">
        <f>(C17+M17)/(B17-M17)</f>
        <v>0.58258110813158592</v>
      </c>
      <c r="U17" s="49">
        <f t="shared" si="4"/>
        <v>0.51795638085324303</v>
      </c>
      <c r="V17" s="40">
        <f t="shared" si="5"/>
        <v>0.36812085341988449</v>
      </c>
      <c r="W17" s="41">
        <f t="shared" si="6"/>
        <v>0.34121954186990527</v>
      </c>
    </row>
    <row r="18" spans="1:23" x14ac:dyDescent="0.35">
      <c r="A18" s="22">
        <v>2023</v>
      </c>
      <c r="B18" s="55">
        <f>100.09*12</f>
        <v>1201.08</v>
      </c>
      <c r="C18" s="56">
        <f>-38.42-65.87+351.09</f>
        <v>246.79999999999995</v>
      </c>
      <c r="D18" s="18">
        <v>40.14</v>
      </c>
      <c r="E18" s="18">
        <v>82.7</v>
      </c>
      <c r="F18" s="18">
        <v>336.17</v>
      </c>
      <c r="G18" s="18">
        <v>4.9400000000000004</v>
      </c>
      <c r="H18" s="19">
        <f>B18+C18-D18-E18+F18+G18</f>
        <v>1666.1499999999999</v>
      </c>
      <c r="I18" s="19">
        <f>H18-B18</f>
        <v>465.06999999999994</v>
      </c>
      <c r="J18" s="19">
        <f>J17+H18</f>
        <v>16490.29</v>
      </c>
      <c r="K18" s="38">
        <v>1.2500000000000001E-2</v>
      </c>
      <c r="L18" s="26"/>
      <c r="M18" s="30">
        <v>213</v>
      </c>
      <c r="N18" s="19">
        <f t="shared" si="13"/>
        <v>19228.27</v>
      </c>
      <c r="O18" s="19">
        <f t="shared" si="12"/>
        <v>678.06999999999994</v>
      </c>
      <c r="P18" s="49">
        <f t="shared" si="7"/>
        <v>0.56455023811902616</v>
      </c>
      <c r="Q18" s="19">
        <f t="shared" si="8"/>
        <v>19144.94876327732</v>
      </c>
      <c r="R18" s="20">
        <f t="shared" si="14"/>
        <v>83.321236722680624</v>
      </c>
      <c r="T18" s="40">
        <f>(C18+M18)/(B18-M18)</f>
        <v>0.46534693547081207</v>
      </c>
      <c r="U18" s="49">
        <f t="shared" si="4"/>
        <v>0.41389118928455687</v>
      </c>
      <c r="V18" s="40">
        <f t="shared" si="5"/>
        <v>0.31756775423377626</v>
      </c>
      <c r="W18" s="41">
        <f t="shared" si="6"/>
        <v>0.29273199551797896</v>
      </c>
    </row>
    <row r="19" spans="1:23" x14ac:dyDescent="0.35">
      <c r="A19" s="22">
        <v>2024</v>
      </c>
      <c r="B19" s="55"/>
      <c r="C19" s="18"/>
      <c r="D19" s="18"/>
      <c r="E19" s="18"/>
      <c r="F19" s="18"/>
      <c r="G19" s="18"/>
      <c r="H19" s="19"/>
      <c r="I19" s="19"/>
      <c r="K19" s="38"/>
      <c r="L19" s="26"/>
      <c r="M19" s="30"/>
      <c r="O19" s="19"/>
      <c r="Q19" s="19"/>
      <c r="R19" s="21"/>
      <c r="T19" s="26"/>
      <c r="V19" s="26"/>
      <c r="W19" s="21"/>
    </row>
    <row r="20" spans="1:23" x14ac:dyDescent="0.35">
      <c r="A20" s="22">
        <v>2025</v>
      </c>
      <c r="B20" s="18"/>
      <c r="C20" s="18"/>
      <c r="D20" s="18"/>
      <c r="E20" s="18"/>
      <c r="F20" s="18"/>
      <c r="G20" s="18"/>
      <c r="H20" s="19"/>
      <c r="I20" s="19"/>
      <c r="K20" s="38"/>
      <c r="L20" s="26"/>
      <c r="M20" s="30"/>
      <c r="Q20" s="19"/>
      <c r="R20" s="21"/>
      <c r="T20" s="26"/>
      <c r="V20" s="26"/>
      <c r="W20" s="21"/>
    </row>
    <row r="21" spans="1:23" x14ac:dyDescent="0.35">
      <c r="A21" s="22">
        <v>2026</v>
      </c>
      <c r="B21" s="18"/>
      <c r="C21" s="18"/>
      <c r="D21" s="18"/>
      <c r="E21" s="18"/>
      <c r="F21" s="18"/>
      <c r="G21" s="18"/>
      <c r="H21" s="19"/>
      <c r="I21" s="19"/>
      <c r="K21" s="38"/>
      <c r="L21" s="26"/>
      <c r="M21" s="30"/>
      <c r="Q21" s="19"/>
      <c r="R21" s="21"/>
      <c r="T21" s="26"/>
      <c r="V21" s="26"/>
      <c r="W21" s="21"/>
    </row>
    <row r="22" spans="1:23" x14ac:dyDescent="0.35">
      <c r="A22" s="22">
        <v>2027</v>
      </c>
      <c r="B22" s="18"/>
      <c r="C22" s="18"/>
      <c r="D22" s="18"/>
      <c r="E22" s="18"/>
      <c r="F22" s="18"/>
      <c r="G22" s="18"/>
      <c r="H22" s="19"/>
      <c r="I22" s="19"/>
      <c r="K22" s="38"/>
      <c r="L22" s="26"/>
      <c r="M22" s="30"/>
      <c r="Q22" s="19"/>
      <c r="R22" s="21"/>
      <c r="T22" s="26"/>
      <c r="V22" s="26"/>
      <c r="W22" s="21"/>
    </row>
    <row r="23" spans="1:23" x14ac:dyDescent="0.35">
      <c r="A23" s="22">
        <v>2028</v>
      </c>
      <c r="B23" s="18"/>
      <c r="C23" s="18"/>
      <c r="D23" s="18"/>
      <c r="E23" s="18"/>
      <c r="F23" s="18"/>
      <c r="G23" s="18"/>
      <c r="H23" s="19"/>
      <c r="I23" s="19"/>
      <c r="K23" s="38"/>
      <c r="L23" s="26"/>
      <c r="M23" s="30"/>
      <c r="Q23" s="19"/>
      <c r="R23" s="21"/>
      <c r="T23" s="26"/>
      <c r="V23" s="26"/>
      <c r="W23" s="21"/>
    </row>
    <row r="24" spans="1:23" x14ac:dyDescent="0.35">
      <c r="A24" s="22">
        <v>2029</v>
      </c>
      <c r="B24" s="18"/>
      <c r="C24" s="18"/>
      <c r="D24" s="18"/>
      <c r="E24" s="18"/>
      <c r="F24" s="18"/>
      <c r="G24" s="18"/>
      <c r="H24" s="19"/>
      <c r="I24" s="19"/>
      <c r="K24" s="38"/>
      <c r="L24" s="26"/>
      <c r="M24" s="30"/>
      <c r="Q24" s="19"/>
      <c r="R24" s="21"/>
      <c r="T24" s="26"/>
      <c r="V24" s="26"/>
      <c r="W24" s="21"/>
    </row>
    <row r="25" spans="1:23" x14ac:dyDescent="0.35">
      <c r="A25" s="22">
        <v>2030</v>
      </c>
      <c r="B25" s="18"/>
      <c r="C25" s="18"/>
      <c r="D25" s="18"/>
      <c r="E25" s="18"/>
      <c r="F25" s="18"/>
      <c r="G25" s="18"/>
      <c r="H25" s="19"/>
      <c r="I25" s="19"/>
      <c r="K25" s="38"/>
      <c r="L25" s="26"/>
      <c r="M25" s="30"/>
      <c r="Q25" s="19"/>
      <c r="R25" s="21"/>
      <c r="T25" s="26"/>
      <c r="V25" s="26"/>
      <c r="W25" s="21"/>
    </row>
    <row r="26" spans="1:23" x14ac:dyDescent="0.35">
      <c r="A26" s="22">
        <v>2031</v>
      </c>
      <c r="B26" s="18"/>
      <c r="C26" s="18"/>
      <c r="D26" s="18"/>
      <c r="E26" s="18"/>
      <c r="F26" s="18"/>
      <c r="G26" s="18"/>
      <c r="H26" s="19"/>
      <c r="I26" s="19"/>
      <c r="K26" s="38"/>
      <c r="L26" s="26"/>
      <c r="M26" s="30"/>
      <c r="Q26" s="19"/>
      <c r="R26" s="21"/>
      <c r="T26" s="26"/>
      <c r="V26" s="26"/>
      <c r="W26" s="21"/>
    </row>
    <row r="27" spans="1:23" x14ac:dyDescent="0.35">
      <c r="A27" s="22">
        <v>2032</v>
      </c>
      <c r="B27" s="18"/>
      <c r="C27" s="18"/>
      <c r="D27" s="18"/>
      <c r="E27" s="18"/>
      <c r="F27" s="18"/>
      <c r="G27" s="18"/>
      <c r="H27" s="19"/>
      <c r="I27" s="19"/>
      <c r="K27" s="38"/>
      <c r="L27" s="26"/>
      <c r="M27" s="30"/>
      <c r="Q27" s="19"/>
      <c r="R27" s="21"/>
      <c r="T27" s="26"/>
      <c r="V27" s="26"/>
      <c r="W27" s="21"/>
    </row>
    <row r="28" spans="1:23" x14ac:dyDescent="0.35">
      <c r="A28" s="22">
        <v>2033</v>
      </c>
      <c r="B28" s="18"/>
      <c r="C28" s="18"/>
      <c r="D28" s="18"/>
      <c r="E28" s="18"/>
      <c r="F28" s="18"/>
      <c r="G28" s="18"/>
      <c r="H28" s="19"/>
      <c r="I28" s="19"/>
      <c r="K28" s="38"/>
      <c r="L28" s="26"/>
      <c r="M28" s="30"/>
      <c r="Q28" s="19"/>
      <c r="R28" s="21"/>
      <c r="T28" s="26"/>
      <c r="V28" s="26"/>
      <c r="W28" s="21"/>
    </row>
    <row r="29" spans="1:23" x14ac:dyDescent="0.35">
      <c r="A29" s="22">
        <v>2034</v>
      </c>
      <c r="B29" s="18"/>
      <c r="C29" s="18"/>
      <c r="D29" s="18"/>
      <c r="E29" s="18"/>
      <c r="F29" s="18"/>
      <c r="G29" s="18"/>
      <c r="H29" s="19"/>
      <c r="I29" s="19"/>
      <c r="K29" s="38"/>
      <c r="L29" s="26"/>
      <c r="M29" s="30"/>
      <c r="Q29" s="19"/>
      <c r="R29" s="21"/>
      <c r="T29" s="26"/>
      <c r="V29" s="26"/>
      <c r="W29" s="21"/>
    </row>
    <row r="30" spans="1:23" x14ac:dyDescent="0.35">
      <c r="A30" s="22">
        <v>2035</v>
      </c>
      <c r="B30" s="18"/>
      <c r="C30" s="18"/>
      <c r="D30" s="18"/>
      <c r="E30" s="18"/>
      <c r="F30" s="18"/>
      <c r="G30" s="18"/>
      <c r="H30" s="19"/>
      <c r="I30" s="19"/>
      <c r="K30" s="38"/>
      <c r="L30" s="26"/>
      <c r="M30" s="30"/>
      <c r="Q30" s="19"/>
      <c r="R30" s="21"/>
      <c r="T30" s="26"/>
      <c r="V30" s="26"/>
      <c r="W30" s="21"/>
    </row>
    <row r="31" spans="1:23" x14ac:dyDescent="0.35">
      <c r="A31" s="22">
        <v>2036</v>
      </c>
      <c r="B31" s="18"/>
      <c r="C31" s="18"/>
      <c r="D31" s="18"/>
      <c r="E31" s="18"/>
      <c r="F31" s="18"/>
      <c r="G31" s="18"/>
      <c r="H31" s="19"/>
      <c r="I31" s="19"/>
      <c r="K31" s="38"/>
      <c r="L31" s="26"/>
      <c r="M31" s="30"/>
      <c r="Q31" s="19"/>
      <c r="R31" s="21"/>
      <c r="T31" s="26"/>
      <c r="V31" s="26"/>
      <c r="W31" s="21"/>
    </row>
    <row r="32" spans="1:23" x14ac:dyDescent="0.35">
      <c r="A32" s="22">
        <v>2037</v>
      </c>
      <c r="B32" s="18"/>
      <c r="C32" s="18"/>
      <c r="D32" s="18"/>
      <c r="E32" s="18"/>
      <c r="F32" s="18"/>
      <c r="G32" s="18"/>
      <c r="H32" s="19"/>
      <c r="I32" s="19"/>
      <c r="K32" s="38"/>
      <c r="L32" s="26"/>
      <c r="M32" s="30"/>
      <c r="Q32" s="19"/>
      <c r="R32" s="21"/>
      <c r="T32" s="26"/>
      <c r="V32" s="26"/>
      <c r="W32" s="21"/>
    </row>
    <row r="33" spans="1:23" x14ac:dyDescent="0.35">
      <c r="A33" s="22">
        <v>2038</v>
      </c>
      <c r="B33" s="18"/>
      <c r="C33" s="18"/>
      <c r="D33" s="18"/>
      <c r="E33" s="18"/>
      <c r="F33" s="18"/>
      <c r="G33" s="18"/>
      <c r="H33" s="19"/>
      <c r="I33" s="19"/>
      <c r="K33" s="38"/>
      <c r="L33" s="26"/>
      <c r="M33" s="30"/>
      <c r="Q33" s="19"/>
      <c r="R33" s="21"/>
      <c r="T33" s="26"/>
      <c r="V33" s="26"/>
      <c r="W33" s="21"/>
    </row>
    <row r="34" spans="1:23" x14ac:dyDescent="0.35">
      <c r="A34" s="22">
        <v>2039</v>
      </c>
      <c r="B34" s="18"/>
      <c r="C34" s="18"/>
      <c r="D34" s="18"/>
      <c r="E34" s="18"/>
      <c r="F34" s="18"/>
      <c r="G34" s="18"/>
      <c r="H34" s="19"/>
      <c r="I34" s="19"/>
      <c r="K34" s="38"/>
      <c r="L34" s="26"/>
      <c r="M34" s="30"/>
      <c r="Q34" s="19"/>
      <c r="R34" s="21"/>
      <c r="T34" s="26"/>
      <c r="V34" s="26"/>
      <c r="W34" s="21"/>
    </row>
    <row r="35" spans="1:23" x14ac:dyDescent="0.35">
      <c r="A35" s="22">
        <v>2040</v>
      </c>
      <c r="B35" s="18"/>
      <c r="C35" s="18"/>
      <c r="D35" s="18"/>
      <c r="E35" s="18"/>
      <c r="F35" s="18"/>
      <c r="G35" s="18"/>
      <c r="H35" s="19"/>
      <c r="I35" s="19"/>
      <c r="K35" s="38"/>
      <c r="L35" s="26"/>
      <c r="M35" s="30"/>
      <c r="Q35" s="19"/>
      <c r="R35" s="21"/>
      <c r="T35" s="26"/>
      <c r="V35" s="26"/>
      <c r="W35" s="21"/>
    </row>
    <row r="36" spans="1:23" x14ac:dyDescent="0.35">
      <c r="A36" s="22">
        <v>2041</v>
      </c>
      <c r="B36" s="18"/>
      <c r="C36" s="18"/>
      <c r="D36" s="18"/>
      <c r="E36" s="18"/>
      <c r="F36" s="18"/>
      <c r="G36" s="18"/>
      <c r="H36" s="19"/>
      <c r="I36" s="19"/>
      <c r="K36" s="38"/>
      <c r="L36" s="26"/>
      <c r="M36" s="30"/>
      <c r="Q36" s="19"/>
      <c r="R36" s="21"/>
      <c r="T36" s="26"/>
      <c r="V36" s="26"/>
      <c r="W36" s="21"/>
    </row>
    <row r="37" spans="1:23" x14ac:dyDescent="0.35">
      <c r="A37" s="22">
        <v>2042</v>
      </c>
      <c r="B37" s="18"/>
      <c r="C37" s="18"/>
      <c r="D37" s="18"/>
      <c r="E37" s="18"/>
      <c r="F37" s="18"/>
      <c r="G37" s="18"/>
      <c r="H37" s="19"/>
      <c r="I37" s="19"/>
      <c r="K37" s="38"/>
      <c r="L37" s="26"/>
      <c r="M37" s="30"/>
      <c r="Q37" s="19"/>
      <c r="R37" s="21"/>
      <c r="T37" s="26"/>
      <c r="V37" s="26"/>
      <c r="W37" s="21"/>
    </row>
    <row r="38" spans="1:23" x14ac:dyDescent="0.35">
      <c r="A38" s="22">
        <v>2043</v>
      </c>
      <c r="B38" s="18"/>
      <c r="C38" s="18"/>
      <c r="D38" s="18"/>
      <c r="E38" s="18"/>
      <c r="F38" s="18"/>
      <c r="G38" s="18"/>
      <c r="H38" s="19"/>
      <c r="I38" s="19"/>
      <c r="K38" s="38"/>
      <c r="L38" s="26"/>
      <c r="M38" s="30"/>
      <c r="Q38" s="19"/>
      <c r="R38" s="21"/>
      <c r="T38" s="26"/>
      <c r="V38" s="26"/>
      <c r="W38" s="21"/>
    </row>
    <row r="39" spans="1:23" x14ac:dyDescent="0.35">
      <c r="A39" s="22">
        <v>2044</v>
      </c>
      <c r="B39" s="18"/>
      <c r="C39" s="18"/>
      <c r="D39" s="18"/>
      <c r="E39" s="18"/>
      <c r="F39" s="18"/>
      <c r="G39" s="18"/>
      <c r="H39" s="19"/>
      <c r="I39" s="19"/>
      <c r="K39" s="38"/>
      <c r="L39" s="26"/>
      <c r="M39" s="30"/>
      <c r="Q39" s="19"/>
      <c r="R39" s="21"/>
      <c r="T39" s="26"/>
      <c r="V39" s="26"/>
      <c r="W39" s="21"/>
    </row>
    <row r="40" spans="1:23" x14ac:dyDescent="0.35">
      <c r="A40" s="22">
        <v>2045</v>
      </c>
      <c r="B40" s="18"/>
      <c r="C40" s="18"/>
      <c r="D40" s="18"/>
      <c r="E40" s="18"/>
      <c r="F40" s="18"/>
      <c r="G40" s="18"/>
      <c r="H40" s="19"/>
      <c r="I40" s="19"/>
      <c r="K40" s="38"/>
      <c r="L40" s="26"/>
      <c r="M40" s="30"/>
      <c r="Q40" s="19"/>
      <c r="R40" s="21"/>
      <c r="T40" s="26"/>
      <c r="V40" s="26"/>
      <c r="W40" s="21"/>
    </row>
    <row r="41" spans="1:23" x14ac:dyDescent="0.35">
      <c r="A41" s="22">
        <v>2046</v>
      </c>
      <c r="B41" s="18"/>
      <c r="C41" s="18"/>
      <c r="D41" s="18"/>
      <c r="E41" s="18"/>
      <c r="F41" s="18"/>
      <c r="G41" s="18"/>
      <c r="H41" s="19"/>
      <c r="I41" s="19"/>
      <c r="K41" s="38"/>
      <c r="L41" s="26"/>
      <c r="M41" s="30"/>
      <c r="Q41" s="19"/>
      <c r="R41" s="21"/>
      <c r="T41" s="26"/>
      <c r="V41" s="26"/>
      <c r="W41" s="21"/>
    </row>
    <row r="42" spans="1:23" x14ac:dyDescent="0.35">
      <c r="A42" s="22">
        <v>2047</v>
      </c>
      <c r="B42" s="18"/>
      <c r="C42" s="18"/>
      <c r="D42" s="18"/>
      <c r="E42" s="18"/>
      <c r="F42" s="18"/>
      <c r="G42" s="18"/>
      <c r="H42" s="19"/>
      <c r="I42" s="19"/>
      <c r="K42" s="38"/>
      <c r="L42" s="26"/>
      <c r="M42" s="30"/>
      <c r="Q42" s="19"/>
      <c r="R42" s="21"/>
      <c r="T42" s="26"/>
      <c r="V42" s="26"/>
      <c r="W42" s="21"/>
    </row>
    <row r="43" spans="1:23" x14ac:dyDescent="0.35">
      <c r="A43" s="22">
        <v>2048</v>
      </c>
      <c r="B43" s="18"/>
      <c r="C43" s="18"/>
      <c r="D43" s="18"/>
      <c r="E43" s="18"/>
      <c r="F43" s="18"/>
      <c r="G43" s="18"/>
      <c r="H43" s="19"/>
      <c r="I43" s="19"/>
      <c r="K43" s="38"/>
      <c r="L43" s="26"/>
      <c r="M43" s="30"/>
      <c r="Q43" s="19"/>
      <c r="R43" s="21"/>
      <c r="T43" s="26"/>
      <c r="V43" s="26"/>
      <c r="W43" s="21"/>
    </row>
    <row r="44" spans="1:23" x14ac:dyDescent="0.35">
      <c r="A44" s="22">
        <v>2049</v>
      </c>
      <c r="B44" s="18"/>
      <c r="C44" s="18"/>
      <c r="D44" s="18"/>
      <c r="E44" s="18"/>
      <c r="F44" s="18"/>
      <c r="G44" s="18"/>
      <c r="H44" s="19"/>
      <c r="I44" s="19"/>
      <c r="K44" s="38"/>
      <c r="L44" s="26"/>
      <c r="M44" s="30"/>
      <c r="Q44" s="19"/>
      <c r="R44" s="21"/>
      <c r="T44" s="26"/>
      <c r="V44" s="26"/>
      <c r="W44" s="21"/>
    </row>
    <row r="45" spans="1:23" x14ac:dyDescent="0.35">
      <c r="A45" s="22">
        <v>2050</v>
      </c>
      <c r="B45" s="18"/>
      <c r="C45" s="18"/>
      <c r="D45" s="18"/>
      <c r="E45" s="18"/>
      <c r="F45" s="18"/>
      <c r="G45" s="18"/>
      <c r="H45" s="19"/>
      <c r="I45" s="19"/>
      <c r="K45" s="38"/>
      <c r="L45" s="26"/>
      <c r="M45" s="30"/>
      <c r="Q45" s="19"/>
      <c r="R45" s="21"/>
      <c r="T45" s="26"/>
      <c r="V45" s="26"/>
      <c r="W45" s="21"/>
    </row>
    <row r="46" spans="1:23" x14ac:dyDescent="0.35">
      <c r="A46" s="22">
        <v>2051</v>
      </c>
      <c r="B46" s="18"/>
      <c r="C46" s="18"/>
      <c r="D46" s="18"/>
      <c r="E46" s="18"/>
      <c r="F46" s="18"/>
      <c r="G46" s="18"/>
      <c r="H46" s="19"/>
      <c r="I46" s="19"/>
      <c r="K46" s="38"/>
      <c r="L46" s="26"/>
      <c r="M46" s="30"/>
      <c r="Q46" s="19"/>
      <c r="R46" s="21"/>
      <c r="T46" s="26"/>
      <c r="V46" s="26"/>
      <c r="W46" s="21"/>
    </row>
    <row r="47" spans="1:23" x14ac:dyDescent="0.35">
      <c r="A47" s="22">
        <v>2052</v>
      </c>
      <c r="B47" s="18"/>
      <c r="C47" s="18"/>
      <c r="D47" s="18"/>
      <c r="E47" s="18"/>
      <c r="F47" s="18"/>
      <c r="G47" s="18"/>
      <c r="H47" s="19"/>
      <c r="I47" s="19"/>
      <c r="K47" s="38"/>
      <c r="L47" s="26"/>
      <c r="M47" s="30"/>
      <c r="Q47" s="19"/>
      <c r="R47" s="21"/>
      <c r="T47" s="26"/>
      <c r="V47" s="26"/>
      <c r="W47" s="21"/>
    </row>
    <row r="48" spans="1:23" x14ac:dyDescent="0.35">
      <c r="A48" s="22">
        <v>2053</v>
      </c>
      <c r="B48" s="18"/>
      <c r="C48" s="18"/>
      <c r="D48" s="18"/>
      <c r="E48" s="18"/>
      <c r="F48" s="18"/>
      <c r="G48" s="18"/>
      <c r="H48" s="19"/>
      <c r="I48" s="19"/>
      <c r="K48" s="38"/>
      <c r="L48" s="26"/>
      <c r="M48" s="30"/>
      <c r="Q48" s="19"/>
      <c r="R48" s="21"/>
      <c r="T48" s="26"/>
      <c r="V48" s="26"/>
      <c r="W48" s="21"/>
    </row>
    <row r="49" spans="1:23" x14ac:dyDescent="0.35">
      <c r="A49" s="22">
        <v>2054</v>
      </c>
      <c r="B49" s="18"/>
      <c r="C49" s="18"/>
      <c r="D49" s="18"/>
      <c r="E49" s="18"/>
      <c r="F49" s="18"/>
      <c r="G49" s="18"/>
      <c r="H49" s="19"/>
      <c r="I49" s="19"/>
      <c r="K49" s="38"/>
      <c r="L49" s="26"/>
      <c r="M49" s="30"/>
      <c r="Q49" s="19"/>
      <c r="R49" s="21"/>
      <c r="T49" s="26"/>
      <c r="V49" s="26"/>
      <c r="W49" s="21"/>
    </row>
    <row r="50" spans="1:23" ht="15" thickBot="1" x14ac:dyDescent="0.4">
      <c r="A50" s="22">
        <v>2055</v>
      </c>
      <c r="B50" s="18"/>
      <c r="C50" s="18"/>
      <c r="D50" s="18"/>
      <c r="E50" s="18"/>
      <c r="F50" s="18"/>
      <c r="G50" s="18"/>
      <c r="H50" s="19"/>
      <c r="I50" s="19"/>
      <c r="K50" s="38"/>
      <c r="L50" s="26"/>
      <c r="M50" s="30"/>
      <c r="Q50" s="19"/>
      <c r="R50" s="21"/>
      <c r="T50" s="26"/>
      <c r="V50" s="26"/>
      <c r="W50" s="21"/>
    </row>
    <row r="51" spans="1:23" ht="15" thickBot="1" x14ac:dyDescent="0.4">
      <c r="A51" s="23" t="s">
        <v>7</v>
      </c>
      <c r="B51" s="3">
        <f t="shared" ref="B51:G51" si="15">SUM(B4:B50)</f>
        <v>13395.359999999999</v>
      </c>
      <c r="C51" s="3">
        <f t="shared" si="15"/>
        <v>2714.92</v>
      </c>
      <c r="D51" s="3">
        <f t="shared" si="15"/>
        <v>640.31719999999996</v>
      </c>
      <c r="E51" s="3">
        <f t="shared" si="15"/>
        <v>944.00279999999998</v>
      </c>
      <c r="F51" s="3">
        <f t="shared" si="15"/>
        <v>1855.67</v>
      </c>
      <c r="G51" s="3">
        <f t="shared" si="15"/>
        <v>108.64</v>
      </c>
      <c r="H51" s="3">
        <f>SUM(H4:H50)</f>
        <v>16490.27</v>
      </c>
      <c r="I51" s="3">
        <f>SUM(I4:I50)</f>
        <v>3094.91</v>
      </c>
      <c r="J51" s="34"/>
      <c r="K51" s="34"/>
      <c r="M51" s="24">
        <f>SUM(M4:M50)</f>
        <v>2738</v>
      </c>
      <c r="N51" s="34"/>
      <c r="O51" s="35"/>
      <c r="P51" s="35"/>
      <c r="Q51" s="35"/>
      <c r="R51" s="36"/>
      <c r="T51" s="35"/>
      <c r="U51" s="47"/>
      <c r="V51" s="48"/>
      <c r="W51" s="47"/>
    </row>
  </sheetData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0"/>
  <sheetViews>
    <sheetView topLeftCell="A4" workbookViewId="0">
      <selection activeCell="B14" activeCellId="1" sqref="B11 B14"/>
    </sheetView>
  </sheetViews>
  <sheetFormatPr baseColWidth="10" defaultRowHeight="14.5" x14ac:dyDescent="0.35"/>
  <cols>
    <col min="1" max="1" width="46.36328125" bestFit="1" customWidth="1"/>
    <col min="2" max="2" width="12.54296875" bestFit="1" customWidth="1"/>
  </cols>
  <sheetData>
    <row r="1" spans="1:5" x14ac:dyDescent="0.35">
      <c r="A1" s="4" t="s">
        <v>8</v>
      </c>
      <c r="B1" s="5"/>
    </row>
    <row r="2" spans="1:5" x14ac:dyDescent="0.35">
      <c r="A2" s="4"/>
      <c r="B2" s="5"/>
    </row>
    <row r="3" spans="1:5" x14ac:dyDescent="0.35">
      <c r="A3" s="4" t="s">
        <v>39</v>
      </c>
      <c r="B3" s="5"/>
    </row>
    <row r="4" spans="1:5" ht="15" thickBot="1" x14ac:dyDescent="0.4">
      <c r="A4" s="4"/>
      <c r="B4" s="5"/>
    </row>
    <row r="5" spans="1:5" x14ac:dyDescent="0.35">
      <c r="A5" s="6" t="s">
        <v>9</v>
      </c>
      <c r="B5" s="7">
        <v>51098</v>
      </c>
      <c r="D5" s="1">
        <v>1325</v>
      </c>
      <c r="E5" s="52">
        <v>1</v>
      </c>
    </row>
    <row r="6" spans="1:5" ht="15" thickBot="1" x14ac:dyDescent="0.4">
      <c r="A6" s="8" t="s">
        <v>10</v>
      </c>
      <c r="B6" s="9">
        <f>B5*4%-B14</f>
        <v>1341.4015094339625</v>
      </c>
      <c r="D6" s="1">
        <v>1201.08</v>
      </c>
      <c r="E6" s="58">
        <f>D6/D5</f>
        <v>0.90647547169811316</v>
      </c>
    </row>
    <row r="7" spans="1:5" ht="15" thickBot="1" x14ac:dyDescent="0.4">
      <c r="A7" s="10" t="s">
        <v>11</v>
      </c>
      <c r="B7" s="11">
        <v>100.09</v>
      </c>
    </row>
    <row r="8" spans="1:5" x14ac:dyDescent="0.35">
      <c r="A8" s="4"/>
      <c r="B8" s="5"/>
    </row>
    <row r="9" spans="1:5" x14ac:dyDescent="0.35">
      <c r="A9" s="4" t="s">
        <v>12</v>
      </c>
      <c r="B9" s="5"/>
    </row>
    <row r="10" spans="1:5" ht="15" thickBot="1" x14ac:dyDescent="0.4">
      <c r="A10" s="12"/>
      <c r="B10" s="1"/>
    </row>
    <row r="11" spans="1:5" ht="15" thickBot="1" x14ac:dyDescent="0.4">
      <c r="A11" s="6" t="s">
        <v>1</v>
      </c>
      <c r="B11" s="13">
        <f>B7*12</f>
        <v>1201.08</v>
      </c>
    </row>
    <row r="12" spans="1:5" x14ac:dyDescent="0.35">
      <c r="A12" s="8" t="s">
        <v>13</v>
      </c>
      <c r="B12" s="9">
        <v>60</v>
      </c>
    </row>
    <row r="13" spans="1:5" x14ac:dyDescent="0.35">
      <c r="A13" s="8" t="s">
        <v>14</v>
      </c>
      <c r="B13" s="9">
        <f>B11-B12</f>
        <v>1141.08</v>
      </c>
    </row>
    <row r="14" spans="1:5" ht="15" thickBot="1" x14ac:dyDescent="0.4">
      <c r="A14" s="10" t="s">
        <v>2</v>
      </c>
      <c r="B14" s="14">
        <f>(175+300+300)*E6</f>
        <v>702.51849056603771</v>
      </c>
    </row>
    <row r="15" spans="1:5" x14ac:dyDescent="0.35">
      <c r="A15" s="12"/>
      <c r="B15" s="1"/>
    </row>
    <row r="16" spans="1:5" x14ac:dyDescent="0.35">
      <c r="A16" s="15" t="s">
        <v>15</v>
      </c>
      <c r="B16" s="1">
        <f>B13*3%</f>
        <v>34.232399999999998</v>
      </c>
    </row>
    <row r="17" spans="1:2" x14ac:dyDescent="0.35">
      <c r="A17" s="15" t="s">
        <v>16</v>
      </c>
      <c r="B17" s="1">
        <f>1.25*12</f>
        <v>15</v>
      </c>
    </row>
    <row r="18" spans="1:2" x14ac:dyDescent="0.35">
      <c r="A18" s="15" t="s">
        <v>17</v>
      </c>
      <c r="B18" s="1">
        <f>(B12+B14)*3.5%+B13*4.5%+B17</f>
        <v>93.036747169811321</v>
      </c>
    </row>
    <row r="19" spans="1:2" ht="15" thickBot="1" x14ac:dyDescent="0.4">
      <c r="A19" s="12"/>
      <c r="B19" s="1"/>
    </row>
    <row r="20" spans="1:2" ht="15" thickBot="1" x14ac:dyDescent="0.4">
      <c r="A20" s="16" t="s">
        <v>18</v>
      </c>
      <c r="B20" s="17">
        <f>B16+B18</f>
        <v>127.26914716981132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workbookViewId="0">
      <selection activeCell="B16" sqref="B16"/>
    </sheetView>
  </sheetViews>
  <sheetFormatPr baseColWidth="10" defaultRowHeight="14.5" x14ac:dyDescent="0.35"/>
  <cols>
    <col min="1" max="1" width="46.36328125" bestFit="1" customWidth="1"/>
  </cols>
  <sheetData>
    <row r="1" spans="1:2" x14ac:dyDescent="0.35">
      <c r="A1" s="4" t="s">
        <v>8</v>
      </c>
    </row>
    <row r="2" spans="1:2" x14ac:dyDescent="0.35">
      <c r="A2" s="4"/>
    </row>
    <row r="3" spans="1:2" x14ac:dyDescent="0.35">
      <c r="A3" s="4" t="s">
        <v>40</v>
      </c>
    </row>
    <row r="4" spans="1:2" x14ac:dyDescent="0.35">
      <c r="A4" s="12" t="s">
        <v>44</v>
      </c>
    </row>
    <row r="5" spans="1:2" x14ac:dyDescent="0.35">
      <c r="A5" s="12" t="s">
        <v>45</v>
      </c>
    </row>
    <row r="6" spans="1:2" x14ac:dyDescent="0.35">
      <c r="A6" t="s">
        <v>41</v>
      </c>
    </row>
    <row r="7" spans="1:2" ht="15" thickBot="1" x14ac:dyDescent="0.4">
      <c r="A7" s="4"/>
      <c r="B7" s="5"/>
    </row>
    <row r="8" spans="1:2" x14ac:dyDescent="0.35">
      <c r="A8" s="6" t="s">
        <v>42</v>
      </c>
      <c r="B8" s="7">
        <v>1355.08</v>
      </c>
    </row>
    <row r="9" spans="1:2" ht="15" thickBot="1" x14ac:dyDescent="0.4">
      <c r="A9" s="8" t="s">
        <v>46</v>
      </c>
      <c r="B9" s="9">
        <f>'Berechnung Beitrag und Kosten'!B11+'Berechnung Beitrag und Kosten'!B14</f>
        <v>1903.5984905660375</v>
      </c>
    </row>
    <row r="10" spans="1:2" ht="15" thickBot="1" x14ac:dyDescent="0.4">
      <c r="A10" s="10" t="s">
        <v>43</v>
      </c>
      <c r="B10" s="11">
        <f>B9-B8</f>
        <v>548.5184905660376</v>
      </c>
    </row>
    <row r="11" spans="1:2" x14ac:dyDescent="0.35">
      <c r="A11" s="4"/>
      <c r="B11" s="5"/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6"/>
  <sheetViews>
    <sheetView workbookViewId="0">
      <selection activeCell="F9" sqref="F9"/>
    </sheetView>
  </sheetViews>
  <sheetFormatPr baseColWidth="10" defaultRowHeight="14.5" x14ac:dyDescent="0.35"/>
  <cols>
    <col min="1" max="1" width="18.453125" bestFit="1" customWidth="1"/>
    <col min="2" max="2" width="11.81640625" bestFit="1" customWidth="1"/>
    <col min="4" max="4" width="18.453125" bestFit="1" customWidth="1"/>
  </cols>
  <sheetData>
    <row r="1" spans="1:7" x14ac:dyDescent="0.35">
      <c r="A1" t="s">
        <v>47</v>
      </c>
      <c r="B1" s="1">
        <f>140.58*12</f>
        <v>1686.96</v>
      </c>
      <c r="D1" t="s">
        <v>50</v>
      </c>
      <c r="E1" s="1">
        <v>1200</v>
      </c>
      <c r="F1" s="19"/>
      <c r="G1" s="19">
        <f>B1-E1</f>
        <v>486.96000000000004</v>
      </c>
    </row>
    <row r="2" spans="1:7" x14ac:dyDescent="0.35">
      <c r="A2" t="s">
        <v>2</v>
      </c>
      <c r="B2" s="1">
        <v>175</v>
      </c>
      <c r="D2" t="s">
        <v>2</v>
      </c>
      <c r="E2" s="1">
        <v>124</v>
      </c>
    </row>
    <row r="3" spans="1:7" x14ac:dyDescent="0.35">
      <c r="A3" t="s">
        <v>48</v>
      </c>
      <c r="B3" s="1">
        <v>393</v>
      </c>
      <c r="D3" t="s">
        <v>48</v>
      </c>
      <c r="E3" s="1">
        <v>280</v>
      </c>
    </row>
    <row r="4" spans="1:7" x14ac:dyDescent="0.35">
      <c r="A4" t="s">
        <v>37</v>
      </c>
      <c r="B4" s="1">
        <v>145.24</v>
      </c>
      <c r="D4" t="s">
        <v>37</v>
      </c>
      <c r="E4" s="1">
        <v>108.73</v>
      </c>
    </row>
    <row r="5" spans="1:7" x14ac:dyDescent="0.35">
      <c r="A5" t="s">
        <v>49</v>
      </c>
      <c r="B5" s="1">
        <f>-B1+B2+B3-B4</f>
        <v>-1264.2</v>
      </c>
      <c r="D5" t="s">
        <v>49</v>
      </c>
      <c r="E5" s="1">
        <f>-E1+E2+E3-E4</f>
        <v>-904.73</v>
      </c>
      <c r="F5" s="19"/>
    </row>
    <row r="6" spans="1:7" x14ac:dyDescent="0.35">
      <c r="B6" s="1"/>
    </row>
    <row r="7" spans="1:7" x14ac:dyDescent="0.35">
      <c r="B7" s="1">
        <f>B2+B3-B4</f>
        <v>422.76</v>
      </c>
      <c r="E7" s="19">
        <f>E2+E3-E4</f>
        <v>295.27</v>
      </c>
      <c r="G7" s="19">
        <f>B7-E7</f>
        <v>127.49000000000001</v>
      </c>
    </row>
    <row r="8" spans="1:7" x14ac:dyDescent="0.35">
      <c r="B8" s="1"/>
    </row>
    <row r="14" spans="1:7" x14ac:dyDescent="0.35">
      <c r="A14" s="1">
        <v>486.96</v>
      </c>
      <c r="B14" t="s">
        <v>51</v>
      </c>
      <c r="C14" s="51">
        <v>2.2499999999999999E-2</v>
      </c>
      <c r="D14" s="1">
        <v>9640</v>
      </c>
    </row>
    <row r="15" spans="1:7" x14ac:dyDescent="0.35">
      <c r="C15" s="51">
        <v>8.9999999999999993E-3</v>
      </c>
      <c r="D15" s="1">
        <v>3250</v>
      </c>
    </row>
    <row r="16" spans="1:7" x14ac:dyDescent="0.35">
      <c r="C16" s="52">
        <v>0.05</v>
      </c>
      <c r="D16" s="1">
        <v>31471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Übersicht</vt:lpstr>
      <vt:lpstr>Berechnung Beitrag und Kosten</vt:lpstr>
      <vt:lpstr>Berechnung Zinsen</vt:lpstr>
      <vt:lpstr>Berechnung Verringerung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NiMi</cp:lastModifiedBy>
  <dcterms:created xsi:type="dcterms:W3CDTF">2015-03-05T17:55:32Z</dcterms:created>
  <dcterms:modified xsi:type="dcterms:W3CDTF">2025-03-08T18:25:48Z</dcterms:modified>
</cp:coreProperties>
</file>