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comments4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6.xml" ContentType="application/vnd.openxmlformats-officedocument.spreadsheetml.worksheet+xml"/>
  <Override PartName="/xl/comments3.xml" ContentType="application/vnd.openxmlformats-officedocument.spreadsheetml.comment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rgebnis" sheetId="1" state="visible" r:id="rId2"/>
    <sheet name="HIER Rechnung Ausschütter" sheetId="2" state="visible" r:id="rId3"/>
    <sheet name="HIER Rechnung Thesaurierer " sheetId="3" state="visible" r:id="rId4"/>
    <sheet name="HIER Einzelaktien" sheetId="4" state="visible" r:id="rId5"/>
    <sheet name="Notizen" sheetId="5" state="visible" r:id="rId6"/>
    <sheet name="Historische Renditen" sheetId="6" state="visible" r:id="rId7"/>
  </sheets>
  <calcPr iterateCount="1000" refMode="A1" iterate="tru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1" authorId="0">
      <text>
        <r>
          <rPr>
            <sz val="10"/>
            <color rgb="FF000000"/>
            <rFont val="Arial"/>
            <family val="0"/>
            <charset val="1"/>
          </rPr>
          <t xml:space="preserve">https://www.wertpapier-forum.de/topic/38496-reform-der-besteuerung-von-investmentfonds/?do=findComment&amp;comment=1627740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I2" authorId="0">
      <text>
        <r>
          <rPr>
            <sz val="10"/>
            <color rgb="FF000000"/>
            <rFont val="Arial"/>
            <family val="0"/>
            <charset val="1"/>
          </rPr>
          <t xml:space="preserve">Betrag am Jahresende nach Ausschüttung, nach Entnahme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J2" authorId="0">
      <text>
        <r>
          <rPr>
            <sz val="10"/>
            <color rgb="FF000000"/>
            <rFont val="Arial"/>
            <family val="0"/>
            <charset val="1"/>
          </rPr>
          <t xml:space="preserve">ETF-Wert am Jahresende nach Entnahme und Vorabpauschale</t>
        </r>
      </text>
    </comment>
    <comment ref="P1" authorId="0">
      <text>
        <r>
          <rPr>
            <sz val="10"/>
            <color rgb="FF000000"/>
            <rFont val="Arial"/>
            <family val="0"/>
            <charset val="1"/>
          </rPr>
          <t xml:space="preserve">Bei der Entnahme verkauft man zu einem besseren Kurs, als zum Zeitpunkt der Ausschüttung beim Ausschütter.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H2" authorId="0">
      <text>
        <r>
          <rPr>
            <sz val="10"/>
            <color rgb="FF000000"/>
            <rFont val="Arial"/>
            <family val="0"/>
            <charset val="1"/>
          </rPr>
          <t xml:space="preserve">Betrag am Jahresende nach Ausschüttung, nach Entnahme</t>
        </r>
      </text>
    </comment>
  </commentList>
</comments>
</file>

<file path=xl/sharedStrings.xml><?xml version="1.0" encoding="utf-8"?>
<sst xmlns="http://schemas.openxmlformats.org/spreadsheetml/2006/main" count="355" uniqueCount="213">
  <si>
    <t xml:space="preserve">Betrag</t>
  </si>
  <si>
    <t xml:space="preserve">1970 – 2000</t>
  </si>
  <si>
    <t xml:space="preserve">MSCI World</t>
  </si>
  <si>
    <t xml:space="preserve">Jahr</t>
  </si>
  <si>
    <t xml:space="preserve">Entnahmerate Thesaurierer Brutto</t>
  </si>
  <si>
    <t xml:space="preserve">Entnahmerate Ausschütter Brutto</t>
  </si>
  <si>
    <t xml:space="preserve">Einstandswert</t>
  </si>
  <si>
    <t xml:space="preserve">Entnahme zu Beginn</t>
  </si>
  <si>
    <t xml:space="preserve">Steuerfreibetrag:</t>
  </si>
  <si>
    <t xml:space="preserve">Fondsinterne Quellensteuer auf Dividenden</t>
  </si>
  <si>
    <t xml:space="preserve">TER/OCF inkl. Wertpapierleihe</t>
  </si>
  <si>
    <t xml:space="preserve">Steuersatz nach Teilfreistellung:</t>
  </si>
  <si>
    <t xml:space="preserve">Steuersatz ohne Teilfreistellung:</t>
  </si>
  <si>
    <t xml:space="preserve">Horror-Szenario: Basiszins=Zinsen+Wertentwicklung *0,3</t>
  </si>
  <si>
    <t xml:space="preserve">Nein</t>
  </si>
  <si>
    <t xml:space="preserve">Ohne Verkauf am Ende:</t>
  </si>
  <si>
    <t xml:space="preserve">Ausschütter vs. Thesaurierer:</t>
  </si>
  <si>
    <t xml:space="preserve">p.a.</t>
  </si>
  <si>
    <t xml:space="preserve">Ausschütter vs. Direktanlage:</t>
  </si>
  <si>
    <t xml:space="preserve">Thesaurierer vs. Direktanlage:</t>
  </si>
  <si>
    <t xml:space="preserve">Mit Verkauf am Ende:</t>
  </si>
  <si>
    <t xml:space="preserve">Endvermögen (ohne Verkauf am Ende)</t>
  </si>
  <si>
    <t xml:space="preserve">Endvermögen (Verkauf am Ende)</t>
  </si>
  <si>
    <t xml:space="preserve">Entnahmen inkl. Ausschüttungen brutto</t>
  </si>
  <si>
    <t xml:space="preserve">Entnahmen inkl. Ausschüttungen netto</t>
  </si>
  <si>
    <t xml:space="preserve">durchschnittliche Entnahmerate brutto</t>
  </si>
  <si>
    <t xml:space="preserve">Ausschütter:</t>
  </si>
  <si>
    <t xml:space="preserve">Thesaurierer:</t>
  </si>
  <si>
    <t xml:space="preserve">Direktanlage:</t>
  </si>
  <si>
    <t xml:space="preserve">durchschnittliche Dividendenrendite</t>
  </si>
  <si>
    <t xml:space="preserve">durchschnittliche Ausschüttungsrendite</t>
  </si>
  <si>
    <t xml:space="preserve">durchnittlicher Basiszins</t>
  </si>
  <si>
    <t xml:space="preserve">Ausschütter</t>
  </si>
  <si>
    <t xml:space="preserve">Einstandskurs pro Stück:</t>
  </si>
  <si>
    <t xml:space="preserve">Startvermögen</t>
  </si>
  <si>
    <t xml:space="preserve">OCF minus Wertpapierleihe:</t>
  </si>
  <si>
    <t xml:space="preserve">Fondsinterne Quellensteuer:</t>
  </si>
  <si>
    <t xml:space="preserve">Steuersatz nach Teilfreistellung und ohne:</t>
  </si>
  <si>
    <t xml:space="preserve">Jährlicher Freibetrag (inkl. Günstigeprüfung)</t>
  </si>
  <si>
    <t xml:space="preserve">Entname zu Beginn:</t>
  </si>
  <si>
    <t xml:space="preserve">ETF-Kurs</t>
  </si>
  <si>
    <t xml:space="preserve">Stücke</t>
  </si>
  <si>
    <t xml:space="preserve">Betrag am Jahresanfang</t>
  </si>
  <si>
    <t xml:space="preserve">Kursperformance abzgl. OCF</t>
  </si>
  <si>
    <t xml:space="preserve">Kursperformance Preisindex (ohne Ausschüttungen)</t>
  </si>
  <si>
    <t xml:space="preserve">Betrag nach Kursgewinn am Jahresende vor Entnahme</t>
  </si>
  <si>
    <t xml:space="preserve">Ausschüttungs-rendite</t>
  </si>
  <si>
    <t xml:space="preserve">Performance Vermögen</t>
  </si>
  <si>
    <t xml:space="preserve">Kumulierte Performance in %</t>
  </si>
  <si>
    <t xml:space="preserve">Ausschüttung an Anleger</t>
  </si>
  <si>
    <t xml:space="preserve">Steuer auf Ausschüttung inkl. Steuererstattung</t>
  </si>
  <si>
    <t xml:space="preserve">Ausschüttungen an Anleger netto</t>
  </si>
  <si>
    <t xml:space="preserve">Entnahmerate brutto</t>
  </si>
  <si>
    <t xml:space="preserve">Benötigte Netto Entnahme gesamt</t>
  </si>
  <si>
    <t xml:space="preserve">Benötige Stücke für den Verkauf</t>
  </si>
  <si>
    <t xml:space="preserve">Benötigte Entnahme brutto abzüglich Ausschüttung</t>
  </si>
  <si>
    <t xml:space="preserve">Enthaltene Kursgewinne der Entnahme</t>
  </si>
  <si>
    <t xml:space="preserve">Steuer auf Entnahme</t>
  </si>
  <si>
    <t xml:space="preserve">Anschaffungswert der Entnahme abzgl. bezahlte Vorabpauschalen</t>
  </si>
  <si>
    <t xml:space="preserve">Entnahme Netto</t>
  </si>
  <si>
    <t xml:space="preserve">Ausschüttung netto + Entnahme netto</t>
  </si>
  <si>
    <t xml:space="preserve">Basiszins</t>
  </si>
  <si>
    <t xml:space="preserve">Wertentwicklung</t>
  </si>
  <si>
    <t xml:space="preserve">Vorabpauschale Obergrenze</t>
  </si>
  <si>
    <t xml:space="preserve">Vorabpauschale</t>
  </si>
  <si>
    <t xml:space="preserve">Steuern Vorabpauschale</t>
  </si>
  <si>
    <t xml:space="preserve">Anteil der zu verkaufenden Anteile in %</t>
  </si>
  <si>
    <t xml:space="preserve">Anrechenbare Vorabpauschale bei der Entnahme</t>
  </si>
  <si>
    <t xml:space="preserve">kumulierte Vorabpauschale abzüglich eingelöste Vorabpauschale bei der Entnahme</t>
  </si>
  <si>
    <t xml:space="preserve">Steuerfreibetrag</t>
  </si>
  <si>
    <t xml:space="preserve">Steuerrückerstattung</t>
  </si>
  <si>
    <t xml:space="preserve">Kapitaleträge Gesamt</t>
  </si>
  <si>
    <t xml:space="preserve">Performance kumulativ:</t>
  </si>
  <si>
    <t xml:space="preserve">Performance p.a.:</t>
  </si>
  <si>
    <t xml:space="preserve">Vorteil Ausschütter vs. Thesaurierer:</t>
  </si>
  <si>
    <t xml:space="preserve">Verkauf am Ende</t>
  </si>
  <si>
    <t xml:space="preserve">Zu versteuernder Gewinn am Ende abgzl. Vorabpauschale:</t>
  </si>
  <si>
    <t xml:space="preserve">Steuern:</t>
  </si>
  <si>
    <t xml:space="preserve">Wert nach Steuer bei Komplettverkauf am Ende:</t>
  </si>
  <si>
    <t xml:space="preserve">Vorteil Ausschütter:</t>
  </si>
  <si>
    <t xml:space="preserve">schlechte Sequenz:</t>
  </si>
  <si>
    <t xml:space="preserve">Thesaurierer</t>
  </si>
  <si>
    <t xml:space="preserve">Horror-Szenario: Basiszins+Wertentwicklung *0,3</t>
  </si>
  <si>
    <t xml:space="preserve">Kursperformance</t>
  </si>
  <si>
    <t xml:space="preserve">Betrag nach Kursgewinn am Jahresende inkl. Thesaurierung</t>
  </si>
  <si>
    <t xml:space="preserve">Thesaurierungs-rendite</t>
  </si>
  <si>
    <t xml:space="preserve">Zinsen Deutschland = Inflation </t>
  </si>
  <si>
    <t xml:space="preserve">Performance Vorteil Thesauerierer</t>
  </si>
  <si>
    <t xml:space="preserve">Vorteil gegenüber Ausschütter</t>
  </si>
  <si>
    <t xml:space="preserve">Brutto Entnahme in %</t>
  </si>
  <si>
    <t xml:space="preserve">Basisertrag</t>
  </si>
  <si>
    <t xml:space="preserve">Steuer aufVorabpauschale</t>
  </si>
  <si>
    <t xml:space="preserve">benötigte Entnahme brutto</t>
  </si>
  <si>
    <t xml:space="preserve">benötigte Entnahme netto</t>
  </si>
  <si>
    <t xml:space="preserve">Entnahme netto</t>
  </si>
  <si>
    <t xml:space="preserve">Anschaffungswert der Entnahme abzgl. bezahlte vorabpauschalen</t>
  </si>
  <si>
    <t xml:space="preserve">Kapitaleträge Vorteil(-)/Nachteil(+) Thesaurierer</t>
  </si>
  <si>
    <t xml:space="preserve">Einzelaktien</t>
  </si>
  <si>
    <t xml:space="preserve">Steuersatz:</t>
  </si>
  <si>
    <t xml:space="preserve">Aktien-Kurs</t>
  </si>
  <si>
    <t xml:space="preserve">Dividenden- rendite</t>
  </si>
  <si>
    <t xml:space="preserve">Direktanlage</t>
  </si>
  <si>
    <t xml:space="preserve">Vorteil Einzelaktien vs. Thesaurierer</t>
  </si>
  <si>
    <t xml:space="preserve">Dividenden brutto</t>
  </si>
  <si>
    <t xml:space="preserve">Dividenden netto</t>
  </si>
  <si>
    <t xml:space="preserve">Steuer auf Dividenden inkl. Steuererstattung</t>
  </si>
  <si>
    <t xml:space="preserve">benötigte Entnahme</t>
  </si>
  <si>
    <t xml:space="preserve">Dividende netto + Entnahme netto</t>
  </si>
  <si>
    <t xml:space="preserve">Benötigte Entnahme brutto abzüglich Dividende</t>
  </si>
  <si>
    <t xml:space="preserve">Entnahmegewinn</t>
  </si>
  <si>
    <t xml:space="preserve">Anschaffungswert der Entnahme</t>
  </si>
  <si>
    <t xml:space="preserve">Steuerfreibetrag (Günstigerprüfung)</t>
  </si>
  <si>
    <t xml:space="preserve">Vorteil/nachteil Kapitalertäge Einzelaktien vs. Ausschütter</t>
  </si>
  <si>
    <t xml:space="preserve">Steuern insgesamt:</t>
  </si>
  <si>
    <t xml:space="preserve">Vorteil Einzelaktien vs. Thesaurierer:</t>
  </si>
  <si>
    <t xml:space="preserve">Vorteil Einzelaktien vs. Ausschütter:</t>
  </si>
  <si>
    <t xml:space="preserve">In Euro (+ Vorteil Einzelaktien)</t>
  </si>
  <si>
    <t xml:space="preserve">Kumulativ:</t>
  </si>
  <si>
    <t xml:space="preserve">Anleitung:</t>
  </si>
  <si>
    <t xml:space="preserve">Iterationen müssen eingeschaltet werden: https://www.google.com/search?q=wie+schalten+man+iterationen+bei+excel+ein&amp;oq=wie+schalten+man+iterationen+bei+excel+ein</t>
  </si>
  <si>
    <t xml:space="preserve">Nur die gelben Felder dürfen ausgefüllt werden</t>
  </si>
  <si>
    <t xml:space="preserve">Zeitraum ändern:</t>
  </si>
  <si>
    <t xml:space="preserve">Aus dem Blatt Historische Renditen 30 Zeilen aus Spalte I in Blatt Ausschütter (gelbe Spalte) eintragen</t>
  </si>
  <si>
    <t xml:space="preserve">Aus dem Blatt Historische Renditen 30 Zeilen aus Splate K (Dividendenrendite) ins Blatt Einzelaktien (gelbe Spalte) eintragen</t>
  </si>
  <si>
    <t xml:space="preserve">Aus dem Blatt Historische Renditen 30 Zeilen aus Spalte M (Zinsen) als Inflation in das Blatt Thesaurierer (gelbe Spalte) eintragen.</t>
  </si>
  <si>
    <t xml:space="preserve">fertig</t>
  </si>
  <si>
    <t xml:space="preserve">Hinweis: Die Zinsen Deutschland werden als Basiszins und als Inflationsrate benutzt.</t>
  </si>
  <si>
    <t xml:space="preserve">Index Level :</t>
  </si>
  <si>
    <t xml:space="preserve">Gross</t>
  </si>
  <si>
    <t xml:space="preserve">Price</t>
  </si>
  <si>
    <t xml:space="preserve">Currency :</t>
  </si>
  <si>
    <t xml:space="preserve">USD</t>
  </si>
  <si>
    <t xml:space="preserve">Date</t>
  </si>
  <si>
    <t xml:space="preserve">WORLD Standard (Large+Mid Cap)</t>
  </si>
  <si>
    <t xml:space="preserve">Dividendenrndite</t>
  </si>
  <si>
    <t xml:space="preserve">Zinsen Deutschland in %</t>
  </si>
  <si>
    <t xml:space="preserve">Dec 31, 1969</t>
  </si>
  <si>
    <t xml:space="preserve">Von hier die Rendite ins Ausschüttungsblatt kopieren</t>
  </si>
  <si>
    <t xml:space="preserve">Von hier die Dividendenrendite ins Einzelaktienblatt kopieren</t>
  </si>
  <si>
    <t xml:space="preserve">Differenz</t>
  </si>
  <si>
    <t xml:space="preserve">Von hier die Zinsen ins Thesaurierer-Blatt kopieren</t>
  </si>
  <si>
    <t xml:space="preserve">10 Jahres Rendite BundQuelle: https://data.oecd.org/interest/long-term-interest-rates.htm</t>
  </si>
  <si>
    <t xml:space="preserve">Dec 31, 1970</t>
  </si>
  <si>
    <t xml:space="preserve">Dec 31, 1971</t>
  </si>
  <si>
    <t xml:space="preserve">Dec 29, 1972</t>
  </si>
  <si>
    <t xml:space="preserve">Dec 31, 1973</t>
  </si>
  <si>
    <t xml:space="preserve">Dec 31, 1974</t>
  </si>
  <si>
    <t xml:space="preserve">Dec 31, 1975</t>
  </si>
  <si>
    <t xml:space="preserve">Dec 31, 1976</t>
  </si>
  <si>
    <t xml:space="preserve">Dec 30, 1977</t>
  </si>
  <si>
    <t xml:space="preserve">Dec 29, 1978</t>
  </si>
  <si>
    <t xml:space="preserve">Dec 31, 1979</t>
  </si>
  <si>
    <t xml:space="preserve">Dec 31, 1980</t>
  </si>
  <si>
    <t xml:space="preserve">Dec 31, 1981</t>
  </si>
  <si>
    <t xml:space="preserve">Dec 31, 1982</t>
  </si>
  <si>
    <t xml:space="preserve">Dec 30, 1983</t>
  </si>
  <si>
    <t xml:space="preserve">Dec 31, 1984</t>
  </si>
  <si>
    <t xml:space="preserve">Dec 31, 1985</t>
  </si>
  <si>
    <t xml:space="preserve">Dec 31, 1986</t>
  </si>
  <si>
    <t xml:space="preserve">Dec 31, 1987</t>
  </si>
  <si>
    <t xml:space="preserve">Dec 30, 1988</t>
  </si>
  <si>
    <t xml:space="preserve">Dec 29, 1989</t>
  </si>
  <si>
    <t xml:space="preserve">Dec 31, 1990</t>
  </si>
  <si>
    <t xml:space="preserve">Dec 31, 1991</t>
  </si>
  <si>
    <t xml:space="preserve">Dec 31, 1992</t>
  </si>
  <si>
    <t xml:space="preserve">Dec 31, 1993</t>
  </si>
  <si>
    <t xml:space="preserve">Dec 30, 1994</t>
  </si>
  <si>
    <t xml:space="preserve">Dec 29, 1995</t>
  </si>
  <si>
    <t xml:space="preserve">Dec 31, 1996</t>
  </si>
  <si>
    <t xml:space="preserve">Dec 31, 1997</t>
  </si>
  <si>
    <t xml:space="preserve">Dec 31, 1998</t>
  </si>
  <si>
    <t xml:space="preserve">Dec 31, 1999</t>
  </si>
  <si>
    <t xml:space="preserve">Dec 29, 2000</t>
  </si>
  <si>
    <t xml:space="preserve">Dec 31, 2001</t>
  </si>
  <si>
    <t xml:space="preserve">Dec 31, 2002</t>
  </si>
  <si>
    <t xml:space="preserve">Dec 31, 2003</t>
  </si>
  <si>
    <t xml:space="preserve">Dec 31, 2004</t>
  </si>
  <si>
    <t xml:space="preserve">Dec 30, 2005</t>
  </si>
  <si>
    <t xml:space="preserve">Dec 29, 2006</t>
  </si>
  <si>
    <t xml:space="preserve">Dec 31, 2007</t>
  </si>
  <si>
    <t xml:space="preserve">Dec 31, 2008</t>
  </si>
  <si>
    <t xml:space="preserve">Dec 31, 2009</t>
  </si>
  <si>
    <t xml:space="preserve">Dec 31, 2010</t>
  </si>
  <si>
    <t xml:space="preserve">Dec 30, 2011</t>
  </si>
  <si>
    <t xml:space="preserve">Dec 31, 2012</t>
  </si>
  <si>
    <t xml:space="preserve">Dec 31, 2013</t>
  </si>
  <si>
    <t xml:space="preserve">Dec 31, 2014</t>
  </si>
  <si>
    <t xml:space="preserve">Dec 31, 2015</t>
  </si>
  <si>
    <t xml:space="preserve">Dec 30, 2016</t>
  </si>
  <si>
    <t xml:space="preserve">Dec 29, 2017</t>
  </si>
  <si>
    <t xml:space="preserve">Dec 31, 2018</t>
  </si>
  <si>
    <t xml:space="preserve">Dec 31, 2019</t>
  </si>
  <si>
    <t xml:space="preserve">Dec 31, 2020</t>
  </si>
  <si>
    <t xml:space="preserve">Dec 31, 2021</t>
  </si>
  <si>
    <t xml:space="preserve">Dec 30, 2022</t>
  </si>
  <si>
    <t xml:space="preserve">Dec 29, 2023</t>
  </si>
  <si>
    <t xml:space="preserve">Dec 31, 2024</t>
  </si>
  <si>
    <t xml:space="preserve">Copyright MSCI Inc.</t>
  </si>
  <si>
    <t xml:space="preserve">This information is the property of MSCI Inc. and /or its subsidiaries (collectively, "MSCI"). It is provided for informational</t>
  </si>
  <si>
    <t xml:space="preserve">purposes only, and is not a recommendation to participate in any particular trading strategy. The information may not be used to</t>
  </si>
  <si>
    <t xml:space="preserve">verify or correct data, or any compilation of data or index or in the creation of any indexes. Nor may it be used in the creating,</t>
  </si>
  <si>
    <t xml:space="preserve">writing, offering, trading, marketing or promotion of any financial instruments or products. This information is provided on an</t>
  </si>
  <si>
    <t xml:space="preserve">"as is" basis. Although MSCI shall obtain information from sources which MSCI considers reliable, none of the MSCI, its subsidiaries</t>
  </si>
  <si>
    <t xml:space="preserve">or its or their direct or indirect information provider or any other third party involved in, or related to, compiling, computing or</t>
  </si>
  <si>
    <t xml:space="preserve">creating the information (collectively, the "MSCI Parties") guarantees the accuracy and/or the completeness of any of this information.</t>
  </si>
  <si>
    <t xml:space="preserve">None of the MSCI Parties makes any representation or warranty, express or implied, as to the results to be obtained by any person or</t>
  </si>
  <si>
    <t xml:space="preserve">entity from any use of this information, and the user of this information assumes the entire risk of any use made of this information.</t>
  </si>
  <si>
    <t xml:space="preserve">None of the MSCI Parties makes any express or implied warranties, and the MSCI Parties hereby expressly disclaim all warranties of</t>
  </si>
  <si>
    <t xml:space="preserve">merchantability or fitness for a particular purpose with respect to any of this information. Without limiting any of the foregoing,</t>
  </si>
  <si>
    <t xml:space="preserve">in no event shall any of the MSCI Parties have any liability for any direct, indirect, special, punitive, consequential or any other</t>
  </si>
  <si>
    <t xml:space="preserve">damages (including lost profits) even if notified of the possibility of such damages. MSCI, Barra, RiskMetrics and FEA</t>
  </si>
  <si>
    <t xml:space="preserve">and all other service marks referred to herein are the exclusive property of MSCI and/or its subsidiaries. All MSCI indexes and data</t>
  </si>
  <si>
    <t xml:space="preserve"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</si>
</sst>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>
  <numFmts count="17">
    <numFmt numFmtId="164" formatCode="General"/>
    <numFmt numFmtId="165" formatCode="#,##0\ [$€-1]"/>
    <numFmt numFmtId="166" formatCode="#,##0\€"/>
    <numFmt numFmtId="167" formatCode="0.0%"/>
    <numFmt numFmtId="168" formatCode="0.00\ %"/>
    <numFmt numFmtId="169" formatCode="0\ %"/>
    <numFmt numFmtId="170" formatCode="0.000%"/>
    <numFmt numFmtId="171" formatCode="#,##0.000\€"/>
    <numFmt numFmtId="172" formatCode="#,##0.00\ [$€-1]"/>
    <numFmt numFmtId="173" formatCode="#,##0.000\ [$€-1]"/>
    <numFmt numFmtId="174" formatCode="#,##0"/>
    <numFmt numFmtId="175" formatCode="0"/>
    <numFmt numFmtId="176" formatCode="#,##0.00"/>
    <numFmt numFmtId="177" formatCode="#,##0.00\€"/>
    <numFmt numFmtId="178" formatCode="#,##0.0000\ [$€-1]"/>
    <numFmt numFmtId="179" formatCode="General"/>
    <numFmt numFmtId="180" formatCode="mmm\ d&quot;, &quot;yyyy"/>
  </numFmts>
  <fonts count="2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34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10"/>
      <color rgb="FF000000"/>
      <name val="Arial"/>
      <family val="2"/>
    </font>
    <font>
      <sz val="10"/>
      <color rgb="FF1A1A1A"/>
      <name val="Arial"/>
      <family val="2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11"/>
      <color rgb="FF3C4043"/>
      <name val="Inconsolata"/>
      <family val="0"/>
      <charset val="1"/>
    </font>
    <font>
      <sz val="9"/>
      <color rgb="FF000000"/>
      <name val="&quot;Google Sans Mono&quot;"/>
      <family val="0"/>
      <charset val="1"/>
    </font>
    <font>
      <sz val="9"/>
      <color rgb="FF000000"/>
      <name val="Google Sans Mono"/>
      <family val="0"/>
      <charset val="1"/>
    </font>
    <font>
      <b val="true"/>
      <sz val="14"/>
      <color rgb="FF000000"/>
      <name val="Arial"/>
      <family val="0"/>
      <charset val="1"/>
    </font>
    <font>
      <i val="true"/>
      <sz val="11"/>
      <color rgb="FF3C4043"/>
      <name val="Roboto"/>
      <family val="0"/>
      <charset val="1"/>
    </font>
    <font>
      <b val="true"/>
      <sz val="22"/>
      <color rgb="FF000000"/>
      <name val="Arial"/>
      <family val="0"/>
      <charset val="1"/>
    </font>
    <font>
      <sz val="12"/>
      <color rgb="FF111111"/>
      <name val="Inherit"/>
      <family val="0"/>
      <charset val="1"/>
    </font>
    <font>
      <sz val="11"/>
      <color rgb="FFFFFFFF"/>
      <name val="Arial"/>
      <family val="0"/>
      <charset val="1"/>
    </font>
    <font>
      <u val="single"/>
      <sz val="8"/>
      <color rgb="FF111111"/>
      <name val="Inherit"/>
      <family val="0"/>
      <charset val="1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BBC04"/>
      </patternFill>
    </fill>
    <fill>
      <patternFill patternType="solid">
        <fgColor rgb="FFA4C2F4"/>
        <bgColor rgb="FFB7B7B7"/>
      </patternFill>
    </fill>
    <fill>
      <patternFill patternType="solid">
        <fgColor rgb="FFCFE2F3"/>
        <bgColor rgb="FFD9D9D9"/>
      </patternFill>
    </fill>
    <fill>
      <patternFill patternType="solid">
        <fgColor rgb="FFFFFFFF"/>
        <bgColor rgb="FFF4F4F4"/>
      </patternFill>
    </fill>
    <fill>
      <patternFill patternType="solid">
        <fgColor rgb="FF3FDB1F"/>
        <bgColor rgb="FF40DB20"/>
      </patternFill>
    </fill>
    <fill>
      <patternFill patternType="solid">
        <fgColor rgb="FF3EDC1F"/>
        <bgColor rgb="FF3FDB1F"/>
      </patternFill>
    </fill>
    <fill>
      <patternFill patternType="solid">
        <fgColor rgb="FF40DB20"/>
        <bgColor rgb="FF3FDB1F"/>
      </patternFill>
    </fill>
    <fill>
      <patternFill patternType="solid">
        <fgColor rgb="FF7FB73F"/>
        <bgColor rgb="FF7CB83E"/>
      </patternFill>
    </fill>
    <fill>
      <patternFill patternType="solid">
        <fgColor rgb="FF98A84C"/>
        <bgColor rgb="FF9EA54F"/>
      </patternFill>
    </fill>
    <fill>
      <patternFill patternType="solid">
        <fgColor rgb="FF9EA54F"/>
        <bgColor rgb="FF98A84C"/>
      </patternFill>
    </fill>
    <fill>
      <patternFill patternType="solid">
        <fgColor rgb="FFB39959"/>
        <bgColor rgb="FFB5985A"/>
      </patternFill>
    </fill>
    <fill>
      <patternFill patternType="solid">
        <fgColor rgb="FFB5985A"/>
        <bgColor rgb="FFB39959"/>
      </patternFill>
    </fill>
    <fill>
      <patternFill patternType="solid">
        <fgColor rgb="FF39DE1C"/>
        <bgColor rgb="FF3EDC1F"/>
      </patternFill>
    </fill>
    <fill>
      <patternFill patternType="solid">
        <fgColor rgb="FF55CF2A"/>
        <bgColor rgb="FF56CE2B"/>
      </patternFill>
    </fill>
    <fill>
      <patternFill patternType="solid">
        <fgColor rgb="FF7CB93E"/>
        <bgColor rgb="FF7CB83E"/>
      </patternFill>
    </fill>
    <fill>
      <patternFill patternType="solid">
        <fgColor rgb="FF30E418"/>
        <bgColor rgb="FF39DE1C"/>
      </patternFill>
    </fill>
    <fill>
      <patternFill patternType="solid">
        <fgColor rgb="FF51D128"/>
        <bgColor rgb="FF4FD227"/>
      </patternFill>
    </fill>
    <fill>
      <patternFill patternType="solid">
        <fgColor rgb="FF5FC92F"/>
        <bgColor rgb="FF58CD2C"/>
      </patternFill>
    </fill>
    <fill>
      <patternFill patternType="solid">
        <fgColor rgb="FF70C038"/>
        <bgColor rgb="FF6AC335"/>
      </patternFill>
    </fill>
    <fill>
      <patternFill patternType="solid">
        <fgColor rgb="FF4CD426"/>
        <bgColor rgb="FF4FD227"/>
      </patternFill>
    </fill>
    <fill>
      <patternFill patternType="solid">
        <fgColor rgb="FF4FD227"/>
        <bgColor rgb="FF51D128"/>
      </patternFill>
    </fill>
    <fill>
      <patternFill patternType="solid">
        <fgColor rgb="FF58CD2C"/>
        <bgColor rgb="FF56CE2B"/>
      </patternFill>
    </fill>
    <fill>
      <patternFill patternType="solid">
        <fgColor rgb="FF66C533"/>
        <bgColor rgb="FF67C533"/>
      </patternFill>
    </fill>
    <fill>
      <patternFill patternType="solid">
        <fgColor rgb="FF56CE2B"/>
        <bgColor rgb="FF55CF2A"/>
      </patternFill>
    </fill>
    <fill>
      <patternFill patternType="solid">
        <fgColor rgb="FF67C533"/>
        <bgColor rgb="FF66C533"/>
      </patternFill>
    </fill>
    <fill>
      <patternFill patternType="solid">
        <fgColor rgb="FF6AC335"/>
        <bgColor rgb="FF67C533"/>
      </patternFill>
    </fill>
    <fill>
      <patternFill patternType="solid">
        <fgColor rgb="FF7CB83E"/>
        <bgColor rgb="FF7CB93E"/>
      </patternFill>
    </fill>
    <fill>
      <patternFill patternType="solid">
        <fgColor rgb="FFBE935F"/>
        <bgColor rgb="FFC49062"/>
      </patternFill>
    </fill>
    <fill>
      <patternFill patternType="solid">
        <fgColor rgb="FFC49062"/>
        <bgColor rgb="FFBE935F"/>
      </patternFill>
    </fill>
    <fill>
      <patternFill patternType="solid">
        <fgColor rgb="FFE67C73"/>
        <bgColor rgb="FFC49062"/>
      </patternFill>
    </fill>
    <fill>
      <patternFill patternType="solid">
        <fgColor rgb="FFF4F4F4"/>
        <bgColor rgb="FFFFFFFF"/>
      </patternFill>
    </fill>
    <fill>
      <patternFill patternType="solid">
        <fgColor rgb="FFFF0000"/>
        <bgColor rgb="FFEA4335"/>
      </patternFill>
    </fill>
    <fill>
      <patternFill patternType="solid">
        <fgColor rgb="FFB6D7A8"/>
        <bgColor rgb="FFB7B7B7"/>
      </patternFill>
    </fill>
    <fill>
      <patternFill patternType="solid">
        <fgColor rgb="FFEAD1DC"/>
        <bgColor rgb="FFD9D9D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1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3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3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3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3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3" fontId="15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3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6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7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79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6" fontId="13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5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5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17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17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5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7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1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7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1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1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6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7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29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3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4" fillId="31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3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7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80" fontId="19" fillId="3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80" fontId="19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0" fillId="3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1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8" fontId="12" fillId="4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4" fillId="3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3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30E418"/>
      <rgbColor rgb="FF0000FF"/>
      <rgbColor rgb="FFFFFF00"/>
      <rgbColor rgb="FFFF00FF"/>
      <rgbColor rgb="FF39DE1C"/>
      <rgbColor rgb="FF800000"/>
      <rgbColor rgb="FF4FD227"/>
      <rgbColor rgb="FF000080"/>
      <rgbColor rgb="FF98A84C"/>
      <rgbColor rgb="FF800080"/>
      <rgbColor rgb="FF5FC92F"/>
      <rgbColor rgb="FFB7B7B7"/>
      <rgbColor rgb="FF8B8B8B"/>
      <rgbColor rgb="FF9EA54F"/>
      <rgbColor rgb="FF3FDB1F"/>
      <rgbColor rgb="FFF4F4F4"/>
      <rgbColor rgb="FFB6D7A8"/>
      <rgbColor rgb="FF660066"/>
      <rgbColor rgb="FFE67C73"/>
      <rgbColor rgb="FF67C533"/>
      <rgbColor rgb="FFCFE2F3"/>
      <rgbColor rgb="FF000080"/>
      <rgbColor rgb="FFFF00FF"/>
      <rgbColor rgb="FF7CB83E"/>
      <rgbColor rgb="FF40DB20"/>
      <rgbColor rgb="FF800080"/>
      <rgbColor rgb="FF800000"/>
      <rgbColor rgb="FF58CD2C"/>
      <rgbColor rgb="FF0000FF"/>
      <rgbColor rgb="FF3EDC1F"/>
      <rgbColor rgb="FF70C038"/>
      <rgbColor rgb="FFD9D9D9"/>
      <rgbColor rgb="FF6AC335"/>
      <rgbColor rgb="FFA4C2F4"/>
      <rgbColor rgb="FFBE935F"/>
      <rgbColor rgb="FFB5985A"/>
      <rgbColor rgb="FFEAD1DC"/>
      <rgbColor rgb="FF4285F4"/>
      <rgbColor rgb="FF56CE2B"/>
      <rgbColor rgb="FF7CB93E"/>
      <rgbColor rgb="FFFBBC04"/>
      <rgbColor rgb="FFC49062"/>
      <rgbColor rgb="FFEA4335"/>
      <rgbColor rgb="FF7FB73F"/>
      <rgbColor rgb="FFB39959"/>
      <rgbColor rgb="FF4CD426"/>
      <rgbColor rgb="FF66C533"/>
      <rgbColor rgb="FF111111"/>
      <rgbColor rgb="FF1A1A1A"/>
      <rgbColor rgb="FF55CF2A"/>
      <rgbColor rgb="FF993366"/>
      <rgbColor rgb="FF51D128"/>
      <rgbColor rgb="FF3C404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lineChart>
        <c:grouping val="standard"/>
        <c:varyColors val="0"/>
        <c:ser>
          <c:idx val="0"/>
          <c:order val="0"/>
          <c:tx>
            <c:strRef>
              <c:f>'HIER Rechnung Thesaurierer '!$J$2</c:f>
              <c:strCache>
                <c:ptCount val="1"/>
                <c:pt idx="0">
                  <c:v>Thesaurierer</c:v>
                </c:pt>
              </c:strCache>
            </c:strRef>
          </c:tx>
          <c:spPr>
            <a:solidFill>
              <a:srgbClr val="4285f4"/>
            </a:solidFill>
            <a:ln w="19080">
              <a:solidFill>
                <a:srgbClr val="4285f4"/>
              </a:solidFill>
              <a:round/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dLbls>
            <c:dLbl>
              <c:idx val="1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'HIER Rechnung Ausschütter'!$A$3:$A$33</c:f>
              <c:strCach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strCache>
            </c:strRef>
          </c:cat>
          <c:val>
            <c:numRef>
              <c:f>'HIER Rechnung Thesaurierer '!$J$3:$J$33</c:f>
              <c:numCache>
                <c:formatCode>General</c:formatCode>
                <c:ptCount val="31"/>
                <c:pt idx="0">
                  <c:v>1000000</c:v>
                </c:pt>
                <c:pt idx="1">
                  <c:v>937414.42665621</c:v>
                </c:pt>
                <c:pt idx="2">
                  <c:v>1063687.37582328</c:v>
                </c:pt>
                <c:pt idx="3">
                  <c:v>1251610.63187389</c:v>
                </c:pt>
                <c:pt idx="4">
                  <c:v>1017581.3653115</c:v>
                </c:pt>
                <c:pt idx="5">
                  <c:v>712917.927662303</c:v>
                </c:pt>
                <c:pt idx="6">
                  <c:v>887116.322571614</c:v>
                </c:pt>
                <c:pt idx="7">
                  <c:v>939642.609010376</c:v>
                </c:pt>
                <c:pt idx="8">
                  <c:v>883994.668247881</c:v>
                </c:pt>
                <c:pt idx="9">
                  <c:v>951214.458092859</c:v>
                </c:pt>
                <c:pt idx="10">
                  <c:v>977153.226630884</c:v>
                </c:pt>
                <c:pt idx="11">
                  <c:v>1142752.00417512</c:v>
                </c:pt>
                <c:pt idx="12">
                  <c:v>1005586.58366202</c:v>
                </c:pt>
                <c:pt idx="13">
                  <c:v>997253.377213431</c:v>
                </c:pt>
                <c:pt idx="14">
                  <c:v>1101010.62980562</c:v>
                </c:pt>
                <c:pt idx="15">
                  <c:v>1028431.71341983</c:v>
                </c:pt>
                <c:pt idx="16">
                  <c:v>1311395.50780134</c:v>
                </c:pt>
                <c:pt idx="17">
                  <c:v>1714015.39702372</c:v>
                </c:pt>
                <c:pt idx="18">
                  <c:v>1830574.7717765</c:v>
                </c:pt>
                <c:pt idx="19">
                  <c:v>2084797.19535077</c:v>
                </c:pt>
                <c:pt idx="20">
                  <c:v>2243731.05177793</c:v>
                </c:pt>
                <c:pt idx="21">
                  <c:v>1685373.98059439</c:v>
                </c:pt>
                <c:pt idx="22">
                  <c:v>1778347.19971611</c:v>
                </c:pt>
                <c:pt idx="23">
                  <c:v>1478529.10933047</c:v>
                </c:pt>
                <c:pt idx="24">
                  <c:v>1572841.55028894</c:v>
                </c:pt>
                <c:pt idx="25">
                  <c:v>1397769.04608281</c:v>
                </c:pt>
                <c:pt idx="26">
                  <c:v>1416832.57287654</c:v>
                </c:pt>
                <c:pt idx="27">
                  <c:v>1322377.72321375</c:v>
                </c:pt>
                <c:pt idx="28">
                  <c:v>1231179.10050576</c:v>
                </c:pt>
                <c:pt idx="29">
                  <c:v>1218335.93268429</c:v>
                </c:pt>
                <c:pt idx="30">
                  <c:v>1193544.98780126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'HIER Einzelaktien'!$H$2</c:f>
              <c:strCache>
                <c:ptCount val="1"/>
                <c:pt idx="0">
                  <c:v>Direktanlage</c:v>
                </c:pt>
              </c:strCache>
            </c:strRef>
          </c:tx>
          <c:spPr>
            <a:solidFill>
              <a:srgbClr val="ea4335"/>
            </a:solidFill>
            <a:ln w="19080">
              <a:solidFill>
                <a:srgbClr val="ea4335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'HIER Rechnung Ausschütter'!$A$3:$A$33</c:f>
              <c:strCach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strCache>
            </c:strRef>
          </c:cat>
          <c:val>
            <c:numRef>
              <c:f>'HIER Einzelaktien'!$H$3:$H$33</c:f>
              <c:numCache>
                <c:formatCode>General</c:formatCode>
                <c:ptCount val="31"/>
                <c:pt idx="0">
                  <c:v>1000000</c:v>
                </c:pt>
                <c:pt idx="1">
                  <c:v>933580.02233115</c:v>
                </c:pt>
                <c:pt idx="2">
                  <c:v>1072188.63478392</c:v>
                </c:pt>
                <c:pt idx="3">
                  <c:v>1278379.44042965</c:v>
                </c:pt>
                <c:pt idx="4">
                  <c:v>1032784.37408357</c:v>
                </c:pt>
                <c:pt idx="5">
                  <c:v>713266.367734948</c:v>
                </c:pt>
                <c:pt idx="6">
                  <c:v>902247.640651123</c:v>
                </c:pt>
                <c:pt idx="7">
                  <c:v>966720.844659821</c:v>
                </c:pt>
                <c:pt idx="8">
                  <c:v>908913.125508428</c:v>
                </c:pt>
                <c:pt idx="9">
                  <c:v>997413.760392699</c:v>
                </c:pt>
                <c:pt idx="10">
                  <c:v>1038011.10417764</c:v>
                </c:pt>
                <c:pt idx="11">
                  <c:v>1239477.13984799</c:v>
                </c:pt>
                <c:pt idx="12">
                  <c:v>1088687.82004891</c:v>
                </c:pt>
                <c:pt idx="13">
                  <c:v>1099020.69153238</c:v>
                </c:pt>
                <c:pt idx="14">
                  <c:v>1238781.2816247</c:v>
                </c:pt>
                <c:pt idx="15">
                  <c:v>1177076.55416956</c:v>
                </c:pt>
                <c:pt idx="16">
                  <c:v>1541182.23016637</c:v>
                </c:pt>
                <c:pt idx="17">
                  <c:v>2063900.56147903</c:v>
                </c:pt>
                <c:pt idx="18">
                  <c:v>2248677.48847353</c:v>
                </c:pt>
                <c:pt idx="19">
                  <c:v>2619287.90065412</c:v>
                </c:pt>
                <c:pt idx="20">
                  <c:v>2884890.73522536</c:v>
                </c:pt>
                <c:pt idx="21">
                  <c:v>2188471.44195203</c:v>
                </c:pt>
                <c:pt idx="22">
                  <c:v>2385951.15300852</c:v>
                </c:pt>
                <c:pt idx="23">
                  <c:v>2026490.98190455</c:v>
                </c:pt>
                <c:pt idx="24">
                  <c:v>2244708.39219183</c:v>
                </c:pt>
                <c:pt idx="25">
                  <c:v>2092286.93131237</c:v>
                </c:pt>
                <c:pt idx="26">
                  <c:v>2248110.5266123</c:v>
                </c:pt>
                <c:pt idx="27">
                  <c:v>2249217.10125437</c:v>
                </c:pt>
                <c:pt idx="28">
                  <c:v>2282547.1051877</c:v>
                </c:pt>
                <c:pt idx="29">
                  <c:v>2503809.34123387</c:v>
                </c:pt>
                <c:pt idx="30">
                  <c:v>2776459.60722133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'HIER Rechnung Ausschütter'!$I$2</c:f>
              <c:strCache>
                <c:ptCount val="1"/>
                <c:pt idx="0">
                  <c:v>Ausschütter</c:v>
                </c:pt>
              </c:strCache>
            </c:strRef>
          </c:tx>
          <c:spPr>
            <a:solidFill>
              <a:srgbClr val="fbbc04"/>
            </a:solidFill>
            <a:ln w="19080">
              <a:solidFill>
                <a:srgbClr val="fbbc04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'HIER Rechnung Ausschütter'!$A$3:$A$33</c:f>
              <c:strCach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strCache>
            </c:strRef>
          </c:cat>
          <c:val>
            <c:numRef>
              <c:f>'HIER Rechnung Ausschütter'!$I$3:$I$33</c:f>
              <c:numCache>
                <c:formatCode>General</c:formatCode>
                <c:ptCount val="31"/>
                <c:pt idx="0">
                  <c:v>1000000</c:v>
                </c:pt>
                <c:pt idx="1">
                  <c:v>931668.282096178</c:v>
                </c:pt>
                <c:pt idx="2">
                  <c:v>1065034.01576763</c:v>
                </c:pt>
                <c:pt idx="3">
                  <c:v>1263762.66089314</c:v>
                </c:pt>
                <c:pt idx="4">
                  <c:v>1020288.34746156</c:v>
                </c:pt>
                <c:pt idx="5">
                  <c:v>703540.595167612</c:v>
                </c:pt>
                <c:pt idx="6">
                  <c:v>887498.060751223</c:v>
                </c:pt>
                <c:pt idx="7">
                  <c:v>946528.221646365</c:v>
                </c:pt>
                <c:pt idx="8">
                  <c:v>888129.994803274</c:v>
                </c:pt>
                <c:pt idx="9">
                  <c:v>971772.511599706</c:v>
                </c:pt>
                <c:pt idx="10">
                  <c:v>1007722.74472857</c:v>
                </c:pt>
                <c:pt idx="11">
                  <c:v>1198646.29677364</c:v>
                </c:pt>
                <c:pt idx="12">
                  <c:v>1050508.5891848</c:v>
                </c:pt>
                <c:pt idx="13">
                  <c:v>1055395.6866308</c:v>
                </c:pt>
                <c:pt idx="14">
                  <c:v>1184986.04790835</c:v>
                </c:pt>
                <c:pt idx="15">
                  <c:v>1124591.98016829</c:v>
                </c:pt>
                <c:pt idx="16">
                  <c:v>1469214.01600702</c:v>
                </c:pt>
                <c:pt idx="17">
                  <c:v>1964693.29814903</c:v>
                </c:pt>
                <c:pt idx="18">
                  <c:v>2132147.82211438</c:v>
                </c:pt>
                <c:pt idx="19">
                  <c:v>2475564.17258706</c:v>
                </c:pt>
                <c:pt idx="20">
                  <c:v>2714885.20743554</c:v>
                </c:pt>
                <c:pt idx="21">
                  <c:v>2066945.27234444</c:v>
                </c:pt>
                <c:pt idx="22">
                  <c:v>2244656.4498328</c:v>
                </c:pt>
                <c:pt idx="23">
                  <c:v>1916587.77582527</c:v>
                </c:pt>
                <c:pt idx="24">
                  <c:v>2123814.22843734</c:v>
                </c:pt>
                <c:pt idx="25">
                  <c:v>1985691.63389595</c:v>
                </c:pt>
                <c:pt idx="26">
                  <c:v>2136875.06230968</c:v>
                </c:pt>
                <c:pt idx="27">
                  <c:v>2145578.13221656</c:v>
                </c:pt>
                <c:pt idx="28">
                  <c:v>2190371.51380761</c:v>
                </c:pt>
                <c:pt idx="29">
                  <c:v>2419548.42858584</c:v>
                </c:pt>
                <c:pt idx="30">
                  <c:v>2697772.43431477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93596392"/>
        <c:axId val="19337059"/>
      </c:lineChart>
      <c:catAx>
        <c:axId val="935963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9337059"/>
        <c:crosses val="autoZero"/>
        <c:auto val="1"/>
        <c:lblAlgn val="ctr"/>
        <c:lblOffset val="100"/>
        <c:noMultiLvlLbl val="0"/>
      </c:catAx>
      <c:valAx>
        <c:axId val="19337059"/>
        <c:scaling>
          <c:orientation val="minMax"/>
        </c:scaling>
        <c:delete val="0"/>
        <c:axPos val="l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General" sourceLinked="0"/>
        <c:majorTickMark val="cross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359639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1a1a1a"/>
              </a:solidFill>
              <a:latin typeface="Arial"/>
              <a:ea typeface="Arial"/>
            </a:defRPr>
          </a:pPr>
        </a:p>
      </c:txPr>
    </c:legend>
    <c:plotVisOnly val="0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362880</xdr:colOff>
      <xdr:row>1</xdr:row>
      <xdr:rowOff>19440</xdr:rowOff>
    </xdr:from>
    <xdr:to>
      <xdr:col>12</xdr:col>
      <xdr:colOff>617400</xdr:colOff>
      <xdr:row>20</xdr:row>
      <xdr:rowOff>78480</xdr:rowOff>
    </xdr:to>
    <xdr:graphicFrame>
      <xdr:nvGraphicFramePr>
        <xdr:cNvPr id="0" name="Chart 1"/>
        <xdr:cNvGraphicFramePr/>
      </xdr:nvGraphicFramePr>
      <xdr:xfrm>
        <a:off x="3607560" y="682560"/>
        <a:ext cx="8453160" cy="4588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2.6953125" defaultRowHeight="15.75" zeroHeight="false" outlineLevelRow="0" outlineLevelCol="0"/>
  <cols>
    <col collapsed="false" customWidth="true" hidden="false" outlineLevel="0" max="1" min="1" style="0" width="20.63"/>
    <col collapsed="false" customWidth="true" hidden="false" outlineLevel="0" max="8" min="8" style="0" width="14.75"/>
  </cols>
  <sheetData>
    <row r="1" customFormat="false" ht="52.2" hidden="false" customHeight="false" outlineLevel="0" collapsed="false">
      <c r="A1" s="1" t="s">
        <v>0</v>
      </c>
      <c r="B1" s="2" t="n">
        <v>1000000</v>
      </c>
      <c r="E1" s="3" t="s">
        <v>1</v>
      </c>
      <c r="H1" s="4" t="s">
        <v>2</v>
      </c>
      <c r="M1" s="5" t="s">
        <v>3</v>
      </c>
      <c r="N1" s="4" t="str">
        <f aca="false">'HIER Rechnung Thesaurierer '!AF2</f>
        <v>Kapitaleträge Vorteil(-)/Nachteil(+) Thesaurierer</v>
      </c>
      <c r="O1" s="6" t="s">
        <v>4</v>
      </c>
      <c r="P1" s="6" t="s">
        <v>5</v>
      </c>
    </row>
    <row r="2" customFormat="false" ht="14.15" hidden="false" customHeight="false" outlineLevel="0" collapsed="false">
      <c r="A2" s="1" t="s">
        <v>6</v>
      </c>
      <c r="B2" s="7" t="n">
        <v>666666.667</v>
      </c>
      <c r="C2" s="8" t="n">
        <f aca="false">B1/B2-1</f>
        <v>0.49999999925</v>
      </c>
      <c r="M2" s="9" t="n">
        <v>1</v>
      </c>
      <c r="N2" s="10" t="n">
        <f aca="false">'HIER Rechnung Thesaurierer '!AF4</f>
        <v>-14986.0015359972</v>
      </c>
      <c r="O2" s="11" t="n">
        <f aca="false">'HIER Rechnung Thesaurierer '!O4</f>
        <v>0.0381374315091747</v>
      </c>
      <c r="P2" s="11" t="n">
        <f aca="false">'HIER Rechnung Ausschütter'!P4</f>
        <v>0.0435953446780448</v>
      </c>
    </row>
    <row r="3" customFormat="false" ht="14.15" hidden="false" customHeight="false" outlineLevel="0" collapsed="false">
      <c r="A3" s="12" t="s">
        <v>7</v>
      </c>
      <c r="B3" s="2" t="n">
        <v>35000</v>
      </c>
      <c r="C3" s="13" t="n">
        <f aca="false">B3/B1</f>
        <v>0.035</v>
      </c>
      <c r="M3" s="9" t="n">
        <v>2</v>
      </c>
      <c r="N3" s="10" t="n">
        <f aca="false">'HIER Rechnung Thesaurierer '!AF5</f>
        <v>12425.8788225791</v>
      </c>
      <c r="O3" s="11" t="n">
        <f aca="false">'HIER Rechnung Thesaurierer '!O5</f>
        <v>0.0462112134563236</v>
      </c>
      <c r="P3" s="11" t="n">
        <f aca="false">'HIER Rechnung Ausschütter'!P5</f>
        <v>0.0448114165212784</v>
      </c>
    </row>
    <row r="4" customFormat="false" ht="14.15" hidden="false" customHeight="false" outlineLevel="0" collapsed="false">
      <c r="A4" s="1" t="s">
        <v>8</v>
      </c>
      <c r="B4" s="2" t="n">
        <v>0</v>
      </c>
      <c r="M4" s="9" t="n">
        <v>3</v>
      </c>
      <c r="N4" s="10" t="n">
        <f aca="false">'HIER Rechnung Thesaurierer '!AF6</f>
        <v>15135.5326934691</v>
      </c>
      <c r="O4" s="11" t="n">
        <f aca="false">'HIER Rechnung Thesaurierer '!O6</f>
        <v>0.04341955221103</v>
      </c>
      <c r="P4" s="11" t="n">
        <f aca="false">'HIER Rechnung Ausschütter'!P6</f>
        <v>0.0413455971518973</v>
      </c>
    </row>
    <row r="5" customFormat="false" ht="14.15" hidden="false" customHeight="false" outlineLevel="0" collapsed="false">
      <c r="A5" s="14"/>
      <c r="B5" s="15"/>
      <c r="M5" s="9" t="n">
        <v>4</v>
      </c>
      <c r="N5" s="10" t="n">
        <f aca="false">'HIER Rechnung Thesaurierer '!AF7</f>
        <v>-11060.3369125275</v>
      </c>
      <c r="O5" s="11" t="n">
        <f aca="false">'HIER Rechnung Thesaurierer '!O7</f>
        <v>0.0447267207174574</v>
      </c>
      <c r="P5" s="11" t="n">
        <f aca="false">'HIER Rechnung Ausschütter'!P7</f>
        <v>0.0482481926836624</v>
      </c>
    </row>
    <row r="6" customFormat="false" ht="39.55" hidden="false" customHeight="false" outlineLevel="0" collapsed="false">
      <c r="A6" s="12" t="s">
        <v>9</v>
      </c>
      <c r="B6" s="16" t="n">
        <v>0.15</v>
      </c>
      <c r="M6" s="9" t="n">
        <v>5</v>
      </c>
      <c r="N6" s="10" t="n">
        <f aca="false">'HIER Rechnung Thesaurierer '!AF8</f>
        <v>-12587.7897977698</v>
      </c>
      <c r="O6" s="11" t="n">
        <f aca="false">'HIER Rechnung Thesaurierer '!O8</f>
        <v>0.0660753630794982</v>
      </c>
      <c r="P6" s="11" t="n">
        <f aca="false">'HIER Rechnung Ausschütter'!P8</f>
        <v>0.0730110362010349</v>
      </c>
    </row>
    <row r="7" customFormat="false" ht="26.85" hidden="false" customHeight="false" outlineLevel="0" collapsed="false">
      <c r="A7" s="12" t="s">
        <v>10</v>
      </c>
      <c r="B7" s="17" t="n">
        <v>0</v>
      </c>
      <c r="M7" s="9" t="n">
        <v>6</v>
      </c>
      <c r="N7" s="10" t="n">
        <f aca="false">'HIER Rechnung Thesaurierer '!AF9</f>
        <v>12404.3098401709</v>
      </c>
      <c r="O7" s="11" t="n">
        <f aca="false">'HIER Rechnung Thesaurierer '!O9</f>
        <v>0.0690165302906862</v>
      </c>
      <c r="P7" s="11" t="n">
        <f aca="false">'HIER Rechnung Ausschütter'!P9</f>
        <v>0.0689004549079492</v>
      </c>
    </row>
    <row r="8" customFormat="false" ht="14.15" hidden="false" customHeight="false" outlineLevel="0" collapsed="false">
      <c r="A8" s="14"/>
      <c r="B8" s="15"/>
      <c r="M8" s="9" t="n">
        <v>7</v>
      </c>
      <c r="N8" s="10" t="n">
        <f aca="false">'HIER Rechnung Thesaurierer '!AF10</f>
        <v>11427.2294940576</v>
      </c>
      <c r="O8" s="11" t="n">
        <f aca="false">'HIER Rechnung Thesaurierer '!O10</f>
        <v>0.0712666781425071</v>
      </c>
      <c r="P8" s="11" t="n">
        <f aca="false">'HIER Rechnung Ausschütter'!P10</f>
        <v>0.0705730037388819</v>
      </c>
    </row>
    <row r="9" customFormat="false" ht="26.85" hidden="false" customHeight="false" outlineLevel="0" collapsed="false">
      <c r="A9" s="12" t="s">
        <v>11</v>
      </c>
      <c r="B9" s="18" t="n">
        <f aca="false">0.26375*0.7</f>
        <v>0.184625</v>
      </c>
      <c r="M9" s="9" t="n">
        <v>8</v>
      </c>
      <c r="N9" s="10" t="n">
        <f aca="false">'HIER Rechnung Thesaurierer '!AF11</f>
        <v>-7424.36192467477</v>
      </c>
      <c r="O9" s="11" t="n">
        <f aca="false">'HIER Rechnung Thesaurierer '!O11</f>
        <v>0.0715867427374078</v>
      </c>
      <c r="P9" s="11" t="n">
        <f aca="false">'HIER Rechnung Ausschütter'!P11</f>
        <v>0.075952436543074</v>
      </c>
    </row>
    <row r="10" customFormat="false" ht="26.85" hidden="false" customHeight="false" outlineLevel="0" collapsed="false">
      <c r="A10" s="12" t="s">
        <v>12</v>
      </c>
      <c r="B10" s="18" t="n">
        <v>0.26375</v>
      </c>
      <c r="M10" s="9" t="n">
        <v>9</v>
      </c>
      <c r="N10" s="10" t="n">
        <f aca="false">'HIER Rechnung Thesaurierer '!AF12</f>
        <v>8815.41596818565</v>
      </c>
      <c r="O10" s="11" t="n">
        <f aca="false">'HIER Rechnung Thesaurierer '!O12</f>
        <v>0.0761349941039989</v>
      </c>
      <c r="P10" s="11" t="n">
        <f aca="false">'HIER Rechnung Ausschütter'!P12</f>
        <v>0.0760097143272403</v>
      </c>
    </row>
    <row r="11" customFormat="false" ht="38.8" hidden="false" customHeight="true" outlineLevel="0" collapsed="false">
      <c r="A11" s="6" t="s">
        <v>13</v>
      </c>
      <c r="B11" s="19" t="s">
        <v>14</v>
      </c>
      <c r="M11" s="9" t="n">
        <v>10</v>
      </c>
      <c r="N11" s="10" t="n">
        <f aca="false">'HIER Rechnung Thesaurierer '!AF13</f>
        <v>16385.5952367105</v>
      </c>
      <c r="O11" s="11" t="n">
        <f aca="false">'HIER Rechnung Thesaurierer '!O13</f>
        <v>0.0815766545342276</v>
      </c>
      <c r="P11" s="11" t="n">
        <f aca="false">'HIER Rechnung Ausschütter'!P13</f>
        <v>0.079157056252555</v>
      </c>
    </row>
    <row r="12" customFormat="false" ht="14.15" hidden="false" customHeight="false" outlineLevel="0" collapsed="false">
      <c r="A12" s="14"/>
      <c r="M12" s="9" t="n">
        <v>11</v>
      </c>
      <c r="N12" s="10" t="n">
        <f aca="false">'HIER Rechnung Thesaurierer '!AF14</f>
        <v>21197.6572585537</v>
      </c>
      <c r="O12" s="11" t="n">
        <f aca="false">'HIER Rechnung Thesaurierer '!O14</f>
        <v>0.0775454004197244</v>
      </c>
      <c r="P12" s="11" t="n">
        <f aca="false">'HIER Rechnung Ausschütter'!P14</f>
        <v>0.0739230100971009</v>
      </c>
    </row>
    <row r="13" customFormat="false" ht="13.8" hidden="false" customHeight="false" outlineLevel="0" collapsed="false">
      <c r="A13" s="1" t="s">
        <v>15</v>
      </c>
      <c r="M13" s="9"/>
      <c r="N13" s="10" t="n">
        <f aca="false">'HIER Rechnung Thesaurierer '!AF15</f>
        <v>-19034.3418370386</v>
      </c>
      <c r="O13" s="11" t="n">
        <f aca="false">'HIER Rechnung Thesaurierer '!O15</f>
        <v>0.0833919939329669</v>
      </c>
      <c r="P13" s="11" t="n">
        <f aca="false">'HIER Rechnung Ausschütter'!P15</f>
        <v>0.0874374943208095</v>
      </c>
    </row>
    <row r="14" customFormat="false" ht="14.15" hidden="false" customHeight="false" outlineLevel="0" collapsed="false">
      <c r="A14" s="20" t="s">
        <v>16</v>
      </c>
      <c r="B14" s="21"/>
      <c r="C14" s="22" t="n">
        <f aca="false">'HIER Rechnung Ausschütter'!C39</f>
        <v>0.0277191160803762</v>
      </c>
      <c r="D14" s="23" t="s">
        <v>17</v>
      </c>
      <c r="M14" s="9" t="n">
        <v>12</v>
      </c>
      <c r="N14" s="10" t="n">
        <f aca="false">'HIER Rechnung Thesaurierer '!AF16</f>
        <v>21460.6018386782</v>
      </c>
      <c r="O14" s="11" t="n">
        <f aca="false">'HIER Rechnung Thesaurierer '!O16</f>
        <v>0.102127948888861</v>
      </c>
      <c r="P14" s="11" t="n">
        <f aca="false">'HIER Rechnung Ausschütter'!P16</f>
        <v>0.0969491273029773</v>
      </c>
    </row>
    <row r="15" customFormat="false" ht="14.15" hidden="false" customHeight="false" outlineLevel="0" collapsed="false">
      <c r="A15" s="20" t="s">
        <v>18</v>
      </c>
      <c r="B15" s="21"/>
      <c r="C15" s="22" t="n">
        <f aca="false">'HIER Einzelaktien'!C40</f>
        <v>0.000991047237211669</v>
      </c>
      <c r="D15" s="23" t="s">
        <v>17</v>
      </c>
      <c r="M15" s="9" t="n">
        <v>13</v>
      </c>
      <c r="N15" s="10" t="n">
        <f aca="false">'HIER Rechnung Thesaurierer '!AF17</f>
        <v>18373.2019727691</v>
      </c>
      <c r="O15" s="11" t="n">
        <f aca="false">'HIER Rechnung Thesaurierer '!O17</f>
        <v>0.099263956834632</v>
      </c>
      <c r="P15" s="11" t="n">
        <f aca="false">'HIER Rechnung Ausschütter'!P17</f>
        <v>0.0930968847855525</v>
      </c>
    </row>
    <row r="16" customFormat="false" ht="14.15" hidden="false" customHeight="false" outlineLevel="0" collapsed="false">
      <c r="A16" s="20" t="s">
        <v>19</v>
      </c>
      <c r="B16" s="21"/>
      <c r="C16" s="22" t="n">
        <f aca="false">'HIER Einzelaktien'!C39</f>
        <v>0.0287101633175879</v>
      </c>
      <c r="D16" s="23" t="s">
        <v>17</v>
      </c>
      <c r="M16" s="9" t="n">
        <v>14</v>
      </c>
      <c r="N16" s="10" t="n">
        <f aca="false">'HIER Rechnung Thesaurierer '!AF18</f>
        <v>26868.4594284738</v>
      </c>
      <c r="O16" s="11" t="n">
        <f aca="false">'HIER Rechnung Thesaurierer '!O18</f>
        <v>0.111830740374702</v>
      </c>
      <c r="P16" s="11" t="n">
        <f aca="false">'HIER Rechnung Ausschütter'!P18</f>
        <v>0.101505764050503</v>
      </c>
    </row>
    <row r="17" customFormat="false" ht="14.15" hidden="false" customHeight="false" outlineLevel="0" collapsed="false">
      <c r="A17" s="14"/>
      <c r="M17" s="9" t="n">
        <v>15</v>
      </c>
      <c r="N17" s="10" t="n">
        <f aca="false">'HIER Rechnung Thesaurierer '!AF19</f>
        <v>20371.7323876907</v>
      </c>
      <c r="O17" s="11" t="n">
        <f aca="false">'HIER Rechnung Thesaurierer '!O19</f>
        <v>0.0960089803386321</v>
      </c>
      <c r="P17" s="11" t="n">
        <f aca="false">'HIER Rechnung Ausschütter'!P19</f>
        <v>0.0868978632447248</v>
      </c>
    </row>
    <row r="18" customFormat="false" ht="14.15" hidden="false" customHeight="false" outlineLevel="0" collapsed="false">
      <c r="A18" s="1" t="s">
        <v>20</v>
      </c>
      <c r="M18" s="9" t="n">
        <v>16</v>
      </c>
      <c r="N18" s="10" t="n">
        <f aca="false">'HIER Rechnung Thesaurierer '!AF20</f>
        <v>30719.5067650415</v>
      </c>
      <c r="O18" s="11" t="n">
        <f aca="false">'HIER Rechnung Thesaurierer '!O20</f>
        <v>0.0811291563857293</v>
      </c>
      <c r="P18" s="11" t="n">
        <f aca="false">'HIER Rechnung Ausschütter'!P20</f>
        <v>0.0700846645052189</v>
      </c>
    </row>
    <row r="19" customFormat="false" ht="14.15" hidden="false" customHeight="false" outlineLevel="0" collapsed="false">
      <c r="A19" s="20" t="s">
        <v>16</v>
      </c>
      <c r="C19" s="22" t="n">
        <f aca="false">'HIER Rechnung Ausschütter'!C48</f>
        <v>0.0258282837802632</v>
      </c>
      <c r="D19" s="23" t="s">
        <v>17</v>
      </c>
      <c r="M19" s="9" t="n">
        <v>17</v>
      </c>
      <c r="N19" s="10" t="n">
        <f aca="false">'HIER Rechnung Thesaurierer '!AF21</f>
        <v>15073.2535896183</v>
      </c>
      <c r="O19" s="11" t="n">
        <f aca="false">'HIER Rechnung Thesaurierer '!O21</f>
        <v>0.082466181716257</v>
      </c>
      <c r="P19" s="11" t="n">
        <f aca="false">'HIER Rechnung Ausschütter'!P21</f>
        <v>0.0714704614020788</v>
      </c>
    </row>
    <row r="20" customFormat="false" ht="14.15" hidden="false" customHeight="false" outlineLevel="0" collapsed="false">
      <c r="A20" s="20" t="s">
        <v>18</v>
      </c>
      <c r="C20" s="22" t="n">
        <f aca="false">'HIER Einzelaktien'!C48</f>
        <v>-0.00236888342098567</v>
      </c>
      <c r="D20" s="23" t="s">
        <v>17</v>
      </c>
      <c r="M20" s="9" t="n">
        <v>18</v>
      </c>
      <c r="N20" s="10" t="n">
        <f aca="false">'HIER Rechnung Thesaurierer '!AF22</f>
        <v>28658.5048845815</v>
      </c>
      <c r="O20" s="11" t="n">
        <f aca="false">'HIER Rechnung Thesaurierer '!O22</f>
        <v>0.0780833557132639</v>
      </c>
      <c r="P20" s="11" t="n">
        <f aca="false">'HIER Rechnung Ausschütter'!P22</f>
        <v>0.0654142116672287</v>
      </c>
    </row>
    <row r="21" customFormat="false" ht="14.15" hidden="false" customHeight="false" outlineLevel="0" collapsed="false">
      <c r="A21" s="20" t="s">
        <v>19</v>
      </c>
      <c r="C21" s="22" t="n">
        <f aca="false">'HIER Einzelaktien'!C49</f>
        <v>0.0234594003592776</v>
      </c>
      <c r="D21" s="23" t="s">
        <v>17</v>
      </c>
      <c r="M21" s="9" t="n">
        <v>19</v>
      </c>
      <c r="N21" s="10" t="n">
        <f aca="false">'HIER Rechnung Thesaurierer '!AF23</f>
        <v>26691.5136346394</v>
      </c>
      <c r="O21" s="11" t="n">
        <f aca="false">'HIER Rechnung Thesaurierer '!O23</f>
        <v>0.0787763889170601</v>
      </c>
      <c r="P21" s="11" t="n">
        <f aca="false">'HIER Rechnung Ausschütter'!P23</f>
        <v>0.0650660219796964</v>
      </c>
    </row>
    <row r="22" customFormat="false" ht="46.25" hidden="false" customHeight="false" outlineLevel="0" collapsed="false">
      <c r="A22" s="14"/>
      <c r="B22" s="6" t="s">
        <v>21</v>
      </c>
      <c r="C22" s="6" t="s">
        <v>22</v>
      </c>
      <c r="D22" s="6" t="s">
        <v>23</v>
      </c>
      <c r="E22" s="6" t="s">
        <v>24</v>
      </c>
      <c r="F22" s="24" t="s">
        <v>25</v>
      </c>
      <c r="M22" s="9" t="n">
        <v>23</v>
      </c>
      <c r="N22" s="10" t="n">
        <f aca="false">'HIER Rechnung Thesaurierer '!AF24</f>
        <v>-3665.54404534365</v>
      </c>
      <c r="O22" s="11" t="n">
        <f aca="false">'HIER Rechnung Thesaurierer '!O24</f>
        <v>0.0968263628727155</v>
      </c>
      <c r="P22" s="11" t="n">
        <f aca="false">'HIER Rechnung Ausschütter'!P24</f>
        <v>0.0822436493525514</v>
      </c>
    </row>
    <row r="23" customFormat="false" ht="14.15" hidden="false" customHeight="false" outlineLevel="0" collapsed="false">
      <c r="A23" s="1" t="s">
        <v>26</v>
      </c>
      <c r="B23" s="10" t="n">
        <f aca="false">'HIER Rechnung Ausschütter'!I33</f>
        <v>2697772.43431477</v>
      </c>
      <c r="C23" s="10" t="n">
        <f aca="false">'HIER Rechnung Ausschütter'!C45</f>
        <v>2227619.66721979</v>
      </c>
      <c r="D23" s="10" t="n">
        <f aca="false">'HIER Rechnung Ausschütter'!S35+'HIER Rechnung Ausschütter'!M35+'HIER Rechnung Ausschütter'!N35</f>
        <v>4796392.44973162</v>
      </c>
      <c r="E23" s="10" t="n">
        <f aca="false">'HIER Rechnung Ausschütter'!X35</f>
        <v>3815705.21695989</v>
      </c>
      <c r="F23" s="22" t="n">
        <f aca="false">'HIER Rechnung Ausschütter'!P35</f>
        <v>0.0837734671096403</v>
      </c>
      <c r="M23" s="9" t="n">
        <v>24</v>
      </c>
      <c r="N23" s="10" t="n">
        <f aca="false">'HIER Rechnung Thesaurierer '!AF25</f>
        <v>21683.27288949</v>
      </c>
      <c r="O23" s="11" t="n">
        <f aca="false">'HIER Rechnung Thesaurierer '!O25</f>
        <v>0.10973027404693</v>
      </c>
      <c r="P23" s="11" t="n">
        <f aca="false">'HIER Rechnung Ausschütter'!P25</f>
        <v>0.0890345618725338</v>
      </c>
    </row>
    <row r="24" customFormat="false" ht="14.15" hidden="false" customHeight="false" outlineLevel="0" collapsed="false">
      <c r="A24" s="1" t="s">
        <v>27</v>
      </c>
      <c r="B24" s="10" t="n">
        <f aca="false">'HIER Rechnung Thesaurierer '!J33</f>
        <v>1193544.98780126</v>
      </c>
      <c r="C24" s="10" t="n">
        <f aca="false">'HIER Rechnung Thesaurierer '!C45</f>
        <v>1037537.18136192</v>
      </c>
      <c r="D24" s="10" t="n">
        <f aca="false">'HIER Rechnung Thesaurierer '!U35</f>
        <v>4607676.37049188</v>
      </c>
      <c r="E24" s="10" t="n">
        <f aca="false">'HIER Rechnung Thesaurierer '!X35</f>
        <v>3815705.21695989</v>
      </c>
      <c r="F24" s="22" t="n">
        <f aca="false">'HIER Rechnung Thesaurierer '!O36</f>
        <v>0.102603374500575</v>
      </c>
      <c r="M24" s="9" t="n">
        <v>25</v>
      </c>
      <c r="N24" s="10" t="n">
        <f aca="false">'HIER Rechnung Thesaurierer '!AF26</f>
        <v>-5309.96839937902</v>
      </c>
      <c r="O24" s="11" t="n">
        <f aca="false">'HIER Rechnung Thesaurierer '!O26</f>
        <v>0.124542169203155</v>
      </c>
      <c r="P24" s="11" t="n">
        <f aca="false">'HIER Rechnung Ausschütter'!P26</f>
        <v>0.101582669744093</v>
      </c>
    </row>
    <row r="25" customFormat="false" ht="14.15" hidden="false" customHeight="false" outlineLevel="0" collapsed="false">
      <c r="A25" s="1" t="s">
        <v>28</v>
      </c>
      <c r="B25" s="10" t="n">
        <f aca="false">'HIER Einzelaktien'!H33</f>
        <v>2776459.60722133</v>
      </c>
      <c r="C25" s="10" t="n">
        <f aca="false">'HIER Einzelaktien'!C45</f>
        <v>2078526.84183863</v>
      </c>
      <c r="D25" s="10" t="n">
        <f aca="false">'HIER Einzelaktien'!M35+'HIER Einzelaktien'!U35</f>
        <v>4990244.71507269</v>
      </c>
      <c r="E25" s="10" t="n">
        <f aca="false">'HIER Einzelaktien'!R35</f>
        <v>3815705.21695989</v>
      </c>
      <c r="F25" s="22" t="n">
        <f aca="false">'HIER Einzelaktien'!P35</f>
        <v>0.0728448953168064</v>
      </c>
      <c r="M25" s="9" t="n">
        <v>26</v>
      </c>
      <c r="N25" s="10" t="n">
        <f aca="false">'HIER Rechnung Thesaurierer '!AF27</f>
        <v>16338.396371684</v>
      </c>
      <c r="O25" s="11" t="n">
        <f aca="false">'HIER Rechnung Thesaurierer '!O27</f>
        <v>0.133150808414546</v>
      </c>
      <c r="P25" s="11" t="n">
        <f aca="false">'HIER Rechnung Ausschütter'!P27</f>
        <v>0.102836504728168</v>
      </c>
    </row>
    <row r="26" customFormat="false" ht="26.85" hidden="false" customHeight="false" outlineLevel="0" collapsed="false">
      <c r="A26" s="12" t="s">
        <v>29</v>
      </c>
      <c r="B26" s="25" t="n">
        <f aca="false">'HIER Einzelaktien'!G36</f>
        <v>0.035692329204315</v>
      </c>
      <c r="M26" s="9" t="n">
        <v>27</v>
      </c>
      <c r="N26" s="10" t="n">
        <f aca="false">'HIER Rechnung Thesaurierer '!AF28</f>
        <v>25855.2439290082</v>
      </c>
      <c r="O26" s="11" t="n">
        <f aca="false">'HIER Rechnung Thesaurierer '!O28</f>
        <v>0.155704297060445</v>
      </c>
      <c r="P26" s="11" t="n">
        <f aca="false">'HIER Rechnung Ausschütter'!P28</f>
        <v>0.114313348004025</v>
      </c>
    </row>
    <row r="27" customFormat="false" ht="26.85" hidden="false" customHeight="false" outlineLevel="0" collapsed="false">
      <c r="A27" s="12" t="s">
        <v>30</v>
      </c>
      <c r="B27" s="25" t="n">
        <f aca="false">'HIER Rechnung Ausschütter'!H36</f>
        <v>0.0303384798236678</v>
      </c>
      <c r="M27" s="9" t="n">
        <v>28</v>
      </c>
      <c r="N27" s="10" t="n">
        <f aca="false">'HIER Rechnung Thesaurierer '!AF29</f>
        <v>3266.96254179123</v>
      </c>
      <c r="O27" s="11" t="n">
        <f aca="false">'HIER Rechnung Thesaurierer '!O29</f>
        <v>0.161766952768435</v>
      </c>
      <c r="P27" s="11" t="n">
        <f aca="false">'HIER Rechnung Ausschütter'!P29</f>
        <v>0.115637291491211</v>
      </c>
    </row>
    <row r="28" customFormat="false" ht="26.85" hidden="false" customHeight="false" outlineLevel="0" collapsed="false">
      <c r="A28" s="26" t="s">
        <v>31</v>
      </c>
      <c r="B28" s="27" t="n">
        <f aca="false">'HIER Rechnung Thesaurierer '!H36</f>
        <v>0.0744666666666667</v>
      </c>
      <c r="M28" s="9" t="n">
        <v>29</v>
      </c>
      <c r="N28" s="10" t="n">
        <f aca="false">'HIER Rechnung Thesaurierer '!AF30</f>
        <v>411.866278979403</v>
      </c>
      <c r="O28" s="11" t="n">
        <f aca="false">'HIER Rechnung Thesaurierer '!O30</f>
        <v>0.178871925937178</v>
      </c>
      <c r="P28" s="11" t="n">
        <f aca="false">'HIER Rechnung Ausschütter'!P30</f>
        <v>0.120604346447596</v>
      </c>
    </row>
    <row r="29" customFormat="false" ht="14.15" hidden="false" customHeight="false" outlineLevel="0" collapsed="false">
      <c r="A29" s="14"/>
      <c r="M29" s="9" t="n">
        <v>30</v>
      </c>
      <c r="N29" s="10" t="n">
        <f aca="false">'HIER Rechnung Thesaurierer '!AF31</f>
        <v>-1342.74218296792</v>
      </c>
      <c r="O29" s="11" t="n">
        <f aca="false">'HIER Rechnung Thesaurierer '!O31</f>
        <v>0.196826819717133</v>
      </c>
      <c r="P29" s="11" t="n">
        <f aca="false">'HIER Rechnung Ausschütter'!P31</f>
        <v>0.123313974082223</v>
      </c>
    </row>
    <row r="30" customFormat="false" ht="14.15" hidden="false" customHeight="false" outlineLevel="0" collapsed="false">
      <c r="A30" s="14"/>
      <c r="M30" s="4"/>
    </row>
    <row r="31" customFormat="false" ht="15.75" hidden="false" customHeight="true" outlineLevel="0" collapsed="false">
      <c r="A31" s="14"/>
    </row>
    <row r="32" customFormat="false" ht="15.75" hidden="false" customHeight="true" outlineLevel="0" collapsed="false">
      <c r="A32" s="14"/>
    </row>
    <row r="33" customFormat="false" ht="15.75" hidden="false" customHeight="true" outlineLevel="0" collapsed="false">
      <c r="A33" s="14"/>
    </row>
    <row r="34" customFormat="false" ht="15.75" hidden="false" customHeight="true" outlineLevel="0" collapsed="false">
      <c r="A34" s="14"/>
    </row>
    <row r="35" customFormat="false" ht="15.75" hidden="false" customHeight="true" outlineLevel="0" collapsed="false">
      <c r="A35" s="14"/>
    </row>
    <row r="36" customFormat="false" ht="15.75" hidden="false" customHeight="true" outlineLevel="0" collapsed="false">
      <c r="A36" s="14"/>
    </row>
  </sheetData>
  <conditionalFormatting sqref="N2:N29">
    <cfRule type="colorScale" priority="2">
      <colorScale>
        <cfvo type="formula" val="-10000"/>
        <cfvo type="formula" val="10000"/>
        <color rgb="FF00FF00"/>
        <color rgb="FFE67C73"/>
      </colorScale>
    </cfRule>
  </conditionalFormatting>
  <dataValidations count="1">
    <dataValidation allowBlank="true" errorStyle="stop" operator="between" showDropDown="false" showErrorMessage="true" showInputMessage="false" sqref="B11" type="list">
      <formula1>"Nein,Ja"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Q99"/>
  <sheetViews>
    <sheetView showFormulas="false" showGridLines="true" showRowColHeaders="true" showZeros="true" rightToLeft="false" tabSelected="false" showOutlineSymbols="true" defaultGridColor="true" view="normal" topLeftCell="J1" colorId="64" zoomScale="100" zoomScaleNormal="100" zoomScalePageLayoutView="100" workbookViewId="0">
      <pane xSplit="0" ySplit="2" topLeftCell="A3" activePane="bottomLeft" state="frozen"/>
      <selection pane="topLeft" activeCell="J1" activeCellId="0" sqref="J1"/>
      <selection pane="bottomLeft" activeCell="AB2" activeCellId="0" sqref="AB2"/>
    </sheetView>
  </sheetViews>
  <sheetFormatPr defaultColWidth="12.6953125" defaultRowHeight="12.8" zeroHeight="false" outlineLevelRow="0" outlineLevelCol="0"/>
  <cols>
    <col collapsed="false" customWidth="true" hidden="false" outlineLevel="0" max="29" min="29" style="0" width="15.84"/>
  </cols>
  <sheetData>
    <row r="1" s="14" customFormat="true" ht="49.25" hidden="false" customHeight="true" outlineLevel="0" collapsed="false">
      <c r="A1" s="28" t="s">
        <v>32</v>
      </c>
      <c r="B1" s="1"/>
      <c r="C1" s="12" t="s">
        <v>33</v>
      </c>
      <c r="D1" s="29" t="n">
        <f aca="false">Ergebnis!B2/H1</f>
        <v>0.666666667</v>
      </c>
      <c r="E1" s="1" t="s">
        <v>34</v>
      </c>
      <c r="F1" s="1"/>
      <c r="G1" s="1"/>
      <c r="H1" s="30" t="n">
        <f aca="false">Ergebnis!B1</f>
        <v>1000000</v>
      </c>
      <c r="J1" s="12" t="s">
        <v>35</v>
      </c>
      <c r="K1" s="25" t="n">
        <f aca="false">Ergebnis!B7</f>
        <v>0</v>
      </c>
      <c r="L1" s="12" t="s">
        <v>36</v>
      </c>
      <c r="M1" s="31" t="n">
        <f aca="false">Ergebnis!B6</f>
        <v>0.15</v>
      </c>
      <c r="N1" s="12" t="s">
        <v>37</v>
      </c>
      <c r="O1" s="32" t="n">
        <f aca="false">Ergebnis!B9</f>
        <v>0.184625</v>
      </c>
      <c r="P1" s="32" t="n">
        <f aca="false">Ergebnis!B10</f>
        <v>0.26375</v>
      </c>
      <c r="Q1" s="33"/>
      <c r="R1" s="12" t="s">
        <v>38</v>
      </c>
      <c r="S1" s="33" t="n">
        <f aca="false">Ergebnis!B4</f>
        <v>0</v>
      </c>
      <c r="T1" s="12"/>
      <c r="U1" s="34"/>
      <c r="V1" s="12"/>
      <c r="W1" s="12" t="s">
        <v>39</v>
      </c>
      <c r="X1" s="30" t="n">
        <f aca="false">Ergebnis!B3</f>
        <v>35000</v>
      </c>
      <c r="Y1" s="1"/>
      <c r="Z1" s="1"/>
    </row>
    <row r="2" s="39" customFormat="true" ht="97" hidden="false" customHeight="true" outlineLevel="0" collapsed="false">
      <c r="A2" s="9" t="s">
        <v>3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4" t="s">
        <v>46</v>
      </c>
      <c r="I2" s="35" t="s">
        <v>32</v>
      </c>
      <c r="J2" s="4" t="s">
        <v>47</v>
      </c>
      <c r="K2" s="4" t="s">
        <v>48</v>
      </c>
      <c r="L2" s="4"/>
      <c r="M2" s="4" t="s">
        <v>49</v>
      </c>
      <c r="N2" s="4" t="s">
        <v>50</v>
      </c>
      <c r="O2" s="4" t="s">
        <v>51</v>
      </c>
      <c r="P2" s="4" t="s">
        <v>52</v>
      </c>
      <c r="Q2" s="4" t="s">
        <v>53</v>
      </c>
      <c r="R2" s="4" t="s">
        <v>54</v>
      </c>
      <c r="S2" s="4" t="s">
        <v>55</v>
      </c>
      <c r="T2" s="36" t="s">
        <v>56</v>
      </c>
      <c r="U2" s="4" t="s">
        <v>57</v>
      </c>
      <c r="V2" s="4" t="s">
        <v>58</v>
      </c>
      <c r="W2" s="4" t="s">
        <v>59</v>
      </c>
      <c r="X2" s="37" t="s">
        <v>60</v>
      </c>
      <c r="Y2" s="4"/>
      <c r="Z2" s="4"/>
      <c r="AA2" s="4"/>
      <c r="AB2" s="9" t="s">
        <v>61</v>
      </c>
      <c r="AC2" s="4" t="s">
        <v>62</v>
      </c>
      <c r="AD2" s="4" t="s">
        <v>63</v>
      </c>
      <c r="AE2" s="38" t="s">
        <v>64</v>
      </c>
      <c r="AF2" s="4" t="s">
        <v>65</v>
      </c>
      <c r="AG2" s="4" t="s">
        <v>66</v>
      </c>
      <c r="AH2" s="4" t="s">
        <v>67</v>
      </c>
      <c r="AI2" s="4" t="s">
        <v>68</v>
      </c>
      <c r="AJ2" s="9"/>
      <c r="AK2" s="4" t="s">
        <v>69</v>
      </c>
      <c r="AL2" s="4" t="s">
        <v>70</v>
      </c>
      <c r="AM2" s="4" t="s">
        <v>71</v>
      </c>
      <c r="AN2" s="4"/>
      <c r="AO2" s="4"/>
      <c r="AP2" s="4"/>
      <c r="AQ2" s="4"/>
    </row>
    <row r="3" customFormat="false" ht="13.8" hidden="true" customHeight="false" outlineLevel="0" collapsed="false">
      <c r="A3" s="9" t="n">
        <v>0</v>
      </c>
      <c r="B3" s="40"/>
      <c r="C3" s="41"/>
      <c r="D3" s="42"/>
      <c r="E3" s="43"/>
      <c r="F3" s="44"/>
      <c r="G3" s="42"/>
      <c r="H3" s="45"/>
      <c r="I3" s="46" t="n">
        <f aca="false">D4</f>
        <v>1000000</v>
      </c>
      <c r="J3" s="47"/>
      <c r="K3" s="47"/>
      <c r="L3" s="10"/>
      <c r="M3" s="10"/>
      <c r="N3" s="10"/>
      <c r="O3" s="9"/>
      <c r="P3" s="13"/>
      <c r="Q3" s="42"/>
      <c r="R3" s="48"/>
      <c r="S3" s="49"/>
      <c r="T3" s="10"/>
      <c r="U3" s="10"/>
      <c r="V3" s="42"/>
      <c r="W3" s="10"/>
      <c r="X3" s="10"/>
      <c r="Y3" s="10"/>
      <c r="Z3" s="45"/>
      <c r="AC3" s="50"/>
      <c r="AD3" s="10"/>
      <c r="AE3" s="10"/>
      <c r="AF3" s="51"/>
      <c r="AG3" s="13"/>
      <c r="AH3" s="42"/>
      <c r="AL3" s="10"/>
      <c r="AN3" s="10"/>
      <c r="AO3" s="10"/>
      <c r="AP3" s="10"/>
      <c r="AQ3" s="10"/>
    </row>
    <row r="4" customFormat="false" ht="13.8" hidden="false" customHeight="false" outlineLevel="0" collapsed="false">
      <c r="A4" s="9" t="n">
        <v>1</v>
      </c>
      <c r="B4" s="40" t="n">
        <v>1</v>
      </c>
      <c r="C4" s="41" t="n">
        <f aca="false">H1</f>
        <v>1000000</v>
      </c>
      <c r="D4" s="42" t="n">
        <f aca="false">C4*B4</f>
        <v>1000000</v>
      </c>
      <c r="E4" s="43" t="n">
        <f aca="false">F4-K$1</f>
        <v>-0.05708</v>
      </c>
      <c r="F4" s="44" t="n">
        <v>-0.05708</v>
      </c>
      <c r="G4" s="42" t="n">
        <f aca="false">D4*(1+E4)</f>
        <v>942920</v>
      </c>
      <c r="H4" s="45" t="n">
        <f aca="false">'HIER Einzelaktien'!G4-('HIER Einzelaktien'!G4*M$1)</f>
        <v>0.0316625</v>
      </c>
      <c r="I4" s="46" t="n">
        <f aca="false">C5*B5</f>
        <v>931668.282096178</v>
      </c>
      <c r="J4" s="52" t="n">
        <f aca="false">I4/D4-1</f>
        <v>-0.068331717903822</v>
      </c>
      <c r="K4" s="52" t="n">
        <f aca="false">B5/D$1-1</f>
        <v>0.41437999929281</v>
      </c>
      <c r="L4" s="53"/>
      <c r="M4" s="53" t="n">
        <f aca="false">G4*H4</f>
        <v>29855.2045</v>
      </c>
      <c r="N4" s="53" t="n">
        <f aca="false">M4*O$1-AL4</f>
        <v>5512.0171308125</v>
      </c>
      <c r="O4" s="53" t="n">
        <f aca="false">M4-N4</f>
        <v>24343.1873691875</v>
      </c>
      <c r="P4" s="54" t="n">
        <f aca="false">(S4+M4)/G4</f>
        <v>0.0435953446780448</v>
      </c>
      <c r="Q4" s="53" t="n">
        <f aca="false">X1</f>
        <v>35000</v>
      </c>
      <c r="R4" s="55" t="n">
        <f aca="false">S4/B5</f>
        <v>11932.8446780448</v>
      </c>
      <c r="S4" s="56" t="n">
        <f aca="false">Q4-O4+U4+AF4</f>
        <v>11251.717903822</v>
      </c>
      <c r="T4" s="53" t="n">
        <f aca="false">S4-V4</f>
        <v>3296.48811448118</v>
      </c>
      <c r="U4" s="53" t="n">
        <f aca="false">T4*O$1</f>
        <v>594.905273009472</v>
      </c>
      <c r="V4" s="53" t="n">
        <f aca="false">R4*D$1+AH4</f>
        <v>7955.22978934079</v>
      </c>
      <c r="W4" s="53" t="n">
        <f aca="false">S4-U4-AF4</f>
        <v>10656.8126308125</v>
      </c>
      <c r="X4" s="53" t="n">
        <f aca="false">W4+O4</f>
        <v>35000</v>
      </c>
      <c r="Y4" s="42"/>
      <c r="Z4" s="54"/>
      <c r="AA4" s="53"/>
      <c r="AB4" s="54" t="n">
        <f aca="false">'HIER Rechnung Thesaurierer '!H4</f>
        <v>0.083</v>
      </c>
      <c r="AC4" s="57" t="n">
        <f aca="false">(B5*C4)-(B4*C4)</f>
        <v>-57080</v>
      </c>
      <c r="AD4" s="53" t="n">
        <f aca="false">IF(AC4&gt;0,MIN((D4)*AB4*0.7,AC4),0)</f>
        <v>0</v>
      </c>
      <c r="AE4" s="53" t="n">
        <f aca="false">IF(AC4&gt;0,MAX(AD4-(M4),0),0)</f>
        <v>0</v>
      </c>
      <c r="AF4" s="58" t="n">
        <f aca="false">AE4*O$1</f>
        <v>0</v>
      </c>
      <c r="AG4" s="54" t="n">
        <f aca="false">V4/G4</f>
        <v>0.00843680247459042</v>
      </c>
      <c r="AH4" s="53" t="n">
        <f aca="false">IF(AI3&gt;0,(AI3/C4)*S4,0)</f>
        <v>0</v>
      </c>
      <c r="AI4" s="53" t="n">
        <f aca="false">AE4-AH4</f>
        <v>0</v>
      </c>
      <c r="AJ4" s="9"/>
      <c r="AK4" s="59" t="n">
        <f aca="false">S1</f>
        <v>0</v>
      </c>
      <c r="AL4" s="53" t="n">
        <f aca="false">IF((M4+N4+S4)&lt;AK4,(M4+N4+S4)*O$1,AK4*O$1)</f>
        <v>0</v>
      </c>
      <c r="AM4" s="53" t="n">
        <f aca="false">(M4+T4+AE4)*0.7</f>
        <v>23206.1848301368</v>
      </c>
      <c r="AN4" s="53"/>
      <c r="AO4" s="53"/>
      <c r="AP4" s="53"/>
      <c r="AQ4" s="10"/>
    </row>
    <row r="5" customFormat="false" ht="13.8" hidden="false" customHeight="false" outlineLevel="0" collapsed="false">
      <c r="A5" s="9" t="n">
        <v>2</v>
      </c>
      <c r="B5" s="40" t="n">
        <f aca="false">B4*(1+E4)</f>
        <v>0.94292</v>
      </c>
      <c r="C5" s="48" t="n">
        <f aca="false">C4-R4</f>
        <v>988067.155321955</v>
      </c>
      <c r="D5" s="10" t="n">
        <f aca="false">I4</f>
        <v>931668.282096178</v>
      </c>
      <c r="E5" s="43" t="n">
        <f aca="false">F5-K$1</f>
        <v>0.155909303016162</v>
      </c>
      <c r="F5" s="44" t="n">
        <v>0.155909303016162</v>
      </c>
      <c r="G5" s="42" t="n">
        <f aca="false">D5*(1+E5-K$1)</f>
        <v>1076924.03460006</v>
      </c>
      <c r="H5" s="45" t="n">
        <f aca="false">'HIER Einzelaktien'!G5-('HIER Einzelaktien'!G5*M$1)</f>
        <v>0.0337706945665053</v>
      </c>
      <c r="I5" s="46" t="n">
        <f aca="false">C6*B6</f>
        <v>1065034.01576763</v>
      </c>
      <c r="J5" s="52" t="n">
        <f aca="false">I5/D5-1</f>
        <v>0.143147229796625</v>
      </c>
      <c r="K5" s="52" t="n">
        <f aca="false">B6/D$1-1</f>
        <v>0.634894999182552</v>
      </c>
      <c r="L5" s="53"/>
      <c r="M5" s="53" t="n">
        <f aca="false">G5*H5</f>
        <v>36368.4726438072</v>
      </c>
      <c r="N5" s="53" t="n">
        <f aca="false">M5*O$1-AL5</f>
        <v>6714.5292618629</v>
      </c>
      <c r="O5" s="53" t="n">
        <f aca="false">M5-N5</f>
        <v>29653.9433819443</v>
      </c>
      <c r="P5" s="54" t="n">
        <f aca="false">(S5+M5)/G5</f>
        <v>0.0448114165212784</v>
      </c>
      <c r="Q5" s="53" t="n">
        <f aca="false">Q4*(1+'HIER Rechnung Thesaurierer '!I5)</f>
        <v>37800</v>
      </c>
      <c r="R5" s="55" t="n">
        <f aca="false">S5/B6</f>
        <v>10908.9747345533</v>
      </c>
      <c r="S5" s="56" t="n">
        <f aca="false">Q5-O5+U5+AF5</f>
        <v>11890.0188324317</v>
      </c>
      <c r="T5" s="53" t="n">
        <f aca="false">S5-V5</f>
        <v>4473.78798996092</v>
      </c>
      <c r="U5" s="53" t="n">
        <f aca="false">T5*O$1</f>
        <v>825.973107646535</v>
      </c>
      <c r="V5" s="53" t="n">
        <f aca="false">R5*D$1+AH5</f>
        <v>7046.50059572224</v>
      </c>
      <c r="W5" s="53" t="n">
        <f aca="false">S5-U5-AF5</f>
        <v>8146.05661805571</v>
      </c>
      <c r="X5" s="53" t="n">
        <f aca="false">W5+O5</f>
        <v>37800</v>
      </c>
      <c r="Y5" s="42"/>
      <c r="Z5" s="54"/>
      <c r="AA5" s="53"/>
      <c r="AB5" s="54" t="n">
        <f aca="false">'HIER Rechnung Thesaurierer '!H5</f>
        <v>0.08</v>
      </c>
      <c r="AC5" s="57" t="n">
        <f aca="false">(B6*C5)-(B5*C5)</f>
        <v>145255.75250388</v>
      </c>
      <c r="AD5" s="53" t="n">
        <f aca="false">IF(AB5&gt;0, IF(AC5&gt;0,MIN((D5)*AB5*0.7,AC5),0),0)</f>
        <v>52173.423797386</v>
      </c>
      <c r="AE5" s="53" t="n">
        <f aca="false">IF(AC5&gt;0,MAX(AD5-(M5),0),0)</f>
        <v>15804.9511535788</v>
      </c>
      <c r="AF5" s="58" t="n">
        <f aca="false">AE5*O$1</f>
        <v>2917.98910672948</v>
      </c>
      <c r="AG5" s="54" t="n">
        <f aca="false">V5/G5</f>
        <v>0.00654317330594179</v>
      </c>
      <c r="AH5" s="53" t="n">
        <f aca="false">IF(AI4&gt;0,(AI4/C5)*S5,0)</f>
        <v>0</v>
      </c>
      <c r="AI5" s="53" t="n">
        <f aca="false">AI4+AE5-AH5</f>
        <v>15804.9511535788</v>
      </c>
      <c r="AJ5" s="9"/>
      <c r="AK5" s="59" t="n">
        <f aca="false">AK4*(1+'HIER Rechnung Thesaurierer '!I4)</f>
        <v>0</v>
      </c>
      <c r="AL5" s="53" t="n">
        <f aca="false">IF((M5+N5+S5)&lt;AK5,(M5+N5+S5)*O$1,AK5*O$1)</f>
        <v>0</v>
      </c>
      <c r="AM5" s="53" t="n">
        <f aca="false">(M5+T5+AE5)*0.7</f>
        <v>39653.0482511428</v>
      </c>
      <c r="AN5" s="53"/>
      <c r="AO5" s="53"/>
      <c r="AP5" s="53"/>
      <c r="AQ5" s="10"/>
    </row>
    <row r="6" customFormat="false" ht="13.8" hidden="false" customHeight="false" outlineLevel="0" collapsed="false">
      <c r="A6" s="9" t="n">
        <v>3</v>
      </c>
      <c r="B6" s="40" t="n">
        <f aca="false">B5*(1+E5)</f>
        <v>1.08993</v>
      </c>
      <c r="C6" s="48" t="n">
        <f aca="false">C5-R5</f>
        <v>977158.180587402</v>
      </c>
      <c r="D6" s="10" t="n">
        <f aca="false">I5</f>
        <v>1065034.01576763</v>
      </c>
      <c r="E6" s="43" t="n">
        <f aca="false">F6-K$1</f>
        <v>0.199499050397732</v>
      </c>
      <c r="F6" s="44" t="n">
        <v>0.199499050397732</v>
      </c>
      <c r="G6" s="42" t="n">
        <f aca="false">D6*(1+E6-K$1)</f>
        <v>1277507.29055455</v>
      </c>
      <c r="H6" s="45" t="n">
        <f aca="false">'HIER Einzelaktien'!G6-('HIER Einzelaktien'!G6*M$1)</f>
        <v>0.0305866529462325</v>
      </c>
      <c r="I6" s="46" t="n">
        <f aca="false">C7*B7</f>
        <v>1263762.66089314</v>
      </c>
      <c r="J6" s="52" t="n">
        <f aca="false">I6/D6-1</f>
        <v>0.186593707039755</v>
      </c>
      <c r="K6" s="52" t="n">
        <f aca="false">B7/D$1-1</f>
        <v>0.961054999019472</v>
      </c>
      <c r="L6" s="53"/>
      <c r="M6" s="53" t="n">
        <f aca="false">G6*H6</f>
        <v>39074.6721324739</v>
      </c>
      <c r="N6" s="53" t="n">
        <f aca="false">M6*O$1-AL6</f>
        <v>7214.161342458</v>
      </c>
      <c r="O6" s="53" t="n">
        <f aca="false">M6-N6</f>
        <v>31860.5107900159</v>
      </c>
      <c r="P6" s="54" t="n">
        <f aca="false">(S6+M6)/G6</f>
        <v>0.0413455971518973</v>
      </c>
      <c r="Q6" s="53" t="n">
        <f aca="false">Q5*(1+'HIER Rechnung Thesaurierer '!I6)</f>
        <v>40786.2</v>
      </c>
      <c r="R6" s="55" t="n">
        <f aca="false">S6/B7</f>
        <v>10513.1903450487</v>
      </c>
      <c r="S6" s="56" t="n">
        <f aca="false">Q6-O6+U6+AF6</f>
        <v>13744.6296614063</v>
      </c>
      <c r="T6" s="53" t="n">
        <f aca="false">S6-V6</f>
        <v>6279.52573308896</v>
      </c>
      <c r="U6" s="53" t="n">
        <f aca="false">T6*O$1</f>
        <v>1159.35743847155</v>
      </c>
      <c r="V6" s="53" t="n">
        <f aca="false">R6*D$1+AH6</f>
        <v>6971.32644743676</v>
      </c>
      <c r="W6" s="53" t="n">
        <f aca="false">S6-U6-AF6</f>
        <v>8925.68920998407</v>
      </c>
      <c r="X6" s="53" t="n">
        <f aca="false">W6+O6</f>
        <v>40786.2</v>
      </c>
      <c r="Y6" s="42"/>
      <c r="Z6" s="54"/>
      <c r="AA6" s="53"/>
      <c r="AB6" s="54" t="n">
        <f aca="false">'HIER Rechnung Thesaurierer '!H6</f>
        <v>0.079</v>
      </c>
      <c r="AC6" s="57" t="n">
        <f aca="false">(B7*C6)-(B6*C6)</f>
        <v>212473.274786925</v>
      </c>
      <c r="AD6" s="53" t="n">
        <f aca="false">IF(AB6&gt;0, IF(AC6&gt;0,MIN((D6)*AB6*0.7,AC6),0),0)</f>
        <v>58896.3810719497</v>
      </c>
      <c r="AE6" s="53" t="n">
        <f aca="false">IF(AC6&gt;0,MAX(AD6-(M6),0),0)</f>
        <v>19821.7089394758</v>
      </c>
      <c r="AF6" s="58" t="n">
        <f aca="false">AE6*O$1</f>
        <v>3659.58301295072</v>
      </c>
      <c r="AG6" s="54" t="n">
        <f aca="false">V6/G6</f>
        <v>0.00545697586149242</v>
      </c>
      <c r="AH6" s="53" t="n">
        <f aca="false">IF(AI5&gt;0,(AI5/C6)*S6,0)</f>
        <v>214.324636089734</v>
      </c>
      <c r="AI6" s="53" t="n">
        <f aca="false">AI5+AE6-AH6</f>
        <v>35412.3354569648</v>
      </c>
      <c r="AJ6" s="9"/>
      <c r="AK6" s="59" t="n">
        <f aca="false">AK5*(1+'HIER Rechnung Thesaurierer '!I5)</f>
        <v>0</v>
      </c>
      <c r="AL6" s="53" t="n">
        <f aca="false">IF((M6+N6+S6)&lt;AK6,(M6+N6+S6)*O$1,AK6*O$1)</f>
        <v>0</v>
      </c>
      <c r="AM6" s="53" t="n">
        <f aca="false">(M6+T6+AE6)*0.7</f>
        <v>45623.1347635271</v>
      </c>
      <c r="AN6" s="53"/>
      <c r="AO6" s="53"/>
      <c r="AP6" s="53"/>
      <c r="AQ6" s="10"/>
    </row>
    <row r="7" customFormat="false" ht="13.8" hidden="false" customHeight="false" outlineLevel="0" collapsed="false">
      <c r="A7" s="9" t="n">
        <v>4</v>
      </c>
      <c r="B7" s="40" t="n">
        <f aca="false">B6*(1+E6)</f>
        <v>1.30737</v>
      </c>
      <c r="C7" s="48" t="n">
        <f aca="false">C6-R6</f>
        <v>966644.990242353</v>
      </c>
      <c r="D7" s="10" t="n">
        <f aca="false">I6</f>
        <v>1263762.66089314</v>
      </c>
      <c r="E7" s="43" t="n">
        <f aca="false">F7-K$1</f>
        <v>-0.170777974100675</v>
      </c>
      <c r="F7" s="44" t="n">
        <v>-0.170777974100675</v>
      </c>
      <c r="G7" s="42" t="n">
        <f aca="false">D7*(1+E7-K$1)</f>
        <v>1047939.83392174</v>
      </c>
      <c r="H7" s="45" t="n">
        <f aca="false">'HIER Einzelaktien'!G7-('HIER Einzelaktien'!G7*M$1)</f>
        <v>0.0218616716591703</v>
      </c>
      <c r="I7" s="46" t="n">
        <f aca="false">C8*B8</f>
        <v>1020288.34746156</v>
      </c>
      <c r="J7" s="52" t="n">
        <f aca="false">I7/D7-1</f>
        <v>-0.19265825852104</v>
      </c>
      <c r="K7" s="52" t="n">
        <f aca="false">B8/D$1-1</f>
        <v>0.626149999186925</v>
      </c>
      <c r="L7" s="53"/>
      <c r="M7" s="53" t="n">
        <f aca="false">G7*H7</f>
        <v>22909.7165677625</v>
      </c>
      <c r="N7" s="53" t="n">
        <f aca="false">M7*O$1-AL7</f>
        <v>4229.70642132315</v>
      </c>
      <c r="O7" s="53" t="n">
        <f aca="false">M7-N7</f>
        <v>18680.0101464393</v>
      </c>
      <c r="P7" s="54" t="n">
        <f aca="false">(S7+M7)/G7</f>
        <v>0.0482481926836624</v>
      </c>
      <c r="Q7" s="53" t="n">
        <f aca="false">Q6*(1+'HIER Rechnung Thesaurierer '!I7)</f>
        <v>44579.3166</v>
      </c>
      <c r="R7" s="55" t="n">
        <f aca="false">S7/B8</f>
        <v>25506.3983582499</v>
      </c>
      <c r="S7" s="56" t="n">
        <f aca="false">Q7-O7+U7+AF7</f>
        <v>27651.4864601788</v>
      </c>
      <c r="T7" s="53" t="n">
        <f aca="false">S7-V7</f>
        <v>9490.48073997611</v>
      </c>
      <c r="U7" s="53" t="n">
        <f aca="false">T7*O$1</f>
        <v>1752.18000661809</v>
      </c>
      <c r="V7" s="53" t="n">
        <f aca="false">R7*D$1+AH7</f>
        <v>17748.4301272845</v>
      </c>
      <c r="W7" s="53" t="n">
        <f aca="false">S7-U7-AF7</f>
        <v>25899.3064535607</v>
      </c>
      <c r="X7" s="53" t="n">
        <f aca="false">W7+O7</f>
        <v>44579.3166</v>
      </c>
      <c r="Y7" s="42"/>
      <c r="Z7" s="54"/>
      <c r="AA7" s="53"/>
      <c r="AB7" s="54" t="n">
        <f aca="false">'HIER Rechnung Thesaurierer '!H7</f>
        <v>0.093</v>
      </c>
      <c r="AC7" s="57" t="n">
        <f aca="false">(B8*C7)-(B7*C7)</f>
        <v>-215822.82697141</v>
      </c>
      <c r="AD7" s="53" t="n">
        <f aca="false">IF(AB7&gt;0, IF(AC7&gt;0,MIN((D7)*AB7*0.7,AC7),0),0)</f>
        <v>0</v>
      </c>
      <c r="AE7" s="53" t="n">
        <f aca="false">IF(AC7&gt;0,MAX(AD7-(M7),0),0)</f>
        <v>0</v>
      </c>
      <c r="AF7" s="58" t="n">
        <f aca="false">AE7*O$1</f>
        <v>0</v>
      </c>
      <c r="AG7" s="54" t="n">
        <f aca="false">V7/G7</f>
        <v>0.016936497261359</v>
      </c>
      <c r="AH7" s="53" t="n">
        <f aca="false">IF(AI6&gt;0,(AI6/C7)*S7,0)</f>
        <v>997.877668482985</v>
      </c>
      <c r="AI7" s="53" t="n">
        <f aca="false">AI6+AE7-AH7</f>
        <v>34414.4577884819</v>
      </c>
      <c r="AJ7" s="9"/>
      <c r="AK7" s="59" t="n">
        <f aca="false">AK6*(1+'HIER Rechnung Thesaurierer '!I6)</f>
        <v>0</v>
      </c>
      <c r="AL7" s="53" t="n">
        <f aca="false">IF((M7+N7+S7)&lt;AK7,(M7+N7+S7)*O$1,AK7*O$1)</f>
        <v>0</v>
      </c>
      <c r="AM7" s="53" t="n">
        <f aca="false">(M7+T7+AE7)*0.7</f>
        <v>22680.138115417</v>
      </c>
      <c r="AN7" s="53"/>
      <c r="AO7" s="53"/>
      <c r="AP7" s="53"/>
      <c r="AQ7" s="10"/>
    </row>
    <row r="8" customFormat="false" ht="13.8" hidden="false" customHeight="false" outlineLevel="0" collapsed="false">
      <c r="A8" s="9" t="n">
        <v>5</v>
      </c>
      <c r="B8" s="40" t="n">
        <f aca="false">B7*(1+E7)</f>
        <v>1.0841</v>
      </c>
      <c r="C8" s="48" t="n">
        <f aca="false">C7-R7</f>
        <v>941138.591884103</v>
      </c>
      <c r="D8" s="10" t="n">
        <f aca="false">I7</f>
        <v>1020288.34746156</v>
      </c>
      <c r="E8" s="43" t="n">
        <f aca="false">F8-K$1</f>
        <v>-0.278323032930541</v>
      </c>
      <c r="F8" s="44" t="n">
        <v>-0.278323032930541</v>
      </c>
      <c r="G8" s="42" t="n">
        <f aca="false">D8*(1+E8-K$1)</f>
        <v>736318.600132366</v>
      </c>
      <c r="H8" s="45" t="n">
        <f aca="false">'HIER Einzelaktien'!G8-('HIER Einzelaktien'!G8*M$1)</f>
        <v>0.0284949735090677</v>
      </c>
      <c r="I8" s="46" t="n">
        <f aca="false">C9*B9</f>
        <v>703540.595167612</v>
      </c>
      <c r="J8" s="52" t="n">
        <f aca="false">I8/D8-1</f>
        <v>-0.310449250039954</v>
      </c>
      <c r="K8" s="52" t="n">
        <f aca="false">B9/D$1-1</f>
        <v>0.173554999413223</v>
      </c>
      <c r="L8" s="53"/>
      <c r="M8" s="53" t="n">
        <f aca="false">G8*H8</f>
        <v>20981.3790050056</v>
      </c>
      <c r="N8" s="53" t="n">
        <f aca="false">M8*O$1-AL8</f>
        <v>3873.68709879916</v>
      </c>
      <c r="O8" s="53" t="n">
        <f aca="false">M8-N8</f>
        <v>17107.6919062064</v>
      </c>
      <c r="P8" s="54" t="n">
        <f aca="false">(S8+M8)/G8</f>
        <v>0.0730110362010349</v>
      </c>
      <c r="Q8" s="53" t="n">
        <f aca="false">Q7*(1+'HIER Rechnung Thesaurierer '!I8)</f>
        <v>49215.5655264</v>
      </c>
      <c r="R8" s="55" t="n">
        <f aca="false">S8/B9</f>
        <v>41895.7845581424</v>
      </c>
      <c r="S8" s="56" t="n">
        <f aca="false">Q8-O8+U8+AF8</f>
        <v>32778.0049647539</v>
      </c>
      <c r="T8" s="53" t="n">
        <f aca="false">S8-V8</f>
        <v>3629.68907006273</v>
      </c>
      <c r="U8" s="53" t="n">
        <f aca="false">T8*O$1</f>
        <v>670.131344560331</v>
      </c>
      <c r="V8" s="53" t="n">
        <f aca="false">R8*D$1+AH8</f>
        <v>28975.7973817473</v>
      </c>
      <c r="W8" s="53" t="n">
        <f aca="false">S8-U8-AF8</f>
        <v>32107.8736201936</v>
      </c>
      <c r="X8" s="53" t="n">
        <f aca="false">W8+O8</f>
        <v>49215.5655264</v>
      </c>
      <c r="Y8" s="42"/>
      <c r="Z8" s="54"/>
      <c r="AA8" s="53"/>
      <c r="AB8" s="54" t="n">
        <f aca="false">'HIER Rechnung Thesaurierer '!H8</f>
        <v>0.104</v>
      </c>
      <c r="AC8" s="57" t="n">
        <f aca="false">(B9*C8)-(B8*C8)</f>
        <v>-283969.74732919</v>
      </c>
      <c r="AD8" s="53" t="n">
        <f aca="false">IF(AB8&gt;0, IF(AC8&gt;0,MIN((D8)*AB8*0.7,AC8),0),0)</f>
        <v>0</v>
      </c>
      <c r="AE8" s="53" t="n">
        <f aca="false">IF(AC8&gt;0,MAX(AD8-(M8),0),0)</f>
        <v>0</v>
      </c>
      <c r="AF8" s="58" t="n">
        <f aca="false">AE8*O$1</f>
        <v>0</v>
      </c>
      <c r="AG8" s="54" t="n">
        <f aca="false">V8/G8</f>
        <v>0.0393522550924809</v>
      </c>
      <c r="AH8" s="53" t="n">
        <f aca="false">IF(AI7&gt;0,(AI7/C8)*S8,0)</f>
        <v>1192.27938036454</v>
      </c>
      <c r="AI8" s="53" t="n">
        <f aca="false">AI7+AE8-AH8</f>
        <v>33222.1784081173</v>
      </c>
      <c r="AJ8" s="9"/>
      <c r="AK8" s="59" t="n">
        <f aca="false">AK7*(1+'HIER Rechnung Thesaurierer '!I7)</f>
        <v>0</v>
      </c>
      <c r="AL8" s="53" t="n">
        <f aca="false">IF((M8+N8+S8)&lt;AK8,(M8+N8+S8)*O$1,AK8*O$1)</f>
        <v>0</v>
      </c>
      <c r="AM8" s="53" t="n">
        <f aca="false">(M8+T8+AE8)*0.7</f>
        <v>17227.7476525478</v>
      </c>
      <c r="AN8" s="53"/>
      <c r="AO8" s="53"/>
      <c r="AP8" s="53"/>
      <c r="AQ8" s="10"/>
    </row>
    <row r="9" customFormat="false" ht="13.8" hidden="false" customHeight="false" outlineLevel="0" collapsed="false">
      <c r="A9" s="9" t="n">
        <v>6</v>
      </c>
      <c r="B9" s="40" t="n">
        <f aca="false">B8*(1+E8)</f>
        <v>0.78237</v>
      </c>
      <c r="C9" s="48" t="n">
        <f aca="false">C8-R8</f>
        <v>899242.807325961</v>
      </c>
      <c r="D9" s="10" t="n">
        <f aca="false">I8</f>
        <v>703540.595167612</v>
      </c>
      <c r="E9" s="43" t="n">
        <f aca="false">F9-K$1</f>
        <v>0.289198205452663</v>
      </c>
      <c r="F9" s="44" t="n">
        <v>0.289198205452663</v>
      </c>
      <c r="G9" s="42" t="n">
        <f aca="false">D9*(1+E9-K$1)</f>
        <v>907003.272753184</v>
      </c>
      <c r="H9" s="45" t="n">
        <f aca="false">'HIER Einzelaktien'!G9-('HIER Einzelaktien'!G9*M$1)</f>
        <v>0.0473953373544542</v>
      </c>
      <c r="I9" s="46" t="n">
        <f aca="false">C10*B10</f>
        <v>887498.060751223</v>
      </c>
      <c r="J9" s="52" t="n">
        <f aca="false">I9/D9-1</f>
        <v>0.261473846494649</v>
      </c>
      <c r="K9" s="52" t="n">
        <f aca="false">B10/D$1-1</f>
        <v>0.512944999243528</v>
      </c>
      <c r="L9" s="53"/>
      <c r="M9" s="53" t="n">
        <f aca="false">G9*H9</f>
        <v>42987.7260937313</v>
      </c>
      <c r="N9" s="53" t="n">
        <f aca="false">M9*O$1-AL9</f>
        <v>7936.60893005513</v>
      </c>
      <c r="O9" s="53" t="n">
        <f aca="false">M9-N9</f>
        <v>35051.1171636761</v>
      </c>
      <c r="P9" s="54" t="n">
        <f aca="false">(S9+M9)/G9</f>
        <v>0.0689004549079492</v>
      </c>
      <c r="Q9" s="53" t="n">
        <f aca="false">Q8*(1+'HIER Rechnung Thesaurierer '!I9)</f>
        <v>53497.3197271968</v>
      </c>
      <c r="R9" s="55" t="n">
        <f aca="false">S9/B10</f>
        <v>19338.3222806795</v>
      </c>
      <c r="S9" s="56" t="n">
        <f aca="false">Q9-O9+U9+AF9</f>
        <v>19505.2120019618</v>
      </c>
      <c r="T9" s="53" t="n">
        <f aca="false">S9-V9</f>
        <v>5736.00237476582</v>
      </c>
      <c r="U9" s="53" t="n">
        <f aca="false">T9*O$1</f>
        <v>1059.00943844114</v>
      </c>
      <c r="V9" s="53" t="n">
        <f aca="false">R9*D$1+AH9</f>
        <v>13251.5467594418</v>
      </c>
      <c r="W9" s="53" t="n">
        <f aca="false">S9-U9-AF9</f>
        <v>18446.2025635207</v>
      </c>
      <c r="X9" s="53" t="n">
        <f aca="false">W9+O9</f>
        <v>53497.3197271968</v>
      </c>
      <c r="Y9" s="42"/>
      <c r="Z9" s="54"/>
      <c r="AA9" s="53"/>
      <c r="AB9" s="54" t="n">
        <f aca="false">'HIER Rechnung Thesaurierer '!H9</f>
        <v>0.087</v>
      </c>
      <c r="AC9" s="57" t="n">
        <f aca="false">(B10*C9)-(B9*C9)</f>
        <v>203462.677585572</v>
      </c>
      <c r="AD9" s="53" t="n">
        <f aca="false">IF(AB9&gt;0, IF(AC9&gt;0,MIN((D9)*AB9*0.7,AC9),0),0)</f>
        <v>42845.6222457076</v>
      </c>
      <c r="AE9" s="53" t="n">
        <f aca="false">IF(AC9&gt;0,MAX(AD9-(M9),0),0)</f>
        <v>0</v>
      </c>
      <c r="AF9" s="58" t="n">
        <f aca="false">AE9*O$1</f>
        <v>0</v>
      </c>
      <c r="AG9" s="54" t="n">
        <f aca="false">V9/G9</f>
        <v>0.0146102524186236</v>
      </c>
      <c r="AH9" s="53" t="n">
        <f aca="false">IF(AI8&gt;0,(AI8/C9)*S9,0)</f>
        <v>701.487673552089</v>
      </c>
      <c r="AI9" s="53" t="n">
        <f aca="false">AI8+AE9-AH9</f>
        <v>32520.6907345652</v>
      </c>
      <c r="AJ9" s="9"/>
      <c r="AK9" s="59" t="n">
        <f aca="false">AK8*(1+'HIER Rechnung Thesaurierer '!I8)</f>
        <v>0</v>
      </c>
      <c r="AL9" s="53" t="n">
        <f aca="false">IF((M9+N9+S9)&lt;AK9,(M9+N9+S9)*O$1,AK9*O$1)</f>
        <v>0</v>
      </c>
      <c r="AM9" s="53" t="n">
        <f aca="false">(M9+T9+AE9)*0.7</f>
        <v>34106.6099279479</v>
      </c>
      <c r="AN9" s="53"/>
      <c r="AO9" s="53"/>
      <c r="AP9" s="53"/>
      <c r="AQ9" s="10"/>
    </row>
    <row r="10" customFormat="false" ht="13.8" hidden="false" customHeight="false" outlineLevel="0" collapsed="false">
      <c r="A10" s="9" t="n">
        <v>7</v>
      </c>
      <c r="B10" s="40" t="n">
        <f aca="false">B9*(1+E9)</f>
        <v>1.00863</v>
      </c>
      <c r="C10" s="48" t="n">
        <f aca="false">C9-R9</f>
        <v>879904.485045281</v>
      </c>
      <c r="D10" s="10" t="n">
        <f aca="false">I9</f>
        <v>887498.060751223</v>
      </c>
      <c r="E10" s="43" t="n">
        <f aca="false">F10-K$1</f>
        <v>0.103100244886629</v>
      </c>
      <c r="F10" s="44" t="n">
        <v>0.103100244886629</v>
      </c>
      <c r="G10" s="42" t="n">
        <f aca="false">D10*(1+E10-K$1)</f>
        <v>978999.328151082</v>
      </c>
      <c r="H10" s="45" t="n">
        <f aca="false">'HIER Einzelaktien'!G10-('HIER Einzelaktien'!G10*M$1)</f>
        <v>0.0374053543125633</v>
      </c>
      <c r="I10" s="46" t="n">
        <f aca="false">C11*B11</f>
        <v>946528.221646365</v>
      </c>
      <c r="J10" s="52" t="n">
        <f aca="false">I10/D10-1</f>
        <v>0.0665130026821432</v>
      </c>
      <c r="K10" s="52" t="n">
        <f aca="false">B11/D$1-1</f>
        <v>0.668929999165537</v>
      </c>
      <c r="L10" s="53"/>
      <c r="M10" s="53" t="n">
        <f aca="false">G10*H10</f>
        <v>36619.8167412527</v>
      </c>
      <c r="N10" s="53" t="n">
        <f aca="false">M10*O$1-AL10</f>
        <v>6760.93366585378</v>
      </c>
      <c r="O10" s="53" t="n">
        <f aca="false">M10-N10</f>
        <v>29858.8830753989</v>
      </c>
      <c r="P10" s="54" t="n">
        <f aca="false">(S10+M10)/G10</f>
        <v>0.0705730037388819</v>
      </c>
      <c r="Q10" s="53" t="n">
        <f aca="false">Q9*(1+'HIER Rechnung Thesaurierer '!I10)</f>
        <v>57777.1053053726</v>
      </c>
      <c r="R10" s="55" t="n">
        <f aca="false">S10/B11</f>
        <v>29184.3634886273</v>
      </c>
      <c r="S10" s="56" t="n">
        <f aca="false">Q10-O10+U10+AF10</f>
        <v>32471.1065047165</v>
      </c>
      <c r="T10" s="53" t="n">
        <f aca="false">S10-V10</f>
        <v>11580.0974434111</v>
      </c>
      <c r="U10" s="53" t="n">
        <f aca="false">T10*O$1</f>
        <v>2137.97549048977</v>
      </c>
      <c r="V10" s="53" t="n">
        <f aca="false">R10*D$1+AH10</f>
        <v>20246.0916770111</v>
      </c>
      <c r="W10" s="53" t="n">
        <f aca="false">S10-U10-AF10</f>
        <v>27918.2222299736</v>
      </c>
      <c r="X10" s="53" t="n">
        <f aca="false">W10+O10</f>
        <v>57777.1053053726</v>
      </c>
      <c r="Y10" s="42"/>
      <c r="Z10" s="54"/>
      <c r="AA10" s="53"/>
      <c r="AB10" s="54" t="n">
        <f aca="false">'HIER Rechnung Thesaurierer '!H10</f>
        <v>0.08</v>
      </c>
      <c r="AC10" s="57" t="n">
        <f aca="false">(B11*C10)-(B10*C10)</f>
        <v>91501.2673998594</v>
      </c>
      <c r="AD10" s="53" t="n">
        <f aca="false">IF(AB10&gt;0, IF(AC10&gt;0,MIN((D10)*AB10*0.7,AC10),0),0)</f>
        <v>49699.8914020685</v>
      </c>
      <c r="AE10" s="53" t="n">
        <f aca="false">IF(AC10&gt;0,MAX(AD10-(M10),0),0)</f>
        <v>13080.0746608158</v>
      </c>
      <c r="AF10" s="58" t="n">
        <f aca="false">AE10*O$1</f>
        <v>2414.90878425311</v>
      </c>
      <c r="AG10" s="54" t="n">
        <f aca="false">V10/G10</f>
        <v>0.0206803938417889</v>
      </c>
      <c r="AH10" s="53" t="n">
        <f aca="false">IF(AI9&gt;0,(AI9/C10)*S10,0)</f>
        <v>1176.27500624885</v>
      </c>
      <c r="AI10" s="53" t="n">
        <f aca="false">AI9+AE10-AH10</f>
        <v>44424.4903891321</v>
      </c>
      <c r="AJ10" s="9"/>
      <c r="AK10" s="59" t="n">
        <f aca="false">AK9*(1+'HIER Rechnung Thesaurierer '!I9)</f>
        <v>0</v>
      </c>
      <c r="AL10" s="53" t="n">
        <f aca="false">IF((M10+N10+S10)&lt;AK10,(M10+N10+S10)*O$1,AK10*O$1)</f>
        <v>0</v>
      </c>
      <c r="AM10" s="53" t="n">
        <f aca="false">(M10+T10+AE10)*0.7</f>
        <v>42895.9921918357</v>
      </c>
      <c r="AN10" s="53"/>
      <c r="AO10" s="53"/>
      <c r="AP10" s="53"/>
      <c r="AQ10" s="10"/>
    </row>
    <row r="11" customFormat="false" ht="13.8" hidden="false" customHeight="false" outlineLevel="0" collapsed="false">
      <c r="A11" s="9" t="n">
        <v>8</v>
      </c>
      <c r="B11" s="40" t="n">
        <f aca="false">B10*(1+E10)</f>
        <v>1.11262</v>
      </c>
      <c r="C11" s="48" t="n">
        <f aca="false">C10-R10</f>
        <v>850720.121556654</v>
      </c>
      <c r="D11" s="10" t="n">
        <f aca="false">I10</f>
        <v>946528.221646365</v>
      </c>
      <c r="E11" s="43" t="n">
        <f aca="false">F11-K$1</f>
        <v>-0.0246355449299851</v>
      </c>
      <c r="F11" s="44" t="n">
        <v>-0.0246355449299851</v>
      </c>
      <c r="G11" s="42" t="n">
        <f aca="false">D11*(1+E11-K$1)</f>
        <v>923209.983114498</v>
      </c>
      <c r="H11" s="45" t="n">
        <f aca="false">'HIER Einzelaktien'!G11-('HIER Einzelaktien'!G11*M$1)</f>
        <v>0.0379545931999169</v>
      </c>
      <c r="I11" s="46" t="n">
        <f aca="false">C12*B12</f>
        <v>888129.994803274</v>
      </c>
      <c r="J11" s="52" t="n">
        <f aca="false">I11/D11-1</f>
        <v>-0.0616972906962194</v>
      </c>
      <c r="K11" s="52" t="n">
        <f aca="false">B12/D$1-1</f>
        <v>0.627814999186094</v>
      </c>
      <c r="L11" s="53"/>
      <c r="M11" s="53" t="n">
        <f aca="false">G11*H11</f>
        <v>35040.0593472129</v>
      </c>
      <c r="N11" s="53" t="n">
        <f aca="false">M11*O$1-AL11</f>
        <v>6469.27095697918</v>
      </c>
      <c r="O11" s="53" t="n">
        <f aca="false">M11-N11</f>
        <v>28570.7883902337</v>
      </c>
      <c r="P11" s="54" t="n">
        <f aca="false">(S11+M11)/G11</f>
        <v>0.075952436543074</v>
      </c>
      <c r="Q11" s="53" t="n">
        <f aca="false">Q10*(1+'HIER Rechnung Thesaurierer '!I11)</f>
        <v>61532.6171502218</v>
      </c>
      <c r="R11" s="55" t="n">
        <f aca="false">S11/B12</f>
        <v>32325.5299077813</v>
      </c>
      <c r="S11" s="56" t="n">
        <f aca="false">Q11-O11+U11+AF11</f>
        <v>35079.9883112234</v>
      </c>
      <c r="T11" s="53" t="n">
        <f aca="false">S11-V11</f>
        <v>11472.7666959258</v>
      </c>
      <c r="U11" s="53" t="n">
        <f aca="false">T11*O$1</f>
        <v>2118.15955123531</v>
      </c>
      <c r="V11" s="53" t="n">
        <f aca="false">R11*D$1+AH11</f>
        <v>22932.4892519408</v>
      </c>
      <c r="W11" s="53" t="n">
        <f aca="false">S11-U11-AF11</f>
        <v>32961.8287599881</v>
      </c>
      <c r="X11" s="53" t="n">
        <f aca="false">W11+O11</f>
        <v>61532.6171502218</v>
      </c>
      <c r="Y11" s="42"/>
      <c r="Z11" s="54"/>
      <c r="AA11" s="53"/>
      <c r="AB11" s="54" t="n">
        <f aca="false">'HIER Rechnung Thesaurierer '!H11</f>
        <v>0.065</v>
      </c>
      <c r="AC11" s="57" t="n">
        <f aca="false">(B12*C11)-(B11*C11)</f>
        <v>-23318.2385318681</v>
      </c>
      <c r="AD11" s="53" t="n">
        <f aca="false">IF(AB11&gt;0, IF(AC11&gt;0,MIN((D11)*AB11*0.7,AC11),0),0)</f>
        <v>0</v>
      </c>
      <c r="AE11" s="53" t="n">
        <f aca="false">IF(AC11&gt;0,MAX(AD11-(M11),0),0)</f>
        <v>0</v>
      </c>
      <c r="AF11" s="58" t="n">
        <f aca="false">AE11*O$1</f>
        <v>0</v>
      </c>
      <c r="AG11" s="54" t="n">
        <f aca="false">V11/G11</f>
        <v>0.0248399493846209</v>
      </c>
      <c r="AH11" s="53" t="n">
        <f aca="false">IF(AI10&gt;0,(AI10/C11)*S11,0)</f>
        <v>1796.63784065068</v>
      </c>
      <c r="AI11" s="53" t="n">
        <f aca="false">AI10+AE11-AH11</f>
        <v>42627.8525484815</v>
      </c>
      <c r="AJ11" s="9"/>
      <c r="AK11" s="59" t="n">
        <f aca="false">AK10*(1+'HIER Rechnung Thesaurierer '!I10)</f>
        <v>0</v>
      </c>
      <c r="AL11" s="53" t="n">
        <f aca="false">IF((M11+N11+S11)&lt;AK11,(M11+N11+S11)*O$1,AK11*O$1)</f>
        <v>0</v>
      </c>
      <c r="AM11" s="53" t="n">
        <f aca="false">(M11+T11+AE11)*0.7</f>
        <v>32558.9782301971</v>
      </c>
      <c r="AN11" s="53"/>
      <c r="AO11" s="53"/>
      <c r="AP11" s="53"/>
      <c r="AQ11" s="10"/>
    </row>
    <row r="12" customFormat="false" ht="13.8" hidden="false" customHeight="false" outlineLevel="0" collapsed="false">
      <c r="A12" s="9" t="n">
        <v>9</v>
      </c>
      <c r="B12" s="40" t="n">
        <f aca="false">B11*(1+E11)</f>
        <v>1.08521</v>
      </c>
      <c r="C12" s="48" t="n">
        <f aca="false">C11-R11</f>
        <v>818394.591648873</v>
      </c>
      <c r="D12" s="10" t="n">
        <f aca="false">I11</f>
        <v>888129.994803274</v>
      </c>
      <c r="E12" s="43" t="n">
        <f aca="false">F12-K$1</f>
        <v>0.12678652058127</v>
      </c>
      <c r="F12" s="44" t="n">
        <v>0.12678652058127</v>
      </c>
      <c r="G12" s="42" t="n">
        <f aca="false">D12*(1+E12-K$1)</f>
        <v>1000732.90666824</v>
      </c>
      <c r="H12" s="45" t="n">
        <f aca="false">'HIER Einzelaktien'!G12-('HIER Einzelaktien'!G12*M$1)</f>
        <v>0.047070528980617</v>
      </c>
      <c r="I12" s="46" t="n">
        <f aca="false">C13*B13</f>
        <v>971772.511599706</v>
      </c>
      <c r="J12" s="52" t="n">
        <f aca="false">I12/D12-1</f>
        <v>0.0941782366160921</v>
      </c>
      <c r="K12" s="52" t="n">
        <f aca="false">B13/D$1-1</f>
        <v>0.834199999082902</v>
      </c>
      <c r="L12" s="53"/>
      <c r="M12" s="53" t="n">
        <f aca="false">G12*H12</f>
        <v>47105.0272851846</v>
      </c>
      <c r="N12" s="53" t="n">
        <f aca="false">M12*O$1-AL12</f>
        <v>8696.76566252721</v>
      </c>
      <c r="O12" s="53" t="n">
        <f aca="false">M12-N12</f>
        <v>38408.2616226574</v>
      </c>
      <c r="P12" s="54" t="n">
        <f aca="false">(S12+M12)/G12</f>
        <v>0.0760097143272403</v>
      </c>
      <c r="Q12" s="53" t="n">
        <f aca="false">Q11*(1+'HIER Rechnung Thesaurierer '!I12)</f>
        <v>65286.1067963853</v>
      </c>
      <c r="R12" s="55" t="n">
        <f aca="false">S12/B13</f>
        <v>23683.6727744006</v>
      </c>
      <c r="S12" s="56" t="n">
        <f aca="false">Q12-O12+U12+AF12</f>
        <v>28960.3950685371</v>
      </c>
      <c r="T12" s="53" t="n">
        <f aca="false">S12-V12</f>
        <v>11279.8911025549</v>
      </c>
      <c r="U12" s="53" t="n">
        <f aca="false">T12*O$1</f>
        <v>2082.54989480921</v>
      </c>
      <c r="V12" s="53" t="n">
        <f aca="false">R12*D$1+AH12</f>
        <v>16729.6504237009</v>
      </c>
      <c r="W12" s="53" t="n">
        <f aca="false">S12-U12-AF12</f>
        <v>26877.8451737279</v>
      </c>
      <c r="X12" s="53" t="n">
        <f aca="false">W12+O12</f>
        <v>65286.1067963853</v>
      </c>
      <c r="Y12" s="42"/>
      <c r="Z12" s="54"/>
      <c r="AA12" s="53"/>
      <c r="AB12" s="54" t="n">
        <f aca="false">'HIER Rechnung Thesaurierer '!H12</f>
        <v>0.061</v>
      </c>
      <c r="AC12" s="57" t="n">
        <f aca="false">(B13*C12)-(B12*C12)</f>
        <v>112602.911864969</v>
      </c>
      <c r="AD12" s="53" t="n">
        <f aca="false">IF(AB12&gt;0, IF(AC12&gt;0,MIN((D12)*AB12*0.7,AC12),0),0)</f>
        <v>37923.1507780998</v>
      </c>
      <c r="AE12" s="53" t="n">
        <f aca="false">IF(AC12&gt;0,MAX(AD12-(M12),0),0)</f>
        <v>0</v>
      </c>
      <c r="AF12" s="58" t="n">
        <f aca="false">AE12*O$1</f>
        <v>0</v>
      </c>
      <c r="AG12" s="54" t="n">
        <f aca="false">V12/G12</f>
        <v>0.0167173981311349</v>
      </c>
      <c r="AH12" s="53" t="n">
        <f aca="false">IF(AI11&gt;0,(AI11/C12)*S12,0)</f>
        <v>1458.93755691396</v>
      </c>
      <c r="AI12" s="53" t="n">
        <f aca="false">AI11+AE12-AH12</f>
        <v>41168.9149915675</v>
      </c>
      <c r="AJ12" s="9"/>
      <c r="AK12" s="59" t="n">
        <f aca="false">AK11*(1+'HIER Rechnung Thesaurierer '!I11)</f>
        <v>0</v>
      </c>
      <c r="AL12" s="53" t="n">
        <f aca="false">IF((M12+N12+S12)&lt;AK12,(M12+N12+S12)*O$1,AK12*O$1)</f>
        <v>0</v>
      </c>
      <c r="AM12" s="53" t="n">
        <f aca="false">(M12+T12+AE12)*0.7</f>
        <v>40869.4428714177</v>
      </c>
      <c r="AN12" s="53"/>
      <c r="AO12" s="53"/>
      <c r="AP12" s="53"/>
      <c r="AQ12" s="10"/>
    </row>
    <row r="13" customFormat="false" ht="13.8" hidden="false" customHeight="false" outlineLevel="0" collapsed="false">
      <c r="A13" s="9" t="n">
        <v>10</v>
      </c>
      <c r="B13" s="40" t="n">
        <f aca="false">B12*(1+E12)</f>
        <v>1.2228</v>
      </c>
      <c r="C13" s="48" t="n">
        <f aca="false">C12-R12</f>
        <v>794710.918874472</v>
      </c>
      <c r="D13" s="10" t="n">
        <f aca="false">I12</f>
        <v>971772.511599706</v>
      </c>
      <c r="E13" s="43" t="n">
        <f aca="false">F13-K$1</f>
        <v>0.0721377167157344</v>
      </c>
      <c r="F13" s="44" t="n">
        <v>0.0721377167157344</v>
      </c>
      <c r="G13" s="42" t="n">
        <f aca="false">D13*(1+E13-K$1)</f>
        <v>1041873.96175362</v>
      </c>
      <c r="H13" s="45" t="n">
        <f aca="false">'HIER Einzelaktien'!G13-('HIER Einzelaktien'!G13*M$1)</f>
        <v>0.0463784109665401</v>
      </c>
      <c r="I13" s="46" t="n">
        <f aca="false">C14*B14</f>
        <v>1007722.74472857</v>
      </c>
      <c r="J13" s="52" t="n">
        <f aca="false">I13/D13-1</f>
        <v>0.0369944948017515</v>
      </c>
      <c r="K13" s="52" t="n">
        <f aca="false">B14/D$1-1</f>
        <v>0.966514999016744</v>
      </c>
      <c r="L13" s="53"/>
      <c r="M13" s="53" t="n">
        <f aca="false">G13*H13</f>
        <v>48320.4587735468</v>
      </c>
      <c r="N13" s="53" t="n">
        <f aca="false">M13*O$1-AL13</f>
        <v>8921.16470106607</v>
      </c>
      <c r="O13" s="53" t="n">
        <f aca="false">M13-N13</f>
        <v>39399.2940724807</v>
      </c>
      <c r="P13" s="54" t="n">
        <f aca="false">(S13+M13)/G13</f>
        <v>0.079157056252555</v>
      </c>
      <c r="Q13" s="53" t="n">
        <f aca="false">Q12*(1+'HIER Rechnung Thesaurierer '!I13)</f>
        <v>70247.8509129106</v>
      </c>
      <c r="R13" s="55" t="n">
        <f aca="false">S13/B14</f>
        <v>26049.5473147091</v>
      </c>
      <c r="S13" s="56" t="n">
        <f aca="false">Q13-O13+U13+AF13</f>
        <v>34151.2170250568</v>
      </c>
      <c r="T13" s="53" t="n">
        <f aca="false">S13-V13</f>
        <v>14510.6387982946</v>
      </c>
      <c r="U13" s="53" t="n">
        <f aca="false">T13*O$1</f>
        <v>2679.02668813515</v>
      </c>
      <c r="V13" s="53" t="n">
        <f aca="false">R13*D$1+AH13</f>
        <v>18491.8946859603</v>
      </c>
      <c r="W13" s="53" t="n">
        <f aca="false">S13-U13-AF13</f>
        <v>30848.5568404299</v>
      </c>
      <c r="X13" s="53" t="n">
        <f aca="false">W13+O13</f>
        <v>70247.8509129106</v>
      </c>
      <c r="Y13" s="42"/>
      <c r="Z13" s="54"/>
      <c r="AA13" s="53"/>
      <c r="AB13" s="54" t="n">
        <f aca="false">'HIER Rechnung Thesaurierer '!H13</f>
        <v>0.076</v>
      </c>
      <c r="AC13" s="57" t="n">
        <f aca="false">(B14*C13)-(B13*C13)</f>
        <v>70101.4501539172</v>
      </c>
      <c r="AD13" s="53" t="n">
        <f aca="false">IF(AB13&gt;0, IF(AC13&gt;0,MIN((D13)*AB13*0.7,AC13),0),0)</f>
        <v>51698.2976171043</v>
      </c>
      <c r="AE13" s="53" t="n">
        <f aca="false">IF(AC13&gt;0,MAX(AD13-(M13),0),0)</f>
        <v>3377.83884355756</v>
      </c>
      <c r="AF13" s="58" t="n">
        <f aca="false">AE13*O$1</f>
        <v>623.633496491815</v>
      </c>
      <c r="AG13" s="54" t="n">
        <f aca="false">V13/G13</f>
        <v>0.017748686851561</v>
      </c>
      <c r="AH13" s="53" t="n">
        <f aca="false">IF(AI12&gt;0,(AI12/C13)*S13,0)</f>
        <v>1709.65122442751</v>
      </c>
      <c r="AI13" s="53" t="n">
        <f aca="false">AI12+AE13-AH13</f>
        <v>42837.1026106975</v>
      </c>
      <c r="AJ13" s="9"/>
      <c r="AK13" s="59" t="n">
        <f aca="false">AK12*(1+'HIER Rechnung Thesaurierer '!I12)</f>
        <v>0</v>
      </c>
      <c r="AL13" s="53" t="n">
        <f aca="false">IF((M13+N13+S13)&lt;AK13,(M13+N13+S13)*O$1,AK13*O$1)</f>
        <v>0</v>
      </c>
      <c r="AM13" s="53" t="n">
        <f aca="false">(M13+T13+AE13)*0.7</f>
        <v>46346.2554907793</v>
      </c>
      <c r="AN13" s="53"/>
      <c r="AO13" s="53"/>
      <c r="AP13" s="53"/>
      <c r="AQ13" s="10"/>
    </row>
    <row r="14" customFormat="false" ht="13.8" hidden="false" customHeight="false" outlineLevel="0" collapsed="false">
      <c r="A14" s="9" t="n">
        <v>11</v>
      </c>
      <c r="B14" s="40" t="n">
        <f aca="false">B13*(1+E13)</f>
        <v>1.31101</v>
      </c>
      <c r="C14" s="48" t="n">
        <f aca="false">C13-R13</f>
        <v>768661.371559763</v>
      </c>
      <c r="D14" s="10" t="n">
        <f aca="false">I13</f>
        <v>1007722.74472857</v>
      </c>
      <c r="E14" s="43" t="n">
        <f aca="false">F14-K$1</f>
        <v>0.214544511483513</v>
      </c>
      <c r="F14" s="44" t="n">
        <v>0.214544511483513</v>
      </c>
      <c r="G14" s="42" t="n">
        <f aca="false">D14*(1+E14-K$1)</f>
        <v>1223924.12870718</v>
      </c>
      <c r="H14" s="45" t="n">
        <f aca="false">'HIER Einzelaktien'!G14-('HIER Einzelaktien'!G14*M$1)</f>
        <v>0.0532699064114622</v>
      </c>
      <c r="I14" s="46" t="n">
        <f aca="false">C15*B15</f>
        <v>1198646.29677364</v>
      </c>
      <c r="J14" s="52" t="n">
        <f aca="false">I14/D14-1</f>
        <v>0.189460397757021</v>
      </c>
      <c r="K14" s="52" t="n">
        <f aca="false">B15/D$1-1</f>
        <v>1.38841999880579</v>
      </c>
      <c r="L14" s="53"/>
      <c r="M14" s="53" t="n">
        <f aca="false">G14*H14</f>
        <v>65198.3237909619</v>
      </c>
      <c r="N14" s="53" t="n">
        <f aca="false">M14*O$1-AL14</f>
        <v>12037.2405299063</v>
      </c>
      <c r="O14" s="53" t="n">
        <f aca="false">M14-N14</f>
        <v>53161.0832610556</v>
      </c>
      <c r="P14" s="54" t="n">
        <f aca="false">(S14+M14)/G14</f>
        <v>0.0739230100971009</v>
      </c>
      <c r="Q14" s="53" t="n">
        <f aca="false">Q13*(1+'HIER Rechnung Thesaurierer '!I14)</f>
        <v>76148.6703895951</v>
      </c>
      <c r="R14" s="55" t="n">
        <f aca="false">S14/B15</f>
        <v>15875.243005969</v>
      </c>
      <c r="S14" s="56" t="n">
        <f aca="false">Q14-O14+U14+AF14</f>
        <v>25277.8319335444</v>
      </c>
      <c r="T14" s="53" t="n">
        <f aca="false">S14-V14</f>
        <v>12404.8466080157</v>
      </c>
      <c r="U14" s="53" t="n">
        <f aca="false">T14*O$1</f>
        <v>2290.2448050049</v>
      </c>
      <c r="V14" s="53" t="n">
        <f aca="false">R14*D$1+AH14</f>
        <v>11197.1923991275</v>
      </c>
      <c r="W14" s="53" t="n">
        <f aca="false">S14-U14-AF14</f>
        <v>22987.5871285395</v>
      </c>
      <c r="X14" s="53" t="n">
        <f aca="false">W14+O14</f>
        <v>76148.6703895951</v>
      </c>
      <c r="Y14" s="42"/>
      <c r="Z14" s="54"/>
      <c r="AA14" s="53"/>
      <c r="AB14" s="54" t="n">
        <f aca="false">'HIER Rechnung Thesaurierer '!H14</f>
        <v>0.084</v>
      </c>
      <c r="AC14" s="57" t="n">
        <f aca="false">(B15*C14)-(B14*C14)</f>
        <v>216201.383978615</v>
      </c>
      <c r="AD14" s="53" t="n">
        <f aca="false">IF(AB14&gt;0, IF(AC14&gt;0,MIN((D14)*AB14*0.7,AC14),0),0)</f>
        <v>59254.0973900397</v>
      </c>
      <c r="AE14" s="53" t="n">
        <f aca="false">IF(AC14&gt;0,MAX(AD14-(M14),0),0)</f>
        <v>0</v>
      </c>
      <c r="AF14" s="58" t="n">
        <f aca="false">AE14*O$1</f>
        <v>0</v>
      </c>
      <c r="AG14" s="54" t="n">
        <f aca="false">V14/G14</f>
        <v>0.00914860009415366</v>
      </c>
      <c r="AH14" s="53" t="n">
        <f aca="false">IF(AI13&gt;0,(AI13/C14)*S14,0)</f>
        <v>1315.3294860116</v>
      </c>
      <c r="AI14" s="53" t="n">
        <f aca="false">AI13+AE14-AH14</f>
        <v>41521.7731246859</v>
      </c>
      <c r="AJ14" s="9"/>
      <c r="AK14" s="59" t="n">
        <f aca="false">AK13*(1+'HIER Rechnung Thesaurierer '!I13)</f>
        <v>0</v>
      </c>
      <c r="AL14" s="53" t="n">
        <f aca="false">IF((M14+N14+S14)&lt;AK14,(M14+N14+S14)*O$1,AK14*O$1)</f>
        <v>0</v>
      </c>
      <c r="AM14" s="53" t="n">
        <f aca="false">(M14+T14+AE14)*0.7</f>
        <v>54322.2192792844</v>
      </c>
      <c r="AN14" s="53"/>
      <c r="AO14" s="53"/>
      <c r="AP14" s="53"/>
      <c r="AQ14" s="10"/>
    </row>
    <row r="15" customFormat="false" ht="13.8" hidden="false" customHeight="false" outlineLevel="0" collapsed="false">
      <c r="A15" s="9" t="n">
        <v>12</v>
      </c>
      <c r="B15" s="40" t="n">
        <f aca="false">B14*(1+E14)</f>
        <v>1.59228</v>
      </c>
      <c r="C15" s="48" t="n">
        <f aca="false">C14-R14</f>
        <v>752786.128553794</v>
      </c>
      <c r="D15" s="10" t="n">
        <f aca="false">I14</f>
        <v>1198646.29677364</v>
      </c>
      <c r="E15" s="43" t="n">
        <f aca="false">F15-K$1</f>
        <v>-0.0791820534076921</v>
      </c>
      <c r="F15" s="44" t="n">
        <v>-0.0791820534076921</v>
      </c>
      <c r="G15" s="42" t="n">
        <f aca="false">D15*(1+E15-K$1)</f>
        <v>1103735.02168557</v>
      </c>
      <c r="H15" s="45" t="n">
        <f aca="false">'HIER Einzelaktien'!G15-('HIER Einzelaktien'!G15*M$1)</f>
        <v>0.0392135714996514</v>
      </c>
      <c r="I15" s="46" t="n">
        <f aca="false">C16*B16</f>
        <v>1050508.5891848</v>
      </c>
      <c r="J15" s="52" t="n">
        <f aca="false">I15/D15-1</f>
        <v>-0.123587506996497</v>
      </c>
      <c r="K15" s="52" t="n">
        <f aca="false">B16/D$1-1</f>
        <v>1.19929999890035</v>
      </c>
      <c r="L15" s="53"/>
      <c r="M15" s="53" t="n">
        <f aca="false">G15*H15</f>
        <v>43281.3921895365</v>
      </c>
      <c r="N15" s="53" t="n">
        <f aca="false">M15*O$1-AL15</f>
        <v>7990.82703299318</v>
      </c>
      <c r="O15" s="53" t="n">
        <f aca="false">M15-N15</f>
        <v>35290.5651565433</v>
      </c>
      <c r="P15" s="54" t="n">
        <f aca="false">(S15+M15)/G15</f>
        <v>0.0874374943208095</v>
      </c>
      <c r="Q15" s="53" t="n">
        <f aca="false">Q14*(1+'HIER Rechnung Thesaurierer '!I15)</f>
        <v>83839.6860989442</v>
      </c>
      <c r="R15" s="55" t="n">
        <f aca="false">S15/B16</f>
        <v>36302.3001642163</v>
      </c>
      <c r="S15" s="56" t="n">
        <f aca="false">Q15-O15+U15+AF15</f>
        <v>53226.4325007741</v>
      </c>
      <c r="T15" s="53" t="n">
        <f aca="false">S15-V15</f>
        <v>25334.1181225361</v>
      </c>
      <c r="U15" s="53" t="n">
        <f aca="false">T15*O$1</f>
        <v>4677.31155837322</v>
      </c>
      <c r="V15" s="53" t="n">
        <f aca="false">R15*D$1+AH15</f>
        <v>26352.0874544222</v>
      </c>
      <c r="W15" s="53" t="n">
        <f aca="false">S15-U15-AF15</f>
        <v>48549.1209424008</v>
      </c>
      <c r="X15" s="53" t="n">
        <f aca="false">W15+O15</f>
        <v>83839.6860989442</v>
      </c>
      <c r="Y15" s="42"/>
      <c r="Z15" s="54"/>
      <c r="AA15" s="53"/>
      <c r="AB15" s="54" t="n">
        <f aca="false">'HIER Rechnung Thesaurierer '!H15</f>
        <v>0.101</v>
      </c>
      <c r="AC15" s="57" t="n">
        <f aca="false">(B16*C15)-(B15*C15)</f>
        <v>-94911.2750880625</v>
      </c>
      <c r="AD15" s="53" t="n">
        <f aca="false">IF(AB15&gt;0, IF(AC15&gt;0,MIN((D15)*AB15*0.7,AC15),0),0)</f>
        <v>0</v>
      </c>
      <c r="AE15" s="53" t="n">
        <f aca="false">IF(AC15&gt;0,MAX(AD15-(M15),0),0)</f>
        <v>0</v>
      </c>
      <c r="AF15" s="58" t="n">
        <f aca="false">AE15*O$1</f>
        <v>0</v>
      </c>
      <c r="AG15" s="54" t="n">
        <f aca="false">V15/G15</f>
        <v>0.0238753749194064</v>
      </c>
      <c r="AH15" s="53" t="n">
        <f aca="false">IF(AI14&gt;0,(AI14/C15)*S15,0)</f>
        <v>2850.87997804277</v>
      </c>
      <c r="AI15" s="53" t="n">
        <f aca="false">AI14+AE15-AH15</f>
        <v>38670.8931466432</v>
      </c>
      <c r="AJ15" s="9"/>
      <c r="AK15" s="59" t="n">
        <f aca="false">AK14*(1+'HIER Rechnung Thesaurierer '!I14)</f>
        <v>0</v>
      </c>
      <c r="AL15" s="53" t="n">
        <f aca="false">IF((M15+N15+S15)&lt;AK15,(M15+N15+S15)*O$1,AK15*O$1)</f>
        <v>0</v>
      </c>
      <c r="AM15" s="53" t="n">
        <f aca="false">(M15+T15+AE15)*0.7</f>
        <v>48030.8572184508</v>
      </c>
      <c r="AN15" s="53"/>
      <c r="AO15" s="53"/>
      <c r="AP15" s="53"/>
      <c r="AQ15" s="10"/>
    </row>
    <row r="16" customFormat="false" ht="13.8" hidden="false" customHeight="false" outlineLevel="0" collapsed="false">
      <c r="A16" s="9" t="n">
        <v>13</v>
      </c>
      <c r="B16" s="40" t="n">
        <f aca="false">B15*(1+E15)</f>
        <v>1.4662</v>
      </c>
      <c r="C16" s="48" t="n">
        <f aca="false">C15-R15</f>
        <v>716483.828389578</v>
      </c>
      <c r="D16" s="10" t="n">
        <f aca="false">I15</f>
        <v>1050508.5891848</v>
      </c>
      <c r="E16" s="43" t="n">
        <f aca="false">F16-K$1</f>
        <v>0.0582185240758424</v>
      </c>
      <c r="F16" s="44" t="n">
        <v>0.0582185240758424</v>
      </c>
      <c r="G16" s="42" t="n">
        <f aca="false">D16*(1+E16-K$1)</f>
        <v>1111667.64877613</v>
      </c>
      <c r="H16" s="45" t="n">
        <f aca="false">'HIER Einzelaktien'!G16-('HIER Einzelaktien'!G16*M$1)</f>
        <v>0.0463297158203376</v>
      </c>
      <c r="I16" s="46" t="n">
        <f aca="false">C17*B17</f>
        <v>1055395.6866308</v>
      </c>
      <c r="J16" s="52" t="n">
        <f aca="false">I16/D16-1</f>
        <v>0.00465212516709612</v>
      </c>
      <c r="K16" s="52" t="n">
        <f aca="false">B17/D$1-1</f>
        <v>1.32733999883633</v>
      </c>
      <c r="L16" s="53"/>
      <c r="M16" s="53" t="n">
        <f aca="false">G16*H16</f>
        <v>51503.2462544612</v>
      </c>
      <c r="N16" s="53" t="n">
        <f aca="false">M16*O$1-AL16</f>
        <v>9508.7868397299</v>
      </c>
      <c r="O16" s="53" t="n">
        <f aca="false">M16-N16</f>
        <v>41994.4594147313</v>
      </c>
      <c r="P16" s="54" t="n">
        <f aca="false">(S16+M16)/G16</f>
        <v>0.0969491273029773</v>
      </c>
      <c r="Q16" s="53" t="n">
        <f aca="false">Q15*(1+'HIER Rechnung Thesaurierer '!I16)</f>
        <v>91301.4181617502</v>
      </c>
      <c r="R16" s="55" t="n">
        <f aca="false">S16/B17</f>
        <v>36267.9897299088</v>
      </c>
      <c r="S16" s="56" t="n">
        <f aca="false">Q16-O16+U16+AF16</f>
        <v>56271.9621453373</v>
      </c>
      <c r="T16" s="53" t="n">
        <f aca="false">S16-V16</f>
        <v>28069.3235531385</v>
      </c>
      <c r="U16" s="53" t="n">
        <f aca="false">T16*O$1</f>
        <v>5182.2988609982</v>
      </c>
      <c r="V16" s="53" t="n">
        <f aca="false">R16*D$1+AH16</f>
        <v>26291.5317463146</v>
      </c>
      <c r="W16" s="53" t="n">
        <f aca="false">S16-U16-AF16</f>
        <v>49306.9587470189</v>
      </c>
      <c r="X16" s="53" t="n">
        <f aca="false">W16+O16</f>
        <v>91301.4181617502</v>
      </c>
      <c r="Y16" s="42"/>
      <c r="Z16" s="54"/>
      <c r="AA16" s="53"/>
      <c r="AB16" s="54" t="n">
        <f aca="false">'HIER Rechnung Thesaurierer '!H16</f>
        <v>0.089</v>
      </c>
      <c r="AC16" s="57" t="n">
        <f aca="false">(B17*C16)-(B16*C16)</f>
        <v>61159.0595913346</v>
      </c>
      <c r="AD16" s="53" t="n">
        <f aca="false">IF(AB16&gt;0, IF(AC16&gt;0,MIN((D16)*AB16*0.7,AC16),0),0)</f>
        <v>61159.0595913346</v>
      </c>
      <c r="AE16" s="53" t="n">
        <f aca="false">IF(AC16&gt;0,MAX(AD16-(M16),0),0)</f>
        <v>9655.81333687335</v>
      </c>
      <c r="AF16" s="58" t="n">
        <f aca="false">AE16*O$1</f>
        <v>1782.70453732024</v>
      </c>
      <c r="AG16" s="54" t="n">
        <f aca="false">V16/G16</f>
        <v>0.0236505324008121</v>
      </c>
      <c r="AH16" s="53" t="n">
        <f aca="false">IF(AI15&gt;0,(AI15/C16)*S16,0)</f>
        <v>2934.02690102623</v>
      </c>
      <c r="AI16" s="53" t="n">
        <f aca="false">AI15+AE16-AH16</f>
        <v>45392.6795824903</v>
      </c>
      <c r="AJ16" s="9"/>
      <c r="AK16" s="59" t="n">
        <f aca="false">AK15*(1+'HIER Rechnung Thesaurierer '!I15)</f>
        <v>0</v>
      </c>
      <c r="AL16" s="53" t="n">
        <f aca="false">IF((M16+N16+S16)&lt;AK16,(M16+N16+S16)*O$1,AK16*O$1)</f>
        <v>0</v>
      </c>
      <c r="AM16" s="53" t="n">
        <f aca="false">(M16+T16+AE16)*0.7</f>
        <v>62459.8682011311</v>
      </c>
      <c r="AN16" s="53"/>
      <c r="AO16" s="53"/>
      <c r="AP16" s="53"/>
      <c r="AQ16" s="10"/>
    </row>
    <row r="17" customFormat="false" ht="13.8" hidden="false" customHeight="false" outlineLevel="0" collapsed="false">
      <c r="A17" s="9" t="n">
        <v>14</v>
      </c>
      <c r="B17" s="40" t="n">
        <f aca="false">B16*(1+E16)</f>
        <v>1.55156</v>
      </c>
      <c r="C17" s="48" t="n">
        <f aca="false">C16-R16</f>
        <v>680215.838659669</v>
      </c>
      <c r="D17" s="10" t="n">
        <f aca="false">I16</f>
        <v>1055395.6866308</v>
      </c>
      <c r="E17" s="43" t="n">
        <f aca="false">F17-K$1</f>
        <v>0.18559385392766</v>
      </c>
      <c r="F17" s="44" t="n">
        <v>0.18559385392766</v>
      </c>
      <c r="G17" s="42" t="n">
        <f aca="false">D17*(1+E17-K$1)</f>
        <v>1251270.63953124</v>
      </c>
      <c r="H17" s="45" t="n">
        <f aca="false">'HIER Einzelaktien'!G17-('HIER Einzelaktien'!G17*M$1)</f>
        <v>0.0401230599959642</v>
      </c>
      <c r="I17" s="46" t="n">
        <f aca="false">C18*B18</f>
        <v>1184986.04790835</v>
      </c>
      <c r="J17" s="52" t="n">
        <f aca="false">I17/D17-1</f>
        <v>0.122788412838083</v>
      </c>
      <c r="K17" s="52" t="n">
        <f aca="false">B18/D$1-1</f>
        <v>1.75927999862036</v>
      </c>
      <c r="L17" s="53"/>
      <c r="M17" s="53" t="n">
        <f aca="false">G17*H17</f>
        <v>50204.8069411003</v>
      </c>
      <c r="N17" s="53" t="n">
        <f aca="false">M17*O$1-AL17</f>
        <v>9269.06248150064</v>
      </c>
      <c r="O17" s="53" t="n">
        <f aca="false">M17-N17</f>
        <v>40935.7444595996</v>
      </c>
      <c r="P17" s="54" t="n">
        <f aca="false">(S17+M17)/G17</f>
        <v>0.0930968847855525</v>
      </c>
      <c r="Q17" s="53" t="n">
        <f aca="false">Q16*(1+'HIER Rechnung Thesaurierer '!I17)</f>
        <v>98696.8330328519</v>
      </c>
      <c r="R17" s="55" t="n">
        <f aca="false">S17/B18</f>
        <v>36033.6346562604</v>
      </c>
      <c r="S17" s="56" t="n">
        <f aca="false">Q17-O17+U17+AF17</f>
        <v>66284.5916228842</v>
      </c>
      <c r="T17" s="53" t="n">
        <f aca="false">S17-V17</f>
        <v>36530.4418524345</v>
      </c>
      <c r="U17" s="53" t="n">
        <f aca="false">T17*O$1</f>
        <v>6744.43282700572</v>
      </c>
      <c r="V17" s="53" t="n">
        <f aca="false">R17*D$1+AH17</f>
        <v>27462.1919199024</v>
      </c>
      <c r="W17" s="53" t="n">
        <f aca="false">S17-U17-AF17</f>
        <v>57761.0885732523</v>
      </c>
      <c r="X17" s="53" t="n">
        <f aca="false">W17+O17</f>
        <v>98696.8330328519</v>
      </c>
      <c r="Y17" s="42"/>
      <c r="Z17" s="54"/>
      <c r="AA17" s="53"/>
      <c r="AB17" s="54" t="n">
        <f aca="false">'HIER Rechnung Thesaurierer '!H17</f>
        <v>0.081</v>
      </c>
      <c r="AC17" s="57" t="n">
        <f aca="false">(B18*C17)-(B17*C17)</f>
        <v>195874.952900439</v>
      </c>
      <c r="AD17" s="53" t="n">
        <f aca="false">IF(AB17&gt;0, IF(AC17&gt;0,MIN((D17)*AB17*0.7,AC17),0),0)</f>
        <v>59840.9354319662</v>
      </c>
      <c r="AE17" s="53" t="n">
        <f aca="false">IF(AC17&gt;0,MAX(AD17-(M17),0),0)</f>
        <v>9636.12849086594</v>
      </c>
      <c r="AF17" s="58" t="n">
        <f aca="false">AE17*O$1</f>
        <v>1779.07022262612</v>
      </c>
      <c r="AG17" s="54" t="n">
        <f aca="false">V17/G17</f>
        <v>0.0219474437042578</v>
      </c>
      <c r="AH17" s="53" t="n">
        <f aca="false">IF(AI16&gt;0,(AI16/C17)*S17,0)</f>
        <v>4270.40500290481</v>
      </c>
      <c r="AI17" s="53" t="n">
        <f aca="false">AI16+AE17-AH17</f>
        <v>50758.4030704514</v>
      </c>
      <c r="AJ17" s="9"/>
      <c r="AK17" s="59" t="n">
        <f aca="false">AK16*(1+'HIER Rechnung Thesaurierer '!I16)</f>
        <v>0</v>
      </c>
      <c r="AL17" s="53" t="n">
        <f aca="false">IF((M17+N17+S17)&lt;AK17,(M17+N17+S17)*O$1,AK17*O$1)</f>
        <v>0</v>
      </c>
      <c r="AM17" s="53" t="n">
        <f aca="false">(M17+T17+AE17)*0.7</f>
        <v>67459.9640990805</v>
      </c>
      <c r="AN17" s="53"/>
      <c r="AO17" s="53"/>
      <c r="AP17" s="53"/>
      <c r="AQ17" s="10"/>
    </row>
    <row r="18" customFormat="false" ht="13.8" hidden="false" customHeight="false" outlineLevel="0" collapsed="false">
      <c r="A18" s="9" t="n">
        <v>15</v>
      </c>
      <c r="B18" s="40" t="n">
        <f aca="false">B17*(1+E17)</f>
        <v>1.83952</v>
      </c>
      <c r="C18" s="48" t="n">
        <f aca="false">C17-R17</f>
        <v>644182.204003409</v>
      </c>
      <c r="D18" s="10" t="n">
        <f aca="false">I17</f>
        <v>1184986.04790835</v>
      </c>
      <c r="E18" s="43" t="n">
        <f aca="false">F18-K$1</f>
        <v>0.017683961033313</v>
      </c>
      <c r="F18" s="44" t="n">
        <v>0.017683961033313</v>
      </c>
      <c r="G18" s="42" t="n">
        <f aca="false">D18*(1+E18-K$1)</f>
        <v>1205941.29500458</v>
      </c>
      <c r="H18" s="45" t="n">
        <f aca="false">'HIER Einzelaktien'!G18-('HIER Einzelaktien'!G18*M$1)</f>
        <v>0.0340486538468229</v>
      </c>
      <c r="I18" s="46" t="n">
        <f aca="false">C19*B19</f>
        <v>1124591.98016829</v>
      </c>
      <c r="J18" s="52" t="n">
        <f aca="false">I18/D18-1</f>
        <v>-0.0509660580786291</v>
      </c>
      <c r="K18" s="52" t="n">
        <f aca="false">B19/D$1-1</f>
        <v>1.80807499859597</v>
      </c>
      <c r="L18" s="53"/>
      <c r="M18" s="53" t="n">
        <f aca="false">G18*H18</f>
        <v>41060.6777132003</v>
      </c>
      <c r="N18" s="53" t="n">
        <f aca="false">M18*O$1-AL18</f>
        <v>7580.82762279961</v>
      </c>
      <c r="O18" s="53" t="n">
        <f aca="false">M18-N18</f>
        <v>33479.8500904007</v>
      </c>
      <c r="P18" s="54" t="n">
        <f aca="false">(S18+M18)/G18</f>
        <v>0.101505764050503</v>
      </c>
      <c r="Q18" s="53" t="n">
        <f aca="false">Q17*(1+'HIER Rechnung Thesaurierer '!I18)</f>
        <v>106592.57967548</v>
      </c>
      <c r="R18" s="55" t="n">
        <f aca="false">S18/B19</f>
        <v>43454.6699267077</v>
      </c>
      <c r="S18" s="56" t="n">
        <f aca="false">Q18-O18+U18+AF18</f>
        <v>81349.3148362932</v>
      </c>
      <c r="T18" s="53" t="n">
        <f aca="false">S18-V18</f>
        <v>44612.5132090117</v>
      </c>
      <c r="U18" s="53" t="n">
        <f aca="false">T18*O$1</f>
        <v>8236.58525121378</v>
      </c>
      <c r="V18" s="53" t="n">
        <f aca="false">R18*D$1+AH18</f>
        <v>34335.2438196671</v>
      </c>
      <c r="W18" s="53" t="n">
        <f aca="false">S18-U18-AF18</f>
        <v>73112.7295850794</v>
      </c>
      <c r="X18" s="53" t="n">
        <f aca="false">W18+O18</f>
        <v>106592.57967548</v>
      </c>
      <c r="Y18" s="42"/>
      <c r="Z18" s="54"/>
      <c r="AA18" s="53"/>
      <c r="AB18" s="54" t="n">
        <f aca="false">'HIER Rechnung Thesaurierer '!H18</f>
        <v>0.08</v>
      </c>
      <c r="AC18" s="57" t="n">
        <f aca="false">(B19*C18)-(B18*C18)</f>
        <v>20955.247096231</v>
      </c>
      <c r="AD18" s="53" t="n">
        <f aca="false">IF(AB18&gt;0, IF(AC18&gt;0,MIN((D18)*AB18*0.7,AC18),0),0)</f>
        <v>20955.247096231</v>
      </c>
      <c r="AE18" s="53" t="n">
        <f aca="false">IF(AC18&gt;0,MAX(AD18-(M18),0),0)</f>
        <v>0</v>
      </c>
      <c r="AF18" s="58" t="n">
        <f aca="false">AE18*O$1</f>
        <v>0</v>
      </c>
      <c r="AG18" s="54" t="n">
        <f aca="false">V18/G18</f>
        <v>0.0284717373572788</v>
      </c>
      <c r="AH18" s="53" t="n">
        <f aca="false">IF(AI17&gt;0,(AI17/C18)*S18,0)</f>
        <v>6220.69664120765</v>
      </c>
      <c r="AI18" s="53" t="n">
        <f aca="false">AI17+AE18-AH18</f>
        <v>44537.7064292438</v>
      </c>
      <c r="AJ18" s="9"/>
      <c r="AK18" s="59" t="n">
        <f aca="false">AK17*(1+'HIER Rechnung Thesaurierer '!I17)</f>
        <v>0</v>
      </c>
      <c r="AL18" s="53" t="n">
        <f aca="false">IF((M18+N18+S18)&lt;AK18,(M18+N18+S18)*O$1,AK18*O$1)</f>
        <v>0</v>
      </c>
      <c r="AM18" s="53" t="n">
        <f aca="false">(M18+T18+AE18)*0.7</f>
        <v>59971.2336455484</v>
      </c>
      <c r="AN18" s="53"/>
      <c r="AO18" s="53"/>
      <c r="AP18" s="53"/>
      <c r="AQ18" s="10"/>
    </row>
    <row r="19" customFormat="false" ht="13.8" hidden="false" customHeight="false" outlineLevel="0" collapsed="false">
      <c r="A19" s="9" t="n">
        <v>16</v>
      </c>
      <c r="B19" s="40" t="n">
        <f aca="false">B18*(1+E18)</f>
        <v>1.87205</v>
      </c>
      <c r="C19" s="48" t="n">
        <f aca="false">C18-R18</f>
        <v>600727.534076701</v>
      </c>
      <c r="D19" s="10" t="n">
        <f aca="false">I18</f>
        <v>1124591.98016829</v>
      </c>
      <c r="E19" s="43" t="n">
        <f aca="false">F19-K$1</f>
        <v>0.370230495980342</v>
      </c>
      <c r="F19" s="44" t="n">
        <v>0.370230495980342</v>
      </c>
      <c r="G19" s="42" t="n">
        <f aca="false">D19*(1+E19-K$1)</f>
        <v>1540950.22676151</v>
      </c>
      <c r="H19" s="45" t="n">
        <f aca="false">'HIER Einzelaktien'!G19-('HIER Einzelaktien'!G19*M$1)</f>
        <v>0.0403446329659957</v>
      </c>
      <c r="I19" s="46" t="n">
        <f aca="false">C20*B20</f>
        <v>1469214.01600702</v>
      </c>
      <c r="J19" s="52" t="n">
        <f aca="false">I19/D19-1</f>
        <v>0.306441840166032</v>
      </c>
      <c r="K19" s="52" t="n">
        <f aca="false">B20/D$1-1</f>
        <v>2.84770999807615</v>
      </c>
      <c r="L19" s="53"/>
      <c r="M19" s="53" t="n">
        <f aca="false">G19*H19</f>
        <v>62169.071317561</v>
      </c>
      <c r="N19" s="53" t="n">
        <f aca="false">M19*O$1-AL19</f>
        <v>11477.9647920047</v>
      </c>
      <c r="O19" s="53" t="n">
        <f aca="false">M19-N19</f>
        <v>50691.1065255563</v>
      </c>
      <c r="P19" s="54" t="n">
        <f aca="false">(S19+M19)/G19</f>
        <v>0.0868978632447248</v>
      </c>
      <c r="Q19" s="53" t="n">
        <f aca="false">Q18*(1+'HIER Rechnung Thesaurierer '!I19)</f>
        <v>114054.060252764</v>
      </c>
      <c r="R19" s="55" t="n">
        <f aca="false">S19/B20</f>
        <v>27965.8072286457</v>
      </c>
      <c r="S19" s="56" t="n">
        <f aca="false">Q19-O19+U19+AF19</f>
        <v>71736.2107544884</v>
      </c>
      <c r="T19" s="53" t="n">
        <f aca="false">S19-V19</f>
        <v>45352.7801071412</v>
      </c>
      <c r="U19" s="53" t="n">
        <f aca="false">T19*O$1</f>
        <v>8373.25702728094</v>
      </c>
      <c r="V19" s="53" t="n">
        <f aca="false">R19*D$1+AH19</f>
        <v>22748.0108620481</v>
      </c>
      <c r="W19" s="53" t="n">
        <f aca="false">S19-U19-AF19</f>
        <v>63362.9537272075</v>
      </c>
      <c r="X19" s="53" t="n">
        <f aca="false">W19+O19</f>
        <v>114054.060252764</v>
      </c>
      <c r="Y19" s="42"/>
      <c r="Z19" s="54"/>
      <c r="AA19" s="53"/>
      <c r="AB19" s="54" t="n">
        <f aca="false">'HIER Rechnung Thesaurierer '!H19</f>
        <v>0.07</v>
      </c>
      <c r="AC19" s="57" t="n">
        <f aca="false">(B20*C19)-(B19*C19)</f>
        <v>416358.246593221</v>
      </c>
      <c r="AD19" s="53" t="n">
        <f aca="false">IF(AB19&gt;0, IF(AC19&gt;0,MIN((D19)*AB19*0.7,AC19),0),0)</f>
        <v>55105.0070282462</v>
      </c>
      <c r="AE19" s="53" t="n">
        <f aca="false">IF(AC19&gt;0,MAX(AD19-(M19),0),0)</f>
        <v>0</v>
      </c>
      <c r="AF19" s="58" t="n">
        <f aca="false">AE19*O$1</f>
        <v>0</v>
      </c>
      <c r="AG19" s="54" t="n">
        <f aca="false">V19/G19</f>
        <v>0.0147623268208057</v>
      </c>
      <c r="AH19" s="53" t="n">
        <f aca="false">IF(AI18&gt;0,(AI18/C19)*S19,0)</f>
        <v>5048.96623466203</v>
      </c>
      <c r="AI19" s="53" t="n">
        <f aca="false">AI18+AE19-AH19</f>
        <v>39488.7401945817</v>
      </c>
      <c r="AJ19" s="9"/>
      <c r="AK19" s="59" t="n">
        <f aca="false">AK18*(1+'HIER Rechnung Thesaurierer '!I18)</f>
        <v>0</v>
      </c>
      <c r="AL19" s="53" t="n">
        <f aca="false">IF((M19+N19+S19)&lt;AK19,(M19+N19+S19)*O$1,AK19*O$1)</f>
        <v>0</v>
      </c>
      <c r="AM19" s="53" t="n">
        <f aca="false">(M19+T19+AE19)*0.7</f>
        <v>75265.2959972915</v>
      </c>
      <c r="AN19" s="53"/>
      <c r="AO19" s="53"/>
      <c r="AP19" s="53"/>
      <c r="AQ19" s="10"/>
    </row>
    <row r="20" customFormat="false" ht="13.8" hidden="false" customHeight="false" outlineLevel="0" collapsed="false">
      <c r="A20" s="9" t="n">
        <v>17</v>
      </c>
      <c r="B20" s="40" t="n">
        <f aca="false">B19*(1+E19)</f>
        <v>2.56514</v>
      </c>
      <c r="C20" s="48" t="n">
        <f aca="false">C19-R19</f>
        <v>572761.726848055</v>
      </c>
      <c r="D20" s="10" t="n">
        <f aca="false">I19</f>
        <v>1469214.01600702</v>
      </c>
      <c r="E20" s="43" t="n">
        <f aca="false">F20-K$1</f>
        <v>0.391054679276765</v>
      </c>
      <c r="F20" s="44" t="n">
        <v>0.391054679276765</v>
      </c>
      <c r="G20" s="42" t="n">
        <f aca="false">D20*(1+E20-K$1)</f>
        <v>2043757.03182558</v>
      </c>
      <c r="H20" s="45" t="n">
        <f aca="false">'HIER Einzelaktien'!G20-('HIER Einzelaktien'!G20*M$1)</f>
        <v>0.0313991786840794</v>
      </c>
      <c r="I20" s="46" t="n">
        <f aca="false">C21*B21</f>
        <v>1964693.29814903</v>
      </c>
      <c r="J20" s="52" t="n">
        <f aca="false">I20/D20-1</f>
        <v>0.337241053205174</v>
      </c>
      <c r="K20" s="52" t="n">
        <f aca="false">B21/D$1-1</f>
        <v>4.35237499732382</v>
      </c>
      <c r="L20" s="53"/>
      <c r="M20" s="53" t="n">
        <f aca="false">G20*H20</f>
        <v>64172.292229135</v>
      </c>
      <c r="N20" s="53" t="n">
        <f aca="false">M20*O$1-AL20</f>
        <v>11847.809452804</v>
      </c>
      <c r="O20" s="53" t="n">
        <f aca="false">M20-N20</f>
        <v>52324.4827763309</v>
      </c>
      <c r="P20" s="54" t="n">
        <f aca="false">(S20+M20)/G20</f>
        <v>0.0700846645052189</v>
      </c>
      <c r="Q20" s="53" t="n">
        <f aca="false">Q19*(1+'HIER Rechnung Thesaurierer '!I20)</f>
        <v>121125.411988435</v>
      </c>
      <c r="R20" s="55" t="n">
        <f aca="false">S20/B21</f>
        <v>22157.5656628719</v>
      </c>
      <c r="S20" s="56" t="n">
        <f aca="false">Q20-O20+U20+AF20</f>
        <v>79063.7336765428</v>
      </c>
      <c r="T20" s="53" t="n">
        <f aca="false">S20-V20</f>
        <v>55587.2956773929</v>
      </c>
      <c r="U20" s="53" t="n">
        <f aca="false">T20*O$1</f>
        <v>10262.8044644387</v>
      </c>
      <c r="V20" s="53" t="n">
        <f aca="false">R20*D$1+AH20</f>
        <v>19104.4635727516</v>
      </c>
      <c r="W20" s="53" t="n">
        <f aca="false">S20-U20-AF20</f>
        <v>68800.9292121042</v>
      </c>
      <c r="X20" s="53" t="n">
        <f aca="false">W20+O20</f>
        <v>121125.411988435</v>
      </c>
      <c r="Y20" s="42"/>
      <c r="Z20" s="54"/>
      <c r="AA20" s="53"/>
      <c r="AB20" s="54" t="n">
        <f aca="false">'HIER Rechnung Thesaurierer '!H20</f>
        <v>0.062</v>
      </c>
      <c r="AC20" s="57" t="n">
        <f aca="false">(B21*C20)-(B20*C20)</f>
        <v>574543.015818554</v>
      </c>
      <c r="AD20" s="53" t="n">
        <f aca="false">IF(AB20&gt;0, IF(AC20&gt;0,MIN((D20)*AB20*0.7,AC20),0),0)</f>
        <v>63763.8882947047</v>
      </c>
      <c r="AE20" s="53" t="n">
        <f aca="false">IF(AC20&gt;0,MAX(AD20-(M20),0),0)</f>
        <v>0</v>
      </c>
      <c r="AF20" s="58" t="n">
        <f aca="false">AE20*O$1</f>
        <v>0</v>
      </c>
      <c r="AG20" s="54" t="n">
        <f aca="false">V20/G20</f>
        <v>0.00934771759815629</v>
      </c>
      <c r="AH20" s="53" t="n">
        <f aca="false">IF(AI19&gt;0,(AI19/C20)*S20,0)</f>
        <v>5149.58199448207</v>
      </c>
      <c r="AI20" s="53" t="n">
        <f aca="false">AI19+AE20-AH20</f>
        <v>34339.1582000997</v>
      </c>
      <c r="AJ20" s="9"/>
      <c r="AK20" s="59" t="n">
        <f aca="false">AK19*(1+'HIER Rechnung Thesaurierer '!I19)</f>
        <v>0</v>
      </c>
      <c r="AL20" s="53" t="n">
        <f aca="false">IF((M20+N20+S20)&lt;AK20,(M20+N20+S20)*O$1,AK20*O$1)</f>
        <v>0</v>
      </c>
      <c r="AM20" s="53" t="n">
        <f aca="false">(M20+T20+AE20)*0.7</f>
        <v>83831.7115345695</v>
      </c>
      <c r="AN20" s="53"/>
      <c r="AO20" s="53"/>
      <c r="AP20" s="53"/>
      <c r="AQ20" s="10"/>
    </row>
    <row r="21" customFormat="false" ht="13.8" hidden="false" customHeight="false" outlineLevel="0" collapsed="false">
      <c r="A21" s="9" t="n">
        <v>18</v>
      </c>
      <c r="B21" s="40" t="n">
        <f aca="false">B20*(1+E20)</f>
        <v>3.56825</v>
      </c>
      <c r="C21" s="48" t="n">
        <f aca="false">C20-R20</f>
        <v>550604.161185183</v>
      </c>
      <c r="D21" s="10" t="n">
        <f aca="false">I20</f>
        <v>1964693.29814903</v>
      </c>
      <c r="E21" s="43" t="n">
        <f aca="false">F21-K$1</f>
        <v>0.143400826735795</v>
      </c>
      <c r="F21" s="44" t="n">
        <v>0.143400826735795</v>
      </c>
      <c r="G21" s="42" t="n">
        <f aca="false">D21*(1+E21-K$1)</f>
        <v>2246431.94138588</v>
      </c>
      <c r="H21" s="45" t="n">
        <f aca="false">'HIER Einzelaktien'!G21-('HIER Einzelaktien'!G21*M$1)</f>
        <v>0.0205968439262731</v>
      </c>
      <c r="I21" s="46" t="n">
        <f aca="false">C22*B22</f>
        <v>2132147.82211438</v>
      </c>
      <c r="J21" s="52" t="n">
        <f aca="false">I21/D21-1</f>
        <v>0.0852318904549179</v>
      </c>
      <c r="K21" s="52" t="n">
        <f aca="false">B22/D$1-1</f>
        <v>5.11990999694005</v>
      </c>
      <c r="L21" s="53"/>
      <c r="M21" s="53" t="n">
        <f aca="false">G21*H21</f>
        <v>46269.4080877195</v>
      </c>
      <c r="N21" s="53" t="n">
        <f aca="false">M21*O$1-AL21</f>
        <v>8542.48946819522</v>
      </c>
      <c r="O21" s="53" t="n">
        <f aca="false">M21-N21</f>
        <v>37726.9186195243</v>
      </c>
      <c r="P21" s="54" t="n">
        <f aca="false">(S21+M21)/G21</f>
        <v>0.0714704614020788</v>
      </c>
      <c r="Q21" s="53" t="n">
        <f aca="false">Q20*(1+'HIER Rechnung Thesaurierer '!I21)</f>
        <v>128756.312943706</v>
      </c>
      <c r="R21" s="55" t="n">
        <f aca="false">S21/B22</f>
        <v>28011.225476722</v>
      </c>
      <c r="S21" s="56" t="n">
        <f aca="false">Q21-O21+U21+AF21</f>
        <v>114284.119271497</v>
      </c>
      <c r="T21" s="53" t="n">
        <f aca="false">S21-V21</f>
        <v>85582.9668678651</v>
      </c>
      <c r="U21" s="53" t="n">
        <f aca="false">T21*O$1</f>
        <v>15800.7552579796</v>
      </c>
      <c r="V21" s="53" t="n">
        <f aca="false">R21*D$1+AH21</f>
        <v>24956.1259061965</v>
      </c>
      <c r="W21" s="53" t="n">
        <f aca="false">S21-U21-AF21</f>
        <v>91029.3943241822</v>
      </c>
      <c r="X21" s="53" t="n">
        <f aca="false">W21+O21</f>
        <v>128756.312943706</v>
      </c>
      <c r="Y21" s="42"/>
      <c r="Z21" s="54"/>
      <c r="AA21" s="53"/>
      <c r="AB21" s="54" t="n">
        <f aca="false">'HIER Rechnung Thesaurierer '!H21</f>
        <v>0.063</v>
      </c>
      <c r="AC21" s="57" t="n">
        <f aca="false">(B22*C21)-(B21*C21)</f>
        <v>281738.643236847</v>
      </c>
      <c r="AD21" s="53" t="n">
        <f aca="false">IF(AB21&gt;0, IF(AC21&gt;0,MIN((D21)*AB21*0.7,AC21),0),0)</f>
        <v>86642.9744483723</v>
      </c>
      <c r="AE21" s="53" t="n">
        <f aca="false">IF(AC21&gt;0,MAX(AD21-(M21),0),0)</f>
        <v>40373.5663606528</v>
      </c>
      <c r="AF21" s="58" t="n">
        <f aca="false">AE21*O$1</f>
        <v>7453.96968933552</v>
      </c>
      <c r="AG21" s="54" t="n">
        <f aca="false">V21/G21</f>
        <v>0.0111092285710648</v>
      </c>
      <c r="AH21" s="53" t="n">
        <f aca="false">IF(AI20&gt;0,(AI20/C21)*S21,0)</f>
        <v>6893.91701271098</v>
      </c>
      <c r="AI21" s="53" t="n">
        <f aca="false">AI20+AE21-AH21</f>
        <v>67818.8075480415</v>
      </c>
      <c r="AJ21" s="9"/>
      <c r="AK21" s="59" t="n">
        <f aca="false">AK20*(1+'HIER Rechnung Thesaurierer '!I20)</f>
        <v>0</v>
      </c>
      <c r="AL21" s="53" t="n">
        <f aca="false">IF((M21+N21+S21)&lt;AK21,(M21+N21+S21)*O$1,AK21*O$1)</f>
        <v>0</v>
      </c>
      <c r="AM21" s="53" t="n">
        <f aca="false">(M21+T21+AE21)*0.7</f>
        <v>120558.158921366</v>
      </c>
      <c r="AN21" s="53"/>
      <c r="AO21" s="53"/>
      <c r="AP21" s="53"/>
      <c r="AQ21" s="10"/>
    </row>
    <row r="22" customFormat="false" ht="13.8" hidden="false" customHeight="false" outlineLevel="0" collapsed="false">
      <c r="A22" s="9" t="n">
        <v>19</v>
      </c>
      <c r="B22" s="40" t="n">
        <f aca="false">B21*(1+E21)</f>
        <v>4.07994000000001</v>
      </c>
      <c r="C22" s="48" t="n">
        <f aca="false">C21-R21</f>
        <v>522592.935708461</v>
      </c>
      <c r="D22" s="10" t="n">
        <f aca="false">I21</f>
        <v>2132147.82211438</v>
      </c>
      <c r="E22" s="43" t="n">
        <f aca="false">F22-K$1</f>
        <v>0.211851154673843</v>
      </c>
      <c r="F22" s="44" t="n">
        <v>0.211851154673843</v>
      </c>
      <c r="G22" s="42" t="n">
        <f aca="false">D22*(1+E22-K$1)</f>
        <v>2583845.80016463</v>
      </c>
      <c r="H22" s="45" t="n">
        <f aca="false">'HIER Einzelaktien'!G22-('HIER Einzelaktien'!G22*M$1)</f>
        <v>0.0235070562283593</v>
      </c>
      <c r="I22" s="46" t="n">
        <f aca="false">C23*B23</f>
        <v>2475564.17258706</v>
      </c>
      <c r="J22" s="52" t="n">
        <f aca="false">I22/D22-1</f>
        <v>0.161065919966153</v>
      </c>
      <c r="K22" s="52" t="n">
        <f aca="false">B23/D$1-1</f>
        <v>6.4164199962918</v>
      </c>
      <c r="L22" s="53"/>
      <c r="M22" s="53" t="n">
        <f aca="false">G22*H22</f>
        <v>60738.6085098801</v>
      </c>
      <c r="N22" s="53" t="n">
        <f aca="false">M22*O$1-AL22</f>
        <v>11213.8655961366</v>
      </c>
      <c r="O22" s="53" t="n">
        <f aca="false">M22-N22</f>
        <v>49524.7429137435</v>
      </c>
      <c r="P22" s="54" t="n">
        <f aca="false">(S22+M22)/G22</f>
        <v>0.0654142116672287</v>
      </c>
      <c r="Q22" s="53" t="n">
        <f aca="false">Q21*(1+'HIER Rechnung Thesaurierer '!I22)</f>
        <v>137125.473285047</v>
      </c>
      <c r="R22" s="55" t="n">
        <f aca="false">S22/B23</f>
        <v>21900.3833879895</v>
      </c>
      <c r="S22" s="56" t="n">
        <f aca="false">Q22-O22+U22+AF22</f>
        <v>108281.627577569</v>
      </c>
      <c r="T22" s="53" t="n">
        <f aca="false">S22-V22</f>
        <v>75741.5749869665</v>
      </c>
      <c r="U22" s="53" t="n">
        <f aca="false">T22*O$1</f>
        <v>13983.7882819687</v>
      </c>
      <c r="V22" s="53" t="n">
        <f aca="false">R22*D$1+AH22</f>
        <v>27253.4837056705</v>
      </c>
      <c r="W22" s="53" t="n">
        <f aca="false">S22-U22-AF22</f>
        <v>87600.730371304</v>
      </c>
      <c r="X22" s="53" t="n">
        <f aca="false">W22+O22</f>
        <v>137125.473285047</v>
      </c>
      <c r="Y22" s="42"/>
      <c r="Z22" s="54"/>
      <c r="AA22" s="53"/>
      <c r="AB22" s="54" t="n">
        <f aca="false">'HIER Rechnung Thesaurierer '!H22</f>
        <v>0.065</v>
      </c>
      <c r="AC22" s="57" t="n">
        <f aca="false">(B23*C22)-(B22*C22)</f>
        <v>451697.978050252</v>
      </c>
      <c r="AD22" s="53" t="n">
        <f aca="false">IF(AB22&gt;0, IF(AC22&gt;0,MIN((D22)*AB22*0.7,AC22),0),0)</f>
        <v>97012.7259062044</v>
      </c>
      <c r="AE22" s="53" t="n">
        <f aca="false">IF(AC22&gt;0,MAX(AD22-(M22),0),0)</f>
        <v>36274.1173963243</v>
      </c>
      <c r="AF22" s="58" t="n">
        <f aca="false">AE22*O$1</f>
        <v>6697.10892429638</v>
      </c>
      <c r="AG22" s="54" t="n">
        <f aca="false">V22/G22</f>
        <v>0.0105476432471063</v>
      </c>
      <c r="AH22" s="53" t="n">
        <f aca="false">IF(AI21&gt;0,(AI21/C22)*S22,0)</f>
        <v>13366.0476186994</v>
      </c>
      <c r="AI22" s="53" t="n">
        <f aca="false">AI21+AE22-AH22</f>
        <v>90726.8773256664</v>
      </c>
      <c r="AJ22" s="9"/>
      <c r="AK22" s="59" t="n">
        <f aca="false">AK21*(1+'HIER Rechnung Thesaurierer '!I21)</f>
        <v>0</v>
      </c>
      <c r="AL22" s="53" t="n">
        <f aca="false">IF((M22+N22+S22)&lt;AK22,(M22+N22+S22)*O$1,AK22*O$1)</f>
        <v>0</v>
      </c>
      <c r="AM22" s="53" t="n">
        <f aca="false">(M22+T22+AE22)*0.7</f>
        <v>120928.01062522</v>
      </c>
      <c r="AN22" s="53"/>
      <c r="AO22" s="53"/>
      <c r="AP22" s="53"/>
      <c r="AQ22" s="10"/>
    </row>
    <row r="23" customFormat="false" ht="13.8" hidden="false" customHeight="false" outlineLevel="0" collapsed="false">
      <c r="A23" s="9" t="n">
        <v>20</v>
      </c>
      <c r="B23" s="40" t="n">
        <f aca="false">B22*(1+E22)</f>
        <v>4.94428000000001</v>
      </c>
      <c r="C23" s="48" t="n">
        <f aca="false">C22-R22</f>
        <v>500692.552320472</v>
      </c>
      <c r="D23" s="10" t="n">
        <f aca="false">I22</f>
        <v>2475564.17258706</v>
      </c>
      <c r="E23" s="43" t="n">
        <f aca="false">F23-K$1</f>
        <v>0.147463331364728</v>
      </c>
      <c r="F23" s="44" t="n">
        <v>0.147463331364728</v>
      </c>
      <c r="G23" s="42" t="n">
        <f aca="false">D23*(1+E23-K$1)</f>
        <v>2840619.11248392</v>
      </c>
      <c r="H23" s="45" t="n">
        <f aca="false">'HIER Einzelaktien'!G23-('HIER Einzelaktien'!G23*M$1)</f>
        <v>0.0208031693868229</v>
      </c>
      <c r="I23" s="46" t="n">
        <f aca="false">C24*B24</f>
        <v>2714885.20743554</v>
      </c>
      <c r="J23" s="52" t="n">
        <f aca="false">I23/D23-1</f>
        <v>0.0966733310728034</v>
      </c>
      <c r="K23" s="52" t="n">
        <f aca="false">B24/D$1-1</f>
        <v>7.51006999574497</v>
      </c>
      <c r="L23" s="53"/>
      <c r="M23" s="53" t="n">
        <f aca="false">G23*H23</f>
        <v>59093.8805604495</v>
      </c>
      <c r="N23" s="53" t="n">
        <f aca="false">M23*O$1-AL23</f>
        <v>10910.207698473</v>
      </c>
      <c r="O23" s="53" t="n">
        <f aca="false">M23-N23</f>
        <v>48183.6728619765</v>
      </c>
      <c r="P23" s="54" t="n">
        <f aca="false">(S23+M23)/G23</f>
        <v>0.0650660219796964</v>
      </c>
      <c r="Q23" s="53" t="n">
        <f aca="false">Q22*(1+'HIER Rechnung Thesaurierer '!I23)</f>
        <v>146724.256415001</v>
      </c>
      <c r="R23" s="55" t="n">
        <f aca="false">S23/B24</f>
        <v>22162.0806377107</v>
      </c>
      <c r="S23" s="56" t="n">
        <f aca="false">Q23-O23+U23+AF23</f>
        <v>125733.905048375</v>
      </c>
      <c r="T23" s="53" t="n">
        <f aca="false">S23-V23</f>
        <v>85080.7228760639</v>
      </c>
      <c r="U23" s="53" t="n">
        <f aca="false">T23*O$1</f>
        <v>15708.0284609933</v>
      </c>
      <c r="V23" s="53" t="n">
        <f aca="false">R23*D$1+AH23</f>
        <v>36239.6975919163</v>
      </c>
      <c r="W23" s="53" t="n">
        <f aca="false">S23-U23-AF23</f>
        <v>98540.5835530242</v>
      </c>
      <c r="X23" s="53" t="n">
        <f aca="false">W23+O23</f>
        <v>146724.256415001</v>
      </c>
      <c r="Y23" s="42"/>
      <c r="Z23" s="54"/>
      <c r="AA23" s="53"/>
      <c r="AB23" s="54" t="n">
        <f aca="false">'HIER Rechnung Thesaurierer '!H23</f>
        <v>0.07</v>
      </c>
      <c r="AC23" s="57" t="n">
        <f aca="false">(B24*C23)-(B23*C23)</f>
        <v>365054.939896855</v>
      </c>
      <c r="AD23" s="53" t="n">
        <f aca="false">IF(AB23&gt;0, IF(AC23&gt;0,MIN((D23)*AB23*0.7,AC23),0),0)</f>
        <v>121302.644456766</v>
      </c>
      <c r="AE23" s="53" t="n">
        <f aca="false">IF(AC23&gt;0,MAX(AD23-(M23),0),0)</f>
        <v>62208.7638963167</v>
      </c>
      <c r="AF23" s="58" t="n">
        <f aca="false">AE23*O$1</f>
        <v>11485.2930343575</v>
      </c>
      <c r="AG23" s="54" t="n">
        <f aca="false">V23/G23</f>
        <v>0.0127576757590099</v>
      </c>
      <c r="AH23" s="53" t="n">
        <f aca="false">IF(AI22&gt;0,(AI22/C23)*S23,0)</f>
        <v>21983.5962286325</v>
      </c>
      <c r="AI23" s="53" t="n">
        <f aca="false">AI22+AE23-AH23</f>
        <v>130952.044993351</v>
      </c>
      <c r="AJ23" s="9"/>
      <c r="AK23" s="59" t="n">
        <f aca="false">AK22*(1+'HIER Rechnung Thesaurierer '!I22)</f>
        <v>0</v>
      </c>
      <c r="AL23" s="53" t="n">
        <f aca="false">IF((M23+N23+S23)&lt;AK23,(M23+N23+S23)*O$1,AK23*O$1)</f>
        <v>0</v>
      </c>
      <c r="AM23" s="53" t="n">
        <f aca="false">(M23+T23+AE23)*0.7</f>
        <v>144468.357132981</v>
      </c>
      <c r="AN23" s="53"/>
      <c r="AO23" s="53"/>
      <c r="AP23" s="53"/>
      <c r="AQ23" s="10"/>
    </row>
    <row r="24" customFormat="false" ht="13.8" hidden="false" customHeight="false" outlineLevel="0" collapsed="false">
      <c r="A24" s="9" t="n">
        <v>21</v>
      </c>
      <c r="B24" s="40" t="n">
        <f aca="false">B23*(1+E23)</f>
        <v>5.67338</v>
      </c>
      <c r="C24" s="48" t="n">
        <f aca="false">C23-R23</f>
        <v>478530.471682761</v>
      </c>
      <c r="D24" s="10" t="n">
        <f aca="false">I23</f>
        <v>2714885.20743554</v>
      </c>
      <c r="E24" s="43" t="n">
        <f aca="false">F24-K$1</f>
        <v>-0.186504341327392</v>
      </c>
      <c r="F24" s="44" t="n">
        <v>-0.186504341327392</v>
      </c>
      <c r="G24" s="42" t="n">
        <f aca="false">D24*(1+E24-K$1)</f>
        <v>2208547.3300433</v>
      </c>
      <c r="H24" s="45" t="n">
        <f aca="false">'HIER Einzelaktien'!G24-('HIER Einzelaktien'!G24*M$1)</f>
        <v>0.0181281759041813</v>
      </c>
      <c r="I24" s="46" t="n">
        <f aca="false">C25*B25</f>
        <v>2066945.27234444</v>
      </c>
      <c r="J24" s="52" t="n">
        <f aca="false">I24/D24-1</f>
        <v>-0.23866200063138</v>
      </c>
      <c r="K24" s="52" t="n">
        <f aca="false">B25/D$1-1</f>
        <v>5.92290499653855</v>
      </c>
      <c r="L24" s="53"/>
      <c r="M24" s="53" t="n">
        <f aca="false">G24*H24</f>
        <v>40036.9344917348</v>
      </c>
      <c r="N24" s="53" t="n">
        <f aca="false">M24*O$1-AL24</f>
        <v>7391.81903053653</v>
      </c>
      <c r="O24" s="53" t="n">
        <f aca="false">M24-N24</f>
        <v>32645.1154611982</v>
      </c>
      <c r="P24" s="54" t="n">
        <f aca="false">(S24+M24)/G24</f>
        <v>0.0822436493525514</v>
      </c>
      <c r="Q24" s="53" t="n">
        <f aca="false">Q23*(1+'HIER Rechnung Thesaurierer '!I24)</f>
        <v>159489.266723106</v>
      </c>
      <c r="R24" s="55" t="n">
        <f aca="false">S24/B25</f>
        <v>30681.2077514122</v>
      </c>
      <c r="S24" s="56" t="n">
        <f aca="false">Q24-O24+U24+AF24</f>
        <v>141602.05769886</v>
      </c>
      <c r="T24" s="53" t="n">
        <f aca="false">S24-V24</f>
        <v>79934.4966117963</v>
      </c>
      <c r="U24" s="53" t="n">
        <f aca="false">T24*O$1</f>
        <v>14757.9064369529</v>
      </c>
      <c r="V24" s="53" t="n">
        <f aca="false">R24*D$1+AH24</f>
        <v>57434.2135218414</v>
      </c>
      <c r="W24" s="53" t="n">
        <f aca="false">S24-U24-AF24</f>
        <v>126844.151261908</v>
      </c>
      <c r="X24" s="53" t="n">
        <f aca="false">W24+O24</f>
        <v>159489.266723106</v>
      </c>
      <c r="Y24" s="42"/>
      <c r="Z24" s="54"/>
      <c r="AA24" s="53"/>
      <c r="AB24" s="54" t="n">
        <f aca="false">'HIER Rechnung Thesaurierer '!H24</f>
        <v>0.087</v>
      </c>
      <c r="AC24" s="57" t="n">
        <f aca="false">(B25*C24)-(B24*C24)</f>
        <v>-506337.877392246</v>
      </c>
      <c r="AD24" s="53" t="n">
        <f aca="false">IF(AB24&gt;0, IF(AC24&gt;0,MIN((D24)*AB24*0.7,AC24),0),0)</f>
        <v>0</v>
      </c>
      <c r="AE24" s="53" t="n">
        <f aca="false">IF(AC24&gt;0,MAX(AD24-(M24),0),0)</f>
        <v>0</v>
      </c>
      <c r="AF24" s="58" t="n">
        <f aca="false">AE24*O$1</f>
        <v>0</v>
      </c>
      <c r="AG24" s="54" t="n">
        <f aca="false">V24/G24</f>
        <v>0.0260054257115311</v>
      </c>
      <c r="AH24" s="53" t="n">
        <f aca="false">IF(AI23&gt;0,(AI23/C24)*S24,0)</f>
        <v>37591.5737337291</v>
      </c>
      <c r="AI24" s="53" t="n">
        <f aca="false">AI23+AE24-AH24</f>
        <v>93360.4712596215</v>
      </c>
      <c r="AJ24" s="9"/>
      <c r="AK24" s="59" t="n">
        <f aca="false">AK23*(1+'HIER Rechnung Thesaurierer '!I23)</f>
        <v>0</v>
      </c>
      <c r="AL24" s="53" t="n">
        <f aca="false">IF((M24+N24+S24)&lt;AK24,(M24+N24+S24)*O$1,AK24*O$1)</f>
        <v>0</v>
      </c>
      <c r="AM24" s="53" t="n">
        <f aca="false">(M24+T24+AE24)*0.7</f>
        <v>83980.0017724717</v>
      </c>
      <c r="AN24" s="53"/>
      <c r="AO24" s="53"/>
      <c r="AP24" s="53"/>
      <c r="AQ24" s="10"/>
    </row>
    <row r="25" customFormat="false" ht="13.8" hidden="false" customHeight="false" outlineLevel="0" collapsed="false">
      <c r="A25" s="9" t="n">
        <v>22</v>
      </c>
      <c r="B25" s="40" t="n">
        <f aca="false">B24*(1+E24)</f>
        <v>4.61527</v>
      </c>
      <c r="C25" s="48" t="n">
        <f aca="false">C24-R24</f>
        <v>447849.263931349</v>
      </c>
      <c r="D25" s="10" t="n">
        <f aca="false">I24</f>
        <v>2066945.27234444</v>
      </c>
      <c r="E25" s="43" t="n">
        <f aca="false">F25-K$1</f>
        <v>0.159984139606134</v>
      </c>
      <c r="F25" s="44" t="n">
        <v>0.159984139606134</v>
      </c>
      <c r="G25" s="42" t="n">
        <f aca="false">D25*(1+E25-K$1)</f>
        <v>2397623.73335343</v>
      </c>
      <c r="H25" s="45" t="n">
        <f aca="false">'HIER Einzelaktien'!G25-('HIER Einzelaktien'!G25*M$1)</f>
        <v>0.0252350251092383</v>
      </c>
      <c r="I25" s="46" t="n">
        <f aca="false">C26*B26</f>
        <v>2244656.4498328</v>
      </c>
      <c r="J25" s="52" t="n">
        <f aca="false">I25/D25-1</f>
        <v>0.0859776888464923</v>
      </c>
      <c r="K25" s="52" t="n">
        <f aca="false">B26/D$1-1</f>
        <v>7.03045999598478</v>
      </c>
      <c r="L25" s="53"/>
      <c r="M25" s="53" t="n">
        <f aca="false">G25*H25</f>
        <v>60504.0951136794</v>
      </c>
      <c r="N25" s="53" t="n">
        <f aca="false">M25*O$1-AL25</f>
        <v>11170.5685603631</v>
      </c>
      <c r="O25" s="53" t="n">
        <f aca="false">M25-N25</f>
        <v>49333.5265533164</v>
      </c>
      <c r="P25" s="54" t="n">
        <f aca="false">(S25+M25)/G25</f>
        <v>0.0890345618725338</v>
      </c>
      <c r="Q25" s="53" t="n">
        <f aca="false">Q24*(1+'HIER Rechnung Thesaurierer '!I25)</f>
        <v>172886.365127847</v>
      </c>
      <c r="R25" s="55" t="n">
        <f aca="false">S25/B26</f>
        <v>28572.575578603</v>
      </c>
      <c r="S25" s="56" t="n">
        <f aca="false">Q25-O25+U25+AF25</f>
        <v>152967.283520632</v>
      </c>
      <c r="T25" s="53" t="n">
        <f aca="false">S25-V25</f>
        <v>98287.6586440491</v>
      </c>
      <c r="U25" s="53" t="n">
        <f aca="false">T25*O$1</f>
        <v>18146.3589771576</v>
      </c>
      <c r="V25" s="53" t="n">
        <f aca="false">R25*D$1+AH25</f>
        <v>49067.9229891931</v>
      </c>
      <c r="W25" s="53" t="n">
        <f aca="false">S25-U25-AF25</f>
        <v>123552.83857453</v>
      </c>
      <c r="X25" s="53" t="n">
        <f aca="false">W25+O25</f>
        <v>172886.365127847</v>
      </c>
      <c r="Y25" s="42"/>
      <c r="Z25" s="54"/>
      <c r="AA25" s="53"/>
      <c r="AB25" s="54" t="n">
        <f aca="false">'HIER Rechnung Thesaurierer '!H25</f>
        <v>0.084</v>
      </c>
      <c r="AC25" s="57" t="n">
        <f aca="false">(B26*C25)-(B25*C25)</f>
        <v>330678.461008991</v>
      </c>
      <c r="AD25" s="53" t="n">
        <f aca="false">IF(AB25&gt;0, IF(AC25&gt;0,MIN((D25)*AB25*0.7,AC25),0),0)</f>
        <v>121536.382013853</v>
      </c>
      <c r="AE25" s="53" t="n">
        <f aca="false">IF(AC25&gt;0,MAX(AD25-(M25),0),0)</f>
        <v>61032.2869001735</v>
      </c>
      <c r="AF25" s="58" t="n">
        <f aca="false">AE25*O$1</f>
        <v>11268.0859689445</v>
      </c>
      <c r="AG25" s="54" t="n">
        <f aca="false">V25/G25</f>
        <v>0.0204652307643637</v>
      </c>
      <c r="AH25" s="53" t="n">
        <f aca="false">IF(AI24&gt;0,(AI24/C25)*S25,0)</f>
        <v>30718.341308079</v>
      </c>
      <c r="AI25" s="53" t="n">
        <f aca="false">AI24+AE25-AH25</f>
        <v>123674.416851716</v>
      </c>
      <c r="AJ25" s="9"/>
      <c r="AK25" s="59" t="n">
        <f aca="false">AK24*(1+'HIER Rechnung Thesaurierer '!I24)</f>
        <v>0</v>
      </c>
      <c r="AL25" s="53" t="n">
        <f aca="false">IF((M25+N25+S25)&lt;AK25,(M25+N25+S25)*O$1,AK25*O$1)</f>
        <v>0</v>
      </c>
      <c r="AM25" s="53" t="n">
        <f aca="false">(M25+T25+AE25)*0.7</f>
        <v>153876.828460531</v>
      </c>
      <c r="AN25" s="53"/>
      <c r="AO25" s="53"/>
      <c r="AP25" s="53"/>
      <c r="AQ25" s="10"/>
    </row>
    <row r="26" customFormat="false" ht="13.8" hidden="false" customHeight="false" outlineLevel="0" collapsed="false">
      <c r="A26" s="9" t="n">
        <v>23</v>
      </c>
      <c r="B26" s="40" t="n">
        <f aca="false">B25*(1+E25)</f>
        <v>5.35364000000001</v>
      </c>
      <c r="C26" s="48" t="n">
        <f aca="false">C25-R25</f>
        <v>419276.688352746</v>
      </c>
      <c r="D26" s="10" t="n">
        <f aca="false">I25</f>
        <v>2244656.4498328</v>
      </c>
      <c r="E26" s="43" t="n">
        <f aca="false">F26-K$1</f>
        <v>-0.0714130946421501</v>
      </c>
      <c r="F26" s="44" t="n">
        <v>-0.0714130946421501</v>
      </c>
      <c r="G26" s="42" t="n">
        <f aca="false">D26*(1+E26-K$1)</f>
        <v>2084358.58634177</v>
      </c>
      <c r="H26" s="45" t="n">
        <f aca="false">'HIER Einzelaktien'!G26-('HIER Einzelaktien'!G26*M$1)</f>
        <v>0.0210922917372278</v>
      </c>
      <c r="I26" s="46" t="n">
        <f aca="false">C27*B27</f>
        <v>1916587.77582527</v>
      </c>
      <c r="J26" s="52" t="n">
        <f aca="false">I26/D26-1</f>
        <v>-0.146155405666629</v>
      </c>
      <c r="K26" s="52" t="n">
        <f aca="false">B27/D$1-1</f>
        <v>6.45697999627152</v>
      </c>
      <c r="L26" s="53"/>
      <c r="M26" s="53" t="n">
        <f aca="false">G26*H26</f>
        <v>43963.8993881164</v>
      </c>
      <c r="N26" s="53" t="n">
        <f aca="false">M26*O$1-AL26</f>
        <v>8116.83492453099</v>
      </c>
      <c r="O26" s="53" t="n">
        <f aca="false">M26-N26</f>
        <v>35847.0644635854</v>
      </c>
      <c r="P26" s="54" t="n">
        <f aca="false">(S26+M26)/G26</f>
        <v>0.101582669744093</v>
      </c>
      <c r="Q26" s="53" t="n">
        <f aca="false">Q25*(1+'HIER Rechnung Thesaurierer '!I26)</f>
        <v>186371.501607819</v>
      </c>
      <c r="R26" s="55" t="n">
        <f aca="false">S26/B27</f>
        <v>33747.7391349792</v>
      </c>
      <c r="S26" s="56" t="n">
        <f aca="false">Q26-O26+U26+AF26</f>
        <v>167770.810516505</v>
      </c>
      <c r="T26" s="53" t="n">
        <f aca="false">S26-V26</f>
        <v>93412.9905065482</v>
      </c>
      <c r="U26" s="53" t="n">
        <f aca="false">T26*O$1</f>
        <v>17246.3733722715</v>
      </c>
      <c r="V26" s="53" t="n">
        <f aca="false">R26*D$1+AH26</f>
        <v>70203.481233955</v>
      </c>
      <c r="W26" s="53" t="n">
        <f aca="false">S26-U26-AF26</f>
        <v>150524.437144233</v>
      </c>
      <c r="X26" s="53" t="n">
        <f aca="false">W26+O26</f>
        <v>186371.501607819</v>
      </c>
      <c r="Y26" s="42"/>
      <c r="Z26" s="54"/>
      <c r="AA26" s="53"/>
      <c r="AB26" s="54" t="n">
        <f aca="false">'HIER Rechnung Thesaurierer '!H26</f>
        <v>0.078</v>
      </c>
      <c r="AC26" s="57" t="n">
        <f aca="false">(B27*C26)-(B26*C26)</f>
        <v>-160297.863491022</v>
      </c>
      <c r="AD26" s="53" t="n">
        <f aca="false">IF(AB26&gt;0, IF(AC26&gt;0,MIN((D26)*AB26*0.7,AC26),0),0)</f>
        <v>0</v>
      </c>
      <c r="AE26" s="53" t="n">
        <f aca="false">IF(AC26&gt;0,MAX(AD26-(M26),0),0)</f>
        <v>0</v>
      </c>
      <c r="AF26" s="58" t="n">
        <f aca="false">AE26*O$1</f>
        <v>0</v>
      </c>
      <c r="AG26" s="54" t="n">
        <f aca="false">V26/G26</f>
        <v>0.0336810958027947</v>
      </c>
      <c r="AH26" s="53" t="n">
        <f aca="false">IF(AI25&gt;0,(AI25/C26)*S26,0)</f>
        <v>48262.0958712061</v>
      </c>
      <c r="AI26" s="53" t="n">
        <f aca="false">AI25+AE26-AH26</f>
        <v>75412.32098051</v>
      </c>
      <c r="AJ26" s="9"/>
      <c r="AK26" s="59" t="n">
        <f aca="false">AK25*(1+'HIER Rechnung Thesaurierer '!I25)</f>
        <v>0</v>
      </c>
      <c r="AL26" s="53" t="n">
        <f aca="false">IF((M26+N26+S26)&lt;AK26,(M26+N26+S26)*O$1,AK26*O$1)</f>
        <v>0</v>
      </c>
      <c r="AM26" s="53" t="n">
        <f aca="false">(M26+T26+AE26)*0.7</f>
        <v>96163.8229262652</v>
      </c>
      <c r="AN26" s="53"/>
      <c r="AO26" s="53"/>
      <c r="AP26" s="53"/>
      <c r="AQ26" s="10"/>
    </row>
    <row r="27" customFormat="false" ht="13.8" hidden="false" customHeight="false" outlineLevel="0" collapsed="false">
      <c r="A27" s="9" t="n">
        <v>24</v>
      </c>
      <c r="B27" s="40" t="n">
        <f aca="false">B26*(1+E26)</f>
        <v>4.97132000000001</v>
      </c>
      <c r="C27" s="48" t="n">
        <f aca="false">C26-R26</f>
        <v>385528.949217767</v>
      </c>
      <c r="D27" s="10" t="n">
        <f aca="false">I26</f>
        <v>1916587.77582527</v>
      </c>
      <c r="E27" s="43" t="n">
        <f aca="false">F27-K$1</f>
        <v>0.203897556383415</v>
      </c>
      <c r="F27" s="44" t="n">
        <v>0.203897556383415</v>
      </c>
      <c r="G27" s="42" t="n">
        <f aca="false">D27*(1+E27-K$1)</f>
        <v>2307375.33991037</v>
      </c>
      <c r="H27" s="45" t="n">
        <f aca="false">'HIER Einzelaktien'!G27-('HIER Einzelaktien'!G27*M$1)</f>
        <v>0.0232824294557169</v>
      </c>
      <c r="I27" s="46" t="n">
        <f aca="false">C28*B28</f>
        <v>2123814.22843734</v>
      </c>
      <c r="J27" s="52" t="n">
        <f aca="false">I27/D27-1</f>
        <v>0.108122599562568</v>
      </c>
      <c r="K27" s="52" t="n">
        <f aca="false">B28/D$1-1</f>
        <v>7.97743999551129</v>
      </c>
      <c r="L27" s="53"/>
      <c r="M27" s="53" t="n">
        <f aca="false">G27*H27</f>
        <v>53721.3035793239</v>
      </c>
      <c r="N27" s="53" t="n">
        <f aca="false">M27*O$1-AL27</f>
        <v>9918.29567333267</v>
      </c>
      <c r="O27" s="53" t="n">
        <f aca="false">M27-N27</f>
        <v>43803.0079059912</v>
      </c>
      <c r="P27" s="54" t="n">
        <f aca="false">(S27+M27)/G27</f>
        <v>0.102836504728168</v>
      </c>
      <c r="Q27" s="53" t="n">
        <f aca="false">Q26*(1+'HIER Rechnung Thesaurierer '!I27)</f>
        <v>198485.649212327</v>
      </c>
      <c r="R27" s="55" t="n">
        <f aca="false">S27/B28</f>
        <v>30670.3990457793</v>
      </c>
      <c r="S27" s="56" t="n">
        <f aca="false">Q27-O27+U27+AF27</f>
        <v>183561.111473028</v>
      </c>
      <c r="T27" s="53" t="n">
        <f aca="false">S27-V27</f>
        <v>122933.459801979</v>
      </c>
      <c r="U27" s="53" t="n">
        <f aca="false">T27*O$1</f>
        <v>22696.5900159405</v>
      </c>
      <c r="V27" s="53" t="n">
        <f aca="false">R27*D$1+AH27</f>
        <v>54459.1226294497</v>
      </c>
      <c r="W27" s="53" t="n">
        <f aca="false">S27-U27-AF27</f>
        <v>154682.641306336</v>
      </c>
      <c r="X27" s="53" t="n">
        <f aca="false">W27+O27</f>
        <v>198485.649212327</v>
      </c>
      <c r="Y27" s="42"/>
      <c r="Z27" s="54"/>
      <c r="AA27" s="53"/>
      <c r="AB27" s="54" t="n">
        <f aca="false">'HIER Rechnung Thesaurierer '!H27</f>
        <v>0.065</v>
      </c>
      <c r="AC27" s="57" t="n">
        <f aca="false">(B28*C27)-(B27*C27)</f>
        <v>390787.564085097</v>
      </c>
      <c r="AD27" s="53" t="n">
        <f aca="false">IF(AB27&gt;0, IF(AC27&gt;0,MIN((D27)*AB27*0.7,AC27),0),0)</f>
        <v>87204.7438000498</v>
      </c>
      <c r="AE27" s="53" t="n">
        <f aca="false">IF(AC27&gt;0,MAX(AD27-(M27),0),0)</f>
        <v>33483.4402207259</v>
      </c>
      <c r="AF27" s="58" t="n">
        <f aca="false">AE27*O$1</f>
        <v>6181.88015075151</v>
      </c>
      <c r="AG27" s="54" t="n">
        <f aca="false">V27/G27</f>
        <v>0.0236021949647625</v>
      </c>
      <c r="AH27" s="53" t="n">
        <f aca="false">IF(AI26&gt;0,(AI26/C27)*S27,0)</f>
        <v>34699.3044050867</v>
      </c>
      <c r="AI27" s="53" t="n">
        <f aca="false">AI26+AE27-AH27</f>
        <v>74196.4567961491</v>
      </c>
      <c r="AJ27" s="9"/>
      <c r="AK27" s="59" t="n">
        <f aca="false">AK26*(1+'HIER Rechnung Thesaurierer '!I26)</f>
        <v>0</v>
      </c>
      <c r="AL27" s="53" t="n">
        <f aca="false">IF((M27+N27+S27)&lt;AK27,(M27+N27+S27)*O$1,AK27*O$1)</f>
        <v>0</v>
      </c>
      <c r="AM27" s="53" t="n">
        <f aca="false">(M27+T27+AE27)*0.7</f>
        <v>147096.74252142</v>
      </c>
      <c r="AN27" s="53"/>
      <c r="AO27" s="53"/>
      <c r="AP27" s="53"/>
      <c r="AQ27" s="10"/>
    </row>
    <row r="28" customFormat="false" ht="13.8" hidden="false" customHeight="false" outlineLevel="0" collapsed="false">
      <c r="A28" s="9" t="n">
        <v>25</v>
      </c>
      <c r="B28" s="40" t="n">
        <f aca="false">B27*(1+E27)</f>
        <v>5.98496</v>
      </c>
      <c r="C28" s="48" t="n">
        <f aca="false">C27-R27</f>
        <v>354858.550171987</v>
      </c>
      <c r="D28" s="10" t="n">
        <f aca="false">I27</f>
        <v>2123814.22843734</v>
      </c>
      <c r="E28" s="43" t="n">
        <f aca="false">F28-K$1</f>
        <v>0.0335741592257928</v>
      </c>
      <c r="F28" s="44" t="n">
        <v>0.0335741592257928</v>
      </c>
      <c r="G28" s="42" t="n">
        <f aca="false">D28*(1+E28-K$1)</f>
        <v>2195119.5055089</v>
      </c>
      <c r="H28" s="45" t="n">
        <f aca="false">'HIER Einzelaktien'!G28-('HIER Einzelaktien'!G28*M$1)</f>
        <v>0.0189072113051512</v>
      </c>
      <c r="I28" s="46" t="n">
        <f aca="false">C29*B29</f>
        <v>1985691.63389595</v>
      </c>
      <c r="J28" s="52" t="n">
        <f aca="false">I28/D28-1</f>
        <v>-0.0650351582977263</v>
      </c>
      <c r="K28" s="52" t="n">
        <f aca="false">B29/D$1-1</f>
        <v>8.27884999536058</v>
      </c>
      <c r="L28" s="53"/>
      <c r="M28" s="53" t="n">
        <f aca="false">G28*H28</f>
        <v>41503.5883307157</v>
      </c>
      <c r="N28" s="53" t="n">
        <f aca="false">M28*O$1-AL28</f>
        <v>7662.59999555838</v>
      </c>
      <c r="O28" s="53" t="n">
        <f aca="false">M28-N28</f>
        <v>33840.9883351573</v>
      </c>
      <c r="P28" s="54" t="n">
        <f aca="false">(S28+M28)/G28</f>
        <v>0.114313348004025</v>
      </c>
      <c r="Q28" s="53" t="n">
        <f aca="false">Q27*(1+'HIER Rechnung Thesaurierer '!I28)</f>
        <v>212181.159007977</v>
      </c>
      <c r="R28" s="55" t="n">
        <f aca="false">S28/B29</f>
        <v>33855.6833464727</v>
      </c>
      <c r="S28" s="56" t="n">
        <f aca="false">Q28-O28+U28+AF28</f>
        <v>209427.871612946</v>
      </c>
      <c r="T28" s="53" t="n">
        <f aca="false">S28-V28</f>
        <v>138581.254739862</v>
      </c>
      <c r="U28" s="53" t="n">
        <f aca="false">T28*O$1</f>
        <v>25585.564156347</v>
      </c>
      <c r="V28" s="53" t="n">
        <f aca="false">R28*D$1+AH28</f>
        <v>64277.7948468567</v>
      </c>
      <c r="W28" s="53" t="n">
        <f aca="false">S28-U28-AF28</f>
        <v>178340.17067282</v>
      </c>
      <c r="X28" s="53" t="n">
        <f aca="false">W28+O28</f>
        <v>212181.159007978</v>
      </c>
      <c r="Y28" s="42"/>
      <c r="Z28" s="54"/>
      <c r="AA28" s="53"/>
      <c r="AB28" s="54" t="n">
        <f aca="false">'HIER Rechnung Thesaurierer '!H28</f>
        <v>0.069</v>
      </c>
      <c r="AC28" s="57" t="n">
        <f aca="false">(B29*C28)-(B28*C28)</f>
        <v>71305.2770715598</v>
      </c>
      <c r="AD28" s="53" t="n">
        <f aca="false">IF(AB28&gt;0, IF(AC28&gt;0,MIN((D28)*AB28*0.7,AC28),0),0)</f>
        <v>71305.2770715598</v>
      </c>
      <c r="AE28" s="53" t="n">
        <f aca="false">IF(AC28&gt;0,MAX(AD28-(M28),0),0)</f>
        <v>29801.6887408441</v>
      </c>
      <c r="AF28" s="58" t="n">
        <f aca="false">AE28*O$1</f>
        <v>5502.13678377835</v>
      </c>
      <c r="AG28" s="54" t="n">
        <f aca="false">V28/G28</f>
        <v>0.0292821391662478</v>
      </c>
      <c r="AH28" s="53" t="n">
        <f aca="false">IF(AI27&gt;0,(AI27/C28)*S28,0)</f>
        <v>42415.2742017177</v>
      </c>
      <c r="AI28" s="53" t="n">
        <f aca="false">AI27+AE28-AH28</f>
        <v>61582.8713352756</v>
      </c>
      <c r="AJ28" s="9"/>
      <c r="AK28" s="59" t="n">
        <f aca="false">AK27*(1+'HIER Rechnung Thesaurierer '!I27)</f>
        <v>0</v>
      </c>
      <c r="AL28" s="53" t="n">
        <f aca="false">IF((M28+N28+S28)&lt;AK28,(M28+N28+S28)*O$1,AK28*O$1)</f>
        <v>0</v>
      </c>
      <c r="AM28" s="53" t="n">
        <f aca="false">(M28+T28+AE28)*0.7</f>
        <v>146920.572267995</v>
      </c>
      <c r="AN28" s="53"/>
      <c r="AO28" s="53"/>
      <c r="AP28" s="53"/>
      <c r="AQ28" s="10"/>
    </row>
    <row r="29" customFormat="false" ht="13.8" hidden="false" customHeight="false" outlineLevel="0" collapsed="false">
      <c r="A29" s="9" t="n">
        <v>26</v>
      </c>
      <c r="B29" s="40" t="n">
        <f aca="false">B28*(1+E28)</f>
        <v>6.1859</v>
      </c>
      <c r="C29" s="48" t="n">
        <f aca="false">C28-R28</f>
        <v>321002.866825515</v>
      </c>
      <c r="D29" s="10" t="n">
        <f aca="false">I28</f>
        <v>1985691.63389595</v>
      </c>
      <c r="E29" s="43" t="n">
        <f aca="false">F29-K$1</f>
        <v>0.18702209864369</v>
      </c>
      <c r="F29" s="44" t="n">
        <v>0.18702209864369</v>
      </c>
      <c r="G29" s="42" t="n">
        <f aca="false">D29*(1+E29-K$1)</f>
        <v>2357059.85052639</v>
      </c>
      <c r="H29" s="45" t="n">
        <f aca="false">'HIER Einzelaktien'!G29-('HIER Einzelaktien'!G29*M$1)</f>
        <v>0.0222222735536991</v>
      </c>
      <c r="I29" s="46" t="n">
        <f aca="false">C30*B30</f>
        <v>2136875.06230968</v>
      </c>
      <c r="J29" s="52" t="n">
        <f aca="false">I29/D29-1</f>
        <v>0.0761364080066671</v>
      </c>
      <c r="K29" s="52" t="n">
        <f aca="false">B30/D$1-1</f>
        <v>10.0141999944929</v>
      </c>
      <c r="L29" s="53"/>
      <c r="M29" s="53" t="n">
        <f aca="false">G29*H29</f>
        <v>52379.2287808386</v>
      </c>
      <c r="N29" s="53" t="n">
        <f aca="false">M29*O$1-AL29</f>
        <v>9670.51511366232</v>
      </c>
      <c r="O29" s="53" t="n">
        <f aca="false">M29-N29</f>
        <v>42708.7136671763</v>
      </c>
      <c r="P29" s="54" t="n">
        <f aca="false">(S29+M29)/G29</f>
        <v>0.115637291491211</v>
      </c>
      <c r="Q29" s="53" t="n">
        <f aca="false">Q28*(1+'HIER Rechnung Thesaurierer '!I29)</f>
        <v>226821.658979528</v>
      </c>
      <c r="R29" s="55" t="n">
        <f aca="false">S29/B30</f>
        <v>29986.488562498</v>
      </c>
      <c r="S29" s="56" t="n">
        <f aca="false">Q29-O29+U29+AF29</f>
        <v>220184.788216711</v>
      </c>
      <c r="T29" s="53" t="n">
        <f aca="false">S29-V29</f>
        <v>151849.295940761</v>
      </c>
      <c r="U29" s="53" t="n">
        <f aca="false">T29*O$1</f>
        <v>28035.1762630631</v>
      </c>
      <c r="V29" s="53" t="n">
        <f aca="false">R29*D$1+AH29</f>
        <v>59827.8080398324</v>
      </c>
      <c r="W29" s="53" t="n">
        <f aca="false">S29-U29-AF29</f>
        <v>184112.945312352</v>
      </c>
      <c r="X29" s="53" t="n">
        <f aca="false">W29+O29</f>
        <v>226821.658979528</v>
      </c>
      <c r="Y29" s="42"/>
      <c r="Z29" s="54"/>
      <c r="AA29" s="53"/>
      <c r="AB29" s="54" t="n">
        <f aca="false">'HIER Rechnung Thesaurierer '!H29</f>
        <v>0.069</v>
      </c>
      <c r="AC29" s="57" t="n">
        <f aca="false">(B30*C29)-(B29*C29)</f>
        <v>371368.216630438</v>
      </c>
      <c r="AD29" s="53" t="n">
        <f aca="false">IF(AB29&gt;0, IF(AC29&gt;0,MIN((D29)*AB29*0.7,AC29),0),0)</f>
        <v>95908.9059171745</v>
      </c>
      <c r="AE29" s="53" t="n">
        <f aca="false">IF(AC29&gt;0,MAX(AD29-(M29),0),0)</f>
        <v>43529.6771363359</v>
      </c>
      <c r="AF29" s="58" t="n">
        <f aca="false">AE29*O$1</f>
        <v>8036.66664129602</v>
      </c>
      <c r="AG29" s="54" t="n">
        <f aca="false">V29/G29</f>
        <v>0.0253823881589054</v>
      </c>
      <c r="AH29" s="53" t="n">
        <f aca="false">IF(AI28&gt;0,(AI28/C29)*S29,0)</f>
        <v>40609.2443596349</v>
      </c>
      <c r="AI29" s="53" t="n">
        <f aca="false">AI28+AE29-AH29</f>
        <v>64503.3041119766</v>
      </c>
      <c r="AJ29" s="9"/>
      <c r="AK29" s="59" t="n">
        <f aca="false">AK28*(1+'HIER Rechnung Thesaurierer '!I28)</f>
        <v>0</v>
      </c>
      <c r="AL29" s="53" t="n">
        <f aca="false">IF((M29+N29+S29)&lt;AK29,(M29+N29+S29)*O$1,AK29*O$1)</f>
        <v>0</v>
      </c>
      <c r="AM29" s="53" t="n">
        <f aca="false">(M29+T29+AE29)*0.7</f>
        <v>173430.741300555</v>
      </c>
      <c r="AN29" s="53"/>
      <c r="AO29" s="53"/>
      <c r="AP29" s="53"/>
      <c r="AQ29" s="10"/>
    </row>
    <row r="30" customFormat="false" ht="13.8" hidden="false" customHeight="false" outlineLevel="0" collapsed="false">
      <c r="A30" s="9" t="n">
        <v>27</v>
      </c>
      <c r="B30" s="40" t="n">
        <f aca="false">B29*(1+E29)</f>
        <v>7.34280000000001</v>
      </c>
      <c r="C30" s="48" t="n">
        <f aca="false">C29-R29</f>
        <v>291016.378263017</v>
      </c>
      <c r="D30" s="10" t="n">
        <f aca="false">I29</f>
        <v>2136875.06230968</v>
      </c>
      <c r="E30" s="43" t="n">
        <f aca="false">F30-K$1</f>
        <v>0.117233208040529</v>
      </c>
      <c r="F30" s="44" t="n">
        <v>0.117233208040529</v>
      </c>
      <c r="G30" s="42" t="n">
        <f aca="false">D30*(1+E30-K$1)</f>
        <v>2387387.78104605</v>
      </c>
      <c r="H30" s="45" t="n">
        <f aca="false">'HIER Einzelaktien'!G30-('HIER Einzelaktien'!G30*M$1)</f>
        <v>0.0193180574126683</v>
      </c>
      <c r="I30" s="46" t="n">
        <f aca="false">C31*B31</f>
        <v>2145578.13221656</v>
      </c>
      <c r="J30" s="52" t="n">
        <f aca="false">I30/D30-1</f>
        <v>0.00407280241151575</v>
      </c>
      <c r="K30" s="52" t="n">
        <f aca="false">B31/D$1-1</f>
        <v>11.3054299938473</v>
      </c>
      <c r="L30" s="53"/>
      <c r="M30" s="53" t="n">
        <f aca="false">G30*H30</f>
        <v>46119.6942205502</v>
      </c>
      <c r="N30" s="53" t="n">
        <f aca="false">M30*O$1-AL30</f>
        <v>8514.84854546909</v>
      </c>
      <c r="O30" s="53" t="n">
        <f aca="false">M30-N30</f>
        <v>37604.8456750811</v>
      </c>
      <c r="P30" s="54" t="n">
        <f aca="false">(S30+M30)/G30</f>
        <v>0.120604346447596</v>
      </c>
      <c r="Q30" s="53" t="n">
        <f aca="false">Q29*(1+'HIER Rechnung Thesaurierer '!I30)</f>
        <v>240884.601836259</v>
      </c>
      <c r="R30" s="55" t="n">
        <f aca="false">S30/B31</f>
        <v>29475.9690026459</v>
      </c>
      <c r="S30" s="56" t="n">
        <f aca="false">Q30-O30+U30+AF30</f>
        <v>241809.648829486</v>
      </c>
      <c r="T30" s="53" t="n">
        <f aca="false">S30-V30</f>
        <v>162072.032390695</v>
      </c>
      <c r="U30" s="53" t="n">
        <f aca="false">T30*O$1</f>
        <v>29922.5489801321</v>
      </c>
      <c r="V30" s="53" t="n">
        <f aca="false">R30*D$1+AH30</f>
        <v>70427.0709916712</v>
      </c>
      <c r="W30" s="53" t="n">
        <f aca="false">S30-U30-AF30</f>
        <v>203279.756161177</v>
      </c>
      <c r="X30" s="53" t="n">
        <f aca="false">W30+O30</f>
        <v>240884.601836259</v>
      </c>
      <c r="Y30" s="42"/>
      <c r="Z30" s="54"/>
      <c r="AA30" s="53"/>
      <c r="AB30" s="54" t="n">
        <f aca="false">'HIER Rechnung Thesaurierer '!H30</f>
        <v>0.062</v>
      </c>
      <c r="AC30" s="57" t="n">
        <f aca="false">(B31*C30)-(B30*C30)</f>
        <v>250512.718736369</v>
      </c>
      <c r="AD30" s="53" t="n">
        <f aca="false">IF(AB30&gt;0, IF(AC30&gt;0,MIN((D30)*AB30*0.7,AC30),0),0)</f>
        <v>92740.3777042401</v>
      </c>
      <c r="AE30" s="53" t="n">
        <f aca="false">IF(AC30&gt;0,MAX(AD30-(M30),0),0)</f>
        <v>46620.6834836899</v>
      </c>
      <c r="AF30" s="58" t="n">
        <f aca="false">AE30*O$1</f>
        <v>8607.34368817624</v>
      </c>
      <c r="AG30" s="54" t="n">
        <f aca="false">V30/G30</f>
        <v>0.0294996361926646</v>
      </c>
      <c r="AH30" s="53" t="n">
        <f aca="false">IF(AI29&gt;0,(AI29/C30)*S30,0)</f>
        <v>51533.0458744168</v>
      </c>
      <c r="AI30" s="53" t="n">
        <f aca="false">AI29+AE30-AH30</f>
        <v>59590.9417212497</v>
      </c>
      <c r="AJ30" s="9"/>
      <c r="AK30" s="59" t="n">
        <f aca="false">AK29*(1+'HIER Rechnung Thesaurierer '!I29)</f>
        <v>0</v>
      </c>
      <c r="AL30" s="53" t="n">
        <f aca="false">IF((M30+N30+S30)&lt;AK30,(M30+N30+S30)*O$1,AK30*O$1)</f>
        <v>0</v>
      </c>
      <c r="AM30" s="53" t="n">
        <f aca="false">(M30+T30+AE30)*0.7</f>
        <v>178368.687066455</v>
      </c>
      <c r="AN30" s="53"/>
      <c r="AO30" s="53"/>
      <c r="AP30" s="53"/>
      <c r="AQ30" s="10"/>
    </row>
    <row r="31" customFormat="false" ht="13.8" hidden="false" customHeight="false" outlineLevel="0" collapsed="false">
      <c r="A31" s="9" t="n">
        <v>28</v>
      </c>
      <c r="B31" s="40" t="n">
        <f aca="false">B30*(1+E30)</f>
        <v>8.20362</v>
      </c>
      <c r="C31" s="48" t="n">
        <f aca="false">C30-R30</f>
        <v>261540.409260371</v>
      </c>
      <c r="D31" s="10" t="n">
        <f aca="false">I30</f>
        <v>2145578.13221656</v>
      </c>
      <c r="E31" s="43" t="n">
        <f aca="false">F31-K$1</f>
        <v>0.141680136330059</v>
      </c>
      <c r="F31" s="44" t="n">
        <v>0.141680136330059</v>
      </c>
      <c r="G31" s="42" t="n">
        <f aca="false">D31*(1+E31-K$1)</f>
        <v>2449563.9344958</v>
      </c>
      <c r="H31" s="45" t="n">
        <f aca="false">'HIER Einzelaktien'!G31-('HIER Einzelaktien'!G31*M$1)</f>
        <v>0.0175023163262708</v>
      </c>
      <c r="I31" s="46" t="n">
        <f aca="false">C32*B32</f>
        <v>2190371.51380761</v>
      </c>
      <c r="J31" s="52" t="n">
        <f aca="false">I31/D31-1</f>
        <v>0.0208770684779336</v>
      </c>
      <c r="K31" s="52" t="n">
        <f aca="false">B32/D$1-1</f>
        <v>13.0488649929756</v>
      </c>
      <c r="L31" s="53"/>
      <c r="M31" s="53" t="n">
        <f aca="false">G31*H31</f>
        <v>42873.04284297</v>
      </c>
      <c r="N31" s="53" t="n">
        <f aca="false">M31*O$1-AL31</f>
        <v>7915.43553488333</v>
      </c>
      <c r="O31" s="53" t="n">
        <f aca="false">M31-N31</f>
        <v>34957.6073080866</v>
      </c>
      <c r="P31" s="54" t="n">
        <f aca="false">(S31+M31)/G31</f>
        <v>0.123313974082223</v>
      </c>
      <c r="Q31" s="53" t="n">
        <f aca="false">Q30*(1+'HIER Rechnung Thesaurierer '!I31)</f>
        <v>254374.139539089</v>
      </c>
      <c r="R31" s="55" t="n">
        <f aca="false">S31/B32</f>
        <v>27674.0242740101</v>
      </c>
      <c r="S31" s="56" t="n">
        <f aca="false">Q31-O31+U31+AF31</f>
        <v>259192.420688194</v>
      </c>
      <c r="T31" s="53" t="n">
        <f aca="false">S31-V31</f>
        <v>174207.888291314</v>
      </c>
      <c r="U31" s="53" t="n">
        <f aca="false">T31*O$1</f>
        <v>32163.1313757839</v>
      </c>
      <c r="V31" s="53" t="n">
        <f aca="false">R31*D$1+AH31</f>
        <v>74314.7748961857</v>
      </c>
      <c r="W31" s="53" t="n">
        <f aca="false">S31-U31-AF31</f>
        <v>219416.532231003</v>
      </c>
      <c r="X31" s="53" t="n">
        <f aca="false">W31+O31</f>
        <v>254374.139539089</v>
      </c>
      <c r="Y31" s="42"/>
      <c r="Z31" s="54"/>
      <c r="AA31" s="53"/>
      <c r="AB31" s="54" t="n">
        <f aca="false">'HIER Rechnung Thesaurierer '!H31</f>
        <v>0.056</v>
      </c>
      <c r="AC31" s="57" t="n">
        <f aca="false">(B32*C31)-(B31*C31)</f>
        <v>303985.802279236</v>
      </c>
      <c r="AD31" s="53" t="n">
        <f aca="false">IF(AB31&gt;0, IF(AC31&gt;0,MIN((D31)*AB31*0.7,AC31),0),0)</f>
        <v>84106.6627828893</v>
      </c>
      <c r="AE31" s="53" t="n">
        <f aca="false">IF(AC31&gt;0,MAX(AD31-(M31),0),0)</f>
        <v>41233.6199399193</v>
      </c>
      <c r="AF31" s="58" t="n">
        <f aca="false">AE31*O$1</f>
        <v>7612.7570814076</v>
      </c>
      <c r="AG31" s="54" t="n">
        <f aca="false">V31/G31</f>
        <v>0.030337960912003</v>
      </c>
      <c r="AH31" s="53" t="n">
        <f aca="false">IF(AI30&gt;0,(AI30/C31)*S31,0)</f>
        <v>56624.9000691615</v>
      </c>
      <c r="AI31" s="53" t="n">
        <f aca="false">AI30+AE31-AH31</f>
        <v>44199.6615920075</v>
      </c>
      <c r="AJ31" s="9"/>
      <c r="AK31" s="59" t="n">
        <f aca="false">AK30*(1+'HIER Rechnung Thesaurierer '!I30)</f>
        <v>0</v>
      </c>
      <c r="AL31" s="53" t="n">
        <f aca="false">IF((M31+N31+S31)&lt;AK31,(M31+N31+S31)*O$1,AK31*O$1)</f>
        <v>0</v>
      </c>
      <c r="AM31" s="53" t="n">
        <f aca="false">(M31+T31+AE31)*0.7</f>
        <v>180820.185751943</v>
      </c>
      <c r="AN31" s="53"/>
      <c r="AO31" s="53"/>
      <c r="AP31" s="53"/>
      <c r="AQ31" s="10"/>
    </row>
    <row r="32" customFormat="false" ht="13.8" hidden="false" customHeight="false" outlineLevel="0" collapsed="false">
      <c r="A32" s="9" t="n">
        <v>29</v>
      </c>
      <c r="B32" s="40" t="n">
        <f aca="false">B31*(1+E31)</f>
        <v>9.36591</v>
      </c>
      <c r="C32" s="48" t="n">
        <f aca="false">C31-R31</f>
        <v>233866.384986361</v>
      </c>
      <c r="D32" s="10" t="n">
        <f aca="false">I31</f>
        <v>2190371.51380761</v>
      </c>
      <c r="E32" s="43" t="n">
        <f aca="false">F32-K$1</f>
        <v>0.227805947313181</v>
      </c>
      <c r="F32" s="44" t="n">
        <v>0.227805947313181</v>
      </c>
      <c r="G32" s="42" t="n">
        <f aca="false">D32*(1+E32-K$1)</f>
        <v>2689351.17147835</v>
      </c>
      <c r="H32" s="45" t="n">
        <f aca="false">'HIER Einzelaktien'!G32-('HIER Einzelaktien'!G32*M$1)</f>
        <v>0.0171245973703243</v>
      </c>
      <c r="I32" s="46" t="n">
        <f aca="false">C33*B33</f>
        <v>2419548.42858584</v>
      </c>
      <c r="J32" s="52" t="n">
        <f aca="false">I32/D32-1</f>
        <v>0.104629243639062</v>
      </c>
      <c r="K32" s="52" t="n">
        <f aca="false">B33/D$1-1</f>
        <v>16.2492799913754</v>
      </c>
      <c r="L32" s="53"/>
      <c r="M32" s="53" t="n">
        <f aca="false">G32*H32</f>
        <v>46054.0559989768</v>
      </c>
      <c r="N32" s="53" t="n">
        <f aca="false">M32*O$1-AL32</f>
        <v>8502.73008881109</v>
      </c>
      <c r="O32" s="53" t="n">
        <f aca="false">M32-N32</f>
        <v>37551.3259101657</v>
      </c>
      <c r="P32" s="54" t="n">
        <f aca="false">(S32+M32)/G32</f>
        <v>0.117447212636742</v>
      </c>
      <c r="Q32" s="53" t="n">
        <f aca="false">Q31*(1+'HIER Rechnung Thesaurierer '!I32)</f>
        <v>266075.349957887</v>
      </c>
      <c r="R32" s="55" t="n">
        <f aca="false">S32/B33</f>
        <v>23462.0873647345</v>
      </c>
      <c r="S32" s="56" t="n">
        <f aca="false">Q32-O32+U32+AF32</f>
        <v>269802.742892511</v>
      </c>
      <c r="T32" s="53" t="n">
        <f aca="false">S32-V32</f>
        <v>199105.508798257</v>
      </c>
      <c r="U32" s="53" t="n">
        <f aca="false">T32*O$1</f>
        <v>36759.8545618782</v>
      </c>
      <c r="V32" s="53" t="n">
        <f aca="false">R32*D$1+AH32</f>
        <v>65299.8800517082</v>
      </c>
      <c r="W32" s="53" t="n">
        <f aca="false">S32-U32-AF32</f>
        <v>228524.024047722</v>
      </c>
      <c r="X32" s="53" t="n">
        <f aca="false">W32+O32</f>
        <v>266075.349957887</v>
      </c>
      <c r="Y32" s="42"/>
      <c r="Z32" s="54"/>
      <c r="AA32" s="53"/>
      <c r="AB32" s="54" t="n">
        <f aca="false">'HIER Rechnung Thesaurierer '!H32</f>
        <v>0.046</v>
      </c>
      <c r="AC32" s="57" t="n">
        <f aca="false">(B33*C32)-(B32*C32)</f>
        <v>498979.657670748</v>
      </c>
      <c r="AD32" s="53" t="n">
        <f aca="false">IF(AB32&gt;0, IF(AC32&gt;0,MIN((D32)*AB32*0.7,AC32),0),0)</f>
        <v>70529.9627446049</v>
      </c>
      <c r="AE32" s="53" t="n">
        <f aca="false">IF(AC32&gt;0,MAX(AD32-(M32),0),0)</f>
        <v>24475.9067456281</v>
      </c>
      <c r="AF32" s="58" t="n">
        <f aca="false">AE32*O$1</f>
        <v>4518.86428291159</v>
      </c>
      <c r="AG32" s="54" t="n">
        <f aca="false">V32/G32</f>
        <v>0.0242809049053317</v>
      </c>
      <c r="AH32" s="53" t="n">
        <f aca="false">IF(AI31&gt;0,(AI31/C32)*S32,0)</f>
        <v>49971.3916172827</v>
      </c>
      <c r="AI32" s="53" t="n">
        <f aca="false">AI31+AE32-AH32</f>
        <v>18704.176720353</v>
      </c>
      <c r="AJ32" s="9"/>
      <c r="AK32" s="59" t="n">
        <f aca="false">AK31*(1+'HIER Rechnung Thesaurierer '!I31)</f>
        <v>0</v>
      </c>
      <c r="AL32" s="53" t="n">
        <f aca="false">IF((M32+N32+S32)&lt;AK32,(M32+N32+S32)*O$1,AK32*O$1)</f>
        <v>0</v>
      </c>
      <c r="AM32" s="53" t="n">
        <f aca="false">(M32+T32+AE32)*0.7</f>
        <v>188744.830080003</v>
      </c>
      <c r="AN32" s="53"/>
      <c r="AO32" s="53"/>
      <c r="AP32" s="53"/>
      <c r="AQ32" s="10"/>
    </row>
    <row r="33" customFormat="false" ht="13.8" hidden="false" customHeight="false" outlineLevel="0" collapsed="false">
      <c r="A33" s="9" t="n">
        <v>30</v>
      </c>
      <c r="B33" s="40" t="n">
        <f aca="false">B32*(1+E32)</f>
        <v>11.49952</v>
      </c>
      <c r="C33" s="48" t="n">
        <f aca="false">C32-R32</f>
        <v>210404.297621626</v>
      </c>
      <c r="D33" s="10" t="n">
        <f aca="false">I32</f>
        <v>2419548.42858584</v>
      </c>
      <c r="E33" s="43" t="n">
        <f aca="false">F33-K$1</f>
        <v>0.235603746939003</v>
      </c>
      <c r="F33" s="44" t="n">
        <v>0.235603746939003</v>
      </c>
      <c r="G33" s="42" t="n">
        <f aca="false">D33*(1+E33-K$1)</f>
        <v>2989603.10426104</v>
      </c>
      <c r="H33" s="45" t="n">
        <f aca="false">'HIER Einzelaktien'!G33-('HIER Einzelaktien'!G33*M$1)</f>
        <v>0.0151255102747193</v>
      </c>
      <c r="I33" s="46" t="n">
        <f aca="false">C34*B34</f>
        <v>2697772.43431477</v>
      </c>
      <c r="J33" s="52" t="n">
        <f aca="false">I33/D33-1</f>
        <v>0.114990054524984</v>
      </c>
      <c r="K33" s="52" t="n">
        <f aca="false">B34/D$1-1</f>
        <v>20.3132749893434</v>
      </c>
      <c r="L33" s="53"/>
      <c r="M33" s="53" t="n">
        <f aca="false">G33*H33</f>
        <v>45219.2724708331</v>
      </c>
      <c r="N33" s="53" t="n">
        <f aca="false">M33*O$1-AL33</f>
        <v>8348.60817992756</v>
      </c>
      <c r="O33" s="53" t="n">
        <f aca="false">M33-N33</f>
        <v>36870.6642909056</v>
      </c>
      <c r="P33" s="54" t="n">
        <f aca="false">(S33+M33)/G33</f>
        <v>0.112740698568554</v>
      </c>
      <c r="Q33" s="53" t="n">
        <f aca="false">Q32*(1+'HIER Rechnung Thesaurierer '!I33)</f>
        <v>278048.740705992</v>
      </c>
      <c r="R33" s="55" t="n">
        <f aca="false">S33/B34</f>
        <v>20538.6551301671</v>
      </c>
      <c r="S33" s="56" t="n">
        <f aca="false">Q33-O33+U33+AF33</f>
        <v>291830.669946275</v>
      </c>
      <c r="T33" s="53" t="n">
        <f aca="false">S33-V33</f>
        <v>243357.422664021</v>
      </c>
      <c r="U33" s="53" t="n">
        <f aca="false">T33*O$1</f>
        <v>44929.8641593448</v>
      </c>
      <c r="V33" s="53" t="n">
        <f aca="false">R33*D$1+AH33</f>
        <v>38246.1195593717</v>
      </c>
      <c r="W33" s="53" t="n">
        <f aca="false">S33-U33-AF33</f>
        <v>241178.076415087</v>
      </c>
      <c r="X33" s="53" t="n">
        <f aca="false">W33+O33</f>
        <v>278048.740705992</v>
      </c>
      <c r="Y33" s="42"/>
      <c r="Z33" s="54"/>
      <c r="AA33" s="53"/>
      <c r="AB33" s="54" t="n">
        <f aca="false">'HIER Rechnung Thesaurierer '!H33</f>
        <v>0.045</v>
      </c>
      <c r="AC33" s="57" t="n">
        <f aca="false">(B34*C33)-(B33*C33)</f>
        <v>570054.6756752</v>
      </c>
      <c r="AD33" s="53" t="n">
        <f aca="false">IF(AB33&gt;0, IF(AC33&gt;0,MIN((D33)*AB33*0.7,AC33),0),0)</f>
        <v>76215.775500454</v>
      </c>
      <c r="AE33" s="53" t="n">
        <f aca="false">IF(AC33&gt;0,MAX(AD33-(M33),0),0)</f>
        <v>30996.5030296209</v>
      </c>
      <c r="AF33" s="58" t="n">
        <f aca="false">AE33*O$1</f>
        <v>5722.72937184376</v>
      </c>
      <c r="AG33" s="54" t="n">
        <f aca="false">V33/G33</f>
        <v>0.0127930424961293</v>
      </c>
      <c r="AH33" s="53" t="n">
        <f aca="false">IF(AI32&gt;0,(AI32/C33)*S33,0)</f>
        <v>25033.5305807096</v>
      </c>
      <c r="AI33" s="53" t="n">
        <f aca="false">AI32+AE33-AH33</f>
        <v>24667.1491692642</v>
      </c>
      <c r="AJ33" s="9"/>
      <c r="AK33" s="59" t="n">
        <f aca="false">AK32*(1+'HIER Rechnung Thesaurierer '!I32)</f>
        <v>0</v>
      </c>
      <c r="AL33" s="53" t="n">
        <f aca="false">IF((M33+N33+S33)&lt;AK33,(M33+N33+S33)*O$1,AK33*O$1)</f>
        <v>0</v>
      </c>
      <c r="AM33" s="53" t="n">
        <f aca="false">(M33+T33+AE33)*0.7</f>
        <v>223701.238715132</v>
      </c>
      <c r="AN33" s="53"/>
      <c r="AO33" s="53"/>
      <c r="AP33" s="53"/>
      <c r="AQ33" s="10"/>
    </row>
    <row r="34" customFormat="false" ht="13.8" hidden="false" customHeight="false" outlineLevel="0" collapsed="false">
      <c r="B34" s="40" t="n">
        <f aca="false">B33*(1+E33)</f>
        <v>14.20885</v>
      </c>
      <c r="C34" s="48" t="n">
        <f aca="false">C33-R33</f>
        <v>189865.642491459</v>
      </c>
      <c r="E34" s="43"/>
      <c r="Y34" s="13"/>
    </row>
    <row r="35" customFormat="false" ht="13.8" hidden="false" customHeight="false" outlineLevel="0" collapsed="false">
      <c r="E35" s="45"/>
      <c r="L35" s="10"/>
      <c r="M35" s="10" t="n">
        <f aca="false">SUM(M2:M34)</f>
        <v>1375329.35590172</v>
      </c>
      <c r="N35" s="10" t="n">
        <f aca="false">SUM(N2:N34)</f>
        <v>253920.182333355</v>
      </c>
      <c r="O35" s="10" t="n">
        <f aca="false">SUM(O4:O34)</f>
        <v>1121409.17356837</v>
      </c>
      <c r="P35" s="22" t="n">
        <f aca="false">AVERAGE(P4:P34)</f>
        <v>0.0837734671096403</v>
      </c>
      <c r="Q35" s="10" t="n">
        <f aca="false">SUM(Q4:Q34)</f>
        <v>3815705.21695989</v>
      </c>
      <c r="S35" s="60" t="n">
        <f aca="false">SUM(S4:S34)</f>
        <v>3167142.91149654</v>
      </c>
      <c r="W35" s="10" t="n">
        <f aca="false">SUM(W4:W34)</f>
        <v>2694296.04339153</v>
      </c>
      <c r="X35" s="46" t="n">
        <f aca="false">SUM(X4:X34)</f>
        <v>3815705.21695989</v>
      </c>
      <c r="AE35" s="10" t="n">
        <f aca="false">SUM(AE4:AE34)</f>
        <v>521406.769275399</v>
      </c>
      <c r="AM35" s="10" t="n">
        <f aca="false">SUM(AM4:AM34)</f>
        <v>2755566.85984264</v>
      </c>
    </row>
    <row r="36" s="14" customFormat="true" ht="13.8" hidden="false" customHeight="false" outlineLevel="0" collapsed="false">
      <c r="B36" s="1" t="s">
        <v>72</v>
      </c>
      <c r="D36" s="25" t="n">
        <f aca="false">I33/D4-1</f>
        <v>1.69777243431477</v>
      </c>
      <c r="E36" s="25"/>
      <c r="H36" s="25" t="n">
        <f aca="false">AVERAGE(H4:H33)</f>
        <v>0.0303384798236678</v>
      </c>
      <c r="K36" s="25"/>
      <c r="L36" s="1"/>
      <c r="O36" s="61"/>
      <c r="P36" s="61"/>
      <c r="Q36" s="30"/>
      <c r="R36" s="30"/>
      <c r="S36" s="30"/>
      <c r="U36" s="33"/>
      <c r="V36" s="33"/>
      <c r="Y36" s="25"/>
    </row>
    <row r="37" s="14" customFormat="true" ht="13.8" hidden="false" customHeight="false" outlineLevel="0" collapsed="false">
      <c r="B37" s="1" t="s">
        <v>73</v>
      </c>
      <c r="D37" s="25" t="n">
        <f aca="false">(I33/C4)^(1/30)-1</f>
        <v>0.0336341364707704</v>
      </c>
      <c r="E37" s="25"/>
      <c r="F37" s="1"/>
      <c r="K37" s="25"/>
      <c r="O37" s="61"/>
      <c r="P37" s="61"/>
      <c r="Q37" s="30"/>
      <c r="R37" s="30"/>
      <c r="U37" s="33"/>
      <c r="V37" s="33"/>
    </row>
    <row r="38" s="14" customFormat="true" ht="13.8" hidden="false" customHeight="false" outlineLevel="0" collapsed="false">
      <c r="E38" s="25"/>
      <c r="Q38" s="30"/>
      <c r="R38" s="30"/>
      <c r="U38" s="33"/>
      <c r="V38" s="33"/>
      <c r="W38" s="25"/>
      <c r="X38" s="25"/>
      <c r="AA38" s="62"/>
    </row>
    <row r="39" s="14" customFormat="true" ht="64.9" hidden="false" customHeight="false" outlineLevel="0" collapsed="false">
      <c r="B39" s="26" t="s">
        <v>74</v>
      </c>
      <c r="C39" s="27" t="n">
        <f aca="false">D37-'HIER Rechnung Thesaurierer '!D37</f>
        <v>0.0277191160803762</v>
      </c>
      <c r="D39" s="20" t="s">
        <v>17</v>
      </c>
      <c r="E39" s="25"/>
      <c r="O39" s="25"/>
      <c r="P39" s="25"/>
      <c r="Q39" s="1"/>
      <c r="R39" s="1"/>
      <c r="U39" s="33"/>
      <c r="V39" s="33"/>
    </row>
    <row r="40" s="14" customFormat="true" ht="13.8" hidden="false" customHeight="false" outlineLevel="0" collapsed="false">
      <c r="Q40" s="30"/>
      <c r="R40" s="30"/>
      <c r="S40" s="61"/>
      <c r="U40" s="33"/>
      <c r="V40" s="33"/>
    </row>
    <row r="41" s="14" customFormat="true" ht="13.8" hidden="false" customHeight="false" outlineLevel="0" collapsed="false">
      <c r="Q41" s="1"/>
      <c r="R41" s="1"/>
    </row>
    <row r="42" s="14" customFormat="true" ht="17.35" hidden="false" customHeight="false" outlineLevel="0" collapsed="false">
      <c r="B42" s="63" t="s">
        <v>75</v>
      </c>
    </row>
    <row r="43" s="14" customFormat="true" ht="77.6" hidden="false" customHeight="false" outlineLevel="0" collapsed="false">
      <c r="B43" s="12" t="s">
        <v>76</v>
      </c>
      <c r="C43" s="30" t="n">
        <f aca="false">(B34-D1)*C34-AI33</f>
        <v>2546528.19008791</v>
      </c>
      <c r="Q43" s="25"/>
      <c r="R43" s="25"/>
    </row>
    <row r="44" s="14" customFormat="true" ht="14.15" hidden="false" customHeight="false" outlineLevel="0" collapsed="false">
      <c r="B44" s="12" t="s">
        <v>77</v>
      </c>
      <c r="C44" s="30" t="n">
        <f aca="false">C43*O1</f>
        <v>470152.76709498</v>
      </c>
    </row>
    <row r="45" s="14" customFormat="true" ht="52.2" hidden="false" customHeight="false" outlineLevel="0" collapsed="false">
      <c r="B45" s="12" t="s">
        <v>78</v>
      </c>
      <c r="C45" s="30" t="n">
        <f aca="false">I33-C44</f>
        <v>2227619.66721979</v>
      </c>
      <c r="H45" s="64"/>
      <c r="Q45" s="33"/>
      <c r="R45" s="33"/>
    </row>
    <row r="46" s="14" customFormat="true" ht="13.8" hidden="false" customHeight="false" outlineLevel="0" collapsed="false">
      <c r="B46" s="1" t="s">
        <v>73</v>
      </c>
      <c r="C46" s="25" t="n">
        <f aca="false">(C45/C4)^(1/30)-1</f>
        <v>0.0270573654807738</v>
      </c>
      <c r="D46" s="1" t="s">
        <v>17</v>
      </c>
      <c r="Q46" s="33"/>
      <c r="R46" s="33"/>
    </row>
    <row r="47" s="14" customFormat="true" ht="15.75" hidden="false" customHeight="true" outlineLevel="0" collapsed="false"/>
    <row r="48" s="14" customFormat="true" ht="13.8" hidden="false" customHeight="false" outlineLevel="0" collapsed="false">
      <c r="B48" s="20" t="s">
        <v>79</v>
      </c>
      <c r="C48" s="27" t="n">
        <f aca="false">C46-'HIER Rechnung Thesaurierer '!C46</f>
        <v>0.0258282837802632</v>
      </c>
      <c r="D48" s="20" t="s">
        <v>17</v>
      </c>
    </row>
    <row r="49" s="14" customFormat="true" ht="13.8" hidden="false" customHeight="false" outlineLevel="0" collapsed="false">
      <c r="Q49" s="25"/>
      <c r="R49" s="25"/>
    </row>
    <row r="50" s="14" customFormat="true" ht="15.75" hidden="false" customHeight="true" outlineLevel="0" collapsed="false"/>
    <row r="51" customFormat="false" ht="13.8" hidden="false" customHeight="false" outlineLevel="0" collapsed="false">
      <c r="Q51" s="65"/>
      <c r="R51" s="65"/>
    </row>
    <row r="52" customFormat="false" ht="13.8" hidden="false" customHeight="false" outlineLevel="0" collapsed="false">
      <c r="Q52" s="66"/>
      <c r="R52" s="66"/>
    </row>
    <row r="53" customFormat="false" ht="13.8" hidden="false" customHeight="false" outlineLevel="0" collapsed="false">
      <c r="Q53" s="66"/>
      <c r="R53" s="66"/>
    </row>
    <row r="54" customFormat="false" ht="13.8" hidden="false" customHeight="false" outlineLevel="0" collapsed="false">
      <c r="Q54" s="66"/>
      <c r="R54" s="66"/>
    </row>
    <row r="55" customFormat="false" ht="13.8" hidden="false" customHeight="false" outlineLevel="0" collapsed="false">
      <c r="Q55" s="66"/>
      <c r="R55" s="66"/>
    </row>
    <row r="69" customFormat="false" ht="13.8" hidden="false" customHeight="false" outlineLevel="0" collapsed="false">
      <c r="B69" s="9" t="s">
        <v>80</v>
      </c>
    </row>
    <row r="70" customFormat="false" ht="12.8" hidden="false" customHeight="false" outlineLevel="0" collapsed="false">
      <c r="B70" s="44" t="n">
        <v>0.07</v>
      </c>
    </row>
    <row r="71" customFormat="false" ht="12.8" hidden="false" customHeight="false" outlineLevel="0" collapsed="false">
      <c r="B71" s="44" t="n">
        <v>0.08</v>
      </c>
    </row>
    <row r="72" customFormat="false" ht="12.8" hidden="false" customHeight="false" outlineLevel="0" collapsed="false">
      <c r="B72" s="44" t="n">
        <v>0.147463331364728</v>
      </c>
    </row>
    <row r="73" customFormat="false" ht="12.8" hidden="false" customHeight="false" outlineLevel="0" collapsed="false">
      <c r="B73" s="44" t="n">
        <v>-0.186504341327392</v>
      </c>
    </row>
    <row r="74" customFormat="false" ht="12.8" hidden="false" customHeight="false" outlineLevel="0" collapsed="false">
      <c r="B74" s="44" t="n">
        <v>0.159984139606134</v>
      </c>
    </row>
    <row r="75" customFormat="false" ht="12.8" hidden="false" customHeight="false" outlineLevel="0" collapsed="false">
      <c r="B75" s="44" t="n">
        <v>-0.0714130946421501</v>
      </c>
    </row>
    <row r="76" customFormat="false" ht="12.8" hidden="false" customHeight="false" outlineLevel="0" collapsed="false">
      <c r="B76" s="44" t="n">
        <v>0.08</v>
      </c>
    </row>
    <row r="77" customFormat="false" ht="12.8" hidden="false" customHeight="false" outlineLevel="0" collapsed="false">
      <c r="B77" s="44" t="n">
        <v>0.0335741592257928</v>
      </c>
    </row>
    <row r="78" customFormat="false" ht="12.8" hidden="false" customHeight="false" outlineLevel="0" collapsed="false">
      <c r="B78" s="44" t="n">
        <v>0.18702209864369</v>
      </c>
    </row>
    <row r="79" customFormat="false" ht="12.8" hidden="false" customHeight="false" outlineLevel="0" collapsed="false">
      <c r="B79" s="44" t="n">
        <v>0.117233208040529</v>
      </c>
    </row>
    <row r="80" customFormat="false" ht="12.8" hidden="false" customHeight="false" outlineLevel="0" collapsed="false">
      <c r="B80" s="44" t="n">
        <v>0.141680136330059</v>
      </c>
    </row>
    <row r="81" customFormat="false" ht="12.8" hidden="false" customHeight="false" outlineLevel="0" collapsed="false">
      <c r="B81" s="44" t="n">
        <v>0.08</v>
      </c>
    </row>
    <row r="82" customFormat="false" ht="12.8" hidden="false" customHeight="false" outlineLevel="0" collapsed="false">
      <c r="B82" s="44" t="n">
        <v>0.08</v>
      </c>
    </row>
    <row r="83" customFormat="false" ht="12.8" hidden="false" customHeight="false" outlineLevel="0" collapsed="false">
      <c r="B83" s="44" t="n">
        <v>-0.140498351379598</v>
      </c>
    </row>
    <row r="84" customFormat="false" ht="12.8" hidden="false" customHeight="false" outlineLevel="0" collapsed="false">
      <c r="B84" s="44" t="n">
        <v>-0.178289838387296</v>
      </c>
    </row>
    <row r="85" customFormat="false" ht="12.8" hidden="false" customHeight="false" outlineLevel="0" collapsed="false">
      <c r="B85" s="44" t="n">
        <v>-0.21056066868889</v>
      </c>
    </row>
    <row r="86" customFormat="false" ht="12.8" hidden="false" customHeight="false" outlineLevel="0" collapsed="false">
      <c r="B86" s="44" t="n">
        <v>0.08</v>
      </c>
    </row>
    <row r="87" customFormat="false" ht="12.8" hidden="false" customHeight="false" outlineLevel="0" collapsed="false">
      <c r="B87" s="44" t="n">
        <v>0.128361178711554</v>
      </c>
    </row>
    <row r="88" customFormat="false" ht="12.8" hidden="false" customHeight="false" outlineLevel="0" collapsed="false">
      <c r="B88" s="44" t="n">
        <v>0.075627212250319</v>
      </c>
    </row>
    <row r="89" customFormat="false" ht="12.8" hidden="false" customHeight="false" outlineLevel="0" collapsed="false">
      <c r="B89" s="44" t="n">
        <v>0.17952574983602</v>
      </c>
    </row>
    <row r="90" customFormat="false" ht="12.8" hidden="false" customHeight="false" outlineLevel="0" collapsed="false">
      <c r="B90" s="44" t="n">
        <v>0.0709265033587718</v>
      </c>
    </row>
    <row r="91" customFormat="false" ht="12.8" hidden="false" customHeight="false" outlineLevel="0" collapsed="false">
      <c r="B91" s="44" t="n">
        <v>-0.420805474309905</v>
      </c>
    </row>
    <row r="92" customFormat="false" ht="12.8" hidden="false" customHeight="false" outlineLevel="0" collapsed="false">
      <c r="B92" s="44" t="n">
        <v>0.269761993249484</v>
      </c>
    </row>
    <row r="93" customFormat="false" ht="12.8" hidden="false" customHeight="false" outlineLevel="0" collapsed="false">
      <c r="B93" s="44" t="n">
        <v>0.0955122433819324</v>
      </c>
    </row>
    <row r="94" customFormat="false" ht="12.8" hidden="false" customHeight="false" outlineLevel="0" collapsed="false">
      <c r="B94" s="44" t="n">
        <v>-0.0761489011156412</v>
      </c>
    </row>
    <row r="95" customFormat="false" ht="12.8" hidden="false" customHeight="false" outlineLevel="0" collapsed="false">
      <c r="B95" s="44" t="n">
        <v>0.131832960565536</v>
      </c>
    </row>
    <row r="96" customFormat="false" ht="12.8" hidden="false" customHeight="false" outlineLevel="0" collapsed="false">
      <c r="B96" s="44" t="n">
        <v>0.08</v>
      </c>
    </row>
    <row r="97" customFormat="false" ht="12.8" hidden="false" customHeight="false" outlineLevel="0" collapsed="false">
      <c r="B97" s="44" t="n">
        <v>0.0292600728807775</v>
      </c>
    </row>
    <row r="98" customFormat="false" ht="12.8" hidden="false" customHeight="false" outlineLevel="0" collapsed="false">
      <c r="B98" s="44" t="n">
        <v>-0.0274192944611598</v>
      </c>
    </row>
    <row r="99" customFormat="false" ht="12.8" hidden="false" customHeight="false" outlineLevel="0" collapsed="false">
      <c r="B99" s="44" t="n">
        <v>0.0531785657152961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0"/>
  <sheetViews>
    <sheetView showFormulas="false" showGridLines="true" showRowColHeaders="true" showZeros="true" rightToLeft="false" tabSelected="false" showOutlineSymbols="true" defaultGridColor="true" view="normal" topLeftCell="H1" colorId="64" zoomScale="100" zoomScaleNormal="100" zoomScalePageLayoutView="100" workbookViewId="0">
      <pane xSplit="0" ySplit="2" topLeftCell="A19" activePane="bottomLeft" state="frozen"/>
      <selection pane="topLeft" activeCell="H1" activeCellId="0" sqref="H1"/>
      <selection pane="bottomLeft" activeCell="T1" activeCellId="0" sqref="T1"/>
    </sheetView>
  </sheetViews>
  <sheetFormatPr defaultColWidth="12.6953125" defaultRowHeight="12.8" zeroHeight="false" outlineLevelRow="0" outlineLevelCol="0"/>
  <cols>
    <col collapsed="false" customWidth="true" hidden="false" outlineLevel="0" max="1024" min="1024" style="0" width="11.52"/>
  </cols>
  <sheetData>
    <row r="1" s="14" customFormat="true" ht="52.2" hidden="false" customHeight="false" outlineLevel="0" collapsed="false">
      <c r="A1" s="20" t="s">
        <v>81</v>
      </c>
      <c r="B1" s="30"/>
      <c r="C1" s="12" t="s">
        <v>33</v>
      </c>
      <c r="D1" s="29" t="n">
        <f aca="false">'HIER Rechnung Ausschütter'!D1</f>
        <v>0.666666667</v>
      </c>
      <c r="E1" s="1" t="s">
        <v>34</v>
      </c>
      <c r="F1" s="1"/>
      <c r="G1" s="30" t="n">
        <f aca="false">'HIER Rechnung Ausschütter'!H1</f>
        <v>1000000</v>
      </c>
      <c r="I1" s="12"/>
      <c r="J1" s="67" t="s">
        <v>82</v>
      </c>
      <c r="K1" s="68" t="str">
        <f aca="false">Ergebnis!B11</f>
        <v>Nein</v>
      </c>
      <c r="L1" s="31"/>
      <c r="M1" s="30"/>
      <c r="N1" s="25"/>
      <c r="O1" s="25"/>
      <c r="P1" s="1"/>
      <c r="Q1" s="25"/>
      <c r="R1" s="12"/>
      <c r="S1" s="12"/>
      <c r="T1" s="12"/>
      <c r="U1" s="12" t="s">
        <v>11</v>
      </c>
      <c r="V1" s="32" t="n">
        <f aca="false">'HIER Rechnung Ausschütter'!O1</f>
        <v>0.184625</v>
      </c>
      <c r="X1" s="31"/>
      <c r="Y1" s="12"/>
      <c r="Z1" s="12" t="s">
        <v>39</v>
      </c>
      <c r="AA1" s="30" t="n">
        <f aca="false">'HIER Rechnung Ausschütter'!X1</f>
        <v>35000</v>
      </c>
      <c r="AB1" s="1"/>
      <c r="AC1" s="31"/>
      <c r="AMJ1" s="0"/>
    </row>
    <row r="2" s="14" customFormat="true" ht="92.5" hidden="false" customHeight="true" outlineLevel="0" collapsed="false">
      <c r="A2" s="1" t="s">
        <v>3</v>
      </c>
      <c r="B2" s="12" t="s">
        <v>40</v>
      </c>
      <c r="C2" s="12" t="s">
        <v>41</v>
      </c>
      <c r="D2" s="12" t="s">
        <v>42</v>
      </c>
      <c r="E2" s="1" t="s">
        <v>83</v>
      </c>
      <c r="F2" s="12" t="s">
        <v>84</v>
      </c>
      <c r="G2" s="12" t="s">
        <v>85</v>
      </c>
      <c r="H2" s="12" t="s">
        <v>61</v>
      </c>
      <c r="I2" s="12" t="s">
        <v>86</v>
      </c>
      <c r="J2" s="26" t="s">
        <v>81</v>
      </c>
      <c r="K2" s="12" t="s">
        <v>47</v>
      </c>
      <c r="L2" s="12" t="s">
        <v>87</v>
      </c>
      <c r="M2" s="12" t="s">
        <v>88</v>
      </c>
      <c r="N2" s="12" t="s">
        <v>48</v>
      </c>
      <c r="O2" s="12" t="s">
        <v>89</v>
      </c>
      <c r="P2" s="12" t="s">
        <v>62</v>
      </c>
      <c r="Q2" s="12" t="s">
        <v>90</v>
      </c>
      <c r="R2" s="12" t="s">
        <v>64</v>
      </c>
      <c r="S2" s="12" t="s">
        <v>91</v>
      </c>
      <c r="T2" s="12" t="s">
        <v>68</v>
      </c>
      <c r="U2" s="12" t="s">
        <v>92</v>
      </c>
      <c r="V2" s="12" t="s">
        <v>93</v>
      </c>
      <c r="W2" s="12" t="s">
        <v>54</v>
      </c>
      <c r="X2" s="69" t="s">
        <v>94</v>
      </c>
      <c r="Y2" s="12"/>
      <c r="Z2" s="12" t="s">
        <v>95</v>
      </c>
      <c r="AA2" s="12" t="s">
        <v>56</v>
      </c>
      <c r="AB2" s="12" t="s">
        <v>57</v>
      </c>
      <c r="AC2" s="4" t="s">
        <v>67</v>
      </c>
      <c r="AD2" s="1" t="s">
        <v>69</v>
      </c>
      <c r="AE2" s="12" t="s">
        <v>70</v>
      </c>
      <c r="AF2" s="12" t="s">
        <v>96</v>
      </c>
      <c r="AG2" s="12" t="s">
        <v>71</v>
      </c>
      <c r="AMJ2" s="0"/>
    </row>
    <row r="3" customFormat="false" ht="15.75" hidden="true" customHeight="false" outlineLevel="0" collapsed="false">
      <c r="A3" s="9" t="n">
        <v>0</v>
      </c>
      <c r="B3" s="40"/>
      <c r="C3" s="41"/>
      <c r="D3" s="42"/>
      <c r="E3" s="45"/>
      <c r="F3" s="42"/>
      <c r="G3" s="45"/>
      <c r="H3" s="5"/>
      <c r="I3" s="70"/>
      <c r="J3" s="46" t="n">
        <f aca="false">D4</f>
        <v>1000000</v>
      </c>
      <c r="K3" s="13"/>
      <c r="L3" s="13"/>
      <c r="M3" s="10"/>
      <c r="N3" s="13"/>
      <c r="O3" s="13"/>
      <c r="P3" s="65"/>
      <c r="Q3" s="65"/>
      <c r="R3" s="71"/>
      <c r="S3" s="10"/>
      <c r="T3" s="9"/>
      <c r="V3" s="9"/>
      <c r="W3" s="60"/>
      <c r="X3" s="10"/>
      <c r="Y3" s="10"/>
      <c r="Z3" s="10"/>
      <c r="AA3" s="42"/>
      <c r="AC3" s="72"/>
      <c r="AD3" s="73"/>
      <c r="AE3" s="10"/>
      <c r="AH3" s="10"/>
      <c r="AI3" s="10"/>
    </row>
    <row r="4" customFormat="false" ht="14.15" hidden="false" customHeight="false" outlineLevel="0" collapsed="false">
      <c r="A4" s="9" t="n">
        <v>1</v>
      </c>
      <c r="B4" s="40" t="n">
        <v>1</v>
      </c>
      <c r="C4" s="41" t="n">
        <f aca="false">G1</f>
        <v>1000000</v>
      </c>
      <c r="D4" s="42" t="n">
        <f aca="false">B4*C4</f>
        <v>1000000</v>
      </c>
      <c r="E4" s="45" t="n">
        <f aca="false">'HIER Rechnung Ausschütter'!E4</f>
        <v>-0.05708</v>
      </c>
      <c r="F4" s="42" t="n">
        <f aca="false">D4*(1+E4+G4)</f>
        <v>974582.5</v>
      </c>
      <c r="G4" s="45" t="n">
        <f aca="false">'HIER Rechnung Ausschütter'!H4</f>
        <v>0.0316625</v>
      </c>
      <c r="H4" s="54" t="n">
        <f aca="false">IF(K$1="Ja",(IF(E4&gt;0,I4+(E4*0.3),I4)),I4)</f>
        <v>0.083</v>
      </c>
      <c r="I4" s="70" t="n">
        <v>0.083</v>
      </c>
      <c r="J4" s="46" t="n">
        <f aca="false">B5*C5</f>
        <v>937414.42665621</v>
      </c>
      <c r="K4" s="54" t="n">
        <f aca="false">J4/D4-1</f>
        <v>-0.0625855733437901</v>
      </c>
      <c r="L4" s="54" t="n">
        <f aca="false">K4-'HIER Rechnung Ausschütter'!J4</f>
        <v>0.00574614456003186</v>
      </c>
      <c r="M4" s="53" t="n">
        <f aca="false">J4-'HIER Rechnung Ausschütter'!I4</f>
        <v>5746.14456003183</v>
      </c>
      <c r="N4" s="54" t="n">
        <f aca="false">B5/D$1-1</f>
        <v>0.461873749269063</v>
      </c>
      <c r="O4" s="54" t="n">
        <f aca="false">U4/F4</f>
        <v>0.0381374315091747</v>
      </c>
      <c r="P4" s="59" t="n">
        <f aca="false">(B5*C4)-(B4*C4)</f>
        <v>-25417.5</v>
      </c>
      <c r="Q4" s="59" t="n">
        <f aca="false">IF(H4&gt;0, IF(P4&gt;0,D4*H4*0.7,0),0)</f>
        <v>0</v>
      </c>
      <c r="R4" s="74" t="n">
        <f aca="false">IF(P4&gt;0,MIN(P4,Q4),0)</f>
        <v>0</v>
      </c>
      <c r="S4" s="53" t="n">
        <f aca="false">R4*V$1</f>
        <v>0</v>
      </c>
      <c r="T4" s="53" t="n">
        <f aca="false">R4-AC4</f>
        <v>0</v>
      </c>
      <c r="U4" s="53" t="n">
        <f aca="false">V4+AB4+S4-AE4</f>
        <v>37168.0733437902</v>
      </c>
      <c r="V4" s="53" t="n">
        <f aca="false">AA1</f>
        <v>35000</v>
      </c>
      <c r="W4" s="75" t="n">
        <f aca="false">U4/B5</f>
        <v>38137.4315091747</v>
      </c>
      <c r="X4" s="53" t="n">
        <f aca="false">U4-S4-AB4+AE4</f>
        <v>35000</v>
      </c>
      <c r="Y4" s="42"/>
      <c r="Z4" s="53" t="n">
        <f aca="false">W4*D$1+AC4</f>
        <v>25424.9543521622</v>
      </c>
      <c r="AA4" s="53" t="n">
        <f aca="false">U4-Z4</f>
        <v>11743.118991628</v>
      </c>
      <c r="AB4" s="53" t="n">
        <f aca="false">AA4*V$1</f>
        <v>2168.07334379022</v>
      </c>
      <c r="AC4" s="76" t="n">
        <f aca="false">IF(T3&gt;0,(T3/C4)*W4,0)</f>
        <v>0</v>
      </c>
      <c r="AD4" s="77" t="n">
        <f aca="false">'HIER Rechnung Ausschütter'!S1</f>
        <v>0</v>
      </c>
      <c r="AE4" s="53" t="n">
        <f aca="false">IF((R4+U4)&lt;AD4,(R4+U4)*'HIER Rechnung Ausschütter'!O$1,AD4*'HIER Rechnung Ausschütter'!O$1)</f>
        <v>0</v>
      </c>
      <c r="AF4" s="78" t="n">
        <f aca="false">AG4-'HIER Rechnung Ausschütter'!AM4</f>
        <v>-14986.0015359972</v>
      </c>
      <c r="AG4" s="53" t="n">
        <f aca="false">(AA4+R4)*0.7</f>
        <v>8220.18329413958</v>
      </c>
      <c r="AH4" s="10"/>
      <c r="AI4" s="10"/>
    </row>
    <row r="5" customFormat="false" ht="14.15" hidden="false" customHeight="false" outlineLevel="0" collapsed="false">
      <c r="A5" s="9" t="n">
        <v>2</v>
      </c>
      <c r="B5" s="40" t="n">
        <f aca="false">B4*(1+E4+G4)</f>
        <v>0.9745825</v>
      </c>
      <c r="C5" s="48" t="n">
        <f aca="false">C4-W4</f>
        <v>961862.568490825</v>
      </c>
      <c r="D5" s="10" t="n">
        <f aca="false">J4</f>
        <v>937414.42665621</v>
      </c>
      <c r="E5" s="45" t="n">
        <f aca="false">'HIER Rechnung Ausschütter'!E5</f>
        <v>0.155909303016162</v>
      </c>
      <c r="F5" s="42" t="n">
        <f aca="false">D5*(1+E5+G5)</f>
        <v>1115223.19283832</v>
      </c>
      <c r="G5" s="45" t="n">
        <f aca="false">'HIER Rechnung Ausschütter'!H5</f>
        <v>0.0337706945665053</v>
      </c>
      <c r="H5" s="54" t="n">
        <f aca="false">IF(K$1="Ja",(IF(E5&gt;0,I5+(E5*0.3),I5)),I5)</f>
        <v>0.08</v>
      </c>
      <c r="I5" s="70" t="n">
        <v>0.08</v>
      </c>
      <c r="J5" s="46" t="n">
        <f aca="false">B6*C6</f>
        <v>1063687.37582328</v>
      </c>
      <c r="K5" s="54" t="n">
        <f aca="false">J5/D5-1</f>
        <v>0.134703441270353</v>
      </c>
      <c r="L5" s="54" t="n">
        <f aca="false">K5-'HIER Rechnung Ausschütter'!J5</f>
        <v>-0.00844378852627137</v>
      </c>
      <c r="M5" s="53" t="n">
        <f aca="false">J5-'HIER Rechnung Ausschütter'!I5</f>
        <v>-1346.63994434965</v>
      </c>
      <c r="N5" s="54" t="n">
        <f aca="false">B6/D$1-1</f>
        <v>0.739161958496584</v>
      </c>
      <c r="O5" s="54" t="n">
        <f aca="false">U5/F5</f>
        <v>0.0462112134563236</v>
      </c>
      <c r="P5" s="59" t="n">
        <f aca="false">(B6*C5)-(B5*C5)</f>
        <v>177808.766182107</v>
      </c>
      <c r="Q5" s="59" t="n">
        <f aca="false">IF(H5&gt;0, IF(P5&gt;0,D5*H5*0.7,0),0)</f>
        <v>52495.2078927478</v>
      </c>
      <c r="R5" s="74" t="n">
        <f aca="false">IF(P5&gt;0,MIN(P5,Q5),0)</f>
        <v>52495.2078927478</v>
      </c>
      <c r="S5" s="53" t="n">
        <f aca="false">R5*V$1</f>
        <v>9691.92775719855</v>
      </c>
      <c r="T5" s="53" t="n">
        <f aca="false">T4+R5-AC5</f>
        <v>52495.2078927478</v>
      </c>
      <c r="U5" s="53" t="n">
        <f aca="false">V5+AB5+S5-AE5</f>
        <v>51535.8170156942</v>
      </c>
      <c r="V5" s="53" t="n">
        <f aca="false">V4*(1+I5)</f>
        <v>37800</v>
      </c>
      <c r="W5" s="75" t="n">
        <f aca="false">U5/B6</f>
        <v>44448.8364681772</v>
      </c>
      <c r="X5" s="53" t="n">
        <f aca="false">U5-S5-AB5+AE5</f>
        <v>37800</v>
      </c>
      <c r="Y5" s="42"/>
      <c r="Z5" s="53" t="n">
        <f aca="false">W5*D$1+AC5</f>
        <v>29632.5576602677</v>
      </c>
      <c r="AA5" s="53" t="n">
        <f aca="false">U5-Z5</f>
        <v>21903.2593554264</v>
      </c>
      <c r="AB5" s="53" t="n">
        <f aca="false">AA5*V$1</f>
        <v>4043.88925849561</v>
      </c>
      <c r="AC5" s="76" t="n">
        <f aca="false">IF(T4&gt;0,(T4/C5)*W5,0)</f>
        <v>0</v>
      </c>
      <c r="AD5" s="77" t="n">
        <f aca="false">AD4*(1+I5)</f>
        <v>0</v>
      </c>
      <c r="AE5" s="53" t="n">
        <f aca="false">IF((R5+U5)&lt;AD5,(R5+U5)*'HIER Rechnung Ausschütter'!O$1,AD5*'HIER Rechnung Ausschütter'!O$1)</f>
        <v>0</v>
      </c>
      <c r="AF5" s="79" t="n">
        <f aca="false">AG5-'HIER Rechnung Ausschütter'!AM5</f>
        <v>12425.8788225791</v>
      </c>
      <c r="AG5" s="53" t="n">
        <f aca="false">(AA5+R5)*0.7</f>
        <v>52078.9270737219</v>
      </c>
      <c r="AH5" s="10"/>
      <c r="AI5" s="10"/>
    </row>
    <row r="6" customFormat="false" ht="14.15" hidden="false" customHeight="false" outlineLevel="0" collapsed="false">
      <c r="A6" s="9" t="n">
        <v>3</v>
      </c>
      <c r="B6" s="40" t="n">
        <f aca="false">B5*(1+E5+G5)</f>
        <v>1.15944130624411</v>
      </c>
      <c r="C6" s="48" t="n">
        <f aca="false">C5-W5</f>
        <v>917413.732022648</v>
      </c>
      <c r="D6" s="10" t="n">
        <f aca="false">J5</f>
        <v>1063687.37582328</v>
      </c>
      <c r="E6" s="45" t="n">
        <f aca="false">'HIER Rechnung Ausschütter'!E6</f>
        <v>0.199499050397732</v>
      </c>
      <c r="F6" s="42" t="n">
        <f aca="false">D6*(1+E6+G6)</f>
        <v>1308426.63382767</v>
      </c>
      <c r="G6" s="45" t="n">
        <f aca="false">'HIER Rechnung Ausschütter'!H6</f>
        <v>0.0305866529462325</v>
      </c>
      <c r="H6" s="54" t="n">
        <f aca="false">IF(K$1="Ja",(IF(E6&gt;0,I6+(E6*0.3),I6)),I6)</f>
        <v>0.079</v>
      </c>
      <c r="I6" s="70" t="n">
        <v>0.079</v>
      </c>
      <c r="J6" s="46" t="n">
        <f aca="false">B7*C7</f>
        <v>1251610.63187389</v>
      </c>
      <c r="K6" s="54" t="n">
        <f aca="false">J6/D6-1</f>
        <v>0.176671511124374</v>
      </c>
      <c r="L6" s="54" t="n">
        <f aca="false">K6-'HIER Rechnung Ausschütter'!J6</f>
        <v>-0.00992219591538102</v>
      </c>
      <c r="M6" s="53" t="n">
        <f aca="false">J6-'HIER Rechnung Ausschütter'!I6</f>
        <v>-12152.0290192498</v>
      </c>
      <c r="N6" s="54" t="n">
        <f aca="false">B7/D$1-1</f>
        <v>1.13931826094634</v>
      </c>
      <c r="O6" s="54" t="n">
        <f aca="false">U6/F6</f>
        <v>0.04341955221103</v>
      </c>
      <c r="P6" s="59" t="n">
        <f aca="false">(B7*C6)-(B6*C6)</f>
        <v>244739.258004244</v>
      </c>
      <c r="Q6" s="59" t="n">
        <f aca="false">IF(H6&gt;0, IF(P6&gt;0,D6*H6*0.7,0),0)</f>
        <v>58821.9118830272</v>
      </c>
      <c r="R6" s="74" t="n">
        <f aca="false">IF(P6&gt;0,MIN(P6,Q6),0)</f>
        <v>58821.9118830272</v>
      </c>
      <c r="S6" s="53" t="n">
        <f aca="false">R6*V$1</f>
        <v>10859.9954814039</v>
      </c>
      <c r="T6" s="53" t="n">
        <f aca="false">T5+R6-AC6</f>
        <v>109037.801355846</v>
      </c>
      <c r="U6" s="53" t="n">
        <f aca="false">V6+AB6+S6-AE6</f>
        <v>56811.2985417828</v>
      </c>
      <c r="V6" s="53" t="n">
        <f aca="false">V5*(1+I6)</f>
        <v>40786.2</v>
      </c>
      <c r="W6" s="75" t="n">
        <f aca="false">U6/B7</f>
        <v>39833.6934366977</v>
      </c>
      <c r="X6" s="53" t="n">
        <f aca="false">U6-S6-AB6+AE6</f>
        <v>40786.2</v>
      </c>
      <c r="Y6" s="42"/>
      <c r="Z6" s="53" t="n">
        <f aca="false">W6*D$1+AC6</f>
        <v>28835.1140576725</v>
      </c>
      <c r="AA6" s="53" t="n">
        <f aca="false">U6-Z6</f>
        <v>27976.1844841103</v>
      </c>
      <c r="AB6" s="53" t="n">
        <f aca="false">AA6*V$1</f>
        <v>5165.10306037886</v>
      </c>
      <c r="AC6" s="76" t="n">
        <f aca="false">IF(T5&gt;0,(T5/C6)*W6,0)</f>
        <v>2279.31841992943</v>
      </c>
      <c r="AD6" s="77" t="n">
        <f aca="false">AD5*(1+I6)</f>
        <v>0</v>
      </c>
      <c r="AE6" s="53" t="n">
        <f aca="false">IF((R6+U6)&lt;AD6,(R6+U6)*'HIER Rechnung Ausschütter'!O$1,AD6*'HIER Rechnung Ausschütter'!O$1)</f>
        <v>0</v>
      </c>
      <c r="AF6" s="80" t="n">
        <f aca="false">AG6-'HIER Rechnung Ausschütter'!AM6</f>
        <v>15135.5326934691</v>
      </c>
      <c r="AG6" s="53" t="n">
        <f aca="false">(AA6+R6)*0.7</f>
        <v>60758.6674569962</v>
      </c>
      <c r="AH6" s="10"/>
      <c r="AI6" s="10"/>
    </row>
    <row r="7" customFormat="false" ht="14.15" hidden="false" customHeight="false" outlineLevel="0" collapsed="false">
      <c r="A7" s="9" t="n">
        <v>4</v>
      </c>
      <c r="B7" s="40" t="n">
        <f aca="false">B6*(1+E6+G6)</f>
        <v>1.42621217467733</v>
      </c>
      <c r="C7" s="48" t="n">
        <f aca="false">C6-W6</f>
        <v>877576.740751818</v>
      </c>
      <c r="D7" s="10" t="n">
        <f aca="false">J6</f>
        <v>1251610.63187389</v>
      </c>
      <c r="E7" s="45" t="n">
        <f aca="false">'HIER Rechnung Ausschütter'!E7</f>
        <v>-0.170777974100675</v>
      </c>
      <c r="F7" s="42" t="n">
        <f aca="false">D7*(1+E7+G7)</f>
        <v>1065225.40447876</v>
      </c>
      <c r="G7" s="45" t="n">
        <f aca="false">'HIER Rechnung Ausschütter'!H7</f>
        <v>0.0218616716591703</v>
      </c>
      <c r="H7" s="54" t="n">
        <f aca="false">IF(K$1="Ja",(IF(E7&gt;0,I7+(E7*0.3),I7)),I7)</f>
        <v>0.093</v>
      </c>
      <c r="I7" s="70" t="n">
        <v>0.093</v>
      </c>
      <c r="J7" s="46" t="n">
        <f aca="false">B8*C8</f>
        <v>1017581.3653115</v>
      </c>
      <c r="K7" s="54" t="n">
        <f aca="false">J7/D7-1</f>
        <v>-0.186982485289384</v>
      </c>
      <c r="L7" s="54" t="n">
        <f aca="false">K7-'HIER Rechnung Ausschütter'!J7</f>
        <v>0.00567577323165513</v>
      </c>
      <c r="M7" s="53" t="n">
        <f aca="false">J7-'HIER Rechnung Ausschütter'!I7</f>
        <v>-2706.98215005919</v>
      </c>
      <c r="N7" s="54" t="n">
        <f aca="false">B8/D$1-1</f>
        <v>0.820738895780619</v>
      </c>
      <c r="O7" s="54" t="n">
        <f aca="false">U7/F7</f>
        <v>0.0447267207174574</v>
      </c>
      <c r="P7" s="59" t="n">
        <f aca="false">(B8*C7)-(B7*C7)</f>
        <v>-186385.227395136</v>
      </c>
      <c r="Q7" s="59" t="n">
        <f aca="false">IF(H7&gt;0, IF(P7&gt;0,D7*H7*0.7,0),0)</f>
        <v>0</v>
      </c>
      <c r="R7" s="74" t="n">
        <f aca="false">IF(P7&gt;0,MIN(P7,Q7),0)</f>
        <v>0</v>
      </c>
      <c r="S7" s="53" t="n">
        <f aca="false">R7*V$1</f>
        <v>0</v>
      </c>
      <c r="T7" s="53" t="n">
        <f aca="false">T6+R7-AC7</f>
        <v>104159.80735092</v>
      </c>
      <c r="U7" s="53" t="n">
        <f aca="false">V7+AB7+S7-AE7</f>
        <v>47644.0391672621</v>
      </c>
      <c r="V7" s="53" t="n">
        <f aca="false">V6*(1+I7)</f>
        <v>44579.3166</v>
      </c>
      <c r="W7" s="75" t="n">
        <f aca="false">U7/B8</f>
        <v>39251.1297917431</v>
      </c>
      <c r="X7" s="53" t="n">
        <f aca="false">U7-S7-AB7+AE7</f>
        <v>44579.3166</v>
      </c>
      <c r="Y7" s="42"/>
      <c r="Z7" s="53" t="n">
        <f aca="false">W7*D$1+AC7</f>
        <v>31044.3231631343</v>
      </c>
      <c r="AA7" s="53" t="n">
        <f aca="false">U7-Z7</f>
        <v>16599.7160041278</v>
      </c>
      <c r="AB7" s="53" t="n">
        <f aca="false">AA7*V$1</f>
        <v>3064.7225672621</v>
      </c>
      <c r="AC7" s="76" t="n">
        <f aca="false">IF(T6&gt;0,(T6/C7)*W7,0)</f>
        <v>4876.9032888885</v>
      </c>
      <c r="AD7" s="77" t="n">
        <f aca="false">AD6*(1+I7)</f>
        <v>0</v>
      </c>
      <c r="AE7" s="53" t="n">
        <f aca="false">IF((R7+U7)&lt;AD7,(R7+U7)*'HIER Rechnung Ausschütter'!O$1,AD7*'HIER Rechnung Ausschütter'!O$1)</f>
        <v>0</v>
      </c>
      <c r="AF7" s="81" t="n">
        <f aca="false">AG7-'HIER Rechnung Ausschütter'!AM7</f>
        <v>-11060.3369125275</v>
      </c>
      <c r="AG7" s="53" t="n">
        <f aca="false">(AA7+R7)*0.7</f>
        <v>11619.8012028895</v>
      </c>
      <c r="AH7" s="10"/>
      <c r="AI7" s="10"/>
    </row>
    <row r="8" customFormat="false" ht="14.15" hidden="false" customHeight="false" outlineLevel="0" collapsed="false">
      <c r="A8" s="9" t="n">
        <v>5</v>
      </c>
      <c r="B8" s="40" t="n">
        <f aca="false">B7*(1+E7+G7)</f>
        <v>1.21382593112733</v>
      </c>
      <c r="C8" s="48" t="n">
        <f aca="false">C7-W7</f>
        <v>838325.610960075</v>
      </c>
      <c r="D8" s="10" t="n">
        <f aca="false">J7</f>
        <v>1017581.3653115</v>
      </c>
      <c r="E8" s="45" t="n">
        <f aca="false">'HIER Rechnung Ausschütter'!E8</f>
        <v>-0.278323032930541</v>
      </c>
      <c r="F8" s="42" t="n">
        <f aca="false">D8*(1+E8+G8)</f>
        <v>763360.987512273</v>
      </c>
      <c r="G8" s="45" t="n">
        <f aca="false">'HIER Rechnung Ausschütter'!H8</f>
        <v>0.0284949735090677</v>
      </c>
      <c r="H8" s="54" t="n">
        <f aca="false">IF(K$1="Ja",(IF(E8&gt;0,I8+(E8*0.3),I8)),I8)</f>
        <v>0.104</v>
      </c>
      <c r="I8" s="70" t="n">
        <v>0.104</v>
      </c>
      <c r="J8" s="46" t="n">
        <f aca="false">B9*C9</f>
        <v>712917.927662303</v>
      </c>
      <c r="K8" s="54" t="n">
        <f aca="false">J8/D8-1</f>
        <v>-0.299399584185519</v>
      </c>
      <c r="L8" s="54" t="n">
        <f aca="false">K8-'HIER Rechnung Ausschütter'!J8</f>
        <v>0.0110496658544352</v>
      </c>
      <c r="M8" s="53" t="n">
        <f aca="false">J8-'HIER Rechnung Ausschütter'!I8</f>
        <v>9377.3324946902</v>
      </c>
      <c r="N8" s="54" t="n">
        <f aca="false">B9/D$1-1</f>
        <v>0.365867230734551</v>
      </c>
      <c r="O8" s="54" t="n">
        <f aca="false">U8/F8</f>
        <v>0.0660753630794982</v>
      </c>
      <c r="P8" s="59" t="n">
        <f aca="false">(B9*C8)-(B8*C8)</f>
        <v>-254220.377799225</v>
      </c>
      <c r="Q8" s="59" t="n">
        <f aca="false">IF(H8&gt;0, IF(P8&gt;0,D8*H8*0.7,0),0)</f>
        <v>0</v>
      </c>
      <c r="R8" s="74" t="n">
        <f aca="false">IF(P8&gt;0,MIN(P8,Q8),0)</f>
        <v>0</v>
      </c>
      <c r="S8" s="53" t="n">
        <f aca="false">R8*V$1</f>
        <v>0</v>
      </c>
      <c r="T8" s="53" t="n">
        <f aca="false">T7+R8-AC8</f>
        <v>97277.4102619173</v>
      </c>
      <c r="U8" s="53" t="n">
        <f aca="false">V8+AB8+S8-AE8</f>
        <v>50439.3544105977</v>
      </c>
      <c r="V8" s="53" t="n">
        <f aca="false">V7*(1+I8)</f>
        <v>49215.5655264</v>
      </c>
      <c r="W8" s="75" t="n">
        <f aca="false">U8/B9</f>
        <v>55392.6691230291</v>
      </c>
      <c r="X8" s="53" t="n">
        <f aca="false">U8-S8-AB8+AE8</f>
        <v>49215.5655264</v>
      </c>
      <c r="Y8" s="42"/>
      <c r="Z8" s="53" t="n">
        <f aca="false">W8*D$1+AC8</f>
        <v>43810.8431894863</v>
      </c>
      <c r="AA8" s="53" t="n">
        <f aca="false">U8-Z8</f>
        <v>6628.51122111144</v>
      </c>
      <c r="AB8" s="53" t="n">
        <f aca="false">AA8*V$1</f>
        <v>1223.7888841977</v>
      </c>
      <c r="AC8" s="76" t="n">
        <f aca="false">IF(T7&gt;0,(T7/C8)*W8,0)</f>
        <v>6882.39708900262</v>
      </c>
      <c r="AD8" s="77" t="n">
        <f aca="false">AD7*(1+I8)</f>
        <v>0</v>
      </c>
      <c r="AE8" s="53" t="n">
        <f aca="false">IF((R8+U8)&lt;AD8,(R8+U8)*'HIER Rechnung Ausschütter'!O$1,AD8*'HIER Rechnung Ausschütter'!O$1)</f>
        <v>0</v>
      </c>
      <c r="AF8" s="82" t="n">
        <f aca="false">AG8-'HIER Rechnung Ausschütter'!AM8</f>
        <v>-12587.7897977698</v>
      </c>
      <c r="AG8" s="53" t="n">
        <f aca="false">(AA8+R8)*0.7</f>
        <v>4639.95785477801</v>
      </c>
      <c r="AH8" s="10"/>
      <c r="AI8" s="10"/>
    </row>
    <row r="9" customFormat="false" ht="14.15" hidden="false" customHeight="false" outlineLevel="0" collapsed="false">
      <c r="A9" s="9" t="n">
        <v>6</v>
      </c>
      <c r="B9" s="40" t="n">
        <f aca="false">B8*(1+E8+G8)</f>
        <v>0.910578154278323</v>
      </c>
      <c r="C9" s="48" t="n">
        <f aca="false">C8-W8</f>
        <v>782928.872511031</v>
      </c>
      <c r="D9" s="10" t="n">
        <f aca="false">J8</f>
        <v>712917.927662303</v>
      </c>
      <c r="E9" s="45" t="n">
        <f aca="false">'HIER Rechnung Ausschütter'!E9</f>
        <v>0.289198205452663</v>
      </c>
      <c r="F9" s="42" t="n">
        <f aca="false">D9*(1+E9+G9)</f>
        <v>952881.498664865</v>
      </c>
      <c r="G9" s="45" t="n">
        <f aca="false">'HIER Rechnung Ausschütter'!H9</f>
        <v>0.0473953373544542</v>
      </c>
      <c r="H9" s="54" t="n">
        <f aca="false">IF(K$1="Ja",(IF(E9&gt;0,I9+(E9*0.3),I9)),I9)</f>
        <v>0.087</v>
      </c>
      <c r="I9" s="70" t="n">
        <v>0.087</v>
      </c>
      <c r="J9" s="46" t="n">
        <f aca="false">B10*C10</f>
        <v>887116.322571614</v>
      </c>
      <c r="K9" s="54" t="n">
        <f aca="false">J9/D9-1</f>
        <v>0.244345650670503</v>
      </c>
      <c r="L9" s="54" t="n">
        <f aca="false">K9-'HIER Rechnung Ausschütter'!J9</f>
        <v>-0.017128195824146</v>
      </c>
      <c r="M9" s="53" t="n">
        <f aca="false">J9-'HIER Rechnung Ausschütter'!I9</f>
        <v>-381.738179608248</v>
      </c>
      <c r="N9" s="54" t="n">
        <f aca="false">B10/D$1-1</f>
        <v>0.82560932093164</v>
      </c>
      <c r="O9" s="54" t="n">
        <f aca="false">U9/F9</f>
        <v>0.0690165302906862</v>
      </c>
      <c r="P9" s="59" t="n">
        <f aca="false">(B10*C9)-(B9*C9)</f>
        <v>239963.571002563</v>
      </c>
      <c r="Q9" s="59" t="n">
        <f aca="false">IF(H9&gt;0, IF(P9&gt;0,D9*H9*0.7,0),0)</f>
        <v>43416.7017946342</v>
      </c>
      <c r="R9" s="74" t="n">
        <f aca="false">IF(P9&gt;0,MIN(P9,Q9),0)</f>
        <v>43416.7017946342</v>
      </c>
      <c r="S9" s="53" t="n">
        <f aca="false">R9*V$1</f>
        <v>8015.80856883434</v>
      </c>
      <c r="T9" s="53" t="n">
        <f aca="false">T8+R9-AC9</f>
        <v>133978.952597819</v>
      </c>
      <c r="U9" s="53" t="n">
        <f aca="false">V9+AB9+S9-AE9</f>
        <v>65764.5748160382</v>
      </c>
      <c r="V9" s="53" t="n">
        <f aca="false">V8*(1+I9)</f>
        <v>53497.3197271968</v>
      </c>
      <c r="W9" s="75" t="n">
        <f aca="false">U9/B10</f>
        <v>54035.0342451104</v>
      </c>
      <c r="X9" s="53" t="n">
        <f aca="false">U9-S9-AB9+AE9</f>
        <v>53497.3197271968</v>
      </c>
      <c r="Y9" s="42"/>
      <c r="Z9" s="53" t="n">
        <f aca="false">W9*D$1+AC9</f>
        <v>42737.1055133597</v>
      </c>
      <c r="AA9" s="53" t="n">
        <f aca="false">U9-Z9</f>
        <v>23027.4693026785</v>
      </c>
      <c r="AB9" s="53" t="n">
        <f aca="false">AA9*V$1</f>
        <v>4251.44652000701</v>
      </c>
      <c r="AC9" s="76" t="n">
        <f aca="false">IF(T8&gt;0,(T8/C9)*W9,0)</f>
        <v>6713.74933194113</v>
      </c>
      <c r="AD9" s="77" t="n">
        <f aca="false">AD8*(1+I9)</f>
        <v>0</v>
      </c>
      <c r="AE9" s="53" t="n">
        <f aca="false">IF((R9+U9)&lt;AD9,(R9+U9)*'HIER Rechnung Ausschütter'!O$1,AD9*'HIER Rechnung Ausschütter'!O$1)</f>
        <v>0</v>
      </c>
      <c r="AF9" s="83" t="n">
        <f aca="false">AG9-'HIER Rechnung Ausschütter'!AM9</f>
        <v>12404.3098401709</v>
      </c>
      <c r="AG9" s="53" t="n">
        <f aca="false">(AA9+R9)*0.7</f>
        <v>46510.9197681189</v>
      </c>
      <c r="AH9" s="10"/>
      <c r="AI9" s="10"/>
    </row>
    <row r="10" customFormat="false" ht="14.15" hidden="false" customHeight="false" outlineLevel="0" collapsed="false">
      <c r="A10" s="9" t="n">
        <v>7</v>
      </c>
      <c r="B10" s="40" t="n">
        <f aca="false">B9*(1+E9+G9)</f>
        <v>1.21707288122963</v>
      </c>
      <c r="C10" s="48" t="n">
        <f aca="false">C9-W9</f>
        <v>728893.83826592</v>
      </c>
      <c r="D10" s="10" t="n">
        <f aca="false">J9</f>
        <v>887116.322571614</v>
      </c>
      <c r="E10" s="45" t="n">
        <f aca="false">'HIER Rechnung Ausschütter'!E10</f>
        <v>0.103100244886629</v>
      </c>
      <c r="F10" s="42" t="n">
        <f aca="false">D10*(1+E10+G10)</f>
        <v>1011761.13303392</v>
      </c>
      <c r="G10" s="45" t="n">
        <f aca="false">'HIER Rechnung Ausschütter'!H10</f>
        <v>0.0374053543125633</v>
      </c>
      <c r="H10" s="54" t="n">
        <f aca="false">IF(K$1="Ja",(IF(E10&gt;0,I10+(E10*0.3),I10)),I10)</f>
        <v>0.08</v>
      </c>
      <c r="I10" s="70" t="n">
        <v>0.08</v>
      </c>
      <c r="J10" s="46" t="n">
        <f aca="false">B11*C11</f>
        <v>939642.609010376</v>
      </c>
      <c r="K10" s="54" t="n">
        <f aca="false">J10/D10-1</f>
        <v>0.0592101453916398</v>
      </c>
      <c r="L10" s="54" t="n">
        <f aca="false">K10-'HIER Rechnung Ausschütter'!J10</f>
        <v>-0.0073028572905034</v>
      </c>
      <c r="M10" s="53" t="n">
        <f aca="false">J10-'HIER Rechnung Ausschütter'!I10</f>
        <v>-6885.61263598909</v>
      </c>
      <c r="N10" s="54" t="n">
        <f aca="false">B11/D$1-1</f>
        <v>1.08211765247277</v>
      </c>
      <c r="O10" s="54" t="n">
        <f aca="false">U10/F10</f>
        <v>0.0712666781425071</v>
      </c>
      <c r="P10" s="59" t="n">
        <f aca="false">(B11*C10)-(B10*C10)</f>
        <v>124644.894945124</v>
      </c>
      <c r="Q10" s="59" t="n">
        <f aca="false">IF(H10&gt;0, IF(P10&gt;0,D10*H10*0.7,0),0)</f>
        <v>49678.5140640104</v>
      </c>
      <c r="R10" s="74" t="n">
        <f aca="false">IF(P10&gt;0,MIN(P10,Q10),0)</f>
        <v>49678.5140640104</v>
      </c>
      <c r="S10" s="53" t="n">
        <f aca="false">R10*V$1</f>
        <v>9171.89565906792</v>
      </c>
      <c r="T10" s="53" t="n">
        <f aca="false">T9+R10-AC10</f>
        <v>174109.238240849</v>
      </c>
      <c r="U10" s="53" t="n">
        <f aca="false">V10+AB10+S10-AE10</f>
        <v>72104.8550250269</v>
      </c>
      <c r="V10" s="53" t="n">
        <f aca="false">V9*(1+I10)</f>
        <v>57777.1053053726</v>
      </c>
      <c r="W10" s="75" t="n">
        <f aca="false">U10/B11</f>
        <v>51945.8073634848</v>
      </c>
      <c r="X10" s="53" t="n">
        <f aca="false">U10-S10-AB10+AE10</f>
        <v>57777.1053053726</v>
      </c>
      <c r="Y10" s="42"/>
      <c r="Z10" s="53" t="n">
        <f aca="false">W10*D$1+AC10</f>
        <v>44178.7666806183</v>
      </c>
      <c r="AA10" s="53" t="n">
        <f aca="false">U10-Z10</f>
        <v>27926.0883444086</v>
      </c>
      <c r="AB10" s="53" t="n">
        <f aca="false">AA10*V$1</f>
        <v>5155.85406058643</v>
      </c>
      <c r="AC10" s="76" t="n">
        <f aca="false">IF(T9&gt;0,(T9/C10)*W10,0)</f>
        <v>9548.22842097986</v>
      </c>
      <c r="AD10" s="77" t="n">
        <f aca="false">AD9*(1+I10)</f>
        <v>0</v>
      </c>
      <c r="AE10" s="53" t="n">
        <f aca="false">IF((R10+U10)&lt;AD10,(R10+U10)*'HIER Rechnung Ausschütter'!O$1,AD10*'HIER Rechnung Ausschütter'!O$1)</f>
        <v>0</v>
      </c>
      <c r="AF10" s="84" t="n">
        <f aca="false">AG10-'HIER Rechnung Ausschütter'!AM10</f>
        <v>11427.2294940576</v>
      </c>
      <c r="AG10" s="53" t="n">
        <f aca="false">(AA10+R10)*0.7</f>
        <v>54323.2216858933</v>
      </c>
      <c r="AH10" s="10"/>
      <c r="AI10" s="10"/>
    </row>
    <row r="11" customFormat="false" ht="14.15" hidden="false" customHeight="false" outlineLevel="0" collapsed="false">
      <c r="A11" s="9" t="n">
        <v>8</v>
      </c>
      <c r="B11" s="40" t="n">
        <f aca="false">B10*(1+E10+G10)</f>
        <v>1.38807843567589</v>
      </c>
      <c r="C11" s="48" t="n">
        <f aca="false">C10-W10</f>
        <v>676937.689441767</v>
      </c>
      <c r="D11" s="10" t="n">
        <f aca="false">J10</f>
        <v>939642.609010376</v>
      </c>
      <c r="E11" s="45" t="n">
        <f aca="false">'HIER Rechnung Ausschütter'!E11</f>
        <v>-0.0246355449299851</v>
      </c>
      <c r="F11" s="42" t="n">
        <f aca="false">D11*(1+E11+G11)</f>
        <v>952157.75427627</v>
      </c>
      <c r="G11" s="45" t="n">
        <f aca="false">'HIER Rechnung Ausschütter'!H11</f>
        <v>0.0379545931999169</v>
      </c>
      <c r="H11" s="54" t="n">
        <f aca="false">IF(K$1="Ja",(IF(E11&gt;0,I11+(E11*0.3),I11)),I11)</f>
        <v>0.065</v>
      </c>
      <c r="I11" s="70" t="n">
        <v>0.065</v>
      </c>
      <c r="J11" s="46" t="n">
        <f aca="false">B12*C12</f>
        <v>883994.668247881</v>
      </c>
      <c r="K11" s="54" t="n">
        <f aca="false">J11/D11-1</f>
        <v>-0.0592224535465711</v>
      </c>
      <c r="L11" s="54" t="n">
        <f aca="false">K11-'HIER Rechnung Ausschütter'!J11</f>
        <v>0.00247483714964836</v>
      </c>
      <c r="M11" s="53" t="n">
        <f aca="false">J11-'HIER Rechnung Ausschütter'!I11</f>
        <v>-4135.32655539352</v>
      </c>
      <c r="N11" s="54" t="n">
        <f aca="false">B12/D$1-1</f>
        <v>1.10984947798973</v>
      </c>
      <c r="O11" s="54" t="n">
        <f aca="false">U11/F11</f>
        <v>0.0715867427374078</v>
      </c>
      <c r="P11" s="59" t="n">
        <f aca="false">(B12*C11)-(B11*C11)</f>
        <v>12515.1452658938</v>
      </c>
      <c r="Q11" s="59" t="n">
        <f aca="false">IF(H11&gt;0, IF(P11&gt;0,D11*H11*0.7,0),0)</f>
        <v>42753.7387099721</v>
      </c>
      <c r="R11" s="74" t="n">
        <f aca="false">IF(P11&gt;0,MIN(P11,Q11),0)</f>
        <v>12515.1452658938</v>
      </c>
      <c r="S11" s="53" t="n">
        <f aca="false">R11*V$1</f>
        <v>2310.60869471564</v>
      </c>
      <c r="T11" s="53" t="n">
        <f aca="false">T10+R11-AC11</f>
        <v>174155.274319691</v>
      </c>
      <c r="U11" s="53" t="n">
        <f aca="false">V11+AB11+S11-AE11</f>
        <v>68161.8722008033</v>
      </c>
      <c r="V11" s="53" t="n">
        <f aca="false">V10*(1+I11)</f>
        <v>61532.6171502218</v>
      </c>
      <c r="W11" s="75" t="n">
        <f aca="false">U11/B12</f>
        <v>48459.764223323</v>
      </c>
      <c r="X11" s="53" t="n">
        <f aca="false">U11-S11-AB11+AE11</f>
        <v>61532.6171502218</v>
      </c>
      <c r="Y11" s="42"/>
      <c r="Z11" s="53" t="n">
        <f aca="false">W11*D$1+AC11</f>
        <v>44770.4227445223</v>
      </c>
      <c r="AA11" s="53" t="n">
        <f aca="false">U11-Z11</f>
        <v>23391.449456281</v>
      </c>
      <c r="AB11" s="53" t="n">
        <f aca="false">AA11*V$1</f>
        <v>4318.64635586587</v>
      </c>
      <c r="AC11" s="76" t="n">
        <f aca="false">IF(T10&gt;0,(T10/C11)*W11,0)</f>
        <v>12463.9132461537</v>
      </c>
      <c r="AD11" s="77" t="n">
        <f aca="false">AD10*(1+I11)</f>
        <v>0</v>
      </c>
      <c r="AE11" s="53" t="n">
        <f aca="false">IF((R11+U11)&lt;AD11,(R11+U11)*'HIER Rechnung Ausschütter'!O$1,AD11*'HIER Rechnung Ausschütter'!O$1)</f>
        <v>0</v>
      </c>
      <c r="AF11" s="85" t="n">
        <f aca="false">AG11-'HIER Rechnung Ausschütter'!AM11</f>
        <v>-7424.36192467477</v>
      </c>
      <c r="AG11" s="53" t="n">
        <f aca="false">(AA11+R11)*0.7</f>
        <v>25134.6163055223</v>
      </c>
      <c r="AH11" s="10"/>
      <c r="AI11" s="10"/>
    </row>
    <row r="12" customFormat="false" ht="14.15" hidden="false" customHeight="false" outlineLevel="0" collapsed="false">
      <c r="A12" s="9" t="n">
        <v>9</v>
      </c>
      <c r="B12" s="40" t="n">
        <f aca="false">B11*(1+E11+G11)</f>
        <v>1.4065663193631</v>
      </c>
      <c r="C12" s="48" t="n">
        <f aca="false">C11-W11</f>
        <v>628477.925218444</v>
      </c>
      <c r="D12" s="10" t="n">
        <f aca="false">J11</f>
        <v>883994.668247881</v>
      </c>
      <c r="E12" s="45" t="n">
        <f aca="false">'HIER Rechnung Ausschütter'!E12</f>
        <v>0.12678652058127</v>
      </c>
      <c r="F12" s="42" t="n">
        <f aca="false">D12*(1+E12+G12)</f>
        <v>1029624.93447167</v>
      </c>
      <c r="G12" s="45" t="n">
        <f aca="false">G11</f>
        <v>0.0379545931999169</v>
      </c>
      <c r="H12" s="54" t="n">
        <f aca="false">IF(K$1="Ja",(IF(E12&gt;0,I12+(E12*0.3),I12)),I12)</f>
        <v>0.061</v>
      </c>
      <c r="I12" s="70" t="n">
        <v>0.061</v>
      </c>
      <c r="J12" s="46" t="n">
        <f aca="false">B13*C13</f>
        <v>951214.458092859</v>
      </c>
      <c r="K12" s="54" t="n">
        <f aca="false">J12/D12-1</f>
        <v>0.0760409448828587</v>
      </c>
      <c r="L12" s="54" t="n">
        <f aca="false">K12-'HIER Rechnung Ausschütter'!J12</f>
        <v>-0.0181372917332334</v>
      </c>
      <c r="M12" s="53" t="n">
        <f aca="false">J12-'HIER Rechnung Ausschütter'!I12</f>
        <v>-20558.053506847</v>
      </c>
      <c r="N12" s="54" t="n">
        <f aca="false">B13/D$1-1</f>
        <v>1.45742843090442</v>
      </c>
      <c r="O12" s="54" t="n">
        <f aca="false">U12/F12</f>
        <v>0.0761349941039989</v>
      </c>
      <c r="P12" s="59" t="n">
        <f aca="false">(B13*C12)-(B12*C12)</f>
        <v>145630.466191095</v>
      </c>
      <c r="Q12" s="59" t="n">
        <f aca="false">IF(H12&gt;0, IF(P12&gt;0,D12*H12*0.7,0),0)</f>
        <v>37746.5723341845</v>
      </c>
      <c r="R12" s="74" t="n">
        <f aca="false">IF(P12&gt;0,MIN(P12,Q12),0)</f>
        <v>37746.5723341845</v>
      </c>
      <c r="S12" s="53" t="n">
        <f aca="false">R12*V$1</f>
        <v>6968.96091719881</v>
      </c>
      <c r="T12" s="53" t="n">
        <f aca="false">T11+R12-AC12</f>
        <v>198642.554076918</v>
      </c>
      <c r="U12" s="53" t="n">
        <f aca="false">V12+AB12+S12-AE12</f>
        <v>78390.4883153307</v>
      </c>
      <c r="V12" s="53" t="n">
        <f aca="false">V11*(1+I12)</f>
        <v>65286.1067963853</v>
      </c>
      <c r="W12" s="75" t="n">
        <f aca="false">U12/B13</f>
        <v>47849.0974286188</v>
      </c>
      <c r="X12" s="53" t="n">
        <f aca="false">U12-S12-AB12+AE12</f>
        <v>65286.1067963853</v>
      </c>
      <c r="Y12" s="42"/>
      <c r="Z12" s="53" t="n">
        <f aca="false">W12*D$1+AC12</f>
        <v>45158.6908786534</v>
      </c>
      <c r="AA12" s="53" t="n">
        <f aca="false">U12-Z12</f>
        <v>33231.7974366775</v>
      </c>
      <c r="AB12" s="53" t="n">
        <f aca="false">AA12*V$1</f>
        <v>6135.42060174658</v>
      </c>
      <c r="AC12" s="76" t="n">
        <f aca="false">IF(T11&gt;0,(T11/C12)*W12,0)</f>
        <v>13259.2925769577</v>
      </c>
      <c r="AD12" s="77" t="n">
        <f aca="false">AD11*(1+I12)</f>
        <v>0</v>
      </c>
      <c r="AE12" s="53" t="n">
        <f aca="false">IF((R12+U12)&lt;AD12,(R12+U12)*'HIER Rechnung Ausschütter'!O$1,AD12*'HIER Rechnung Ausschütter'!O$1)</f>
        <v>0</v>
      </c>
      <c r="AF12" s="86" t="n">
        <f aca="false">AG12-'HIER Rechnung Ausschütter'!AM12</f>
        <v>8815.41596818565</v>
      </c>
      <c r="AG12" s="53" t="n">
        <f aca="false">(AA12+R12)*0.7</f>
        <v>49684.8588396034</v>
      </c>
      <c r="AH12" s="10"/>
      <c r="AI12" s="10"/>
    </row>
    <row r="13" customFormat="false" ht="14.15" hidden="false" customHeight="false" outlineLevel="0" collapsed="false">
      <c r="A13" s="9" t="n">
        <v>10</v>
      </c>
      <c r="B13" s="40" t="n">
        <f aca="false">B12*(1+E12+G12)</f>
        <v>1.63828562142209</v>
      </c>
      <c r="C13" s="48" t="n">
        <f aca="false">C12-W12</f>
        <v>580615.764220144</v>
      </c>
      <c r="D13" s="10" t="n">
        <f aca="false">J12</f>
        <v>951214.458092859</v>
      </c>
      <c r="E13" s="45" t="n">
        <f aca="false">'HIER Rechnung Ausschütter'!E13</f>
        <v>0.0721377167157344</v>
      </c>
      <c r="F13" s="42" t="n">
        <f aca="false">D13*(1+E13+G13)</f>
        <v>1063948.71226142</v>
      </c>
      <c r="G13" s="45" t="n">
        <f aca="false">'HIER Rechnung Ausschütter'!H13</f>
        <v>0.0463784109665401</v>
      </c>
      <c r="H13" s="54" t="n">
        <f aca="false">IF(K$1="Ja",(IF(E13&gt;0,I13+(E13*0.3),I13)),I13)</f>
        <v>0.076</v>
      </c>
      <c r="I13" s="70" t="n">
        <v>0.076</v>
      </c>
      <c r="J13" s="46" t="n">
        <f aca="false">B14*C14</f>
        <v>977153.226630884</v>
      </c>
      <c r="K13" s="54" t="n">
        <f aca="false">J13/D13-1</f>
        <v>0.0272691066849751</v>
      </c>
      <c r="L13" s="54" t="n">
        <f aca="false">K13-'HIER Rechnung Ausschütter'!J13</f>
        <v>-0.00972538811677648</v>
      </c>
      <c r="M13" s="53" t="n">
        <f aca="false">J13-'HIER Rechnung Ausschütter'!I13</f>
        <v>-30569.5180976824</v>
      </c>
      <c r="N13" s="54" t="n">
        <f aca="false">B14/D$1-1</f>
        <v>1.74867333259154</v>
      </c>
      <c r="O13" s="54" t="n">
        <f aca="false">U13/F13</f>
        <v>0.0815766545342276</v>
      </c>
      <c r="P13" s="59" t="n">
        <f aca="false">(B14*C13)-(B13*C13)</f>
        <v>112734.254168559</v>
      </c>
      <c r="Q13" s="59" t="n">
        <f aca="false">IF(H13&gt;0, IF(P13&gt;0,D13*H13*0.7,0),0)</f>
        <v>50604.6091705401</v>
      </c>
      <c r="R13" s="74" t="n">
        <f aca="false">IF(P13&gt;0,MIN(P13,Q13),0)</f>
        <v>50604.6091705401</v>
      </c>
      <c r="S13" s="53" t="n">
        <f aca="false">R13*V$1</f>
        <v>9342.87596811096</v>
      </c>
      <c r="T13" s="53" t="n">
        <f aca="false">T12+R13-AC13</f>
        <v>233034.618884965</v>
      </c>
      <c r="U13" s="53" t="n">
        <f aca="false">V13+AB13+S13-AE13</f>
        <v>86793.376542286</v>
      </c>
      <c r="V13" s="53" t="n">
        <f aca="false">V12*(1+I13)</f>
        <v>70247.8509129106</v>
      </c>
      <c r="W13" s="75" t="n">
        <f aca="false">U13/B14</f>
        <v>47364.6916149133</v>
      </c>
      <c r="X13" s="53" t="n">
        <f aca="false">U13-S13-AB13+AE13</f>
        <v>70247.8509129106</v>
      </c>
      <c r="Y13" s="42"/>
      <c r="Z13" s="53" t="n">
        <f aca="false">W13*D$1+AC13</f>
        <v>47781.0561021264</v>
      </c>
      <c r="AA13" s="53" t="n">
        <f aca="false">U13-Z13</f>
        <v>39012.3204401596</v>
      </c>
      <c r="AB13" s="53" t="n">
        <f aca="false">AA13*V$1</f>
        <v>7202.64966126447</v>
      </c>
      <c r="AC13" s="76" t="n">
        <f aca="false">IF(T12&gt;0,(T12/C13)*W13,0)</f>
        <v>16204.5950097293</v>
      </c>
      <c r="AD13" s="77" t="n">
        <f aca="false">AD12*(1+I13)</f>
        <v>0</v>
      </c>
      <c r="AE13" s="53" t="n">
        <f aca="false">IF((R13+U13)&lt;AD13,(R13+U13)*'HIER Rechnung Ausschütter'!O$1,AD13*'HIER Rechnung Ausschütter'!O$1)</f>
        <v>0</v>
      </c>
      <c r="AF13" s="87" t="n">
        <f aca="false">AG13-'HIER Rechnung Ausschütter'!AM13</f>
        <v>16385.5952367105</v>
      </c>
      <c r="AG13" s="53" t="n">
        <f aca="false">(AA13+R13)*0.7</f>
        <v>62731.8507274898</v>
      </c>
      <c r="AH13" s="10"/>
      <c r="AI13" s="10"/>
    </row>
    <row r="14" customFormat="false" ht="14.15" hidden="false" customHeight="false" outlineLevel="0" collapsed="false">
      <c r="A14" s="9" t="n">
        <v>11</v>
      </c>
      <c r="B14" s="40" t="n">
        <f aca="false">B13*(1+E13+G13)</f>
        <v>1.83244888931058</v>
      </c>
      <c r="C14" s="48" t="n">
        <f aca="false">C13-W13</f>
        <v>533251.072605231</v>
      </c>
      <c r="D14" s="10" t="n">
        <f aca="false">J13</f>
        <v>977153.226630884</v>
      </c>
      <c r="E14" s="45" t="n">
        <f aca="false">'HIER Rechnung Ausschütter'!E14</f>
        <v>0.214544511483513</v>
      </c>
      <c r="F14" s="42" t="n">
        <f aca="false">D14*(1+E14+G14)</f>
        <v>1238848.94921523</v>
      </c>
      <c r="G14" s="45" t="n">
        <f aca="false">'HIER Rechnung Ausschütter'!H14</f>
        <v>0.0532699064114622</v>
      </c>
      <c r="H14" s="54" t="n">
        <f aca="false">IF(K$1="Ja",(IF(E14&gt;0,I14+(E14*0.3),I14)),I14)</f>
        <v>0.084</v>
      </c>
      <c r="I14" s="70" t="n">
        <v>0.084</v>
      </c>
      <c r="J14" s="46" t="n">
        <f aca="false">B15*C15</f>
        <v>1142752.00417512</v>
      </c>
      <c r="K14" s="54" t="n">
        <f aca="false">J14/D14-1</f>
        <v>0.169470634728605</v>
      </c>
      <c r="L14" s="54" t="n">
        <f aca="false">K14-'HIER Rechnung Ausschütter'!J14</f>
        <v>-0.0199897630284156</v>
      </c>
      <c r="M14" s="53" t="n">
        <f aca="false">J14-'HIER Rechnung Ausschütter'!I14</f>
        <v>-55894.2925985127</v>
      </c>
      <c r="N14" s="54" t="n">
        <f aca="false">B15/D$1-1</f>
        <v>2.48480768114298</v>
      </c>
      <c r="O14" s="54" t="n">
        <f aca="false">U14/F14</f>
        <v>0.0775454004197244</v>
      </c>
      <c r="P14" s="59" t="n">
        <f aca="false">(B15*C14)-(B14*C14)</f>
        <v>261696.287428588</v>
      </c>
      <c r="Q14" s="59" t="n">
        <f aca="false">IF(H14&gt;0, IF(P14&gt;0,D14*H14*0.7,0),0)</f>
        <v>57456.609725896</v>
      </c>
      <c r="R14" s="74" t="n">
        <f aca="false">IF(P14&gt;0,MIN(P14,Q14),0)</f>
        <v>57456.609725896</v>
      </c>
      <c r="S14" s="53" t="n">
        <f aca="false">R14*V$1</f>
        <v>10607.9265706435</v>
      </c>
      <c r="T14" s="53" t="n">
        <f aca="false">T13+R14-AC14</f>
        <v>272420.504781632</v>
      </c>
      <c r="U14" s="53" t="n">
        <f aca="false">V14+AB14+S14-AE14</f>
        <v>96067.0378264499</v>
      </c>
      <c r="V14" s="53" t="n">
        <f aca="false">V13*(1+I14)</f>
        <v>76148.6703895951</v>
      </c>
      <c r="W14" s="75" t="n">
        <f aca="false">U14/B15</f>
        <v>41351.0786972213</v>
      </c>
      <c r="X14" s="53" t="n">
        <f aca="false">U14-S14-AB14+AE14</f>
        <v>76148.6703895951</v>
      </c>
      <c r="Y14" s="42"/>
      <c r="Z14" s="53" t="n">
        <f aca="false">W14*D$1+AC14</f>
        <v>45638.1096411703</v>
      </c>
      <c r="AA14" s="53" t="n">
        <f aca="false">U14-Z14</f>
        <v>50428.9281853013</v>
      </c>
      <c r="AB14" s="53" t="n">
        <f aca="false">AA14*V$1</f>
        <v>9310.44086621125</v>
      </c>
      <c r="AC14" s="76" t="n">
        <f aca="false">IF(T13&gt;0,(T13/C14)*W14,0)</f>
        <v>18070.7238292288</v>
      </c>
      <c r="AD14" s="77" t="n">
        <f aca="false">AD13*(1+I14)</f>
        <v>0</v>
      </c>
      <c r="AE14" s="53" t="n">
        <f aca="false">IF((R14+U14)&lt;AD14,(R14+U14)*'HIER Rechnung Ausschütter'!O$1,AD14*'HIER Rechnung Ausschütter'!O$1)</f>
        <v>0</v>
      </c>
      <c r="AF14" s="88" t="n">
        <f aca="false">AG14-'HIER Rechnung Ausschütter'!AM14</f>
        <v>21197.6572585537</v>
      </c>
      <c r="AG14" s="53" t="n">
        <f aca="false">(AA14+R14)*0.7</f>
        <v>75519.876537838</v>
      </c>
      <c r="AH14" s="10"/>
      <c r="AI14" s="10"/>
    </row>
    <row r="15" customFormat="false" ht="14.15" hidden="false" customHeight="false" outlineLevel="0" collapsed="false">
      <c r="A15" s="9" t="n">
        <v>12</v>
      </c>
      <c r="B15" s="40" t="n">
        <f aca="false">B14*(1+E14+G14)</f>
        <v>2.32320512192359</v>
      </c>
      <c r="C15" s="48" t="n">
        <f aca="false">C14-W14</f>
        <v>491885.96968525</v>
      </c>
      <c r="D15" s="10" t="n">
        <f aca="false">J14</f>
        <v>1142752.00417512</v>
      </c>
      <c r="E15" s="45" t="n">
        <f aca="false">'HIER Rechnung Ausschütter'!E15</f>
        <v>-0.0791820534076921</v>
      </c>
      <c r="F15" s="42" t="n">
        <f aca="false">D15*(1+E15+G15)</f>
        <v>1097077.94137087</v>
      </c>
      <c r="G15" s="45" t="n">
        <f aca="false">'HIER Rechnung Ausschütter'!H15</f>
        <v>0.0392135714996514</v>
      </c>
      <c r="H15" s="54" t="n">
        <f aca="false">IF(K$1="Ja",(IF(E15&gt;0,I15+(E15*0.3),I15)),I15)</f>
        <v>0.101</v>
      </c>
      <c r="I15" s="70" t="n">
        <v>0.101</v>
      </c>
      <c r="J15" s="46" t="n">
        <f aca="false">B16*C16</f>
        <v>1005586.58366202</v>
      </c>
      <c r="K15" s="54" t="n">
        <f aca="false">J15/D15-1</f>
        <v>-0.12003078534272</v>
      </c>
      <c r="L15" s="54" t="n">
        <f aca="false">K15-'HIER Rechnung Ausschütter'!J15</f>
        <v>0.0035567216537763</v>
      </c>
      <c r="M15" s="53" t="n">
        <f aca="false">J15-'HIER Rechnung Ausschütter'!I15</f>
        <v>-44922.0055227838</v>
      </c>
      <c r="N15" s="54" t="n">
        <f aca="false">B16/D$1-1</f>
        <v>2.34552520838621</v>
      </c>
      <c r="O15" s="54" t="n">
        <f aca="false">U15/F15</f>
        <v>0.0833919939329669</v>
      </c>
      <c r="P15" s="59" t="n">
        <f aca="false">(B16*C15)-(B15*C15)</f>
        <v>-45674.0628042507</v>
      </c>
      <c r="Q15" s="59" t="n">
        <f aca="false">IF(H15&gt;0, IF(P15&gt;0,D15*H15*0.7,0),0)</f>
        <v>0</v>
      </c>
      <c r="R15" s="74" t="n">
        <f aca="false">IF(P15&gt;0,MIN(P15,Q15),0)</f>
        <v>0</v>
      </c>
      <c r="S15" s="53" t="n">
        <f aca="false">R15*V$1</f>
        <v>0</v>
      </c>
      <c r="T15" s="53" t="n">
        <f aca="false">T14+R15-AC15</f>
        <v>249686.073391859</v>
      </c>
      <c r="U15" s="53" t="n">
        <f aca="false">V15+AB15+S15-AE15</f>
        <v>91487.5170307916</v>
      </c>
      <c r="V15" s="53" t="n">
        <f aca="false">V14*(1+I15)</f>
        <v>83839.6860989442</v>
      </c>
      <c r="W15" s="75" t="n">
        <f aca="false">U15/B16</f>
        <v>41019.3517997039</v>
      </c>
      <c r="X15" s="53" t="n">
        <f aca="false">U15-S15-AB15+AE15</f>
        <v>83839.6860989442</v>
      </c>
      <c r="Y15" s="42"/>
      <c r="Z15" s="53" t="n">
        <f aca="false">W15*D$1+AC15</f>
        <v>50063.9236287753</v>
      </c>
      <c r="AA15" s="53" t="n">
        <f aca="false">U15-Z15</f>
        <v>41423.5934020174</v>
      </c>
      <c r="AB15" s="53" t="n">
        <f aca="false">AA15*V$1</f>
        <v>7647.83093184746</v>
      </c>
      <c r="AC15" s="76" t="n">
        <f aca="false">IF(T14&gt;0,(T14/C15)*W15,0)</f>
        <v>22717.6890819659</v>
      </c>
      <c r="AD15" s="77" t="n">
        <f aca="false">AD14*(1+I15)</f>
        <v>0</v>
      </c>
      <c r="AE15" s="53" t="n">
        <f aca="false">IF((R15+U15)&lt;AD15,(R15+U15)*'HIER Rechnung Ausschütter'!O$1,AD15*'HIER Rechnung Ausschütter'!O$1)</f>
        <v>0</v>
      </c>
      <c r="AF15" s="89" t="n">
        <f aca="false">AG15-'HIER Rechnung Ausschütter'!AM15</f>
        <v>-19034.3418370386</v>
      </c>
      <c r="AG15" s="53" t="n">
        <f aca="false">(AA15+R15)*0.7</f>
        <v>28996.5153814122</v>
      </c>
      <c r="AH15" s="10"/>
      <c r="AI15" s="10"/>
    </row>
    <row r="16" customFormat="false" ht="14.15" hidden="false" customHeight="false" outlineLevel="0" collapsed="false">
      <c r="A16" s="9" t="n">
        <v>13</v>
      </c>
      <c r="B16" s="40" t="n">
        <f aca="false">B15*(1+E15+G15)</f>
        <v>2.23035014003932</v>
      </c>
      <c r="C16" s="48" t="n">
        <f aca="false">C15-W15</f>
        <v>450866.617885546</v>
      </c>
      <c r="D16" s="10" t="n">
        <f aca="false">J15</f>
        <v>1005586.58366202</v>
      </c>
      <c r="E16" s="45" t="n">
        <f aca="false">'HIER Rechnung Ausschütter'!E16</f>
        <v>0.0582185240758424</v>
      </c>
      <c r="F16" s="42" t="n">
        <f aca="false">D16*(1+E16+G16)</f>
        <v>1110718.89104709</v>
      </c>
      <c r="G16" s="45" t="n">
        <f aca="false">'HIER Rechnung Ausschütter'!H16</f>
        <v>0.0463297158203376</v>
      </c>
      <c r="H16" s="54" t="n">
        <f aca="false">IF(K$1="Ja",(IF(E16&gt;0,I16+(E16*0.3),I16)),I16)</f>
        <v>0.089</v>
      </c>
      <c r="I16" s="70" t="n">
        <v>0.089</v>
      </c>
      <c r="J16" s="46" t="n">
        <f aca="false">B17*C17</f>
        <v>997253.377213431</v>
      </c>
      <c r="K16" s="54" t="n">
        <f aca="false">J16/D16-1</f>
        <v>-0.00828691092738931</v>
      </c>
      <c r="L16" s="54" t="n">
        <f aca="false">K16-'HIER Rechnung Ausschütter'!J16</f>
        <v>-0.0129390360944854</v>
      </c>
      <c r="M16" s="53" t="n">
        <f aca="false">J16-'HIER Rechnung Ausschütter'!I16</f>
        <v>-58142.3094173658</v>
      </c>
      <c r="N16" s="54" t="n">
        <f aca="false">B17/D$1-1</f>
        <v>2.69529398045129</v>
      </c>
      <c r="O16" s="54" t="n">
        <f aca="false">U16/F16</f>
        <v>0.102127948888861</v>
      </c>
      <c r="P16" s="59" t="n">
        <f aca="false">(B17*C16)-(B16*C16)</f>
        <v>105132.708921208</v>
      </c>
      <c r="Q16" s="59" t="n">
        <f aca="false">IF(H16&gt;0, IF(P16&gt;0,D16*H16*0.7,0),0)</f>
        <v>62648.0441621436</v>
      </c>
      <c r="R16" s="74" t="n">
        <f aca="false">IF(P16&gt;0,MIN(P16,Q16),0)</f>
        <v>62648.0441621436</v>
      </c>
      <c r="S16" s="53" t="n">
        <f aca="false">R16*V$1</f>
        <v>11566.3951534358</v>
      </c>
      <c r="T16" s="53" t="n">
        <f aca="false">T15+R16-AC16</f>
        <v>286834.288404921</v>
      </c>
      <c r="U16" s="53" t="n">
        <f aca="false">V16+AB16+S16-AE16</f>
        <v>113435.44213475</v>
      </c>
      <c r="V16" s="53" t="n">
        <f aca="false">V15*(1+I16)</f>
        <v>91301.4181617502</v>
      </c>
      <c r="W16" s="75" t="n">
        <f aca="false">U16/B17</f>
        <v>46045.9070420882</v>
      </c>
      <c r="X16" s="53" t="n">
        <f aca="false">U16-S16-AB16+AE16</f>
        <v>91301.4181617502</v>
      </c>
      <c r="Y16" s="42"/>
      <c r="Z16" s="53" t="n">
        <f aca="false">W16*D$1+AC16</f>
        <v>56197.1005259058</v>
      </c>
      <c r="AA16" s="53" t="n">
        <f aca="false">U16-Z16</f>
        <v>57238.3416090125</v>
      </c>
      <c r="AB16" s="53" t="n">
        <f aca="false">AA16*V$1</f>
        <v>10567.6288195639</v>
      </c>
      <c r="AC16" s="76" t="n">
        <f aca="false">IF(T15&gt;0,(T15/C16)*W16,0)</f>
        <v>25499.8291490813</v>
      </c>
      <c r="AD16" s="77" t="n">
        <f aca="false">AD15*(1+I16)</f>
        <v>0</v>
      </c>
      <c r="AE16" s="53" t="n">
        <f aca="false">IF((R16+U16)&lt;AD16,(R16+U16)*'HIER Rechnung Ausschütter'!O$1,AD16*'HIER Rechnung Ausschütter'!O$1)</f>
        <v>0</v>
      </c>
      <c r="AF16" s="90" t="n">
        <f aca="false">AG16-'HIER Rechnung Ausschütter'!AM16</f>
        <v>21460.6018386782</v>
      </c>
      <c r="AG16" s="53" t="n">
        <f aca="false">(AA16+R16)*0.7</f>
        <v>83920.4700398093</v>
      </c>
      <c r="AH16" s="10"/>
      <c r="AI16" s="10"/>
    </row>
    <row r="17" customFormat="false" ht="14.15" hidden="false" customHeight="false" outlineLevel="0" collapsed="false">
      <c r="A17" s="9" t="n">
        <v>14</v>
      </c>
      <c r="B17" s="40" t="n">
        <f aca="false">B16*(1+E16+G16)</f>
        <v>2.46352932153263</v>
      </c>
      <c r="C17" s="48" t="n">
        <f aca="false">C16-W16</f>
        <v>404806.782081657</v>
      </c>
      <c r="D17" s="10" t="n">
        <f aca="false">J16</f>
        <v>997253.377213431</v>
      </c>
      <c r="E17" s="45" t="n">
        <f aca="false">'HIER Rechnung Ausschütter'!E17</f>
        <v>0.18559385392766</v>
      </c>
      <c r="F17" s="42" t="n">
        <f aca="false">D17*(1+E17+G17)</f>
        <v>1222350.33191796</v>
      </c>
      <c r="G17" s="45" t="n">
        <f aca="false">'HIER Rechnung Ausschütter'!H17</f>
        <v>0.0401230599959642</v>
      </c>
      <c r="H17" s="54" t="n">
        <f aca="false">IF(K$1="Ja",(IF(E17&gt;0,I17+(E17*0.3),I17)),I17)</f>
        <v>0.081</v>
      </c>
      <c r="I17" s="70" t="n">
        <v>0.081</v>
      </c>
      <c r="J17" s="46" t="n">
        <f aca="false">B18*C18</f>
        <v>1101010.62980562</v>
      </c>
      <c r="K17" s="54" t="n">
        <f aca="false">J17/D17-1</f>
        <v>0.104043019520391</v>
      </c>
      <c r="L17" s="54" t="n">
        <f aca="false">K17-'HIER Rechnung Ausschütter'!J17</f>
        <v>-0.0187453933176924</v>
      </c>
      <c r="M17" s="53" t="n">
        <f aca="false">J17-'HIER Rechnung Ausschütter'!I17</f>
        <v>-83975.4181027277</v>
      </c>
      <c r="N17" s="54" t="n">
        <f aca="false">B18/D$1-1</f>
        <v>3.5293843337593</v>
      </c>
      <c r="O17" s="54" t="n">
        <f aca="false">U17/F17</f>
        <v>0.099263956834632</v>
      </c>
      <c r="P17" s="59" t="n">
        <f aca="false">(B18*C17)-(B17*C17)</f>
        <v>225096.954704528</v>
      </c>
      <c r="Q17" s="59" t="n">
        <f aca="false">IF(H17&gt;0, IF(P17&gt;0,D17*H17*0.7,0),0)</f>
        <v>56544.2664880016</v>
      </c>
      <c r="R17" s="74" t="n">
        <f aca="false">IF(P17&gt;0,MIN(P17,Q17),0)</f>
        <v>56544.2664880016</v>
      </c>
      <c r="S17" s="53" t="n">
        <f aca="false">R17*V$1</f>
        <v>10439.4852003473</v>
      </c>
      <c r="T17" s="53" t="n">
        <f aca="false">T16+R17-AC17</f>
        <v>314889.414536425</v>
      </c>
      <c r="U17" s="53" t="n">
        <f aca="false">V17+AB17+S17-AE17</f>
        <v>121335.330584302</v>
      </c>
      <c r="V17" s="53" t="n">
        <f aca="false">V16*(1+I17)</f>
        <v>98696.8330328519</v>
      </c>
      <c r="W17" s="75" t="n">
        <f aca="false">U17/B18</f>
        <v>40182.7229429199</v>
      </c>
      <c r="X17" s="53" t="n">
        <f aca="false">U17-S17-AB17+AE17</f>
        <v>98696.8330328519</v>
      </c>
      <c r="Y17" s="42"/>
      <c r="Z17" s="53" t="n">
        <f aca="false">W17*D$1+AC17</f>
        <v>55260.7883982814</v>
      </c>
      <c r="AA17" s="53" t="n">
        <f aca="false">U17-Z17</f>
        <v>66074.5421860694</v>
      </c>
      <c r="AB17" s="53" t="n">
        <f aca="false">AA17*V$1</f>
        <v>12199.0123511031</v>
      </c>
      <c r="AC17" s="76" t="n">
        <f aca="false">IF(T16&gt;0,(T16/C17)*W17,0)</f>
        <v>28472.3064229299</v>
      </c>
      <c r="AD17" s="77" t="n">
        <f aca="false">AD16*(1+I17)</f>
        <v>0</v>
      </c>
      <c r="AE17" s="53" t="n">
        <f aca="false">IF((R17+U17)&lt;AD17,(R17+U17)*'HIER Rechnung Ausschütter'!O$1,AD17*'HIER Rechnung Ausschütter'!O$1)</f>
        <v>0</v>
      </c>
      <c r="AF17" s="91" t="n">
        <f aca="false">AG17-'HIER Rechnung Ausschütter'!AM17</f>
        <v>18373.2019727691</v>
      </c>
      <c r="AG17" s="53" t="n">
        <f aca="false">(AA17+R17)*0.7</f>
        <v>85833.1660718496</v>
      </c>
      <c r="AH17" s="10"/>
      <c r="AI17" s="10"/>
    </row>
    <row r="18" customFormat="false" ht="14.15" hidden="false" customHeight="false" outlineLevel="0" collapsed="false">
      <c r="A18" s="9" t="n">
        <v>15</v>
      </c>
      <c r="B18" s="40" t="n">
        <f aca="false">B17*(1+E17+G17)</f>
        <v>3.01958955734933</v>
      </c>
      <c r="C18" s="48" t="n">
        <f aca="false">C17-W17</f>
        <v>364624.059138738</v>
      </c>
      <c r="D18" s="10" t="n">
        <f aca="false">J17</f>
        <v>1101010.62980562</v>
      </c>
      <c r="E18" s="45" t="n">
        <f aca="false">'HIER Rechnung Ausschütter'!E18</f>
        <v>0.017683961033313</v>
      </c>
      <c r="F18" s="42" t="n">
        <f aca="false">D18*(1+E18+G18)</f>
        <v>1157968.78869629</v>
      </c>
      <c r="G18" s="45" t="n">
        <f aca="false">'HIER Rechnung Ausschütter'!H18</f>
        <v>0.0340486538468229</v>
      </c>
      <c r="H18" s="54" t="n">
        <f aca="false">IF(K$1="Ja",(IF(E18&gt;0,I18+(E18*0.3),I18)),I18)</f>
        <v>0.08</v>
      </c>
      <c r="I18" s="70" t="n">
        <v>0.08</v>
      </c>
      <c r="J18" s="46" t="n">
        <f aca="false">B19*C19</f>
        <v>1028431.71341983</v>
      </c>
      <c r="K18" s="54" t="n">
        <f aca="false">J18/D18-1</f>
        <v>-0.0659202685432837</v>
      </c>
      <c r="L18" s="54" t="n">
        <f aca="false">K18-'HIER Rechnung Ausschütter'!J18</f>
        <v>-0.0149542104646546</v>
      </c>
      <c r="M18" s="53" t="n">
        <f aca="false">J18-'HIER Rechnung Ausschütter'!I18</f>
        <v>-96160.2667484621</v>
      </c>
      <c r="N18" s="54" t="n">
        <f aca="false">B19/D$1-1</f>
        <v>3.76370122914179</v>
      </c>
      <c r="O18" s="54" t="n">
        <f aca="false">U18/F18</f>
        <v>0.111830740374702</v>
      </c>
      <c r="P18" s="59" t="n">
        <f aca="false">(B19*C18)-(B18*C18)</f>
        <v>56958.3850412462</v>
      </c>
      <c r="Q18" s="59" t="n">
        <f aca="false">IF(H18&gt;0, IF(P18&gt;0,D18*H18*0.7,0),0)</f>
        <v>61656.5952691149</v>
      </c>
      <c r="R18" s="74" t="n">
        <f aca="false">IF(P18&gt;0,MIN(P18,Q18),0)</f>
        <v>56958.3850412462</v>
      </c>
      <c r="S18" s="53" t="n">
        <f aca="false">R18*V$1</f>
        <v>10515.9000851899</v>
      </c>
      <c r="T18" s="53" t="n">
        <f aca="false">T17+R18-AC18</f>
        <v>336633.623030684</v>
      </c>
      <c r="U18" s="53" t="n">
        <f aca="false">V18+AB18+S18-AE18</f>
        <v>129496.506970703</v>
      </c>
      <c r="V18" s="53" t="n">
        <f aca="false">V17*(1+I18)</f>
        <v>106592.57967548</v>
      </c>
      <c r="W18" s="75" t="n">
        <f aca="false">U18/B19</f>
        <v>40776.0165920244</v>
      </c>
      <c r="X18" s="53" t="n">
        <f aca="false">U18-S18-AB18+AE18</f>
        <v>106592.57967548</v>
      </c>
      <c r="Y18" s="42"/>
      <c r="Z18" s="53" t="n">
        <f aca="false">W18*D$1+AC18</f>
        <v>62398.1876232972</v>
      </c>
      <c r="AA18" s="53" t="n">
        <f aca="false">U18-Z18</f>
        <v>67098.3193502141</v>
      </c>
      <c r="AB18" s="53" t="n">
        <f aca="false">AA18*V$1</f>
        <v>12388.0272100333</v>
      </c>
      <c r="AC18" s="76" t="n">
        <f aca="false">IF(T17&gt;0,(T17/C18)*W18,0)</f>
        <v>35214.1765469874</v>
      </c>
      <c r="AD18" s="77" t="n">
        <f aca="false">AD17*(1+I18)</f>
        <v>0</v>
      </c>
      <c r="AE18" s="53" t="n">
        <f aca="false">IF((R18+U18)&lt;AD18,(R18+U18)*'HIER Rechnung Ausschütter'!O$1,AD18*'HIER Rechnung Ausschütter'!O$1)</f>
        <v>0</v>
      </c>
      <c r="AF18" s="92" t="n">
        <f aca="false">AG18-'HIER Rechnung Ausschütter'!AM18</f>
        <v>26868.4594284738</v>
      </c>
      <c r="AG18" s="53" t="n">
        <f aca="false">(AA18+R18)*0.7</f>
        <v>86839.6930740222</v>
      </c>
      <c r="AH18" s="10"/>
      <c r="AI18" s="10"/>
    </row>
    <row r="19" customFormat="false" ht="14.15" hidden="false" customHeight="false" outlineLevel="0" collapsed="false">
      <c r="A19" s="9" t="n">
        <v>16</v>
      </c>
      <c r="B19" s="40" t="n">
        <f aca="false">B18*(1+E18+G18)</f>
        <v>3.17580082101576</v>
      </c>
      <c r="C19" s="48" t="n">
        <f aca="false">C18-W18</f>
        <v>323833.820626978</v>
      </c>
      <c r="D19" s="10" t="n">
        <f aca="false">J18</f>
        <v>1028431.71341983</v>
      </c>
      <c r="E19" s="45" t="n">
        <f aca="false">'HIER Rechnung Ausschütter'!E19</f>
        <v>0.370230495980342</v>
      </c>
      <c r="F19" s="42" t="n">
        <f aca="false">D19*(1+E19+G19)</f>
        <v>1450680.19676968</v>
      </c>
      <c r="G19" s="45" t="n">
        <f aca="false">'HIER Rechnung Ausschütter'!H19</f>
        <v>0.0403446329659957</v>
      </c>
      <c r="H19" s="54" t="n">
        <f aca="false">IF(K$1="Ja",(IF(E19&gt;0,I19+(E19*0.3),I19)),I19)</f>
        <v>0.07</v>
      </c>
      <c r="I19" s="70" t="n">
        <v>0.07</v>
      </c>
      <c r="J19" s="46" t="n">
        <f aca="false">B20*C20</f>
        <v>1311395.50780134</v>
      </c>
      <c r="K19" s="54" t="n">
        <f aca="false">J19/D19-1</f>
        <v>0.275141062541316</v>
      </c>
      <c r="L19" s="54" t="n">
        <f aca="false">K19-'HIER Rechnung Ausschütter'!J19</f>
        <v>-0.0313007776247163</v>
      </c>
      <c r="M19" s="53" t="n">
        <f aca="false">J19-'HIER Rechnung Ausschütter'!I19</f>
        <v>-157818.508205677</v>
      </c>
      <c r="N19" s="54" t="n">
        <f aca="false">B20/D$1-1</f>
        <v>5.71955847555851</v>
      </c>
      <c r="O19" s="54" t="n">
        <f aca="false">U19/F19</f>
        <v>0.0960089803386321</v>
      </c>
      <c r="P19" s="59" t="n">
        <f aca="false">(B20*C19)-(B19*C19)</f>
        <v>422248.483349849</v>
      </c>
      <c r="Q19" s="59" t="n">
        <f aca="false">IF(H19&gt;0, IF(P19&gt;0,D19*H19*0.7,0),0)</f>
        <v>50393.1539575715</v>
      </c>
      <c r="R19" s="74" t="n">
        <f aca="false">IF(P19&gt;0,MIN(P19,Q19),0)</f>
        <v>50393.1539575715</v>
      </c>
      <c r="S19" s="53" t="n">
        <f aca="false">R19*V$1</f>
        <v>9303.83604941664</v>
      </c>
      <c r="T19" s="53" t="n">
        <f aca="false">T18+R19-AC19</f>
        <v>354683.320071364</v>
      </c>
      <c r="U19" s="53" t="n">
        <f aca="false">V19+AB19+S19-AE19</f>
        <v>139278.326489303</v>
      </c>
      <c r="V19" s="53" t="n">
        <f aca="false">V18*(1+I19)</f>
        <v>114054.060252764</v>
      </c>
      <c r="W19" s="75" t="n">
        <f aca="false">U19/B20</f>
        <v>31090.9549175596</v>
      </c>
      <c r="X19" s="53" t="n">
        <f aca="false">U19-S19-AB19+AE19</f>
        <v>114054.060252764</v>
      </c>
      <c r="Y19" s="42"/>
      <c r="Z19" s="53" t="n">
        <f aca="false">W19*D$1+AC19</f>
        <v>53047.1541842262</v>
      </c>
      <c r="AA19" s="53" t="n">
        <f aca="false">U19-Z19</f>
        <v>86231.1723066888</v>
      </c>
      <c r="AB19" s="53" t="n">
        <f aca="false">AA19*V$1</f>
        <v>15920.4301871224</v>
      </c>
      <c r="AC19" s="76" t="n">
        <f aca="false">IF(T18&gt;0,(T18/C19)*W19,0)</f>
        <v>32319.8508952495</v>
      </c>
      <c r="AD19" s="77" t="n">
        <f aca="false">AD18*(1+I19)</f>
        <v>0</v>
      </c>
      <c r="AE19" s="53" t="n">
        <f aca="false">IF((R19+U19)&lt;AD19,(R19+U19)*'HIER Rechnung Ausschütter'!O$1,AD19*'HIER Rechnung Ausschütter'!O$1)</f>
        <v>0</v>
      </c>
      <c r="AF19" s="93" t="n">
        <f aca="false">AG19-'HIER Rechnung Ausschütter'!AM19</f>
        <v>20371.7323876907</v>
      </c>
      <c r="AG19" s="53" t="n">
        <f aca="false">(AA19+R19)*0.7</f>
        <v>95637.0283849823</v>
      </c>
      <c r="AH19" s="10"/>
      <c r="AI19" s="10"/>
    </row>
    <row r="20" customFormat="false" ht="14.15" hidden="false" customHeight="false" outlineLevel="0" collapsed="false">
      <c r="A20" s="9" t="n">
        <v>17</v>
      </c>
      <c r="B20" s="40" t="n">
        <f aca="false">B19*(1+E19+G19)</f>
        <v>4.4797056526122</v>
      </c>
      <c r="C20" s="48" t="n">
        <f aca="false">C19-W19</f>
        <v>292742.865709418</v>
      </c>
      <c r="D20" s="10" t="n">
        <f aca="false">J19</f>
        <v>1311395.50780134</v>
      </c>
      <c r="E20" s="45" t="n">
        <f aca="false">'HIER Rechnung Ausschütter'!E20</f>
        <v>0.391054679276765</v>
      </c>
      <c r="F20" s="42" t="n">
        <f aca="false">D20*(1+E20+G20)</f>
        <v>1865399.59938454</v>
      </c>
      <c r="G20" s="45" t="n">
        <f aca="false">'HIER Rechnung Ausschütter'!H20</f>
        <v>0.0313991786840794</v>
      </c>
      <c r="H20" s="54" t="n">
        <f aca="false">IF(K$1="Ja",(IF(E20&gt;0,I20+(E20*0.3),I20)),I20)</f>
        <v>0.062</v>
      </c>
      <c r="I20" s="70" t="n">
        <v>0.062</v>
      </c>
      <c r="J20" s="46" t="n">
        <f aca="false">B21*C21</f>
        <v>1714015.39702372</v>
      </c>
      <c r="K20" s="54" t="n">
        <f aca="false">J20/D20-1</f>
        <v>0.307016370597001</v>
      </c>
      <c r="L20" s="54" t="n">
        <f aca="false">K20-'HIER Rechnung Ausschütter'!J20</f>
        <v>-0.0302246826081731</v>
      </c>
      <c r="M20" s="53" t="n">
        <f aca="false">J20-'HIER Rechnung Ausschütter'!I20</f>
        <v>-250677.901125309</v>
      </c>
      <c r="N20" s="54" t="n">
        <f aca="false">B21/D$1-1</f>
        <v>8.5582618773517</v>
      </c>
      <c r="O20" s="54" t="n">
        <f aca="false">U20/F20</f>
        <v>0.0811291563857293</v>
      </c>
      <c r="P20" s="59" t="n">
        <f aca="false">(B21*C20)-(B20*C20)</f>
        <v>554006.779437011</v>
      </c>
      <c r="Q20" s="59" t="n">
        <f aca="false">IF(H20&gt;0, IF(P20&gt;0,D20*H20*0.7,0),0)</f>
        <v>56914.5650385783</v>
      </c>
      <c r="R20" s="74" t="n">
        <f aca="false">IF(P20&gt;0,MIN(P20,Q20),0)</f>
        <v>56914.5650385783</v>
      </c>
      <c r="S20" s="53" t="n">
        <f aca="false">R20*V$1</f>
        <v>10507.8515702475</v>
      </c>
      <c r="T20" s="53" t="n">
        <f aca="false">T19+R20-AC20</f>
        <v>382822.866170231</v>
      </c>
      <c r="U20" s="53" t="n">
        <f aca="false">V20+AB20+S20-AE20</f>
        <v>151338.295820345</v>
      </c>
      <c r="V20" s="53" t="n">
        <f aca="false">V19*(1+I20)</f>
        <v>121125.411988435</v>
      </c>
      <c r="W20" s="75" t="n">
        <f aca="false">U20/B21</f>
        <v>23749.8665106344</v>
      </c>
      <c r="X20" s="53" t="n">
        <f aca="false">U20-S20-AB20+AE20</f>
        <v>121125.411988435</v>
      </c>
      <c r="Y20" s="42"/>
      <c r="Z20" s="53" t="n">
        <f aca="false">W20*D$1+AC20</f>
        <v>44608.2632880508</v>
      </c>
      <c r="AA20" s="53" t="n">
        <f aca="false">U20-Z20</f>
        <v>106730.032532295</v>
      </c>
      <c r="AB20" s="53" t="n">
        <f aca="false">AA20*V$1</f>
        <v>19705.0322616628</v>
      </c>
      <c r="AC20" s="76" t="n">
        <f aca="false">IF(T19&gt;0,(T19/C20)*W20,0)</f>
        <v>28775.0189397113</v>
      </c>
      <c r="AD20" s="77" t="n">
        <f aca="false">AD19*(1+I20)</f>
        <v>0</v>
      </c>
      <c r="AE20" s="53" t="n">
        <f aca="false">IF((R20+U20)&lt;AD20,(R20+U20)*'HIER Rechnung Ausschütter'!O$1,AD20*'HIER Rechnung Ausschütter'!O$1)</f>
        <v>0</v>
      </c>
      <c r="AF20" s="94" t="n">
        <f aca="false">AG20-'HIER Rechnung Ausschütter'!AM20</f>
        <v>30719.5067650415</v>
      </c>
      <c r="AG20" s="53" t="n">
        <f aca="false">(AA20+R20)*0.7</f>
        <v>114551.218299611</v>
      </c>
      <c r="AH20" s="10"/>
      <c r="AI20" s="10"/>
    </row>
    <row r="21" customFormat="false" ht="14.15" hidden="false" customHeight="false" outlineLevel="0" collapsed="false">
      <c r="A21" s="9" t="n">
        <v>18</v>
      </c>
      <c r="B21" s="40" t="n">
        <f aca="false">B20*(1+E20+G20)</f>
        <v>6.37217458808722</v>
      </c>
      <c r="C21" s="48" t="n">
        <f aca="false">C20-W20</f>
        <v>268984.374694955</v>
      </c>
      <c r="D21" s="10" t="n">
        <f aca="false">J20</f>
        <v>1714015.39702372</v>
      </c>
      <c r="E21" s="45" t="n">
        <f aca="false">'HIER Rechnung Ausschütter'!E21</f>
        <v>0.143400826735795</v>
      </c>
      <c r="F21" s="42" t="n">
        <f aca="false">D21*(1+E21+G21)</f>
        <v>1995109.92961453</v>
      </c>
      <c r="G21" s="45" t="n">
        <f aca="false">'HIER Rechnung Ausschütter'!H21</f>
        <v>0.0205968439262731</v>
      </c>
      <c r="H21" s="54" t="n">
        <f aca="false">IF(K$1="Ja",(IF(E21&gt;0,I21+(E21*0.3),I21)),I21)</f>
        <v>0.063</v>
      </c>
      <c r="I21" s="70" t="n">
        <v>0.063</v>
      </c>
      <c r="J21" s="46" t="n">
        <f aca="false">B22*C22</f>
        <v>1830574.7717765</v>
      </c>
      <c r="K21" s="54" t="n">
        <f aca="false">J21/D21-1</f>
        <v>0.0680036917726496</v>
      </c>
      <c r="L21" s="54" t="n">
        <f aca="false">K21-'HIER Rechnung Ausschütter'!J21</f>
        <v>-0.0172281986822682</v>
      </c>
      <c r="M21" s="53" t="n">
        <f aca="false">J21-'HIER Rechnung Ausschütter'!I21</f>
        <v>-301573.050337881</v>
      </c>
      <c r="N21" s="54" t="n">
        <f aca="false">B22/D$1-1</f>
        <v>10.1257945608154</v>
      </c>
      <c r="O21" s="54" t="n">
        <f aca="false">U21/F21</f>
        <v>0.082466181716257</v>
      </c>
      <c r="P21" s="59" t="n">
        <f aca="false">(B22*C21)-(B21*C21)</f>
        <v>281094.532590811</v>
      </c>
      <c r="Q21" s="59" t="n">
        <f aca="false">IF(H21&gt;0, IF(P21&gt;0,D21*H21*0.7,0),0)</f>
        <v>75588.0790087462</v>
      </c>
      <c r="R21" s="74" t="n">
        <f aca="false">IF(P21&gt;0,MIN(P21,Q21),0)</f>
        <v>75588.0790087462</v>
      </c>
      <c r="S21" s="53" t="n">
        <f aca="false">R21*V$1</f>
        <v>13955.4490869898</v>
      </c>
      <c r="T21" s="53" t="n">
        <f aca="false">T20+R21-AC21</f>
        <v>426822.935481793</v>
      </c>
      <c r="U21" s="53" t="n">
        <f aca="false">V21+AB21+S21-AE21</f>
        <v>164529.097999501</v>
      </c>
      <c r="V21" s="53" t="n">
        <f aca="false">V20*(1+I21)</f>
        <v>128756.312943706</v>
      </c>
      <c r="W21" s="75" t="n">
        <f aca="false">U21/B22</f>
        <v>22182.1143224279</v>
      </c>
      <c r="X21" s="53" t="n">
        <f aca="false">U21-S21-AB21+AE21</f>
        <v>128756.312943706</v>
      </c>
      <c r="Y21" s="42"/>
      <c r="Z21" s="53" t="n">
        <f aca="false">W21*D$1+AC21</f>
        <v>46358.0162782692</v>
      </c>
      <c r="AA21" s="53" t="n">
        <f aca="false">U21-Z21</f>
        <v>118171.081721232</v>
      </c>
      <c r="AB21" s="53" t="n">
        <f aca="false">AA21*V$1</f>
        <v>21817.3359688046</v>
      </c>
      <c r="AC21" s="76" t="n">
        <f aca="false">IF(T20&gt;0,(T20/C21)*W21,0)</f>
        <v>31569.9400529914</v>
      </c>
      <c r="AD21" s="77" t="n">
        <f aca="false">AD20*(1+I21)</f>
        <v>0</v>
      </c>
      <c r="AE21" s="53" t="n">
        <f aca="false">IF((R21+U21)&lt;AD21,(R21+U21)*'HIER Rechnung Ausschütter'!O$1,AD21*'HIER Rechnung Ausschütter'!O$1)</f>
        <v>0</v>
      </c>
      <c r="AF21" s="95" t="n">
        <f aca="false">AG21-'HIER Rechnung Ausschütter'!AM21</f>
        <v>15073.2535896183</v>
      </c>
      <c r="AG21" s="53" t="n">
        <f aca="false">(AA21+R21)*0.7</f>
        <v>135631.412510984</v>
      </c>
      <c r="AH21" s="10"/>
      <c r="AI21" s="10"/>
    </row>
    <row r="22" customFormat="false" ht="14.15" hidden="false" customHeight="false" outlineLevel="0" collapsed="false">
      <c r="A22" s="9" t="n">
        <v>19</v>
      </c>
      <c r="B22" s="40" t="n">
        <f aca="false">B21*(1+E21+G21)</f>
        <v>7.41719637758555</v>
      </c>
      <c r="C22" s="48" t="n">
        <f aca="false">C21-W21</f>
        <v>246802.260372527</v>
      </c>
      <c r="D22" s="10" t="n">
        <f aca="false">J21</f>
        <v>1830574.7717765</v>
      </c>
      <c r="E22" s="45" t="n">
        <f aca="false">'HIER Rechnung Ausschütter'!E22</f>
        <v>0.211851154673843</v>
      </c>
      <c r="F22" s="42" t="n">
        <f aca="false">D22*(1+E22+G22)</f>
        <v>2261415.57498453</v>
      </c>
      <c r="G22" s="45" t="n">
        <f aca="false">'HIER Rechnung Ausschütter'!H22</f>
        <v>0.0235070562283593</v>
      </c>
      <c r="H22" s="54" t="n">
        <f aca="false">IF(K$1="Ja",(IF(E22&gt;0,I22+(E22*0.3),I22)),I22)</f>
        <v>0.065</v>
      </c>
      <c r="I22" s="70" t="n">
        <v>0.065</v>
      </c>
      <c r="J22" s="46" t="n">
        <f aca="false">B23*C23</f>
        <v>2084797.19535077</v>
      </c>
      <c r="K22" s="54" t="n">
        <f aca="false">J22/D22-1</f>
        <v>0.138875738644404</v>
      </c>
      <c r="L22" s="54" t="n">
        <f aca="false">K22-'HIER Rechnung Ausschütter'!J22</f>
        <v>-0.0221901813217495</v>
      </c>
      <c r="M22" s="53" t="n">
        <f aca="false">J22-'HIER Rechnung Ausschütter'!I22</f>
        <v>-390766.977236292</v>
      </c>
      <c r="N22" s="54" t="n">
        <f aca="false">B23/D$1-1</f>
        <v>12.7443416635144</v>
      </c>
      <c r="O22" s="54" t="n">
        <f aca="false">U22/F22</f>
        <v>0.0780833557132639</v>
      </c>
      <c r="P22" s="59" t="n">
        <f aca="false">(B23*C22)-(B22*C22)</f>
        <v>430842.22944078</v>
      </c>
      <c r="Q22" s="59" t="n">
        <f aca="false">IF(H22&gt;0, IF(P22&gt;0,D22*H22*0.7,0),0)</f>
        <v>83291.1521158308</v>
      </c>
      <c r="R22" s="74" t="n">
        <f aca="false">IF(P22&gt;0,MIN(P22,Q22),0)</f>
        <v>83291.1521158308</v>
      </c>
      <c r="S22" s="53" t="n">
        <f aca="false">R22*V$1</f>
        <v>15377.6289593853</v>
      </c>
      <c r="T22" s="53" t="n">
        <f aca="false">T21+R22-AC22</f>
        <v>476786.430819529</v>
      </c>
      <c r="U22" s="53" t="n">
        <f aca="false">V22+AB22+S22-AE22</f>
        <v>176578.916757032</v>
      </c>
      <c r="V22" s="53" t="n">
        <f aca="false">V21*(1+I22)</f>
        <v>137125.473285047</v>
      </c>
      <c r="W22" s="75" t="n">
        <f aca="false">U22/B23</f>
        <v>19271.0848972278</v>
      </c>
      <c r="X22" s="53" t="n">
        <f aca="false">U22-S22-AB22+AE22</f>
        <v>137125.473285047</v>
      </c>
      <c r="Y22" s="42"/>
      <c r="Z22" s="53" t="n">
        <f aca="false">W22*D$1+AC22</f>
        <v>46175.0467160039</v>
      </c>
      <c r="AA22" s="53" t="n">
        <f aca="false">U22-Z22</f>
        <v>130403.870041028</v>
      </c>
      <c r="AB22" s="53" t="n">
        <f aca="false">AA22*V$1</f>
        <v>24075.8145125993</v>
      </c>
      <c r="AC22" s="76" t="n">
        <f aca="false">IF(T21&gt;0,(T21/C22)*W22,0)</f>
        <v>33327.656778095</v>
      </c>
      <c r="AD22" s="77" t="n">
        <f aca="false">AD21*(1+I22)</f>
        <v>0</v>
      </c>
      <c r="AE22" s="53" t="n">
        <f aca="false">IF((R22+U22)&lt;AD22,(R22+U22)*'HIER Rechnung Ausschütter'!O$1,AD22*'HIER Rechnung Ausschütter'!O$1)</f>
        <v>0</v>
      </c>
      <c r="AF22" s="96" t="n">
        <f aca="false">AG22-'HIER Rechnung Ausschütter'!AM22</f>
        <v>28658.5048845815</v>
      </c>
      <c r="AG22" s="53" t="n">
        <f aca="false">(AA22+R22)*0.7</f>
        <v>149586.515509801</v>
      </c>
      <c r="AH22" s="10"/>
      <c r="AI22" s="10"/>
    </row>
    <row r="23" customFormat="false" ht="14.15" hidden="false" customHeight="false" outlineLevel="0" collapsed="false">
      <c r="A23" s="9" t="n">
        <v>20</v>
      </c>
      <c r="B23" s="40" t="n">
        <f aca="false">B22*(1+E22+G22)</f>
        <v>9.16289444692438</v>
      </c>
      <c r="C23" s="48" t="n">
        <f aca="false">C22-W22</f>
        <v>227526.051667064</v>
      </c>
      <c r="D23" s="10" t="n">
        <f aca="false">J22</f>
        <v>2084797.19535077</v>
      </c>
      <c r="E23" s="45" t="n">
        <f aca="false">'HIER Rechnung Ausschütter'!E23</f>
        <v>0.147463331364728</v>
      </c>
      <c r="F23" s="42" t="n">
        <f aca="false">D23*(1+E23+G23)</f>
        <v>2435598.72418909</v>
      </c>
      <c r="G23" s="45" t="n">
        <f aca="false">'HIER Rechnung Ausschütter'!H23</f>
        <v>0.0208031693868229</v>
      </c>
      <c r="H23" s="54" t="n">
        <f aca="false">IF(K$1="Ja",(IF(E23&gt;0,I23+(E23*0.3),I23)),I23)</f>
        <v>0.07</v>
      </c>
      <c r="I23" s="70" t="n">
        <v>0.07</v>
      </c>
      <c r="J23" s="46" t="n">
        <f aca="false">B24*C24</f>
        <v>2243731.05177793</v>
      </c>
      <c r="K23" s="54" t="n">
        <f aca="false">J23/D23-1</f>
        <v>0.0762346844966957</v>
      </c>
      <c r="L23" s="54" t="n">
        <f aca="false">K23-'HIER Rechnung Ausschütter'!J23</f>
        <v>-0.0204386465761077</v>
      </c>
      <c r="M23" s="53" t="n">
        <f aca="false">J23-'HIER Rechnung Ausschütter'!I23</f>
        <v>-471154.15565761</v>
      </c>
      <c r="N23" s="54" t="n">
        <f aca="false">B24/D$1-1</f>
        <v>15.0570539403677</v>
      </c>
      <c r="O23" s="54" t="n">
        <f aca="false">U23/F23</f>
        <v>0.0787763889170601</v>
      </c>
      <c r="P23" s="59" t="n">
        <f aca="false">(B24*C23)-(B23*C23)</f>
        <v>350801.528838322</v>
      </c>
      <c r="Q23" s="59" t="n">
        <f aca="false">IF(H23&gt;0, IF(P23&gt;0,D23*H23*0.7,0),0)</f>
        <v>102155.062572188</v>
      </c>
      <c r="R23" s="74" t="n">
        <f aca="false">IF(P23&gt;0,MIN(P23,Q23),0)</f>
        <v>102155.062572188</v>
      </c>
      <c r="S23" s="53" t="n">
        <f aca="false">R23*V$1</f>
        <v>18860.3784273902</v>
      </c>
      <c r="T23" s="53" t="n">
        <f aca="false">T22+R23-AC23</f>
        <v>541249.72063449</v>
      </c>
      <c r="U23" s="53" t="n">
        <f aca="false">V23+AB23+S23-AE23</f>
        <v>191867.672342616</v>
      </c>
      <c r="V23" s="53" t="n">
        <f aca="false">V22*(1+I23)</f>
        <v>146724.256415001</v>
      </c>
      <c r="W23" s="75" t="n">
        <f aca="false">U23/B24</f>
        <v>17923.6807412909</v>
      </c>
      <c r="X23" s="53" t="n">
        <f aca="false">U23-S23-AB23+AE23</f>
        <v>146724.256415001</v>
      </c>
      <c r="Y23" s="42"/>
      <c r="Z23" s="53" t="n">
        <f aca="false">W23*D$1+AC23</f>
        <v>49508.6338182027</v>
      </c>
      <c r="AA23" s="53" t="n">
        <f aca="false">U23-Z23</f>
        <v>142359.038524413</v>
      </c>
      <c r="AB23" s="53" t="n">
        <f aca="false">AA23*V$1</f>
        <v>26283.0375002247</v>
      </c>
      <c r="AC23" s="76" t="n">
        <f aca="false">IF(T22&gt;0,(T22/C23)*W23,0)</f>
        <v>37559.5133180341</v>
      </c>
      <c r="AD23" s="77" t="n">
        <f aca="false">AD22*(1+I23)</f>
        <v>0</v>
      </c>
      <c r="AE23" s="53" t="n">
        <f aca="false">IF((R23+U23)&lt;AD23,(R23+U23)*'HIER Rechnung Ausschütter'!O$1,AD23*'HIER Rechnung Ausschütter'!O$1)</f>
        <v>0</v>
      </c>
      <c r="AF23" s="97" t="n">
        <f aca="false">AG23-'HIER Rechnung Ausschütter'!AM23</f>
        <v>26691.5136346394</v>
      </c>
      <c r="AG23" s="53" t="n">
        <f aca="false">(AA23+R23)*0.7</f>
        <v>171159.870767621</v>
      </c>
      <c r="AH23" s="10"/>
      <c r="AI23" s="10"/>
    </row>
    <row r="24" customFormat="false" ht="14.15" hidden="false" customHeight="false" outlineLevel="0" collapsed="false">
      <c r="A24" s="9" t="n">
        <v>21</v>
      </c>
      <c r="B24" s="40" t="n">
        <f aca="false">B23*(1+E23+G23)</f>
        <v>10.7047026322642</v>
      </c>
      <c r="C24" s="48" t="n">
        <f aca="false">C23-W23</f>
        <v>209602.370925773</v>
      </c>
      <c r="D24" s="10" t="n">
        <f aca="false">J23</f>
        <v>2243731.05177793</v>
      </c>
      <c r="E24" s="45" t="n">
        <f aca="false">'HIER Rechnung Ausschütter'!E24</f>
        <v>-0.186504341327392</v>
      </c>
      <c r="F24" s="42" t="n">
        <f aca="false">D24*(1+E24+G24)</f>
        <v>1865940.22103858</v>
      </c>
      <c r="G24" s="45" t="n">
        <f aca="false">'HIER Rechnung Ausschütter'!H24</f>
        <v>0.0181281759041813</v>
      </c>
      <c r="H24" s="54" t="n">
        <f aca="false">IF(K$1="Ja",(IF(E24&gt;0,I24+(E24*0.3),I24)),I24)</f>
        <v>0.087</v>
      </c>
      <c r="I24" s="70" t="n">
        <v>0.087</v>
      </c>
      <c r="J24" s="46" t="n">
        <f aca="false">B25*C25</f>
        <v>1685373.98059439</v>
      </c>
      <c r="K24" s="54" t="n">
        <f aca="false">J24/D24-1</f>
        <v>-0.248852049687996</v>
      </c>
      <c r="L24" s="54" t="n">
        <f aca="false">K24-'HIER Rechnung Ausschütter'!J24</f>
        <v>-0.0101900490566154</v>
      </c>
      <c r="M24" s="53" t="n">
        <f aca="false">J24-'HIER Rechnung Ausschütter'!I24</f>
        <v>-381571.291750044</v>
      </c>
      <c r="N24" s="54" t="n">
        <f aca="false">B25/D$1-1</f>
        <v>12.3534287698949</v>
      </c>
      <c r="O24" s="54" t="n">
        <f aca="false">U24/F24</f>
        <v>0.0968263628727155</v>
      </c>
      <c r="P24" s="59" t="n">
        <f aca="false">(B25*C24)-(B24*C24)</f>
        <v>-377790.830739356</v>
      </c>
      <c r="Q24" s="59" t="n">
        <f aca="false">IF(H24&gt;0, IF(P24&gt;0,D24*H24*0.7,0),0)</f>
        <v>0</v>
      </c>
      <c r="R24" s="74" t="n">
        <f aca="false">IF(P24&gt;0,MIN(P24,Q24),0)</f>
        <v>0</v>
      </c>
      <c r="S24" s="53" t="n">
        <f aca="false">R24*V$1</f>
        <v>0</v>
      </c>
      <c r="T24" s="53" t="n">
        <f aca="false">T23+R24-AC24</f>
        <v>488842.478791456</v>
      </c>
      <c r="U24" s="53" t="n">
        <f aca="false">V24+AB24+S24-AE24</f>
        <v>180672.204941076</v>
      </c>
      <c r="V24" s="53" t="n">
        <f aca="false">V23*(1+I24)</f>
        <v>159489.266723106</v>
      </c>
      <c r="W24" s="75" t="n">
        <f aca="false">U24/B25</f>
        <v>20295.0352216411</v>
      </c>
      <c r="X24" s="53" t="n">
        <f aca="false">U24-S24-AB24+AE24</f>
        <v>159489.266723106</v>
      </c>
      <c r="Y24" s="42"/>
      <c r="Z24" s="53" t="n">
        <f aca="false">W24*D$1+AC24</f>
        <v>65937.2653308935</v>
      </c>
      <c r="AA24" s="53" t="n">
        <f aca="false">U24-Z24</f>
        <v>114734.939610183</v>
      </c>
      <c r="AB24" s="53" t="n">
        <f aca="false">AA24*V$1</f>
        <v>21182.9382179706</v>
      </c>
      <c r="AC24" s="76" t="n">
        <f aca="false">IF(T23&gt;0,(T23/C24)*W24,0)</f>
        <v>52407.2418430344</v>
      </c>
      <c r="AD24" s="77" t="n">
        <f aca="false">AD23*(1+I24)</f>
        <v>0</v>
      </c>
      <c r="AE24" s="53" t="n">
        <f aca="false">IF((R24+U24)&lt;AD24,(R24+U24)*'HIER Rechnung Ausschütter'!O$1,AD24*'HIER Rechnung Ausschütter'!O$1)</f>
        <v>0</v>
      </c>
      <c r="AF24" s="98" t="n">
        <f aca="false">AG24-'HIER Rechnung Ausschütter'!AM24</f>
        <v>-3665.54404534365</v>
      </c>
      <c r="AG24" s="53" t="n">
        <f aca="false">(AA24+R24)*0.7</f>
        <v>80314.4577271281</v>
      </c>
      <c r="AH24" s="10"/>
      <c r="AI24" s="10"/>
    </row>
    <row r="25" customFormat="false" ht="14.15" hidden="false" customHeight="false" outlineLevel="0" collapsed="false">
      <c r="A25" s="9" t="n">
        <v>22</v>
      </c>
      <c r="B25" s="40" t="n">
        <f aca="false">B24*(1+E24+G24)</f>
        <v>8.90228585104777</v>
      </c>
      <c r="C25" s="48" t="n">
        <f aca="false">C24-W24</f>
        <v>189319.238765629</v>
      </c>
      <c r="D25" s="10" t="n">
        <f aca="false">J24</f>
        <v>1685373.98059439</v>
      </c>
      <c r="E25" s="45" t="n">
        <f aca="false">'HIER Rechnung Ausschütter'!E25</f>
        <v>0.159984139606134</v>
      </c>
      <c r="F25" s="42" t="n">
        <f aca="false">D25*(1+E25+G25)</f>
        <v>1997537.54151311</v>
      </c>
      <c r="G25" s="45" t="n">
        <f aca="false">'HIER Rechnung Ausschütter'!H25</f>
        <v>0.0252350251092383</v>
      </c>
      <c r="H25" s="54" t="n">
        <f aca="false">IF(K$1="Ja",(IF(E25&gt;0,I25+(E25*0.3),I25)),I25)</f>
        <v>0.084</v>
      </c>
      <c r="I25" s="70" t="n">
        <v>0.084</v>
      </c>
      <c r="J25" s="46" t="n">
        <f aca="false">B26*C26</f>
        <v>1778347.19971611</v>
      </c>
      <c r="K25" s="54" t="n">
        <f aca="false">J25/D25-1</f>
        <v>0.0551647409964946</v>
      </c>
      <c r="L25" s="54" t="n">
        <f aca="false">K25-'HIER Rechnung Ausschütter'!J25</f>
        <v>-0.0308129478499977</v>
      </c>
      <c r="M25" s="53" t="n">
        <f aca="false">J25-'HIER Rechnung Ausschütter'!I25</f>
        <v>-466309.250116682</v>
      </c>
      <c r="N25" s="54" t="n">
        <f aca="false">B26/D$1-1</f>
        <v>14.8267396927411</v>
      </c>
      <c r="O25" s="54" t="n">
        <f aca="false">U25/F25</f>
        <v>0.10973027404693</v>
      </c>
      <c r="P25" s="59" t="n">
        <f aca="false">(B26*C25)-(B25*C25)</f>
        <v>312163.560918716</v>
      </c>
      <c r="Q25" s="59" t="n">
        <f aca="false">IF(H25&gt;0, IF(P25&gt;0,D25*H25*0.7,0),0)</f>
        <v>99099.9900589503</v>
      </c>
      <c r="R25" s="74" t="n">
        <f aca="false">IF(P25&gt;0,MIN(P25,Q25),0)</f>
        <v>99099.9900589503</v>
      </c>
      <c r="S25" s="53" t="n">
        <f aca="false">R25*V$1</f>
        <v>18296.3356646337</v>
      </c>
      <c r="T25" s="53" t="n">
        <f aca="false">T24+R25-AC25</f>
        <v>534349.101405716</v>
      </c>
      <c r="U25" s="53" t="n">
        <f aca="false">V25+AB25+S25-AE25</f>
        <v>219190.341849264</v>
      </c>
      <c r="V25" s="53" t="n">
        <f aca="false">V24*(1+I25)</f>
        <v>172886.365127847</v>
      </c>
      <c r="W25" s="75" t="n">
        <f aca="false">U25/B26</f>
        <v>20774.0519471547</v>
      </c>
      <c r="X25" s="53" t="n">
        <f aca="false">U25-S25-AB25+AE25</f>
        <v>172886.365127847</v>
      </c>
      <c r="Y25" s="42"/>
      <c r="Z25" s="53" t="n">
        <f aca="false">W25*D$1+AC25</f>
        <v>67490.18712247</v>
      </c>
      <c r="AA25" s="53" t="n">
        <f aca="false">U25-Z25</f>
        <v>151700.154726794</v>
      </c>
      <c r="AB25" s="53" t="n">
        <f aca="false">AA25*V$1</f>
        <v>28007.6410567841</v>
      </c>
      <c r="AC25" s="76" t="n">
        <f aca="false">IF(T24&gt;0,(T24/C25)*W25,0)</f>
        <v>53640.8191507755</v>
      </c>
      <c r="AD25" s="77" t="n">
        <f aca="false">AD24*(1+I25)</f>
        <v>0</v>
      </c>
      <c r="AE25" s="53" t="n">
        <f aca="false">IF((R25+U25)&lt;AD25,(R25+U25)*'HIER Rechnung Ausschütter'!O$1,AD25*'HIER Rechnung Ausschütter'!O$1)</f>
        <v>0</v>
      </c>
      <c r="AF25" s="99" t="n">
        <f aca="false">AG25-'HIER Rechnung Ausschütter'!AM25</f>
        <v>21683.27288949</v>
      </c>
      <c r="AG25" s="53" t="n">
        <f aca="false">(AA25+R25)*0.7</f>
        <v>175560.101350021</v>
      </c>
      <c r="AH25" s="10"/>
      <c r="AI25" s="10"/>
    </row>
    <row r="26" customFormat="false" ht="14.15" hidden="false" customHeight="false" outlineLevel="0" collapsed="false">
      <c r="A26" s="9" t="n">
        <v>23</v>
      </c>
      <c r="B26" s="40" t="n">
        <f aca="false">B25*(1+E25+G25)</f>
        <v>10.5511598004363</v>
      </c>
      <c r="C26" s="48" t="n">
        <f aca="false">C25-W25</f>
        <v>168545.186818474</v>
      </c>
      <c r="D26" s="10" t="n">
        <f aca="false">J25</f>
        <v>1778347.19971611</v>
      </c>
      <c r="E26" s="45" t="n">
        <f aca="false">'HIER Rechnung Ausschütter'!E26</f>
        <v>-0.0714130946421501</v>
      </c>
      <c r="F26" s="42" t="n">
        <f aca="false">D26*(1+E26+G26)</f>
        <v>1688859.34078268</v>
      </c>
      <c r="G26" s="45" t="n">
        <f aca="false">'HIER Rechnung Ausschütter'!H26</f>
        <v>0.0210922917372278</v>
      </c>
      <c r="H26" s="54" t="n">
        <f aca="false">IF(K$1="Ja",(IF(E26&gt;0,I26+(E26*0.3),I26)),I26)</f>
        <v>0.078</v>
      </c>
      <c r="I26" s="70" t="n">
        <v>0.078</v>
      </c>
      <c r="J26" s="46" t="n">
        <f aca="false">B27*C27</f>
        <v>1478529.10933047</v>
      </c>
      <c r="K26" s="54" t="n">
        <f aca="false">J26/D26-1</f>
        <v>-0.168593675314645</v>
      </c>
      <c r="L26" s="54" t="n">
        <f aca="false">K26-'HIER Rechnung Ausschütter'!J26</f>
        <v>-0.0224382696480166</v>
      </c>
      <c r="M26" s="53" t="n">
        <f aca="false">J26-'HIER Rechnung Ausschütter'!I26</f>
        <v>-438058.666494802</v>
      </c>
      <c r="N26" s="54" t="n">
        <f aca="false">B27/D$1-1</f>
        <v>14.0303254440352</v>
      </c>
      <c r="O26" s="54" t="n">
        <f aca="false">U26/F26</f>
        <v>0.124542169203155</v>
      </c>
      <c r="P26" s="59" t="n">
        <f aca="false">(B27*C26)-(B26*C26)</f>
        <v>-89487.8589334348</v>
      </c>
      <c r="Q26" s="59" t="n">
        <f aca="false">IF(H26&gt;0, IF(P26&gt;0,D26*H26*0.7,0),0)</f>
        <v>0</v>
      </c>
      <c r="R26" s="74" t="n">
        <f aca="false">IF(P26&gt;0,MIN(P26,Q26),0)</f>
        <v>0</v>
      </c>
      <c r="S26" s="53" t="n">
        <f aca="false">R26*V$1</f>
        <v>0</v>
      </c>
      <c r="T26" s="53" t="n">
        <f aca="false">T25+R26-AC26</f>
        <v>467800.10517502</v>
      </c>
      <c r="U26" s="53" t="n">
        <f aca="false">V26+AB26+S26-AE26</f>
        <v>210334.205780085</v>
      </c>
      <c r="V26" s="53" t="n">
        <f aca="false">V25*(1+I26)</f>
        <v>186371.501607819</v>
      </c>
      <c r="W26" s="75" t="n">
        <f aca="false">U26/B27</f>
        <v>20990.983184546</v>
      </c>
      <c r="X26" s="53" t="n">
        <f aca="false">U26-S26-AB26+AE26</f>
        <v>186371.501607819</v>
      </c>
      <c r="Y26" s="42"/>
      <c r="Z26" s="53" t="n">
        <f aca="false">W26*D$1+AC26</f>
        <v>80542.9850273907</v>
      </c>
      <c r="AA26" s="53" t="n">
        <f aca="false">U26-Z26</f>
        <v>129791.220752695</v>
      </c>
      <c r="AB26" s="53" t="n">
        <f aca="false">AA26*V$1</f>
        <v>23962.7041722666</v>
      </c>
      <c r="AC26" s="76" t="n">
        <f aca="false">IF(T25&gt;0,(T25/C26)*W26,0)</f>
        <v>66548.9962306964</v>
      </c>
      <c r="AD26" s="77" t="n">
        <f aca="false">AD25*(1+I26)</f>
        <v>0</v>
      </c>
      <c r="AE26" s="53" t="n">
        <f aca="false">IF((R26+U26)&lt;AD26,(R26+U26)*'HIER Rechnung Ausschütter'!O$1,AD26*'HIER Rechnung Ausschütter'!O$1)</f>
        <v>0</v>
      </c>
      <c r="AF26" s="100" t="n">
        <f aca="false">AG26-'HIER Rechnung Ausschütter'!AM26</f>
        <v>-5309.96839937902</v>
      </c>
      <c r="AG26" s="53" t="n">
        <f aca="false">(AA26+R26)*0.7</f>
        <v>90853.8545268862</v>
      </c>
      <c r="AH26" s="10"/>
      <c r="AI26" s="10"/>
    </row>
    <row r="27" customFormat="false" ht="14.15" hidden="false" customHeight="false" outlineLevel="0" collapsed="false">
      <c r="A27" s="9" t="n">
        <v>24</v>
      </c>
      <c r="B27" s="40" t="n">
        <f aca="false">B26*(1+E26+G26)</f>
        <v>10.0202169677002</v>
      </c>
      <c r="C27" s="48" t="n">
        <f aca="false">C26-W26</f>
        <v>147554.60027427</v>
      </c>
      <c r="D27" s="10" t="n">
        <f aca="false">J26</f>
        <v>1478529.10933047</v>
      </c>
      <c r="E27" s="45" t="n">
        <f aca="false">'HIER Rechnung Ausschütter'!E27</f>
        <v>0.203897556383415</v>
      </c>
      <c r="F27" s="42" t="n">
        <f aca="false">D27*(1+E27+G27)</f>
        <v>1814421.33145091</v>
      </c>
      <c r="G27" s="45" t="n">
        <f aca="false">'HIER Rechnung Ausschütter'!H27</f>
        <v>0.0232824294557169</v>
      </c>
      <c r="H27" s="54" t="n">
        <f aca="false">IF(K$1="Ja",(IF(E27&gt;0,I27+(E27*0.3),I27)),I27)</f>
        <v>0.065</v>
      </c>
      <c r="I27" s="70" t="n">
        <v>0.065</v>
      </c>
      <c r="J27" s="46" t="n">
        <f aca="false">B28*C28</f>
        <v>1572841.55028894</v>
      </c>
      <c r="K27" s="54" t="n">
        <f aca="false">J27/D27-1</f>
        <v>0.0637880176746593</v>
      </c>
      <c r="L27" s="54" t="n">
        <f aca="false">K27-'HIER Rechnung Ausschütter'!J27</f>
        <v>-0.0443345818879088</v>
      </c>
      <c r="M27" s="53" t="n">
        <f aca="false">J27-'HIER Rechnung Ausschütter'!I27</f>
        <v>-550972.678148401</v>
      </c>
      <c r="N27" s="54" t="n">
        <f aca="false">B28/D$1-1</f>
        <v>17.4449145655686</v>
      </c>
      <c r="O27" s="54" t="n">
        <f aca="false">U27/F27</f>
        <v>0.133150808414546</v>
      </c>
      <c r="P27" s="59" t="n">
        <f aca="false">(B28*C27)-(B27*C27)</f>
        <v>335892.22212044</v>
      </c>
      <c r="Q27" s="59" t="n">
        <f aca="false">IF(H27&gt;0, IF(P27&gt;0,D27*H27*0.7,0),0)</f>
        <v>67273.0744745363</v>
      </c>
      <c r="R27" s="74" t="n">
        <f aca="false">IF(P27&gt;0,MIN(P27,Q27),0)</f>
        <v>67273.0744745363</v>
      </c>
      <c r="S27" s="53" t="n">
        <f aca="false">R27*V$1</f>
        <v>12420.2913748613</v>
      </c>
      <c r="T27" s="53" t="n">
        <f aca="false">T26+R27-AC27</f>
        <v>472810.344478419</v>
      </c>
      <c r="U27" s="53" t="n">
        <f aca="false">V27+AB27+S27-AE27</f>
        <v>241591.667087286</v>
      </c>
      <c r="V27" s="53" t="n">
        <f aca="false">V26*(1+I27)</f>
        <v>198485.649212327</v>
      </c>
      <c r="W27" s="75" t="n">
        <f aca="false">U27/B28</f>
        <v>19647.0143082377</v>
      </c>
      <c r="X27" s="53" t="n">
        <f aca="false">U27-S27-AB27+AE27</f>
        <v>198485.649212327</v>
      </c>
      <c r="Y27" s="42"/>
      <c r="Z27" s="53" t="n">
        <f aca="false">W27*D$1+AC27</f>
        <v>75385.9717145302</v>
      </c>
      <c r="AA27" s="53" t="n">
        <f aca="false">U27-Z27</f>
        <v>166205.695372756</v>
      </c>
      <c r="AB27" s="53" t="n">
        <f aca="false">AA27*V$1</f>
        <v>30685.7265000977</v>
      </c>
      <c r="AC27" s="76" t="n">
        <f aca="false">IF(T26&gt;0,(T26/C27)*W27,0)</f>
        <v>62287.9621691561</v>
      </c>
      <c r="AD27" s="77" t="n">
        <f aca="false">AD26*(1+I27)</f>
        <v>0</v>
      </c>
      <c r="AE27" s="53" t="n">
        <f aca="false">IF((R27+U27)&lt;AD27,(R27+U27)*'HIER Rechnung Ausschütter'!O$1,AD27*'HIER Rechnung Ausschütter'!O$1)</f>
        <v>0</v>
      </c>
      <c r="AF27" s="101" t="n">
        <f aca="false">AG27-'HIER Rechnung Ausschütter'!AM27</f>
        <v>16338.396371684</v>
      </c>
      <c r="AG27" s="53" t="n">
        <f aca="false">(AA27+R27)*0.7</f>
        <v>163435.138893104</v>
      </c>
      <c r="AH27" s="10"/>
      <c r="AI27" s="10"/>
    </row>
    <row r="28" customFormat="false" ht="14.15" hidden="false" customHeight="false" outlineLevel="0" collapsed="false">
      <c r="A28" s="9" t="n">
        <v>25</v>
      </c>
      <c r="B28" s="40" t="n">
        <f aca="false">B27*(1+E27+G27)</f>
        <v>12.2966097165274</v>
      </c>
      <c r="C28" s="48" t="n">
        <f aca="false">C27-W27</f>
        <v>127907.585966033</v>
      </c>
      <c r="D28" s="10" t="n">
        <f aca="false">J27</f>
        <v>1572841.55028894</v>
      </c>
      <c r="E28" s="45" t="n">
        <f aca="false">'HIER Rechnung Ausschütter'!E28</f>
        <v>0.0335741592257928</v>
      </c>
      <c r="F28" s="42" t="n">
        <f aca="false">D28*(1+E28+G28)</f>
        <v>1655386.43047612</v>
      </c>
      <c r="G28" s="45" t="n">
        <f aca="false">'HIER Rechnung Ausschütter'!H28</f>
        <v>0.0189072113051512</v>
      </c>
      <c r="H28" s="54" t="n">
        <f aca="false">IF(K$1="Ja",(IF(E28&gt;0,I28+(E28*0.3),I28)),I28)</f>
        <v>0.069</v>
      </c>
      <c r="I28" s="70" t="n">
        <v>0.069</v>
      </c>
      <c r="J28" s="46" t="n">
        <f aca="false">B29*C29</f>
        <v>1397769.04608281</v>
      </c>
      <c r="K28" s="54" t="n">
        <f aca="false">J28/D28-1</f>
        <v>-0.111309689252528</v>
      </c>
      <c r="L28" s="54" t="n">
        <f aca="false">K28-'HIER Rechnung Ausschütter'!J28</f>
        <v>-0.0462745309548016</v>
      </c>
      <c r="M28" s="53" t="n">
        <f aca="false">J28-'HIER Rechnung Ausschütter'!I28</f>
        <v>-587922.587813141</v>
      </c>
      <c r="N28" s="54" t="n">
        <f aca="false">B29/D$1-1</f>
        <v>18.4129289612958</v>
      </c>
      <c r="O28" s="54" t="n">
        <f aca="false">U28/F28</f>
        <v>0.155704297060445</v>
      </c>
      <c r="P28" s="59" t="n">
        <f aca="false">(B29*C28)-(B28*C28)</f>
        <v>82544.2563998289</v>
      </c>
      <c r="Q28" s="59" t="n">
        <f aca="false">IF(H28&gt;0, IF(P28&gt;0,D28*H28*0.7,0),0)</f>
        <v>75968.2468789557</v>
      </c>
      <c r="R28" s="74" t="n">
        <f aca="false">IF(P28&gt;0,MIN(P28,Q28),0)</f>
        <v>75968.2468789557</v>
      </c>
      <c r="S28" s="53" t="n">
        <f aca="false">R28*V$1</f>
        <v>14025.6375800272</v>
      </c>
      <c r="T28" s="53" t="n">
        <f aca="false">T27+R28-AC28</f>
        <v>475159.432705634</v>
      </c>
      <c r="U28" s="53" t="n">
        <f aca="false">V28+AB28+S28-AE28</f>
        <v>257750.780520683</v>
      </c>
      <c r="V28" s="53" t="n">
        <f aca="false">V27*(1+I28)</f>
        <v>212181.159007977</v>
      </c>
      <c r="W28" s="75" t="n">
        <f aca="false">U28/B29</f>
        <v>19915.9112611681</v>
      </c>
      <c r="X28" s="53" t="n">
        <f aca="false">U28-S28-AB28+AE28</f>
        <v>212181.159007977</v>
      </c>
      <c r="Y28" s="42"/>
      <c r="Z28" s="53" t="n">
        <f aca="false">W28*D$1+AC28</f>
        <v>86896.4328324913</v>
      </c>
      <c r="AA28" s="53" t="n">
        <f aca="false">U28-Z28</f>
        <v>170854.347688192</v>
      </c>
      <c r="AB28" s="53" t="n">
        <f aca="false">AA28*V$1</f>
        <v>31543.9839326786</v>
      </c>
      <c r="AC28" s="76" t="n">
        <f aca="false">IF(T27&gt;0,(T27/C28)*W28,0)</f>
        <v>73619.1586517406</v>
      </c>
      <c r="AD28" s="77" t="n">
        <f aca="false">AD27*(1+I28)</f>
        <v>0</v>
      </c>
      <c r="AE28" s="53" t="n">
        <f aca="false">IF((R28+U28)&lt;AD28,(R28+U28)*'HIER Rechnung Ausschütter'!O$1,AD28*'HIER Rechnung Ausschütter'!O$1)</f>
        <v>0</v>
      </c>
      <c r="AF28" s="102" t="n">
        <f aca="false">AG28-'HIER Rechnung Ausschütter'!AM28</f>
        <v>25855.2439290082</v>
      </c>
      <c r="AG28" s="53" t="n">
        <f aca="false">(AA28+R28)*0.7</f>
        <v>172775.816197003</v>
      </c>
      <c r="AH28" s="10"/>
      <c r="AI28" s="10"/>
    </row>
    <row r="29" customFormat="false" ht="14.15" hidden="false" customHeight="false" outlineLevel="0" collapsed="false">
      <c r="A29" s="9" t="n">
        <v>26</v>
      </c>
      <c r="B29" s="40" t="n">
        <f aca="false">B28*(1+E28+G28)</f>
        <v>12.9419526473349</v>
      </c>
      <c r="C29" s="48" t="n">
        <f aca="false">C28-W28</f>
        <v>108002.948563612</v>
      </c>
      <c r="D29" s="10" t="n">
        <f aca="false">J28</f>
        <v>1397769.04608281</v>
      </c>
      <c r="E29" s="45" t="n">
        <f aca="false">'HIER Rechnung Ausschütter'!E29</f>
        <v>0.18702209864369</v>
      </c>
      <c r="F29" s="42" t="n">
        <f aca="false">D29*(1+E29+G29)</f>
        <v>1690244.35260735</v>
      </c>
      <c r="G29" s="45" t="n">
        <f aca="false">'HIER Rechnung Ausschütter'!H29</f>
        <v>0.0222222735536991</v>
      </c>
      <c r="H29" s="54" t="n">
        <f aca="false">IF(K$1="Ja",(IF(E29&gt;0,I29+(E29*0.3),I29)),I29)</f>
        <v>0.069</v>
      </c>
      <c r="I29" s="70" t="n">
        <v>0.069</v>
      </c>
      <c r="J29" s="46" t="n">
        <f aca="false">B30*C30</f>
        <v>1416832.57287654</v>
      </c>
      <c r="K29" s="54" t="n">
        <f aca="false">J29/D29-1</f>
        <v>0.013638538388838</v>
      </c>
      <c r="L29" s="54" t="n">
        <f aca="false">K29-'HIER Rechnung Ausschütter'!J29</f>
        <v>-0.0624978696178291</v>
      </c>
      <c r="M29" s="53" t="n">
        <f aca="false">J29-'HIER Rechnung Ausschütter'!I29</f>
        <v>-720042.489433139</v>
      </c>
      <c r="N29" s="54" t="n">
        <f aca="false">B30/D$1-1</f>
        <v>22.4749750943147</v>
      </c>
      <c r="O29" s="54" t="n">
        <f aca="false">U29/F29</f>
        <v>0.161766952768435</v>
      </c>
      <c r="P29" s="59" t="n">
        <f aca="false">(B30*C29)-(B29*C29)</f>
        <v>292475.306524541</v>
      </c>
      <c r="Q29" s="59" t="n">
        <f aca="false">IF(H29&gt;0, IF(P29&gt;0,D29*H29*0.7,0),0)</f>
        <v>67512.2449257998</v>
      </c>
      <c r="R29" s="74" t="n">
        <f aca="false">IF(P29&gt;0,MIN(P29,Q29),0)</f>
        <v>67512.2449257998</v>
      </c>
      <c r="S29" s="53" t="n">
        <f aca="false">R29*V$1</f>
        <v>12464.4482194258</v>
      </c>
      <c r="T29" s="53" t="n">
        <f aca="false">T28+R29-AC29</f>
        <v>465870.088564301</v>
      </c>
      <c r="U29" s="53" t="n">
        <f aca="false">V29+AB29+S29-AE29</f>
        <v>273425.678355347</v>
      </c>
      <c r="V29" s="53" t="n">
        <f aca="false">V28*(1+I29)</f>
        <v>226821.658979528</v>
      </c>
      <c r="W29" s="75" t="n">
        <f aca="false">U29/B30</f>
        <v>17471.307874781</v>
      </c>
      <c r="X29" s="53" t="n">
        <f aca="false">U29-S29-AB29+AE29</f>
        <v>226821.658979528</v>
      </c>
      <c r="Y29" s="42"/>
      <c r="Z29" s="53" t="n">
        <f aca="false">W29*D$1+AC29</f>
        <v>88512.6320777952</v>
      </c>
      <c r="AA29" s="53" t="n">
        <f aca="false">U29-Z29</f>
        <v>184913.046277552</v>
      </c>
      <c r="AB29" s="53" t="n">
        <f aca="false">AA29*V$1</f>
        <v>34139.5711563937</v>
      </c>
      <c r="AC29" s="76" t="n">
        <f aca="false">IF(T28&gt;0,(T28/C29)*W29,0)</f>
        <v>76865.0934887841</v>
      </c>
      <c r="AD29" s="77" t="n">
        <f aca="false">AD28*(1+I29)</f>
        <v>0</v>
      </c>
      <c r="AE29" s="53" t="n">
        <f aca="false">IF((R29+U29)&lt;AD29,(R29+U29)*'HIER Rechnung Ausschütter'!O$1,AD29*'HIER Rechnung Ausschütter'!O$1)</f>
        <v>0</v>
      </c>
      <c r="AF29" s="103" t="n">
        <f aca="false">AG29-'HIER Rechnung Ausschütter'!AM29</f>
        <v>3266.96254179123</v>
      </c>
      <c r="AG29" s="53" t="n">
        <f aca="false">(AA29+R29)*0.7</f>
        <v>176697.703842346</v>
      </c>
      <c r="AH29" s="10"/>
      <c r="AI29" s="10"/>
    </row>
    <row r="30" customFormat="false" ht="14.15" hidden="false" customHeight="false" outlineLevel="0" collapsed="false">
      <c r="A30" s="9" t="n">
        <v>27</v>
      </c>
      <c r="B30" s="40" t="n">
        <f aca="false">B29*(1+E29+G29)</f>
        <v>15.6499834040348</v>
      </c>
      <c r="C30" s="48" t="n">
        <f aca="false">C29-W29</f>
        <v>90531.6406888312</v>
      </c>
      <c r="D30" s="10" t="n">
        <f aca="false">J29</f>
        <v>1416832.57287654</v>
      </c>
      <c r="E30" s="45" t="n">
        <f aca="false">'HIER Rechnung Ausschütter'!E30</f>
        <v>0.117233208040529</v>
      </c>
      <c r="F30" s="42" t="n">
        <f aca="false">D30*(1+E30+G30)</f>
        <v>1610302.85363814</v>
      </c>
      <c r="G30" s="45" t="n">
        <f aca="false">'HIER Rechnung Ausschütter'!H30</f>
        <v>0.0193180574126683</v>
      </c>
      <c r="H30" s="54" t="n">
        <f aca="false">IF(K$1="Ja",(IF(E30&gt;0,I30+(E30*0.3),I30)),I30)</f>
        <v>0.062</v>
      </c>
      <c r="I30" s="70" t="n">
        <v>0.062</v>
      </c>
      <c r="J30" s="46" t="n">
        <f aca="false">B31*C31</f>
        <v>1322377.72321375</v>
      </c>
      <c r="K30" s="54" t="n">
        <f aca="false">J30/D30-1</f>
        <v>-0.0666662042297806</v>
      </c>
      <c r="L30" s="54" t="n">
        <f aca="false">K30-'HIER Rechnung Ausschütter'!J30</f>
        <v>-0.0707390066412964</v>
      </c>
      <c r="M30" s="53" t="n">
        <f aca="false">J30-'HIER Rechnung Ausschütter'!I30</f>
        <v>-823200.409002815</v>
      </c>
      <c r="N30" s="54" t="n">
        <f aca="false">B31/D$1-1</f>
        <v>25.6805126499256</v>
      </c>
      <c r="O30" s="54" t="n">
        <f aca="false">U30/F30</f>
        <v>0.178871925937178</v>
      </c>
      <c r="P30" s="59" t="n">
        <f aca="false">(B31*C30)-(B30*C30)</f>
        <v>193468.382896151</v>
      </c>
      <c r="Q30" s="59" t="n">
        <f aca="false">IF(H30&gt;0, IF(P30&gt;0,D30*H30*0.7,0),0)</f>
        <v>61490.5336628419</v>
      </c>
      <c r="R30" s="74" t="n">
        <f aca="false">IF(P30&gt;0,MIN(P30,Q30),0)</f>
        <v>61490.5336628419</v>
      </c>
      <c r="S30" s="53" t="n">
        <f aca="false">R30*V$1</f>
        <v>11352.6897775022</v>
      </c>
      <c r="T30" s="53" t="n">
        <f aca="false">T29+R30-AC30</f>
        <v>444028.724810486</v>
      </c>
      <c r="U30" s="53" t="n">
        <f aca="false">V30+AB30+S30-AE30</f>
        <v>288037.972772388</v>
      </c>
      <c r="V30" s="53" t="n">
        <f aca="false">V29*(1+I30)</f>
        <v>240884.601836259</v>
      </c>
      <c r="W30" s="75" t="n">
        <f aca="false">U30/B31</f>
        <v>16193.7277795461</v>
      </c>
      <c r="X30" s="53" t="n">
        <f aca="false">U30-S30-AB30+AE30</f>
        <v>240884.601836259</v>
      </c>
      <c r="Y30" s="42"/>
      <c r="Z30" s="53" t="n">
        <f aca="false">W30*D$1+AC30</f>
        <v>94127.7159417525</v>
      </c>
      <c r="AA30" s="53" t="n">
        <f aca="false">U30-Z30</f>
        <v>193910.256830635</v>
      </c>
      <c r="AB30" s="53" t="n">
        <f aca="false">AA30*V$1</f>
        <v>35800.681158627</v>
      </c>
      <c r="AC30" s="76" t="n">
        <f aca="false">IF(T29&gt;0,(T29/C30)*W30,0)</f>
        <v>83331.8974166572</v>
      </c>
      <c r="AD30" s="77" t="n">
        <f aca="false">AD29*(1+I30)</f>
        <v>0</v>
      </c>
      <c r="AE30" s="53" t="n">
        <f aca="false">IF((R30+U30)&lt;AD30,(R30+U30)*'HIER Rechnung Ausschütter'!O$1,AD30*'HIER Rechnung Ausschütter'!O$1)</f>
        <v>0</v>
      </c>
      <c r="AF30" s="103" t="n">
        <f aca="false">AG30-'HIER Rechnung Ausschütter'!AM30</f>
        <v>411.866278979403</v>
      </c>
      <c r="AG30" s="53" t="n">
        <f aca="false">(AA30+R30)*0.7</f>
        <v>178780.553345434</v>
      </c>
      <c r="AH30" s="10"/>
      <c r="AI30" s="10"/>
    </row>
    <row r="31" customFormat="false" ht="14.15" hidden="false" customHeight="false" outlineLevel="0" collapsed="false">
      <c r="A31" s="9" t="n">
        <v>28</v>
      </c>
      <c r="B31" s="40" t="n">
        <f aca="false">B30*(1+E30+G30)</f>
        <v>17.7870084421773</v>
      </c>
      <c r="C31" s="48" t="n">
        <f aca="false">C30-W30</f>
        <v>74345.1450822991</v>
      </c>
      <c r="D31" s="10" t="n">
        <f aca="false">J30</f>
        <v>1322377.72321375</v>
      </c>
      <c r="E31" s="45" t="n">
        <f aca="false">'HIER Rechnung Ausschütter'!E31</f>
        <v>0.141680136330059</v>
      </c>
      <c r="F31" s="42" t="n">
        <f aca="false">D31*(1+E31+G31)</f>
        <v>1532877.05253301</v>
      </c>
      <c r="G31" s="45" t="n">
        <f aca="false">'HIER Rechnung Ausschütter'!H31</f>
        <v>0.0175023163262708</v>
      </c>
      <c r="H31" s="54" t="n">
        <f aca="false">IF(K$1="Ja",(IF(E31&gt;0,I31+(E31*0.3),I31)),I31)</f>
        <v>0.056</v>
      </c>
      <c r="I31" s="70" t="n">
        <v>0.056</v>
      </c>
      <c r="J31" s="46" t="n">
        <f aca="false">B32*C32</f>
        <v>1231179.10050576</v>
      </c>
      <c r="K31" s="54" t="n">
        <f aca="false">J31/D31-1</f>
        <v>-0.0689656375081354</v>
      </c>
      <c r="L31" s="54" t="n">
        <f aca="false">K31-'HIER Rechnung Ausschütter'!J31</f>
        <v>-0.089842705986069</v>
      </c>
      <c r="M31" s="53" t="n">
        <f aca="false">J31-'HIER Rechnung Ausschütter'!I31</f>
        <v>-959192.413301849</v>
      </c>
      <c r="N31" s="54" t="n">
        <f aca="false">B32/D$1-1</f>
        <v>29.927582091669</v>
      </c>
      <c r="O31" s="54" t="n">
        <f aca="false">U31/F31</f>
        <v>0.196826819717133</v>
      </c>
      <c r="P31" s="59" t="n">
        <f aca="false">(B32*C31)-(B31*C31)</f>
        <v>210499.329319258</v>
      </c>
      <c r="Q31" s="59" t="n">
        <f aca="false">IF(H31&gt;0, IF(P31&gt;0,D31*H31*0.7,0),0)</f>
        <v>51837.2067499789</v>
      </c>
      <c r="R31" s="74" t="n">
        <f aca="false">IF(P31&gt;0,MIN(P31,Q31),0)</f>
        <v>51837.2067499789</v>
      </c>
      <c r="S31" s="53" t="n">
        <f aca="false">R31*V$1</f>
        <v>9570.44429621486</v>
      </c>
      <c r="T31" s="53" t="n">
        <f aca="false">T30+R31-AC31</f>
        <v>408527.000305885</v>
      </c>
      <c r="U31" s="53" t="n">
        <f aca="false">V31+AB31+S31-AE31</f>
        <v>301711.315267445</v>
      </c>
      <c r="V31" s="53" t="n">
        <f aca="false">V30*(1+I31)</f>
        <v>254374.139539089</v>
      </c>
      <c r="W31" s="75" t="n">
        <f aca="false">U31/B32</f>
        <v>14633.1184645529</v>
      </c>
      <c r="X31" s="53" t="n">
        <f aca="false">U31-S31-AB31+AE31</f>
        <v>254374.139539089</v>
      </c>
      <c r="Y31" s="42"/>
      <c r="Z31" s="53" t="n">
        <f aca="false">W31*D$1+AC31</f>
        <v>97152.1740617455</v>
      </c>
      <c r="AA31" s="53" t="n">
        <f aca="false">U31-Z31</f>
        <v>204559.141205699</v>
      </c>
      <c r="AB31" s="53" t="n">
        <f aca="false">AA31*V$1</f>
        <v>37766.7314321407</v>
      </c>
      <c r="AC31" s="76" t="n">
        <f aca="false">IF(T30&gt;0,(T30/C31)*W31,0)</f>
        <v>87396.7617471659</v>
      </c>
      <c r="AD31" s="77" t="n">
        <f aca="false">AD30*(1+I31)</f>
        <v>0</v>
      </c>
      <c r="AE31" s="53" t="n">
        <f aca="false">IF((R31+U31)&lt;AD31,(R31+U31)*'HIER Rechnung Ausschütter'!O$1,AD31*'HIER Rechnung Ausschütter'!O$1)</f>
        <v>0</v>
      </c>
      <c r="AF31" s="103" t="n">
        <f aca="false">AG31-'HIER Rechnung Ausschütter'!AM31</f>
        <v>-1342.74218296792</v>
      </c>
      <c r="AG31" s="53" t="n">
        <f aca="false">(AA31+R31)*0.7</f>
        <v>179477.443568975</v>
      </c>
      <c r="AH31" s="10"/>
      <c r="AI31" s="10"/>
    </row>
    <row r="32" customFormat="false" ht="14.15" hidden="false" customHeight="false" outlineLevel="0" collapsed="false">
      <c r="A32" s="9" t="n">
        <v>29</v>
      </c>
      <c r="B32" s="40" t="n">
        <f aca="false">B31*(1+E31+G31)</f>
        <v>20.6183880714219</v>
      </c>
      <c r="C32" s="48" t="n">
        <f aca="false">C31-W31</f>
        <v>59712.0266177463</v>
      </c>
      <c r="D32" s="10" t="n">
        <f aca="false">J31</f>
        <v>1231179.10050576</v>
      </c>
      <c r="E32" s="45" t="n">
        <f aca="false">'HIER Rechnung Ausschütter'!E32</f>
        <v>0.227805947313181</v>
      </c>
      <c r="F32" s="42" t="n">
        <f aca="false">D32*(1+E32+G32)</f>
        <v>1532732.46819558</v>
      </c>
      <c r="G32" s="45" t="n">
        <f aca="false">'HIER Rechnung Ausschütter'!H32</f>
        <v>0.0171245973703243</v>
      </c>
      <c r="H32" s="54" t="n">
        <f aca="false">IF(K$1="Ja",(IF(E32&gt;0,I32+(E32*0.3),I32)),I32)</f>
        <v>0.046</v>
      </c>
      <c r="I32" s="70" t="n">
        <v>0.046</v>
      </c>
      <c r="J32" s="46" t="n">
        <f aca="false">B33*C33</f>
        <v>1218335.93268429</v>
      </c>
      <c r="K32" s="54" t="n">
        <f aca="false">J32/D32-1</f>
        <v>-0.0104315999322844</v>
      </c>
      <c r="L32" s="54" t="n">
        <f aca="false">K32-'HIER Rechnung Ausschütter'!J32</f>
        <v>-0.115060843571346</v>
      </c>
      <c r="M32" s="53" t="n">
        <f aca="false">J32-'HIER Rechnung Ausschütter'!I32</f>
        <v>-1201212.49590155</v>
      </c>
      <c r="N32" s="54" t="n">
        <f aca="false">B33/D$1-1</f>
        <v>37.5026916191254</v>
      </c>
      <c r="O32" s="54" t="n">
        <f aca="false">U32/F32</f>
        <v>0.205170118531327</v>
      </c>
      <c r="P32" s="59" t="n">
        <f aca="false">(B33*C32)-(B32*C32)</f>
        <v>301550.094641319</v>
      </c>
      <c r="Q32" s="59" t="n">
        <f aca="false">IF(H32&gt;0, IF(P32&gt;0,D32*H32*0.7,0),0)</f>
        <v>39643.9670362853</v>
      </c>
      <c r="R32" s="74" t="n">
        <f aca="false">IF(P32&gt;0,MIN(P32,Q32),0)</f>
        <v>39643.9670362853</v>
      </c>
      <c r="S32" s="53" t="n">
        <f aca="false">R32*V$1</f>
        <v>7319.26741407418</v>
      </c>
      <c r="T32" s="53" t="n">
        <f aca="false">T31+R32-AC32</f>
        <v>364352.524516133</v>
      </c>
      <c r="U32" s="53" t="n">
        <f aca="false">V32+AB32+S32-AE32</f>
        <v>314470.9021765</v>
      </c>
      <c r="V32" s="53" t="n">
        <f aca="false">V31*(1+I32)</f>
        <v>266075.349957887</v>
      </c>
      <c r="W32" s="75" t="n">
        <f aca="false">U32/B33</f>
        <v>12251.2565518041</v>
      </c>
      <c r="X32" s="53" t="n">
        <f aca="false">U32-S32-AB32+AE32</f>
        <v>266075.349957887</v>
      </c>
      <c r="Y32" s="42"/>
      <c r="Z32" s="53" t="n">
        <f aca="false">W32*D$1+AC32</f>
        <v>91985.9471979898</v>
      </c>
      <c r="AA32" s="53" t="n">
        <f aca="false">U32-Z32</f>
        <v>222484.95497851</v>
      </c>
      <c r="AB32" s="53" t="n">
        <f aca="false">AA32*V$1</f>
        <v>41076.2848045385</v>
      </c>
      <c r="AC32" s="76" t="n">
        <f aca="false">IF(T31&gt;0,(T31/C32)*W32,0)</f>
        <v>83818.4428260366</v>
      </c>
      <c r="AD32" s="77" t="n">
        <f aca="false">AD31*(1+I32)</f>
        <v>0</v>
      </c>
      <c r="AE32" s="53" t="n">
        <f aca="false">IF((R32+U32)&lt;AD32,(R32+U32)*'HIER Rechnung Ausschütter'!O$1,AD32*'HIER Rechnung Ausschütter'!O$1)</f>
        <v>0</v>
      </c>
      <c r="AF32" s="103" t="n">
        <f aca="false">AG32-'HIER Rechnung Ausschütter'!AM32</f>
        <v>-5254.58466964652</v>
      </c>
      <c r="AG32" s="53" t="n">
        <f aca="false">(AA32+R32)*0.7</f>
        <v>183490.245410357</v>
      </c>
      <c r="AH32" s="10"/>
      <c r="AI32" s="10"/>
    </row>
    <row r="33" customFormat="false" ht="14.15" hidden="false" customHeight="false" outlineLevel="0" collapsed="false">
      <c r="A33" s="9" t="n">
        <v>30</v>
      </c>
      <c r="B33" s="40" t="n">
        <f aca="false">B32*(1+E32+G32)</f>
        <v>25.6684610922511</v>
      </c>
      <c r="C33" s="48" t="n">
        <f aca="false">C32-W32</f>
        <v>47464.315383211</v>
      </c>
      <c r="D33" s="10" t="n">
        <f aca="false">J32</f>
        <v>1218335.93268429</v>
      </c>
      <c r="E33" s="45" t="n">
        <f aca="false">'HIER Rechnung Ausschütter'!E33</f>
        <v>0.235603746939003</v>
      </c>
      <c r="F33" s="42" t="n">
        <f aca="false">D33*(1+E33+G33)</f>
        <v>1523808.39612301</v>
      </c>
      <c r="G33" s="45" t="n">
        <f aca="false">'HIER Rechnung Ausschütter'!H33</f>
        <v>0.0151255102747193</v>
      </c>
      <c r="H33" s="54" t="n">
        <f aca="false">IF(K$1="Ja",(IF(E33&gt;0,I33+(E33*0.3),I33)),I33)</f>
        <v>0.045</v>
      </c>
      <c r="I33" s="70" t="n">
        <v>0.045</v>
      </c>
      <c r="J33" s="46" t="n">
        <f aca="false">B34*C34</f>
        <v>1193544.98780126</v>
      </c>
      <c r="K33" s="54" t="n">
        <f aca="false">J33/D33-1</f>
        <v>-0.0203482013605345</v>
      </c>
      <c r="L33" s="54" t="n">
        <f aca="false">K33-'HIER Rechnung Ausschütter'!J33</f>
        <v>-0.135338255885519</v>
      </c>
      <c r="M33" s="53" t="n">
        <f aca="false">J33-'HIER Rechnung Ausschütter'!I33</f>
        <v>-1504227.44651351</v>
      </c>
      <c r="N33" s="54" t="n">
        <f aca="false">B34/D$1-1</f>
        <v>47.1564428895177</v>
      </c>
      <c r="O33" s="54" t="n">
        <f aca="false">U33/F33</f>
        <v>0.21673552216124</v>
      </c>
      <c r="P33" s="59" t="n">
        <f aca="false">(B34*C33)-(B33*C33)</f>
        <v>305472.463438719</v>
      </c>
      <c r="Q33" s="59" t="n">
        <f aca="false">IF(H33&gt;0, IF(P33&gt;0,D33*H33*0.7,0),0)</f>
        <v>38377.5818795551</v>
      </c>
      <c r="R33" s="74" t="n">
        <f aca="false">IF(P33&gt;0,MIN(P33,Q33),0)</f>
        <v>38377.5818795551</v>
      </c>
      <c r="S33" s="53" t="n">
        <f aca="false">R33*V$1</f>
        <v>7085.46105451286</v>
      </c>
      <c r="T33" s="53" t="n">
        <f aca="false">T32+R33-AC33</f>
        <v>323761.971764397</v>
      </c>
      <c r="U33" s="53" t="n">
        <f aca="false">V33+AB33+S33-AE33</f>
        <v>330263.408407402</v>
      </c>
      <c r="V33" s="53" t="n">
        <f aca="false">V32*(1+I33)</f>
        <v>278048.740705992</v>
      </c>
      <c r="W33" s="75" t="n">
        <f aca="false">U33/B34</f>
        <v>10287.2031759382</v>
      </c>
      <c r="X33" s="53" t="n">
        <f aca="false">U33-S33-AB33+AE33</f>
        <v>278048.740705992</v>
      </c>
      <c r="Y33" s="42"/>
      <c r="Z33" s="53" t="n">
        <f aca="false">W33*D$1+AC33</f>
        <v>85826.2700853457</v>
      </c>
      <c r="AA33" s="53" t="n">
        <f aca="false">U33-Z33</f>
        <v>244437.138322056</v>
      </c>
      <c r="AB33" s="53" t="n">
        <f aca="false">AA33*V$1</f>
        <v>45129.2066468969</v>
      </c>
      <c r="AC33" s="76" t="n">
        <f aca="false">IF(T32&gt;0,(T32/C33)*W33,0)</f>
        <v>78968.1346312912</v>
      </c>
      <c r="AD33" s="77" t="n">
        <f aca="false">AD32*(1+I33)</f>
        <v>0</v>
      </c>
      <c r="AE33" s="53" t="n">
        <f aca="false">IF((R33+U33)&lt;AD33,(R33+U33)*'HIER Rechnung Ausschütter'!O$1,AD33*'HIER Rechnung Ausschütter'!O$1)</f>
        <v>0</v>
      </c>
      <c r="AF33" s="103" t="n">
        <f aca="false">AG33-'HIER Rechnung Ausschütter'!AM33</f>
        <v>-25730.9345740043</v>
      </c>
      <c r="AG33" s="53" t="n">
        <f aca="false">(AA33+R33)*0.7</f>
        <v>197970.304141128</v>
      </c>
      <c r="AH33" s="10"/>
      <c r="AI33" s="10"/>
    </row>
    <row r="34" customFormat="false" ht="13.8" hidden="false" customHeight="false" outlineLevel="0" collapsed="false">
      <c r="B34" s="40" t="n">
        <f aca="false">B33*(1+E33+G33)</f>
        <v>32.1042952757306</v>
      </c>
      <c r="C34" s="48" t="n">
        <f aca="false">C33-W33</f>
        <v>37177.1122072728</v>
      </c>
      <c r="D34" s="10" t="n">
        <f aca="false">J33</f>
        <v>1193544.98780126</v>
      </c>
      <c r="E34" s="45" t="n">
        <f aca="false">'HIER Rechnung Ausschütter'!E34</f>
        <v>0</v>
      </c>
      <c r="F34" s="42"/>
      <c r="H34" s="54"/>
      <c r="I34" s="54"/>
      <c r="J34" s="10"/>
    </row>
    <row r="35" s="14" customFormat="true" ht="13.8" hidden="false" customHeight="false" outlineLevel="0" collapsed="false">
      <c r="H35" s="25"/>
      <c r="I35" s="25"/>
      <c r="U35" s="30" t="n">
        <f aca="false">SUM(U4:U34)</f>
        <v>4607676.37049188</v>
      </c>
      <c r="V35" s="30" t="n">
        <f aca="false">SUM(V4:V34)</f>
        <v>3815705.21695989</v>
      </c>
      <c r="X35" s="104" t="n">
        <f aca="false">SUM(X4:X34)</f>
        <v>3815705.21695989</v>
      </c>
      <c r="AA35" s="30"/>
      <c r="AG35" s="30" t="n">
        <f aca="false">SUM(AG4:AG34)</f>
        <v>3002734.38978947</v>
      </c>
      <c r="AMJ35" s="0"/>
    </row>
    <row r="36" s="14" customFormat="true" ht="13.8" hidden="false" customHeight="false" outlineLevel="0" collapsed="false">
      <c r="B36" s="1" t="s">
        <v>72</v>
      </c>
      <c r="D36" s="25" t="n">
        <f aca="false">J33/D4-1</f>
        <v>0.193544987801255</v>
      </c>
      <c r="H36" s="25" t="n">
        <f aca="false">AVERAGE(H3:H34)</f>
        <v>0.0744666666666667</v>
      </c>
      <c r="I36" s="25"/>
      <c r="N36" s="25" t="n">
        <f aca="false">(N33+1)^(1/30)-1</f>
        <v>0.137859081342729</v>
      </c>
      <c r="O36" s="25" t="n">
        <f aca="false">AVERAGE(O4:O34)</f>
        <v>0.102603374500575</v>
      </c>
      <c r="R36" s="30" t="n">
        <f aca="false">SUM(R4:R33)</f>
        <v>1408430.82618214</v>
      </c>
      <c r="S36" s="30"/>
      <c r="AMJ36" s="0"/>
    </row>
    <row r="37" s="14" customFormat="true" ht="13.8" hidden="false" customHeight="false" outlineLevel="0" collapsed="false">
      <c r="B37" s="1" t="s">
        <v>73</v>
      </c>
      <c r="D37" s="25" t="n">
        <f aca="false">(J33/C4)^(1/30)-1</f>
        <v>0.00591502039039415</v>
      </c>
      <c r="H37" s="25"/>
      <c r="I37" s="25"/>
      <c r="X37" s="61"/>
      <c r="Y37" s="61"/>
      <c r="AMJ37" s="0"/>
    </row>
    <row r="38" s="14" customFormat="true" ht="13.8" hidden="false" customHeight="false" outlineLevel="0" collapsed="false">
      <c r="H38" s="25"/>
      <c r="I38" s="25"/>
      <c r="W38" s="105"/>
      <c r="AMJ38" s="0"/>
    </row>
    <row r="39" s="14" customFormat="true" ht="64.9" hidden="false" customHeight="false" outlineLevel="0" collapsed="false">
      <c r="B39" s="26" t="s">
        <v>74</v>
      </c>
      <c r="C39" s="20"/>
      <c r="D39" s="27" t="n">
        <f aca="false">'HIER Rechnung Ausschütter'!D37-D37</f>
        <v>0.0277191160803762</v>
      </c>
      <c r="E39" s="20" t="s">
        <v>17</v>
      </c>
      <c r="H39" s="25"/>
      <c r="I39" s="25"/>
      <c r="AMJ39" s="0"/>
    </row>
    <row r="40" s="14" customFormat="true" ht="15.75" hidden="false" customHeight="true" outlineLevel="0" collapsed="false">
      <c r="AMJ40" s="0"/>
    </row>
    <row r="41" s="14" customFormat="true" ht="15.75" hidden="false" customHeight="true" outlineLevel="0" collapsed="false">
      <c r="AMJ41" s="0"/>
    </row>
    <row r="42" s="14" customFormat="true" ht="17.35" hidden="false" customHeight="false" outlineLevel="0" collapsed="false">
      <c r="B42" s="63" t="s">
        <v>75</v>
      </c>
      <c r="AMJ42" s="0"/>
    </row>
    <row r="43" s="14" customFormat="true" ht="77.6" hidden="false" customHeight="false" outlineLevel="0" collapsed="false">
      <c r="B43" s="12" t="s">
        <v>76</v>
      </c>
      <c r="C43" s="30" t="n">
        <f aca="false">((B34-D1)*C34)-T33</f>
        <v>844998.27455295</v>
      </c>
      <c r="AMJ43" s="0"/>
    </row>
    <row r="44" s="14" customFormat="true" ht="14.15" hidden="false" customHeight="false" outlineLevel="0" collapsed="false">
      <c r="B44" s="12" t="s">
        <v>77</v>
      </c>
      <c r="C44" s="30" t="n">
        <f aca="false">C43*V1</f>
        <v>156007.806439338</v>
      </c>
      <c r="AMJ44" s="0"/>
    </row>
    <row r="45" s="14" customFormat="true" ht="52.2" hidden="false" customHeight="false" outlineLevel="0" collapsed="false">
      <c r="B45" s="12" t="s">
        <v>78</v>
      </c>
      <c r="C45" s="30" t="n">
        <f aca="false">J33-C44</f>
        <v>1037537.18136192</v>
      </c>
      <c r="AMJ45" s="0"/>
    </row>
    <row r="46" s="14" customFormat="true" ht="13.8" hidden="false" customHeight="false" outlineLevel="0" collapsed="false">
      <c r="B46" s="1" t="s">
        <v>73</v>
      </c>
      <c r="C46" s="25" t="n">
        <f aca="false">(C45/C4)^(1/30)-1</f>
        <v>0.0012290817005105</v>
      </c>
      <c r="D46" s="1" t="s">
        <v>17</v>
      </c>
      <c r="AMJ46" s="0"/>
    </row>
    <row r="47" s="14" customFormat="true" ht="15.75" hidden="false" customHeight="true" outlineLevel="0" collapsed="false">
      <c r="AMJ47" s="0"/>
    </row>
    <row r="48" s="14" customFormat="true" ht="13.8" hidden="false" customHeight="false" outlineLevel="0" collapsed="false">
      <c r="B48" s="20" t="s">
        <v>79</v>
      </c>
      <c r="C48" s="27" t="n">
        <f aca="false">'HIER Rechnung Ausschütter'!C46-C46</f>
        <v>0.0258282837802632</v>
      </c>
      <c r="D48" s="20" t="s">
        <v>17</v>
      </c>
      <c r="AMJ48" s="0"/>
    </row>
    <row r="49" s="14" customFormat="true" ht="15.75" hidden="false" customHeight="true" outlineLevel="0" collapsed="false">
      <c r="AMJ49" s="0"/>
    </row>
    <row r="50" s="14" customFormat="true" ht="15.75" hidden="false" customHeight="true" outlineLevel="0" collapsed="false">
      <c r="AMJ50" s="0"/>
    </row>
  </sheetData>
  <conditionalFormatting sqref="AF3:AF33">
    <cfRule type="colorScale" priority="2">
      <colorScale>
        <cfvo type="formula" val="-10000"/>
        <cfvo type="formula" val="10000"/>
        <color rgb="FF00FF00"/>
        <color rgb="FFE67C73"/>
      </colorScale>
    </cfRule>
  </conditionalFormatting>
  <dataValidations count="1">
    <dataValidation allowBlank="true" errorStyle="stop" operator="between" showDropDown="false" showErrorMessage="true" showInputMessage="false" sqref="K1" type="list">
      <formula1>"Nein,Ja"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03"/>
  <sheetViews>
    <sheetView showFormulas="false" showGridLines="true" showRowColHeaders="true" showZeros="true" rightToLeft="false" tabSelected="false" showOutlineSymbols="true" defaultGridColor="true" view="normal" topLeftCell="N1" colorId="64" zoomScale="100" zoomScaleNormal="100" zoomScalePageLayoutView="100" workbookViewId="0">
      <selection pane="topLeft" activeCell="AF2" activeCellId="0" sqref="AF2"/>
    </sheetView>
  </sheetViews>
  <sheetFormatPr defaultColWidth="12.6953125" defaultRowHeight="12.8" zeroHeight="false" outlineLevelRow="0" outlineLevelCol="0"/>
  <cols>
    <col collapsed="false" customWidth="true" hidden="false" outlineLevel="0" max="23" min="23" style="0" width="15.56"/>
    <col collapsed="false" customWidth="true" hidden="false" outlineLevel="0" max="1024" min="1024" style="0" width="11.52"/>
  </cols>
  <sheetData>
    <row r="1" s="14" customFormat="true" ht="26.85" hidden="false" customHeight="false" outlineLevel="0" collapsed="false">
      <c r="A1" s="28" t="s">
        <v>97</v>
      </c>
      <c r="B1" s="1"/>
      <c r="C1" s="12" t="s">
        <v>33</v>
      </c>
      <c r="D1" s="29" t="n">
        <f aca="false">'HIER Rechnung Ausschütter'!D1</f>
        <v>0.666666667</v>
      </c>
      <c r="E1" s="1" t="s">
        <v>34</v>
      </c>
      <c r="F1" s="1"/>
      <c r="G1" s="30" t="n">
        <f aca="false">'HIER Rechnung Ausschütter'!H1</f>
        <v>1000000</v>
      </c>
      <c r="K1" s="1"/>
      <c r="O1" s="12" t="s">
        <v>98</v>
      </c>
      <c r="P1" s="32" t="n">
        <f aca="false">'HIER Rechnung Ausschütter'!P1</f>
        <v>0.26375</v>
      </c>
      <c r="Q1" s="32"/>
      <c r="R1" s="32"/>
      <c r="T1" s="31"/>
      <c r="U1" s="32"/>
      <c r="V1" s="12"/>
      <c r="W1" s="12"/>
      <c r="X1" s="12" t="s">
        <v>39</v>
      </c>
      <c r="Y1" s="30" t="n">
        <f aca="false">'HIER Rechnung Ausschütter'!X1</f>
        <v>35000</v>
      </c>
      <c r="Z1" s="1"/>
      <c r="AA1" s="31"/>
      <c r="AMJ1" s="0"/>
    </row>
    <row r="2" s="14" customFormat="true" ht="77.6" hidden="false" customHeight="false" outlineLevel="0" collapsed="false">
      <c r="A2" s="1" t="s">
        <v>3</v>
      </c>
      <c r="B2" s="12" t="s">
        <v>99</v>
      </c>
      <c r="C2" s="12" t="s">
        <v>41</v>
      </c>
      <c r="D2" s="12" t="s">
        <v>42</v>
      </c>
      <c r="E2" s="1" t="s">
        <v>83</v>
      </c>
      <c r="F2" s="12" t="s">
        <v>45</v>
      </c>
      <c r="G2" s="12" t="s">
        <v>100</v>
      </c>
      <c r="H2" s="26" t="s">
        <v>101</v>
      </c>
      <c r="I2" s="12" t="s">
        <v>47</v>
      </c>
      <c r="J2" s="12" t="s">
        <v>48</v>
      </c>
      <c r="K2" s="12" t="s">
        <v>102</v>
      </c>
      <c r="L2" s="12"/>
      <c r="M2" s="12" t="s">
        <v>103</v>
      </c>
      <c r="N2" s="12" t="s">
        <v>104</v>
      </c>
      <c r="O2" s="12" t="s">
        <v>105</v>
      </c>
      <c r="P2" s="12" t="s">
        <v>52</v>
      </c>
      <c r="Q2" s="12" t="s">
        <v>106</v>
      </c>
      <c r="R2" s="12" t="s">
        <v>107</v>
      </c>
      <c r="S2" s="12"/>
      <c r="T2" s="12" t="s">
        <v>54</v>
      </c>
      <c r="U2" s="12" t="s">
        <v>108</v>
      </c>
      <c r="V2" s="12" t="s">
        <v>109</v>
      </c>
      <c r="W2" s="12" t="s">
        <v>57</v>
      </c>
      <c r="X2" s="12" t="s">
        <v>110</v>
      </c>
      <c r="Y2" s="12" t="s">
        <v>59</v>
      </c>
      <c r="Z2" s="12"/>
      <c r="AA2" s="12"/>
      <c r="AB2" s="1"/>
      <c r="AC2" s="1" t="s">
        <v>111</v>
      </c>
      <c r="AD2" s="12" t="s">
        <v>70</v>
      </c>
      <c r="AE2" s="12" t="s">
        <v>112</v>
      </c>
      <c r="AF2" s="12" t="s">
        <v>69</v>
      </c>
      <c r="AG2" s="12" t="s">
        <v>71</v>
      </c>
      <c r="AMJ2" s="0"/>
    </row>
    <row r="3" customFormat="false" ht="15.75" hidden="true" customHeight="false" outlineLevel="0" collapsed="false">
      <c r="A3" s="9" t="n">
        <v>0</v>
      </c>
      <c r="B3" s="40"/>
      <c r="C3" s="41"/>
      <c r="D3" s="42"/>
      <c r="E3" s="106"/>
      <c r="F3" s="42"/>
      <c r="G3" s="107"/>
      <c r="H3" s="46" t="n">
        <f aca="false">C4*B4</f>
        <v>1000000</v>
      </c>
      <c r="I3" s="47"/>
      <c r="J3" s="47"/>
      <c r="K3" s="53"/>
      <c r="L3" s="10"/>
      <c r="M3" s="10"/>
      <c r="N3" s="10"/>
      <c r="O3" s="10"/>
      <c r="P3" s="13"/>
      <c r="R3" s="42"/>
      <c r="S3" s="45"/>
      <c r="T3" s="48"/>
      <c r="U3" s="49"/>
      <c r="V3" s="10"/>
      <c r="W3" s="10"/>
      <c r="X3" s="42"/>
      <c r="Y3" s="10"/>
      <c r="Z3" s="10"/>
      <c r="AA3" s="45"/>
      <c r="AC3" s="10"/>
      <c r="AE3" s="10"/>
    </row>
    <row r="4" customFormat="false" ht="14.15" hidden="false" customHeight="false" outlineLevel="0" collapsed="false">
      <c r="A4" s="9" t="n">
        <v>1</v>
      </c>
      <c r="B4" s="40" t="n">
        <v>1</v>
      </c>
      <c r="C4" s="41" t="n">
        <f aca="false">G1</f>
        <v>1000000</v>
      </c>
      <c r="D4" s="42" t="n">
        <f aca="false">C4*B4</f>
        <v>1000000</v>
      </c>
      <c r="E4" s="106" t="n">
        <f aca="false">'HIER Rechnung Ausschütter'!E4+'HIER Rechnung Ausschütter'!K$1</f>
        <v>-0.05708</v>
      </c>
      <c r="F4" s="42" t="n">
        <f aca="false">D4*(1+E4)</f>
        <v>942920</v>
      </c>
      <c r="G4" s="107" t="n">
        <v>0.03725</v>
      </c>
      <c r="H4" s="46" t="n">
        <f aca="false">C5*B5</f>
        <v>933580.02233115</v>
      </c>
      <c r="I4" s="52" t="n">
        <f aca="false">H4/D4-1</f>
        <v>-0.0664199776688502</v>
      </c>
      <c r="J4" s="52" t="n">
        <f aca="false">B5/B$4-1</f>
        <v>-0.05708</v>
      </c>
      <c r="K4" s="53" t="n">
        <f aca="false">H4-'HIER Rechnung Thesaurierer '!J4</f>
        <v>-3834.4043250602</v>
      </c>
      <c r="L4" s="53"/>
      <c r="M4" s="53" t="n">
        <f aca="false">F4*G4</f>
        <v>35123.77</v>
      </c>
      <c r="N4" s="53" t="n">
        <f aca="false">M4-O4</f>
        <v>25859.8756625</v>
      </c>
      <c r="O4" s="53" t="n">
        <f aca="false">M4*P$1-AD4</f>
        <v>9263.8943375</v>
      </c>
      <c r="P4" s="54" t="n">
        <f aca="false">(M4+U4)/H4</f>
        <v>0.048232765789731</v>
      </c>
      <c r="Q4" s="53" t="n">
        <f aca="false">Y1</f>
        <v>35000</v>
      </c>
      <c r="R4" s="53" t="n">
        <f aca="false">N4+Y4</f>
        <v>35000</v>
      </c>
      <c r="S4" s="45"/>
      <c r="T4" s="55" t="n">
        <f aca="false">U4/B5</f>
        <v>10502.7881749712</v>
      </c>
      <c r="U4" s="56" t="n">
        <f aca="false">Q4-N4+W4</f>
        <v>9905.37656307022</v>
      </c>
      <c r="V4" s="53" t="n">
        <f aca="false">U4-X4</f>
        <v>2901.43023912877</v>
      </c>
      <c r="W4" s="53" t="n">
        <f aca="false">V4*P$1</f>
        <v>765.252225570214</v>
      </c>
      <c r="X4" s="53" t="n">
        <f aca="false">T4*D$1</f>
        <v>7001.85878681505</v>
      </c>
      <c r="Y4" s="53" t="n">
        <f aca="false">U4-W4</f>
        <v>9140.1243375</v>
      </c>
      <c r="Z4" s="42"/>
      <c r="AA4" s="54"/>
      <c r="AB4" s="9"/>
      <c r="AC4" s="53" t="n">
        <f aca="false">'HIER Rechnung Ausschütter'!S1</f>
        <v>0</v>
      </c>
      <c r="AD4" s="53" t="n">
        <f aca="false">IF((M4+U4)&lt;AC4,(M4+U4)*'HIER Rechnung Ausschütter'!O$1,AC4*'HIER Rechnung Ausschütter'!O$1)</f>
        <v>0</v>
      </c>
      <c r="AE4" s="10" t="n">
        <f aca="false">'HIER Rechnung Ausschütter'!AM4-AG4</f>
        <v>-14819.015408992</v>
      </c>
      <c r="AF4" s="65" t="n">
        <f aca="false">'HIER Rechnung Ausschütter'!S1</f>
        <v>0</v>
      </c>
      <c r="AG4" s="10" t="n">
        <f aca="false">M4+V4</f>
        <v>38025.2002391288</v>
      </c>
    </row>
    <row r="5" customFormat="false" ht="14.15" hidden="false" customHeight="false" outlineLevel="0" collapsed="false">
      <c r="A5" s="9" t="n">
        <v>2</v>
      </c>
      <c r="B5" s="40" t="n">
        <f aca="false">B4*(1+E4)</f>
        <v>0.94292</v>
      </c>
      <c r="C5" s="48" t="n">
        <f aca="false">C4-U4</f>
        <v>990094.62343693</v>
      </c>
      <c r="D5" s="10" t="n">
        <f aca="false">H4</f>
        <v>933580.02233115</v>
      </c>
      <c r="E5" s="45" t="n">
        <f aca="false">'HIER Rechnung Ausschütter'!E5+'HIER Rechnung Ausschütter'!K$1</f>
        <v>0.155909303016162</v>
      </c>
      <c r="F5" s="42" t="n">
        <f aca="false">D5*(1+E5)</f>
        <v>1079133.83292261</v>
      </c>
      <c r="G5" s="107" t="n">
        <v>0.039730228901771</v>
      </c>
      <c r="H5" s="46" t="n">
        <f aca="false">C6*B6</f>
        <v>1072188.63478392</v>
      </c>
      <c r="I5" s="52" t="n">
        <f aca="false">H5/D5-1</f>
        <v>0.148469985579455</v>
      </c>
      <c r="J5" s="52" t="n">
        <f aca="false">B6/B$4-1</f>
        <v>0.0899299999999994</v>
      </c>
      <c r="K5" s="53" t="n">
        <f aca="false">H5-'HIER Rechnung Thesaurierer '!J5</f>
        <v>8501.25896064262</v>
      </c>
      <c r="L5" s="53"/>
      <c r="M5" s="53" t="n">
        <f aca="false">F5*G5</f>
        <v>42874.2341976609</v>
      </c>
      <c r="N5" s="53" t="n">
        <f aca="false">M5-O5</f>
        <v>31566.1549280278</v>
      </c>
      <c r="O5" s="53" t="n">
        <f aca="false">M5*P$1-AD5</f>
        <v>11308.0792696331</v>
      </c>
      <c r="P5" s="54" t="n">
        <f aca="false">R5/H5</f>
        <v>0.0352549903754742</v>
      </c>
      <c r="Q5" s="53" t="n">
        <f aca="false">Q4*(1+'HIER Rechnung Thesaurierer '!I5)</f>
        <v>37800</v>
      </c>
      <c r="R5" s="53" t="n">
        <f aca="false">N5+Y5</f>
        <v>37800</v>
      </c>
      <c r="S5" s="45"/>
      <c r="T5" s="55" t="n">
        <f aca="false">U5/B6</f>
        <v>6372.15063232533</v>
      </c>
      <c r="U5" s="56" t="n">
        <f aca="false">Q5-N5+W5</f>
        <v>6945.19813869035</v>
      </c>
      <c r="V5" s="53" t="n">
        <f aca="false">U5-X5</f>
        <v>2697.0732387419</v>
      </c>
      <c r="W5" s="53" t="n">
        <f aca="false">V5*P$1</f>
        <v>711.353066718176</v>
      </c>
      <c r="X5" s="53" t="n">
        <f aca="false">T5*D$1</f>
        <v>4248.06187198587</v>
      </c>
      <c r="Y5" s="53" t="n">
        <f aca="false">U5-W5</f>
        <v>6233.84507197217</v>
      </c>
      <c r="Z5" s="42"/>
      <c r="AA5" s="54"/>
      <c r="AB5" s="9"/>
      <c r="AC5" s="53" t="n">
        <f aca="false">AC4*(1+'HIER Rechnung Thesaurierer '!I5)</f>
        <v>0</v>
      </c>
      <c r="AD5" s="53" t="n">
        <f aca="false">IF((M5+U5)&lt;AC5,(M5+U5)*'HIER Rechnung Ausschütter'!O$1,AC5*'HIER Rechnung Ausschütter'!O$1)</f>
        <v>0</v>
      </c>
      <c r="AE5" s="10" t="n">
        <f aca="false">'HIER Rechnung Ausschütter'!AM5-AG5</f>
        <v>-5918.25918525999</v>
      </c>
      <c r="AF5" s="65" t="n">
        <f aca="false">AF4*(1+'HIER Rechnung Thesaurierer '!I4)</f>
        <v>0</v>
      </c>
      <c r="AG5" s="10" t="n">
        <f aca="false">M5+V5</f>
        <v>45571.3074364028</v>
      </c>
    </row>
    <row r="6" customFormat="false" ht="14.15" hidden="false" customHeight="false" outlineLevel="0" collapsed="false">
      <c r="A6" s="9" t="n">
        <v>3</v>
      </c>
      <c r="B6" s="40" t="n">
        <f aca="false">B5*(1+E5)</f>
        <v>1.08993</v>
      </c>
      <c r="C6" s="48" t="n">
        <f aca="false">C5-T5</f>
        <v>983722.472804604</v>
      </c>
      <c r="D6" s="10" t="n">
        <f aca="false">H5</f>
        <v>1072188.63478392</v>
      </c>
      <c r="E6" s="45" t="n">
        <f aca="false">'HIER Rechnung Ausschütter'!E6+'HIER Rechnung Ausschütter'!K$1</f>
        <v>0.199499050397732</v>
      </c>
      <c r="F6" s="42" t="n">
        <f aca="false">D6*(1+E6)</f>
        <v>1286089.24927056</v>
      </c>
      <c r="G6" s="107" t="n">
        <v>0.035984297583803</v>
      </c>
      <c r="H6" s="46" t="n">
        <f aca="false">C7*B7</f>
        <v>1278379.44042965</v>
      </c>
      <c r="I6" s="52" t="n">
        <f aca="false">H6/D6-1</f>
        <v>0.192308329855861</v>
      </c>
      <c r="J6" s="52" t="n">
        <f aca="false">B7/B$4-1</f>
        <v>0.307369999999999</v>
      </c>
      <c r="K6" s="53" t="n">
        <f aca="false">H6-'HIER Rechnung Thesaurierer '!J6</f>
        <v>26768.8085557646</v>
      </c>
      <c r="L6" s="53"/>
      <c r="M6" s="53" t="n">
        <f aca="false">F6*G6</f>
        <v>46279.0182650815</v>
      </c>
      <c r="N6" s="53" t="n">
        <f aca="false">M6-O6</f>
        <v>34072.9271976662</v>
      </c>
      <c r="O6" s="53" t="n">
        <f aca="false">M6*P$1-AD6</f>
        <v>12206.0910674152</v>
      </c>
      <c r="P6" s="54" t="n">
        <f aca="false">R6/H6</f>
        <v>0.0319046119720856</v>
      </c>
      <c r="Q6" s="53" t="n">
        <f aca="false">Q5*(1+'HIER Rechnung Thesaurierer '!I6)</f>
        <v>40786.2</v>
      </c>
      <c r="R6" s="53" t="n">
        <f aca="false">N6+Y6</f>
        <v>40786.2</v>
      </c>
      <c r="S6" s="45"/>
      <c r="T6" s="55" t="n">
        <f aca="false">U6/B7</f>
        <v>5897.18965625714</v>
      </c>
      <c r="U6" s="56" t="n">
        <f aca="false">Q6-N6+W6</f>
        <v>7709.80884090089</v>
      </c>
      <c r="V6" s="53" t="n">
        <f aca="false">U6-X6</f>
        <v>3778.33569124982</v>
      </c>
      <c r="W6" s="53" t="n">
        <f aca="false">V6*P$1</f>
        <v>996.53603856714</v>
      </c>
      <c r="X6" s="53" t="n">
        <f aca="false">T6*D$1</f>
        <v>3931.44585388423</v>
      </c>
      <c r="Y6" s="53" t="n">
        <f aca="false">U6-W6</f>
        <v>6713.27280233376</v>
      </c>
      <c r="Z6" s="42"/>
      <c r="AA6" s="54"/>
      <c r="AB6" s="9"/>
      <c r="AC6" s="53" t="n">
        <f aca="false">AC5*(1+'HIER Rechnung Thesaurierer '!I6)</f>
        <v>0</v>
      </c>
      <c r="AD6" s="53" t="n">
        <f aca="false">IF((M6+U6)&lt;AC6,(M6+U6)*'HIER Rechnung Ausschütter'!O$1,AC6*'HIER Rechnung Ausschütter'!O$1)</f>
        <v>0</v>
      </c>
      <c r="AE6" s="10" t="n">
        <f aca="false">'HIER Rechnung Ausschütter'!AM6-AG6</f>
        <v>-4434.2191928042</v>
      </c>
      <c r="AF6" s="65" t="n">
        <f aca="false">AF5*(1+'HIER Rechnung Thesaurierer '!I5)</f>
        <v>0</v>
      </c>
      <c r="AG6" s="10" t="n">
        <f aca="false">M6+V6</f>
        <v>50057.3539563313</v>
      </c>
    </row>
    <row r="7" customFormat="false" ht="14.15" hidden="false" customHeight="false" outlineLevel="0" collapsed="false">
      <c r="A7" s="9" t="n">
        <v>4</v>
      </c>
      <c r="B7" s="40" t="n">
        <f aca="false">B6*(1+E6)</f>
        <v>1.30737</v>
      </c>
      <c r="C7" s="48" t="n">
        <f aca="false">C6-T6</f>
        <v>977825.283148347</v>
      </c>
      <c r="D7" s="10" t="n">
        <f aca="false">H6</f>
        <v>1278379.44042965</v>
      </c>
      <c r="E7" s="45" t="n">
        <f aca="false">'HIER Rechnung Ausschütter'!E7+'HIER Rechnung Ausschütter'!K$1</f>
        <v>-0.170777974100675</v>
      </c>
      <c r="F7" s="42" t="n">
        <f aca="false">D7*(1+E7)</f>
        <v>1060060.38946112</v>
      </c>
      <c r="G7" s="107" t="n">
        <v>0.025719613716671</v>
      </c>
      <c r="H7" s="46" t="n">
        <f aca="false">C8*B8</f>
        <v>1032784.37408357</v>
      </c>
      <c r="I7" s="52" t="n">
        <f aca="false">H7/D7-1</f>
        <v>-0.192114374323434</v>
      </c>
      <c r="J7" s="52" t="n">
        <f aca="false">B8/B$4-1</f>
        <v>0.0841000000000001</v>
      </c>
      <c r="K7" s="53" t="n">
        <f aca="false">H7-'HIER Rechnung Thesaurierer '!J7</f>
        <v>15203.0087720695</v>
      </c>
      <c r="L7" s="53"/>
      <c r="M7" s="53" t="n">
        <f aca="false">F7*G7</f>
        <v>27264.3437332839</v>
      </c>
      <c r="N7" s="53" t="n">
        <f aca="false">M7-O7</f>
        <v>20073.3730736303</v>
      </c>
      <c r="O7" s="53" t="n">
        <f aca="false">M7*P$1-AD7</f>
        <v>7190.97065965363</v>
      </c>
      <c r="P7" s="54" t="n">
        <f aca="false">R7/H7</f>
        <v>0.0431642051512999</v>
      </c>
      <c r="Q7" s="53" t="n">
        <f aca="false">Q6*(1+'HIER Rechnung Thesaurierer '!I7)</f>
        <v>44579.3166</v>
      </c>
      <c r="R7" s="53" t="n">
        <f aca="false">N7+Y7</f>
        <v>44579.3166</v>
      </c>
      <c r="S7" s="45"/>
      <c r="T7" s="55" t="n">
        <f aca="false">U7/B8</f>
        <v>25160.0547712886</v>
      </c>
      <c r="U7" s="56" t="n">
        <f aca="false">Q7-N7+W7</f>
        <v>27276.0153775539</v>
      </c>
      <c r="V7" s="53" t="n">
        <f aca="false">U7-X7</f>
        <v>10502.642089798</v>
      </c>
      <c r="W7" s="53" t="n">
        <f aca="false">V7*P$1</f>
        <v>2770.07185118422</v>
      </c>
      <c r="X7" s="53" t="n">
        <f aca="false">T7*D$1</f>
        <v>16773.3643750475</v>
      </c>
      <c r="Y7" s="53" t="n">
        <f aca="false">U7-W7</f>
        <v>24505.9435263697</v>
      </c>
      <c r="Z7" s="42"/>
      <c r="AA7" s="54"/>
      <c r="AB7" s="9"/>
      <c r="AC7" s="53" t="n">
        <f aca="false">AC6*(1+'HIER Rechnung Thesaurierer '!I7)</f>
        <v>0</v>
      </c>
      <c r="AD7" s="53" t="n">
        <f aca="false">IF((M7+U7)&lt;AC7,(M7+U7)*'HIER Rechnung Ausschütter'!O$1,AC7*'HIER Rechnung Ausschütter'!O$1)</f>
        <v>0</v>
      </c>
      <c r="AE7" s="10" t="n">
        <f aca="false">'HIER Rechnung Ausschütter'!AM7-AG7</f>
        <v>-15086.8477076649</v>
      </c>
      <c r="AF7" s="65" t="n">
        <f aca="false">AF6*(1+'HIER Rechnung Thesaurierer '!I6)</f>
        <v>0</v>
      </c>
      <c r="AG7" s="10" t="n">
        <f aca="false">M7+V7</f>
        <v>37766.9858230819</v>
      </c>
    </row>
    <row r="8" customFormat="false" ht="14.15" hidden="false" customHeight="false" outlineLevel="0" collapsed="false">
      <c r="A8" s="9" t="n">
        <v>5</v>
      </c>
      <c r="B8" s="40" t="n">
        <f aca="false">B7*(1+E7)</f>
        <v>1.0841</v>
      </c>
      <c r="C8" s="48" t="n">
        <f aca="false">C7-T7</f>
        <v>952665.228377059</v>
      </c>
      <c r="D8" s="10" t="n">
        <f aca="false">H7</f>
        <v>1032784.37408357</v>
      </c>
      <c r="E8" s="45" t="n">
        <f aca="false">'HIER Rechnung Ausschütter'!E8+'HIER Rechnung Ausschütter'!K$1</f>
        <v>-0.278323032930541</v>
      </c>
      <c r="F8" s="42" t="n">
        <f aca="false">D8*(1+E8)</f>
        <v>745336.69472536</v>
      </c>
      <c r="G8" s="107" t="n">
        <v>0.033523498245962</v>
      </c>
      <c r="H8" s="46" t="n">
        <f aca="false">C9*B9</f>
        <v>713266.367734948</v>
      </c>
      <c r="I8" s="52" t="n">
        <f aca="false">H8/D8-1</f>
        <v>-0.309375329804097</v>
      </c>
      <c r="J8" s="52" t="n">
        <f aca="false">B9/B$4-1</f>
        <v>-0.21763</v>
      </c>
      <c r="K8" s="53" t="n">
        <f aca="false">H8-'HIER Rechnung Thesaurierer '!J8</f>
        <v>348.440072644618</v>
      </c>
      <c r="L8" s="53"/>
      <c r="M8" s="53" t="n">
        <f aca="false">F8*G8</f>
        <v>24986.2933782767</v>
      </c>
      <c r="N8" s="53" t="n">
        <f aca="false">M8-O8</f>
        <v>18396.1584997562</v>
      </c>
      <c r="O8" s="53" t="n">
        <f aca="false">M8*P$1-AD8</f>
        <v>6590.13487852048</v>
      </c>
      <c r="P8" s="54" t="n">
        <f aca="false">R8/H8</f>
        <v>0.0690002609862136</v>
      </c>
      <c r="Q8" s="53" t="n">
        <f aca="false">Q7*(1+'HIER Rechnung Thesaurierer '!I8)</f>
        <v>49215.5655264</v>
      </c>
      <c r="R8" s="53" t="n">
        <f aca="false">N8+Y8</f>
        <v>49215.5655264</v>
      </c>
      <c r="S8" s="45"/>
      <c r="T8" s="55" t="n">
        <f aca="false">U8/B9</f>
        <v>40991.2534867286</v>
      </c>
      <c r="U8" s="56" t="n">
        <f aca="false">Q8-N8+W8</f>
        <v>32070.3269904119</v>
      </c>
      <c r="V8" s="53" t="n">
        <f aca="false">U8-X8</f>
        <v>4742.82450717761</v>
      </c>
      <c r="W8" s="53" t="n">
        <f aca="false">V8*P$1</f>
        <v>1250.91996376809</v>
      </c>
      <c r="X8" s="53" t="n">
        <f aca="false">T8*D$1</f>
        <v>27327.5015021911</v>
      </c>
      <c r="Y8" s="53" t="n">
        <f aca="false">U8-W8</f>
        <v>30819.4070266438</v>
      </c>
      <c r="Z8" s="42"/>
      <c r="AA8" s="54"/>
      <c r="AB8" s="9"/>
      <c r="AC8" s="53" t="n">
        <f aca="false">AC7*(1+'HIER Rechnung Thesaurierer '!I8)</f>
        <v>0</v>
      </c>
      <c r="AD8" s="53" t="n">
        <f aca="false">IF((M8+U8)&lt;AC8,(M8+U8)*'HIER Rechnung Ausschütter'!O$1,AC8*'HIER Rechnung Ausschütter'!O$1)</f>
        <v>0</v>
      </c>
      <c r="AE8" s="10" t="n">
        <f aca="false">'HIER Rechnung Ausschütter'!AM8-AG8</f>
        <v>-12501.3702329065</v>
      </c>
      <c r="AF8" s="65" t="n">
        <f aca="false">AF7*(1+'HIER Rechnung Thesaurierer '!I7)</f>
        <v>0</v>
      </c>
      <c r="AG8" s="10" t="n">
        <f aca="false">M8+V8</f>
        <v>29729.1178854543</v>
      </c>
    </row>
    <row r="9" customFormat="false" ht="14.15" hidden="false" customHeight="false" outlineLevel="0" collapsed="false">
      <c r="A9" s="9" t="n">
        <v>6</v>
      </c>
      <c r="B9" s="40" t="n">
        <f aca="false">B8*(1+E8)</f>
        <v>0.78237</v>
      </c>
      <c r="C9" s="48" t="n">
        <f aca="false">C8-T8</f>
        <v>911673.97489033</v>
      </c>
      <c r="D9" s="10" t="n">
        <f aca="false">H8</f>
        <v>713266.367734948</v>
      </c>
      <c r="E9" s="45" t="n">
        <f aca="false">'HIER Rechnung Ausschütter'!E9+'HIER Rechnung Ausschütter'!K$1</f>
        <v>0.289198205452663</v>
      </c>
      <c r="F9" s="42" t="n">
        <f aca="false">D9*(1+E9)</f>
        <v>919541.721293634</v>
      </c>
      <c r="G9" s="107" t="n">
        <v>0.055759220417005</v>
      </c>
      <c r="H9" s="46" t="n">
        <f aca="false">C10*B10</f>
        <v>902247.640651123</v>
      </c>
      <c r="I9" s="52" t="n">
        <f aca="false">H9/D9-1</f>
        <v>0.264951890997335</v>
      </c>
      <c r="J9" s="52" t="n">
        <f aca="false">B10/B$4-1</f>
        <v>0.00863000000000058</v>
      </c>
      <c r="K9" s="53" t="n">
        <f aca="false">H9-'HIER Rechnung Thesaurierer '!J9</f>
        <v>15131.3180795086</v>
      </c>
      <c r="L9" s="53"/>
      <c r="M9" s="53" t="n">
        <f aca="false">F9*G9</f>
        <v>51272.9295202439</v>
      </c>
      <c r="N9" s="53" t="n">
        <f aca="false">M9-O9</f>
        <v>37749.6943592796</v>
      </c>
      <c r="O9" s="53" t="n">
        <f aca="false">M9*P$1-AD9</f>
        <v>13523.2351609643</v>
      </c>
      <c r="P9" s="54" t="n">
        <f aca="false">R9/H9</f>
        <v>0.0592933883302699</v>
      </c>
      <c r="Q9" s="53" t="n">
        <f aca="false">Q8*(1+'HIER Rechnung Thesaurierer '!I9)</f>
        <v>53497.3197271968</v>
      </c>
      <c r="R9" s="53" t="n">
        <f aca="false">N9+Y9</f>
        <v>53497.3197271968</v>
      </c>
      <c r="S9" s="45"/>
      <c r="T9" s="55" t="n">
        <f aca="false">U9/B10</f>
        <v>17146.1097156649</v>
      </c>
      <c r="U9" s="56" t="n">
        <f aca="false">Q9-N9+W9</f>
        <v>17294.0806425111</v>
      </c>
      <c r="V9" s="53" t="n">
        <f aca="false">U9-X9</f>
        <v>5863.33753400515</v>
      </c>
      <c r="W9" s="53" t="n">
        <f aca="false">V9*P$1</f>
        <v>1546.45527459386</v>
      </c>
      <c r="X9" s="53" t="n">
        <f aca="false">T9*D$1</f>
        <v>11430.7333976395</v>
      </c>
      <c r="Y9" s="53" t="n">
        <f aca="false">U9-W9</f>
        <v>15747.6253679172</v>
      </c>
      <c r="Z9" s="42"/>
      <c r="AA9" s="54"/>
      <c r="AB9" s="9"/>
      <c r="AC9" s="53" t="n">
        <f aca="false">AC8*(1+'HIER Rechnung Thesaurierer '!I9)</f>
        <v>0</v>
      </c>
      <c r="AD9" s="53" t="n">
        <f aca="false">IF((M9+U9)&lt;AC9,(M9+U9)*'HIER Rechnung Ausschütter'!O$1,AC9*'HIER Rechnung Ausschütter'!O$1)</f>
        <v>0</v>
      </c>
      <c r="AE9" s="10" t="n">
        <f aca="false">'HIER Rechnung Ausschütter'!AM9-AG9</f>
        <v>-23029.6571263011</v>
      </c>
      <c r="AF9" s="65" t="n">
        <f aca="false">AF8*(1+'HIER Rechnung Thesaurierer '!I8)</f>
        <v>0</v>
      </c>
      <c r="AG9" s="10" t="n">
        <f aca="false">M9+V9</f>
        <v>57136.2670542491</v>
      </c>
    </row>
    <row r="10" customFormat="false" ht="14.15" hidden="false" customHeight="false" outlineLevel="0" collapsed="false">
      <c r="A10" s="9" t="n">
        <v>7</v>
      </c>
      <c r="B10" s="40" t="n">
        <f aca="false">B9*(1+E9)</f>
        <v>1.00863</v>
      </c>
      <c r="C10" s="48" t="n">
        <f aca="false">C9-T9</f>
        <v>894527.865174665</v>
      </c>
      <c r="D10" s="10" t="n">
        <f aca="false">H9</f>
        <v>902247.640651123</v>
      </c>
      <c r="E10" s="45" t="n">
        <f aca="false">'HIER Rechnung Ausschütter'!E10+'HIER Rechnung Ausschütter'!K$1</f>
        <v>0.103100244886629</v>
      </c>
      <c r="F10" s="42" t="n">
        <f aca="false">D10*(1+E10)</f>
        <v>995269.593350636</v>
      </c>
      <c r="G10" s="107" t="n">
        <v>0.044006299191251</v>
      </c>
      <c r="H10" s="46" t="n">
        <f aca="false">C11*B11</f>
        <v>966720.844659821</v>
      </c>
      <c r="I10" s="52" t="n">
        <f aca="false">H10/D10-1</f>
        <v>0.0714584345847336</v>
      </c>
      <c r="J10" s="52" t="n">
        <f aca="false">B11/B$4-1</f>
        <v>0.112620000000001</v>
      </c>
      <c r="K10" s="53" t="n">
        <f aca="false">H10-'HIER Rechnung Thesaurierer '!J10</f>
        <v>27078.235649445</v>
      </c>
      <c r="L10" s="53"/>
      <c r="M10" s="53" t="n">
        <f aca="false">F10*G10</f>
        <v>43798.1315009428</v>
      </c>
      <c r="N10" s="53" t="n">
        <f aca="false">M10-O10</f>
        <v>32246.3743175691</v>
      </c>
      <c r="O10" s="53" t="n">
        <f aca="false">M10*P$1-AD10</f>
        <v>11551.7571833737</v>
      </c>
      <c r="P10" s="54" t="n">
        <f aca="false">R10/H10</f>
        <v>0.0597660696203398</v>
      </c>
      <c r="Q10" s="53" t="n">
        <f aca="false">Q9*(1+'HIER Rechnung Thesaurierer '!I10)</f>
        <v>57777.1053053726</v>
      </c>
      <c r="R10" s="53" t="n">
        <f aca="false">N10+Y10</f>
        <v>57777.1053053726</v>
      </c>
      <c r="S10" s="45"/>
      <c r="T10" s="55" t="n">
        <f aca="false">U10/B11</f>
        <v>25659.0288605408</v>
      </c>
      <c r="U10" s="56" t="n">
        <f aca="false">Q10-N10+W10</f>
        <v>28548.7486908149</v>
      </c>
      <c r="V10" s="53" t="n">
        <f aca="false">U10-X10</f>
        <v>11442.7211488585</v>
      </c>
      <c r="W10" s="53" t="n">
        <f aca="false">V10*P$1</f>
        <v>3018.01770301143</v>
      </c>
      <c r="X10" s="53" t="n">
        <f aca="false">T10*D$1</f>
        <v>17106.0068514387</v>
      </c>
      <c r="Y10" s="53" t="n">
        <f aca="false">U10-W10</f>
        <v>25530.7309878034</v>
      </c>
      <c r="Z10" s="42"/>
      <c r="AA10" s="54"/>
      <c r="AB10" s="9"/>
      <c r="AC10" s="53" t="n">
        <f aca="false">AC9*(1+'HIER Rechnung Thesaurierer '!I10)</f>
        <v>0</v>
      </c>
      <c r="AD10" s="53" t="n">
        <f aca="false">IF((M10+U10)&lt;AC10,(M10+U10)*'HIER Rechnung Ausschütter'!O$1,AC10*'HIER Rechnung Ausschütter'!O$1)</f>
        <v>0</v>
      </c>
      <c r="AE10" s="10" t="n">
        <f aca="false">'HIER Rechnung Ausschütter'!AM10-AG10</f>
        <v>-12344.8604579656</v>
      </c>
      <c r="AF10" s="65" t="n">
        <f aca="false">AF9*(1+'HIER Rechnung Thesaurierer '!I9)</f>
        <v>0</v>
      </c>
      <c r="AG10" s="10" t="n">
        <f aca="false">M10+V10</f>
        <v>55240.8526498013</v>
      </c>
    </row>
    <row r="11" customFormat="false" ht="14.15" hidden="false" customHeight="false" outlineLevel="0" collapsed="false">
      <c r="A11" s="9" t="n">
        <v>8</v>
      </c>
      <c r="B11" s="40" t="n">
        <f aca="false">B10*(1+E10)</f>
        <v>1.11262</v>
      </c>
      <c r="C11" s="48" t="n">
        <f aca="false">C10-T10</f>
        <v>868868.836314124</v>
      </c>
      <c r="D11" s="10" t="n">
        <f aca="false">H10</f>
        <v>966720.844659821</v>
      </c>
      <c r="E11" s="45" t="n">
        <f aca="false">'HIER Rechnung Ausschütter'!E11+'HIER Rechnung Ausschütter'!K$1</f>
        <v>-0.0246355449299851</v>
      </c>
      <c r="F11" s="42" t="n">
        <f aca="false">D11*(1+E11)</f>
        <v>942905.149856451</v>
      </c>
      <c r="G11" s="107" t="n">
        <v>0.0446524625881375</v>
      </c>
      <c r="H11" s="46" t="n">
        <f aca="false">C12*B12</f>
        <v>908913.125508428</v>
      </c>
      <c r="I11" s="52" t="n">
        <f aca="false">H11/D11-1</f>
        <v>-0.0597977373413678</v>
      </c>
      <c r="J11" s="52" t="n">
        <f aca="false">B12/B$4-1</f>
        <v>0.0852100000000011</v>
      </c>
      <c r="K11" s="53" t="n">
        <f aca="false">H11-'HIER Rechnung Thesaurierer '!J11</f>
        <v>24918.4572605467</v>
      </c>
      <c r="L11" s="53"/>
      <c r="M11" s="53" t="n">
        <f aca="false">F11*G11</f>
        <v>42103.0369281274</v>
      </c>
      <c r="N11" s="53" t="n">
        <f aca="false">M11-O11</f>
        <v>30998.3609383338</v>
      </c>
      <c r="O11" s="53" t="n">
        <f aca="false">M11*P$1-AD11</f>
        <v>11104.6759897936</v>
      </c>
      <c r="P11" s="54" t="n">
        <f aca="false">R11/H11</f>
        <v>0.0676991182361919</v>
      </c>
      <c r="Q11" s="53" t="n">
        <f aca="false">Q10*(1+'HIER Rechnung Thesaurierer '!I11)</f>
        <v>61532.6171502218</v>
      </c>
      <c r="R11" s="53" t="n">
        <f aca="false">N11+Y11</f>
        <v>61532.6171502218</v>
      </c>
      <c r="S11" s="45"/>
      <c r="T11" s="55" t="n">
        <f aca="false">U11/B12</f>
        <v>31322.9921840227</v>
      </c>
      <c r="U11" s="56" t="n">
        <f aca="false">Q11-N11+W11</f>
        <v>33992.0243480232</v>
      </c>
      <c r="V11" s="53" t="n">
        <f aca="false">U11-X11</f>
        <v>13110.021369233</v>
      </c>
      <c r="W11" s="53" t="n">
        <f aca="false">V11*P$1</f>
        <v>3457.7681361352</v>
      </c>
      <c r="X11" s="53" t="n">
        <f aca="false">T11*D$1</f>
        <v>20881.981772065</v>
      </c>
      <c r="Y11" s="53" t="n">
        <f aca="false">U11-W11</f>
        <v>30534.256211888</v>
      </c>
      <c r="Z11" s="42"/>
      <c r="AA11" s="54"/>
      <c r="AB11" s="9"/>
      <c r="AC11" s="53" t="n">
        <f aca="false">AC10*(1+'HIER Rechnung Thesaurierer '!I11)</f>
        <v>0</v>
      </c>
      <c r="AD11" s="53" t="n">
        <f aca="false">IF((M11+U11)&lt;AC11,(M11+U11)*'HIER Rechnung Ausschütter'!O$1,AC11*'HIER Rechnung Ausschütter'!O$1)</f>
        <v>0</v>
      </c>
      <c r="AE11" s="10" t="n">
        <f aca="false">'HIER Rechnung Ausschütter'!AM11-AG11</f>
        <v>-22654.0800671632</v>
      </c>
      <c r="AF11" s="65" t="n">
        <f aca="false">AF10*(1+'HIER Rechnung Thesaurierer '!I10)</f>
        <v>0</v>
      </c>
      <c r="AG11" s="10" t="n">
        <f aca="false">M11+V11</f>
        <v>55213.0582973603</v>
      </c>
    </row>
    <row r="12" customFormat="false" ht="14.15" hidden="false" customHeight="false" outlineLevel="0" collapsed="false">
      <c r="A12" s="9" t="n">
        <v>9</v>
      </c>
      <c r="B12" s="40" t="n">
        <f aca="false">B11*(1+E11)</f>
        <v>1.08521</v>
      </c>
      <c r="C12" s="48" t="n">
        <f aca="false">C11-T11</f>
        <v>837545.844130102</v>
      </c>
      <c r="D12" s="10" t="n">
        <f aca="false">H11</f>
        <v>908913.125508428</v>
      </c>
      <c r="E12" s="45" t="n">
        <f aca="false">'HIER Rechnung Ausschütter'!E12+'HIER Rechnung Ausschütter'!K$1</f>
        <v>0.12678652058127</v>
      </c>
      <c r="F12" s="42" t="n">
        <f aca="false">D12*(1+E12)</f>
        <v>1024151.05820229</v>
      </c>
      <c r="G12" s="107" t="n">
        <v>0.055377092918373</v>
      </c>
      <c r="H12" s="46" t="n">
        <f aca="false">C13*B13</f>
        <v>997413.760392699</v>
      </c>
      <c r="I12" s="52" t="n">
        <f aca="false">H12/D12-1</f>
        <v>0.0973697401880582</v>
      </c>
      <c r="J12" s="52" t="n">
        <f aca="false">B13/B$4-1</f>
        <v>0.222800000000001</v>
      </c>
      <c r="K12" s="53" t="n">
        <f aca="false">H12-'HIER Rechnung Thesaurierer '!J12</f>
        <v>46199.3022998403</v>
      </c>
      <c r="L12" s="53"/>
      <c r="M12" s="53" t="n">
        <f aca="false">F12*G12</f>
        <v>56714.5083125182</v>
      </c>
      <c r="N12" s="53" t="n">
        <f aca="false">M12-O12</f>
        <v>41756.0567450915</v>
      </c>
      <c r="O12" s="53" t="n">
        <f aca="false">M12*P$1-AD12</f>
        <v>14958.4515674267</v>
      </c>
      <c r="P12" s="54" t="n">
        <f aca="false">R12/H12</f>
        <v>0.0654553901188219</v>
      </c>
      <c r="Q12" s="53" t="n">
        <f aca="false">Q11*(1+'HIER Rechnung Thesaurierer '!I12)</f>
        <v>65286.1067963853</v>
      </c>
      <c r="R12" s="53" t="n">
        <f aca="false">N12+Y12</f>
        <v>65286.1067963853</v>
      </c>
      <c r="S12" s="45"/>
      <c r="T12" s="55" t="n">
        <f aca="false">U12/B13</f>
        <v>21865.6344533769</v>
      </c>
      <c r="U12" s="56" t="n">
        <f aca="false">Q12-N12+W12</f>
        <v>26737.2978095892</v>
      </c>
      <c r="V12" s="53" t="n">
        <f aca="false">U12-X12</f>
        <v>12160.1810741059</v>
      </c>
      <c r="W12" s="53" t="n">
        <f aca="false">V12*P$1</f>
        <v>3207.24775829542</v>
      </c>
      <c r="X12" s="53" t="n">
        <f aca="false">T12*D$1</f>
        <v>14577.0571655173</v>
      </c>
      <c r="Y12" s="53" t="n">
        <f aca="false">U12-W12</f>
        <v>23530.0500512938</v>
      </c>
      <c r="Z12" s="42"/>
      <c r="AA12" s="54"/>
      <c r="AB12" s="9"/>
      <c r="AC12" s="53" t="n">
        <f aca="false">AC11*(1+'HIER Rechnung Thesaurierer '!I12)</f>
        <v>0</v>
      </c>
      <c r="AD12" s="53" t="n">
        <f aca="false">IF((M12+U12)&lt;AC12,(M12+U12)*'HIER Rechnung Ausschütter'!O$1,AC12*'HIER Rechnung Ausschütter'!O$1)</f>
        <v>0</v>
      </c>
      <c r="AE12" s="10" t="n">
        <f aca="false">'HIER Rechnung Ausschütter'!AM12-AG12</f>
        <v>-28005.2465152063</v>
      </c>
      <c r="AF12" s="65" t="n">
        <f aca="false">AF11*(1+'HIER Rechnung Thesaurierer '!I11)</f>
        <v>0</v>
      </c>
      <c r="AG12" s="10" t="n">
        <f aca="false">M12+V12</f>
        <v>68874.689386624</v>
      </c>
    </row>
    <row r="13" customFormat="false" ht="14.15" hidden="false" customHeight="false" outlineLevel="0" collapsed="false">
      <c r="A13" s="9" t="n">
        <v>10</v>
      </c>
      <c r="B13" s="40" t="n">
        <f aca="false">B12*(1+E12)</f>
        <v>1.2228</v>
      </c>
      <c r="C13" s="48" t="n">
        <f aca="false">C12-T12</f>
        <v>815680.209676725</v>
      </c>
      <c r="D13" s="10" t="n">
        <f aca="false">H12</f>
        <v>997413.760392699</v>
      </c>
      <c r="E13" s="45" t="n">
        <f aca="false">'HIER Rechnung Ausschütter'!E13+'HIER Rechnung Ausschütter'!K$1</f>
        <v>0.0721377167157344</v>
      </c>
      <c r="F13" s="42" t="n">
        <f aca="false">D13*(1+E13)</f>
        <v>1069364.91168828</v>
      </c>
      <c r="G13" s="107" t="n">
        <v>0.0545628364312236</v>
      </c>
      <c r="H13" s="46" t="n">
        <f aca="false">C14*B14</f>
        <v>1038011.10417764</v>
      </c>
      <c r="I13" s="52" t="n">
        <f aca="false">H13/D13-1</f>
        <v>0.0407026104883066</v>
      </c>
      <c r="J13" s="52" t="n">
        <f aca="false">B14/B$4-1</f>
        <v>0.311010000000001</v>
      </c>
      <c r="K13" s="53" t="n">
        <f aca="false">H13-'HIER Rechnung Thesaurierer '!J13</f>
        <v>60857.8775467564</v>
      </c>
      <c r="L13" s="53"/>
      <c r="M13" s="53" t="n">
        <f aca="false">F13*G13</f>
        <v>58347.5827617377</v>
      </c>
      <c r="N13" s="53" t="n">
        <f aca="false">M13-O13</f>
        <v>42958.4078083294</v>
      </c>
      <c r="O13" s="53" t="n">
        <f aca="false">M13*P$1-AD13</f>
        <v>15389.1749534083</v>
      </c>
      <c r="P13" s="54" t="n">
        <f aca="false">R13/H13</f>
        <v>0.067675432979654</v>
      </c>
      <c r="Q13" s="53" t="n">
        <f aca="false">Q12*(1+'HIER Rechnung Thesaurierer '!I13)</f>
        <v>70247.8509129106</v>
      </c>
      <c r="R13" s="53" t="n">
        <f aca="false">N13+Y13</f>
        <v>70247.8509129106</v>
      </c>
      <c r="S13" s="45"/>
      <c r="T13" s="55" t="n">
        <f aca="false">U13/B14</f>
        <v>23915.7653340881</v>
      </c>
      <c r="U13" s="56" t="n">
        <f aca="false">Q13-N13+W13</f>
        <v>31353.8075106428</v>
      </c>
      <c r="V13" s="53" t="n">
        <f aca="false">U13-X13</f>
        <v>15409.9124400438</v>
      </c>
      <c r="W13" s="53" t="n">
        <f aca="false">V13*P$1</f>
        <v>4064.36440606155</v>
      </c>
      <c r="X13" s="53" t="n">
        <f aca="false">T13*D$1</f>
        <v>15943.7902730125</v>
      </c>
      <c r="Y13" s="53" t="n">
        <f aca="false">U13-W13</f>
        <v>27289.4431045812</v>
      </c>
      <c r="Z13" s="42"/>
      <c r="AA13" s="54"/>
      <c r="AB13" s="9"/>
      <c r="AC13" s="53" t="n">
        <f aca="false">AC12*(1+'HIER Rechnung Thesaurierer '!I13)</f>
        <v>0</v>
      </c>
      <c r="AD13" s="53" t="n">
        <f aca="false">IF((M13+U13)&lt;AC13,(M13+U13)*'HIER Rechnung Ausschütter'!O$1,AC13*'HIER Rechnung Ausschütter'!O$1)</f>
        <v>0</v>
      </c>
      <c r="AE13" s="10" t="n">
        <f aca="false">'HIER Rechnung Ausschütter'!AM13-AG13</f>
        <v>-27411.2397110022</v>
      </c>
      <c r="AF13" s="65" t="n">
        <f aca="false">AF12*(1+'HIER Rechnung Thesaurierer '!I12)</f>
        <v>0</v>
      </c>
      <c r="AG13" s="10" t="n">
        <f aca="false">M13+V13</f>
        <v>73757.4952017815</v>
      </c>
    </row>
    <row r="14" customFormat="false" ht="14.15" hidden="false" customHeight="false" outlineLevel="0" collapsed="false">
      <c r="A14" s="9" t="n">
        <v>11</v>
      </c>
      <c r="B14" s="40" t="n">
        <f aca="false">B13*(1+E13)</f>
        <v>1.31101</v>
      </c>
      <c r="C14" s="48" t="n">
        <f aca="false">C13-T13</f>
        <v>791764.444342637</v>
      </c>
      <c r="D14" s="10" t="n">
        <f aca="false">H13</f>
        <v>1038011.10417764</v>
      </c>
      <c r="E14" s="45" t="n">
        <f aca="false">'HIER Rechnung Ausschütter'!E14+'HIER Rechnung Ausschütter'!K$1</f>
        <v>0.214544511483513</v>
      </c>
      <c r="F14" s="42" t="n">
        <f aca="false">D14*(1+E14)</f>
        <v>1260710.68943789</v>
      </c>
      <c r="G14" s="107" t="n">
        <v>0.062670478131132</v>
      </c>
      <c r="H14" s="46" t="n">
        <f aca="false">C15*B15</f>
        <v>1239477.13984799</v>
      </c>
      <c r="I14" s="52" t="n">
        <f aca="false">H14/D14-1</f>
        <v>0.194088516837166</v>
      </c>
      <c r="J14" s="52" t="n">
        <f aca="false">B15/B$4-1</f>
        <v>0.592280000000002</v>
      </c>
      <c r="K14" s="53" t="n">
        <f aca="false">H14-'HIER Rechnung Thesaurierer '!J14</f>
        <v>96725.135672868</v>
      </c>
      <c r="L14" s="53"/>
      <c r="M14" s="53" t="n">
        <f aca="false">F14*G14</f>
        <v>79009.3416921019</v>
      </c>
      <c r="N14" s="53" t="n">
        <f aca="false">M14-O14</f>
        <v>58170.62782081</v>
      </c>
      <c r="O14" s="53" t="n">
        <f aca="false">M14*P$1-AD14</f>
        <v>20838.7138712919</v>
      </c>
      <c r="P14" s="54" t="n">
        <f aca="false">R14/H14</f>
        <v>0.0614361232986791</v>
      </c>
      <c r="Q14" s="53" t="n">
        <f aca="false">Q13*(1+'HIER Rechnung Thesaurierer '!I14)</f>
        <v>76148.6703895951</v>
      </c>
      <c r="R14" s="53" t="n">
        <f aca="false">N14+Y14</f>
        <v>76148.6703895951</v>
      </c>
      <c r="S14" s="45"/>
      <c r="T14" s="55" t="n">
        <f aca="false">U14/B15</f>
        <v>13335.3113710565</v>
      </c>
      <c r="U14" s="56" t="n">
        <f aca="false">Q14-N14+W14</f>
        <v>21233.5495899058</v>
      </c>
      <c r="V14" s="53" t="n">
        <f aca="false">U14-X14</f>
        <v>12343.1545824483</v>
      </c>
      <c r="W14" s="53" t="n">
        <f aca="false">V14*P$1</f>
        <v>3255.50702112074</v>
      </c>
      <c r="X14" s="53" t="n">
        <f aca="false">T14*D$1</f>
        <v>8890.07259551498</v>
      </c>
      <c r="Y14" s="53" t="n">
        <f aca="false">U14-W14</f>
        <v>17978.0425687851</v>
      </c>
      <c r="Z14" s="42"/>
      <c r="AA14" s="54"/>
      <c r="AB14" s="9"/>
      <c r="AC14" s="53" t="n">
        <f aca="false">AC13*(1+'HIER Rechnung Thesaurierer '!I14)</f>
        <v>0</v>
      </c>
      <c r="AD14" s="53" t="n">
        <f aca="false">IF((M14+U14)&lt;AC14,(M14+U14)*'HIER Rechnung Ausschütter'!O$1,AC14*'HIER Rechnung Ausschütter'!O$1)</f>
        <v>0</v>
      </c>
      <c r="AE14" s="10" t="n">
        <f aca="false">'HIER Rechnung Ausschütter'!AM14-AG14</f>
        <v>-37030.2769952658</v>
      </c>
      <c r="AF14" s="65" t="n">
        <f aca="false">AF13*(1+'HIER Rechnung Thesaurierer '!I13)</f>
        <v>0</v>
      </c>
      <c r="AG14" s="10" t="n">
        <f aca="false">M14+V14</f>
        <v>91352.4962745502</v>
      </c>
    </row>
    <row r="15" customFormat="false" ht="14.15" hidden="false" customHeight="false" outlineLevel="0" collapsed="false">
      <c r="A15" s="9" t="n">
        <v>12</v>
      </c>
      <c r="B15" s="40" t="n">
        <f aca="false">B14*(1+E14)</f>
        <v>1.59228</v>
      </c>
      <c r="C15" s="48" t="n">
        <f aca="false">C14-T14</f>
        <v>778429.13297158</v>
      </c>
      <c r="D15" s="10" t="n">
        <f aca="false">H14</f>
        <v>1239477.13984799</v>
      </c>
      <c r="E15" s="45" t="n">
        <f aca="false">'HIER Rechnung Ausschütter'!E15+'HIER Rechnung Ausschütter'!K$1</f>
        <v>-0.0791820534076921</v>
      </c>
      <c r="F15" s="42" t="n">
        <f aca="false">D15*(1+E15)</f>
        <v>1141332.79476293</v>
      </c>
      <c r="G15" s="107" t="n">
        <v>0.0461336135290016</v>
      </c>
      <c r="H15" s="46" t="n">
        <f aca="false">C16*B16</f>
        <v>1088687.82004891</v>
      </c>
      <c r="I15" s="52" t="n">
        <f aca="false">H15/D15-1</f>
        <v>-0.121655587627514</v>
      </c>
      <c r="J15" s="52" t="n">
        <f aca="false">B16/B$4-1</f>
        <v>0.466200000000002</v>
      </c>
      <c r="K15" s="53" t="n">
        <f aca="false">H15-'HIER Rechnung Thesaurierer '!J15</f>
        <v>83101.2363868903</v>
      </c>
      <c r="L15" s="53"/>
      <c r="M15" s="53" t="n">
        <f aca="false">F15*G15</f>
        <v>52653.8060615684</v>
      </c>
      <c r="N15" s="53" t="n">
        <f aca="false">M15-O15</f>
        <v>38766.3647128297</v>
      </c>
      <c r="O15" s="53" t="n">
        <f aca="false">M15*P$1-AD15</f>
        <v>13887.4413487387</v>
      </c>
      <c r="P15" s="54" t="n">
        <f aca="false">R15/H15</f>
        <v>0.0770098503491824</v>
      </c>
      <c r="Q15" s="53" t="n">
        <f aca="false">Q14*(1+'HIER Rechnung Thesaurierer '!I15)</f>
        <v>83839.6860989442</v>
      </c>
      <c r="R15" s="53" t="n">
        <f aca="false">N15+Y15</f>
        <v>83839.6860989442</v>
      </c>
      <c r="S15" s="45"/>
      <c r="T15" s="55" t="n">
        <f aca="false">U15/B16</f>
        <v>35905.7254903975</v>
      </c>
      <c r="U15" s="56" t="n">
        <f aca="false">Q15-N15+W15</f>
        <v>52644.9747140208</v>
      </c>
      <c r="V15" s="53" t="n">
        <f aca="false">U15-X15</f>
        <v>28707.6903427725</v>
      </c>
      <c r="W15" s="53" t="n">
        <f aca="false">V15*P$1</f>
        <v>7571.65332790625</v>
      </c>
      <c r="X15" s="53" t="n">
        <f aca="false">T15*D$1</f>
        <v>23937.0385800841</v>
      </c>
      <c r="Y15" s="53" t="n">
        <f aca="false">U15-W15</f>
        <v>45073.3213861145</v>
      </c>
      <c r="Z15" s="42"/>
      <c r="AA15" s="54"/>
      <c r="AB15" s="9"/>
      <c r="AC15" s="53" t="n">
        <f aca="false">AC14*(1+'HIER Rechnung Thesaurierer '!I15)</f>
        <v>0</v>
      </c>
      <c r="AD15" s="53" t="n">
        <f aca="false">IF((M15+U15)&lt;AC15,(M15+U15)*'HIER Rechnung Ausschütter'!O$1,AC15*'HIER Rechnung Ausschütter'!O$1)</f>
        <v>0</v>
      </c>
      <c r="AE15" s="10" t="n">
        <f aca="false">'HIER Rechnung Ausschütter'!AM15-AG15</f>
        <v>-33330.6391858901</v>
      </c>
      <c r="AF15" s="65" t="n">
        <f aca="false">AF14*(1+'HIER Rechnung Thesaurierer '!I14)</f>
        <v>0</v>
      </c>
      <c r="AG15" s="10" t="n">
        <f aca="false">M15+V15</f>
        <v>81361.4964043409</v>
      </c>
    </row>
    <row r="16" customFormat="false" ht="14.15" hidden="false" customHeight="false" outlineLevel="0" collapsed="false">
      <c r="A16" s="9" t="n">
        <v>13</v>
      </c>
      <c r="B16" s="40" t="n">
        <f aca="false">B15*(1+E15)</f>
        <v>1.4662</v>
      </c>
      <c r="C16" s="48" t="n">
        <f aca="false">C15-T15</f>
        <v>742523.407481183</v>
      </c>
      <c r="D16" s="10" t="n">
        <f aca="false">H15</f>
        <v>1088687.82004891</v>
      </c>
      <c r="E16" s="45" t="n">
        <f aca="false">'HIER Rechnung Ausschütter'!E16+'HIER Rechnung Ausschütter'!K$1</f>
        <v>0.0582185240758424</v>
      </c>
      <c r="F16" s="42" t="n">
        <f aca="false">D16*(1+E16)</f>
        <v>1152069.6181115</v>
      </c>
      <c r="G16" s="107" t="n">
        <v>0.0545055480239266</v>
      </c>
      <c r="H16" s="46" t="n">
        <f aca="false">C17*B17</f>
        <v>1099020.69153238</v>
      </c>
      <c r="I16" s="52" t="n">
        <f aca="false">H16/D16-1</f>
        <v>0.00949112435463984</v>
      </c>
      <c r="J16" s="52" t="n">
        <f aca="false">B17/B$4-1</f>
        <v>0.551560000000002</v>
      </c>
      <c r="K16" s="53" t="n">
        <f aca="false">H16-'HIER Rechnung Thesaurierer '!J16</f>
        <v>101767.314318945</v>
      </c>
      <c r="L16" s="53"/>
      <c r="M16" s="53" t="n">
        <f aca="false">F16*G16</f>
        <v>62794.1858968834</v>
      </c>
      <c r="N16" s="53" t="n">
        <f aca="false">M16-O16</f>
        <v>46232.2193665804</v>
      </c>
      <c r="O16" s="53" t="n">
        <f aca="false">M16*P$1-AD16</f>
        <v>16561.966530303</v>
      </c>
      <c r="P16" s="54" t="n">
        <f aca="false">R16/H16</f>
        <v>0.0830752495064016</v>
      </c>
      <c r="Q16" s="53" t="n">
        <f aca="false">Q15*(1+'HIER Rechnung Thesaurierer '!I16)</f>
        <v>91301.4181617502</v>
      </c>
      <c r="R16" s="53" t="n">
        <f aca="false">N16+Y16</f>
        <v>91301.4181617502</v>
      </c>
      <c r="S16" s="45"/>
      <c r="T16" s="55" t="n">
        <f aca="false">U16/B17</f>
        <v>34190.7026342056</v>
      </c>
      <c r="U16" s="56" t="n">
        <f aca="false">Q16-N16+W16</f>
        <v>53048.9265791281</v>
      </c>
      <c r="V16" s="53" t="n">
        <f aca="false">U16-X16</f>
        <v>30254.8920718796</v>
      </c>
      <c r="W16" s="53" t="n">
        <f aca="false">V16*P$1</f>
        <v>7979.72778395823</v>
      </c>
      <c r="X16" s="53" t="n">
        <f aca="false">T16*D$1</f>
        <v>22793.6264245813</v>
      </c>
      <c r="Y16" s="53" t="n">
        <f aca="false">U16-W16</f>
        <v>45069.1987951698</v>
      </c>
      <c r="Z16" s="42"/>
      <c r="AA16" s="54"/>
      <c r="AB16" s="9"/>
      <c r="AC16" s="53" t="n">
        <f aca="false">AC15*(1+'HIER Rechnung Thesaurierer '!I16)</f>
        <v>0</v>
      </c>
      <c r="AD16" s="53" t="n">
        <f aca="false">IF((M16+U16)&lt;AC16,(M16+U16)*'HIER Rechnung Ausschütter'!O$1,AC16*'HIER Rechnung Ausschütter'!O$1)</f>
        <v>0</v>
      </c>
      <c r="AE16" s="10" t="n">
        <f aca="false">'HIER Rechnung Ausschütter'!AM16-AG16</f>
        <v>-30589.2097676318</v>
      </c>
      <c r="AF16" s="65" t="n">
        <f aca="false">AF15*(1+'HIER Rechnung Thesaurierer '!I15)</f>
        <v>0</v>
      </c>
      <c r="AG16" s="10" t="n">
        <f aca="false">M16+V16</f>
        <v>93049.0779687629</v>
      </c>
    </row>
    <row r="17" customFormat="false" ht="14.15" hidden="false" customHeight="false" outlineLevel="0" collapsed="false">
      <c r="A17" s="9" t="n">
        <v>14</v>
      </c>
      <c r="B17" s="40" t="n">
        <f aca="false">B16*(1+E16)</f>
        <v>1.55156</v>
      </c>
      <c r="C17" s="48" t="n">
        <f aca="false">C16-T16</f>
        <v>708332.704846977</v>
      </c>
      <c r="D17" s="10" t="n">
        <f aca="false">H16</f>
        <v>1099020.69153238</v>
      </c>
      <c r="E17" s="45" t="n">
        <f aca="false">'HIER Rechnung Ausschütter'!E17+'HIER Rechnung Ausschütter'!K$1</f>
        <v>0.18559385392766</v>
      </c>
      <c r="F17" s="42" t="n">
        <f aca="false">D17*(1+E17)</f>
        <v>1302992.17722011</v>
      </c>
      <c r="G17" s="107" t="n">
        <v>0.047203599995252</v>
      </c>
      <c r="H17" s="46" t="n">
        <f aca="false">C18*B18</f>
        <v>1238781.2816247</v>
      </c>
      <c r="I17" s="52" t="n">
        <f aca="false">H17/D17-1</f>
        <v>0.12716829734794</v>
      </c>
      <c r="J17" s="52" t="n">
        <f aca="false">B18/B$4-1</f>
        <v>0.839520000000002</v>
      </c>
      <c r="K17" s="53" t="n">
        <f aca="false">H17-'HIER Rechnung Thesaurierer '!J17</f>
        <v>137770.651819084</v>
      </c>
      <c r="L17" s="53"/>
      <c r="M17" s="53" t="n">
        <f aca="false">F17*G17</f>
        <v>61505.9215304407</v>
      </c>
      <c r="N17" s="53" t="n">
        <f aca="false">M17-O17</f>
        <v>45283.7347267869</v>
      </c>
      <c r="O17" s="53" t="n">
        <f aca="false">M17*P$1-AD17</f>
        <v>16222.1868036537</v>
      </c>
      <c r="P17" s="54" t="n">
        <f aca="false">R17/H17</f>
        <v>0.0796725253253808</v>
      </c>
      <c r="Q17" s="53" t="n">
        <f aca="false">Q16*(1+'HIER Rechnung Thesaurierer '!I17)</f>
        <v>98696.8330328519</v>
      </c>
      <c r="R17" s="53" t="n">
        <f aca="false">N17+Y17</f>
        <v>98696.8330328519</v>
      </c>
      <c r="S17" s="45"/>
      <c r="T17" s="55" t="n">
        <f aca="false">U17/B18</f>
        <v>34906.3318666868</v>
      </c>
      <c r="U17" s="56" t="n">
        <f aca="false">Q17-N17+W17</f>
        <v>64210.8955954078</v>
      </c>
      <c r="V17" s="53" t="n">
        <f aca="false">U17-X17</f>
        <v>40939.5157889776</v>
      </c>
      <c r="W17" s="53" t="n">
        <f aca="false">V17*P$1</f>
        <v>10797.7972893428</v>
      </c>
      <c r="X17" s="53" t="n">
        <f aca="false">T17*D$1</f>
        <v>23270.6083290225</v>
      </c>
      <c r="Y17" s="53" t="n">
        <f aca="false">U17-W17</f>
        <v>53413.0983060649</v>
      </c>
      <c r="Z17" s="42"/>
      <c r="AA17" s="54"/>
      <c r="AB17" s="9"/>
      <c r="AC17" s="53" t="n">
        <f aca="false">AC16*(1+'HIER Rechnung Thesaurierer '!I17)</f>
        <v>0</v>
      </c>
      <c r="AD17" s="53" t="n">
        <f aca="false">IF((M17+U17)&lt;AC17,(M17+U17)*'HIER Rechnung Ausschütter'!O$1,AC17*'HIER Rechnung Ausschütter'!O$1)</f>
        <v>0</v>
      </c>
      <c r="AE17" s="10" t="n">
        <f aca="false">'HIER Rechnung Ausschütter'!AM17-AG17</f>
        <v>-34985.4732203377</v>
      </c>
      <c r="AF17" s="65" t="n">
        <f aca="false">AF16*(1+'HIER Rechnung Thesaurierer '!I16)</f>
        <v>0</v>
      </c>
      <c r="AG17" s="10" t="n">
        <f aca="false">M17+V17</f>
        <v>102445.437319418</v>
      </c>
    </row>
    <row r="18" customFormat="false" ht="14.15" hidden="false" customHeight="false" outlineLevel="0" collapsed="false">
      <c r="A18" s="9" t="n">
        <v>15</v>
      </c>
      <c r="B18" s="40" t="n">
        <f aca="false">B17*(1+E17)</f>
        <v>1.83952</v>
      </c>
      <c r="C18" s="48" t="n">
        <f aca="false">C17-T17</f>
        <v>673426.372980291</v>
      </c>
      <c r="D18" s="10" t="n">
        <f aca="false">H17</f>
        <v>1238781.2816247</v>
      </c>
      <c r="E18" s="45" t="n">
        <f aca="false">'HIER Rechnung Ausschütter'!E18+'HIER Rechnung Ausschütter'!K$1</f>
        <v>0.017683961033313</v>
      </c>
      <c r="F18" s="42" t="n">
        <f aca="false">D18*(1+E18)</f>
        <v>1260687.84153775</v>
      </c>
      <c r="G18" s="107" t="n">
        <v>0.0400572398197916</v>
      </c>
      <c r="H18" s="46" t="n">
        <f aca="false">C19*B19</f>
        <v>1177076.55416956</v>
      </c>
      <c r="I18" s="52" t="n">
        <f aca="false">H18/D18-1</f>
        <v>-0.0498108329294541</v>
      </c>
      <c r="J18" s="52" t="n">
        <f aca="false">B19/B$4-1</f>
        <v>0.872050000000002</v>
      </c>
      <c r="K18" s="53" t="n">
        <f aca="false">H18-'HIER Rechnung Thesaurierer '!J18</f>
        <v>148644.840749731</v>
      </c>
      <c r="L18" s="53"/>
      <c r="M18" s="53" t="n">
        <f aca="false">F18*G18</f>
        <v>50499.6752063732</v>
      </c>
      <c r="N18" s="53" t="n">
        <f aca="false">M18-O18</f>
        <v>37180.3858706923</v>
      </c>
      <c r="O18" s="53" t="n">
        <f aca="false">M18*P$1-AD18</f>
        <v>13319.2893356809</v>
      </c>
      <c r="P18" s="54" t="n">
        <f aca="false">R18/H18</f>
        <v>0.0905570494101653</v>
      </c>
      <c r="Q18" s="53" t="n">
        <f aca="false">Q17*(1+'HIER Rechnung Thesaurierer '!I18)</f>
        <v>106592.57967548</v>
      </c>
      <c r="R18" s="53" t="n">
        <f aca="false">N18+Y18</f>
        <v>106592.57967548</v>
      </c>
      <c r="S18" s="45"/>
      <c r="T18" s="55" t="n">
        <f aca="false">U18/B19</f>
        <v>44662.9563143036</v>
      </c>
      <c r="U18" s="56" t="n">
        <f aca="false">Q18-N18+W18</f>
        <v>83611.287368192</v>
      </c>
      <c r="V18" s="53" t="n">
        <f aca="false">U18-X18</f>
        <v>53835.4258328124</v>
      </c>
      <c r="W18" s="53" t="n">
        <f aca="false">V18*P$1</f>
        <v>14199.0935634043</v>
      </c>
      <c r="X18" s="53" t="n">
        <f aca="false">T18*D$1</f>
        <v>29774.9959899991</v>
      </c>
      <c r="Y18" s="53" t="n">
        <f aca="false">U18-W18</f>
        <v>69412.1938047877</v>
      </c>
      <c r="Z18" s="42"/>
      <c r="AA18" s="54"/>
      <c r="AB18" s="9"/>
      <c r="AC18" s="53" t="n">
        <f aca="false">AC17*(1+'HIER Rechnung Thesaurierer '!I18)</f>
        <v>0</v>
      </c>
      <c r="AD18" s="53" t="n">
        <f aca="false">IF((M18+U18)&lt;AC18,(M18+U18)*'HIER Rechnung Ausschütter'!O$1,AC18*'HIER Rechnung Ausschütter'!O$1)</f>
        <v>0</v>
      </c>
      <c r="AE18" s="10" t="n">
        <f aca="false">'HIER Rechnung Ausschütter'!AM18-AG18</f>
        <v>-44363.8673936372</v>
      </c>
      <c r="AF18" s="65" t="n">
        <f aca="false">AF17*(1+'HIER Rechnung Thesaurierer '!I17)</f>
        <v>0</v>
      </c>
      <c r="AG18" s="10" t="n">
        <f aca="false">M18+V18</f>
        <v>104335.101039186</v>
      </c>
    </row>
    <row r="19" customFormat="false" ht="14.15" hidden="false" customHeight="false" outlineLevel="0" collapsed="false">
      <c r="A19" s="9" t="n">
        <v>16</v>
      </c>
      <c r="B19" s="40" t="n">
        <f aca="false">B18*(1+E18)</f>
        <v>1.87205</v>
      </c>
      <c r="C19" s="48" t="n">
        <f aca="false">C18-T18</f>
        <v>628763.416665987</v>
      </c>
      <c r="D19" s="10" t="n">
        <f aca="false">H18</f>
        <v>1177076.55416956</v>
      </c>
      <c r="E19" s="45" t="n">
        <f aca="false">'HIER Rechnung Ausschütter'!E19+'HIER Rechnung Ausschütter'!K$1</f>
        <v>0.370230495980342</v>
      </c>
      <c r="F19" s="42" t="n">
        <f aca="false">D19*(1+E19)</f>
        <v>1612866.19062659</v>
      </c>
      <c r="G19" s="107" t="n">
        <v>0.047464274077642</v>
      </c>
      <c r="H19" s="46" t="n">
        <f aca="false">C20*B20</f>
        <v>1541182.23016637</v>
      </c>
      <c r="I19" s="52" t="n">
        <f aca="false">H19/D19-1</f>
        <v>0.309330497415003</v>
      </c>
      <c r="J19" s="52" t="n">
        <f aca="false">B20/B$4-1</f>
        <v>1.56514</v>
      </c>
      <c r="K19" s="53" t="n">
        <f aca="false">H19-'HIER Rechnung Thesaurierer '!J19</f>
        <v>229786.722365029</v>
      </c>
      <c r="L19" s="53"/>
      <c r="M19" s="53" t="n">
        <f aca="false">F19*G19</f>
        <v>76553.5229224628</v>
      </c>
      <c r="N19" s="53" t="n">
        <f aca="false">M19-O19</f>
        <v>56362.5312516633</v>
      </c>
      <c r="O19" s="53" t="n">
        <f aca="false">M19*P$1-AD19</f>
        <v>20190.9916707996</v>
      </c>
      <c r="P19" s="54" t="n">
        <f aca="false">R19/H19</f>
        <v>0.074004266348472</v>
      </c>
      <c r="Q19" s="53" t="n">
        <f aca="false">Q18*(1+'HIER Rechnung Thesaurierer '!I19)</f>
        <v>114054.060252764</v>
      </c>
      <c r="R19" s="53" t="n">
        <f aca="false">N19+Y19</f>
        <v>114054.060252764</v>
      </c>
      <c r="S19" s="45"/>
      <c r="T19" s="55" t="n">
        <f aca="false">U19/B20</f>
        <v>27945.4378553298</v>
      </c>
      <c r="U19" s="56" t="n">
        <f aca="false">Q19-N19+W19</f>
        <v>71683.9604602208</v>
      </c>
      <c r="V19" s="53" t="n">
        <f aca="false">U19-X19</f>
        <v>53051.8728307869</v>
      </c>
      <c r="W19" s="53" t="n">
        <f aca="false">V19*P$1</f>
        <v>13992.4314591201</v>
      </c>
      <c r="X19" s="53" t="n">
        <f aca="false">T19*D$1</f>
        <v>18629.6613302014</v>
      </c>
      <c r="Y19" s="53" t="n">
        <f aca="false">U19-W19</f>
        <v>57691.5290011007</v>
      </c>
      <c r="Z19" s="42"/>
      <c r="AA19" s="54"/>
      <c r="AB19" s="9"/>
      <c r="AC19" s="53" t="n">
        <f aca="false">AC18*(1+'HIER Rechnung Thesaurierer '!I19)</f>
        <v>0</v>
      </c>
      <c r="AD19" s="53" t="n">
        <f aca="false">IF((M19+U19)&lt;AC19,(M19+U19)*'HIER Rechnung Ausschütter'!O$1,AC19*'HIER Rechnung Ausschütter'!O$1)</f>
        <v>0</v>
      </c>
      <c r="AE19" s="10" t="n">
        <f aca="false">'HIER Rechnung Ausschütter'!AM19-AG19</f>
        <v>-54340.0997559583</v>
      </c>
      <c r="AF19" s="65" t="n">
        <f aca="false">AF18*(1+'HIER Rechnung Thesaurierer '!I18)</f>
        <v>0</v>
      </c>
      <c r="AG19" s="10" t="n">
        <f aca="false">M19+V19</f>
        <v>129605.39575325</v>
      </c>
    </row>
    <row r="20" customFormat="false" ht="14.15" hidden="false" customHeight="false" outlineLevel="0" collapsed="false">
      <c r="A20" s="9" t="n">
        <v>17</v>
      </c>
      <c r="B20" s="40" t="n">
        <f aca="false">B19*(1+E19)</f>
        <v>2.56514</v>
      </c>
      <c r="C20" s="48" t="n">
        <f aca="false">C19-T19</f>
        <v>600817.978810657</v>
      </c>
      <c r="D20" s="10" t="n">
        <f aca="false">H19</f>
        <v>1541182.23016637</v>
      </c>
      <c r="E20" s="45" t="n">
        <f aca="false">'HIER Rechnung Ausschütter'!E20+'HIER Rechnung Ausschütter'!K$1</f>
        <v>0.391054679276765</v>
      </c>
      <c r="F20" s="42" t="n">
        <f aca="false">D20*(1+E20)</f>
        <v>2143868.75289113</v>
      </c>
      <c r="G20" s="107" t="n">
        <v>0.036940210216564</v>
      </c>
      <c r="H20" s="46" t="n">
        <f aca="false">C21*B21</f>
        <v>2063900.56147903</v>
      </c>
      <c r="I20" s="52" t="n">
        <f aca="false">H20/D20-1</f>
        <v>0.339167115400904</v>
      </c>
      <c r="J20" s="52" t="n">
        <f aca="false">B21/B$4-1</f>
        <v>2.56825</v>
      </c>
      <c r="K20" s="53" t="n">
        <f aca="false">H20-'HIER Rechnung Thesaurierer '!J20</f>
        <v>349885.164455309</v>
      </c>
      <c r="L20" s="53"/>
      <c r="M20" s="53" t="n">
        <f aca="false">F20*G20</f>
        <v>79194.9624085212</v>
      </c>
      <c r="N20" s="53" t="n">
        <f aca="false">M20-O20</f>
        <v>58307.2910732737</v>
      </c>
      <c r="O20" s="53" t="n">
        <f aca="false">M20*P$1-AD20</f>
        <v>20887.6713352475</v>
      </c>
      <c r="P20" s="54" t="n">
        <f aca="false">R20/H20</f>
        <v>0.0586876200574481</v>
      </c>
      <c r="Q20" s="53" t="n">
        <f aca="false">Q19*(1+'HIER Rechnung Thesaurierer '!I20)</f>
        <v>121125.411988435</v>
      </c>
      <c r="R20" s="53" t="n">
        <f aca="false">N20+Y20</f>
        <v>121125.411988435</v>
      </c>
      <c r="S20" s="45"/>
      <c r="T20" s="55" t="n">
        <f aca="false">U20/B21</f>
        <v>22411.0394204717</v>
      </c>
      <c r="U20" s="56" t="n">
        <f aca="false">Q20-N20+W20</f>
        <v>79968.1914120983</v>
      </c>
      <c r="V20" s="53" t="n">
        <f aca="false">U20-X20</f>
        <v>65023.9639694294</v>
      </c>
      <c r="W20" s="53" t="n">
        <f aca="false">V20*P$1</f>
        <v>17150.070496937</v>
      </c>
      <c r="X20" s="53" t="n">
        <f aca="false">T20*D$1</f>
        <v>14939.8808718025</v>
      </c>
      <c r="Y20" s="53" t="n">
        <f aca="false">U20-W20</f>
        <v>62818.1209151613</v>
      </c>
      <c r="Z20" s="42"/>
      <c r="AA20" s="54"/>
      <c r="AB20" s="9"/>
      <c r="AC20" s="53" t="n">
        <f aca="false">AC19*(1+'HIER Rechnung Thesaurierer '!I20)</f>
        <v>0</v>
      </c>
      <c r="AD20" s="53" t="n">
        <f aca="false">IF((M20+U20)&lt;AC20,(M20+U20)*'HIER Rechnung Ausschütter'!O$1,AC20*'HIER Rechnung Ausschütter'!O$1)</f>
        <v>0</v>
      </c>
      <c r="AE20" s="10" t="n">
        <f aca="false">'HIER Rechnung Ausschütter'!AM20-AG20</f>
        <v>-60387.214843381</v>
      </c>
      <c r="AF20" s="65" t="n">
        <f aca="false">AF19*(1+'HIER Rechnung Thesaurierer '!I19)</f>
        <v>0</v>
      </c>
      <c r="AG20" s="10" t="n">
        <f aca="false">M20+V20</f>
        <v>144218.926377951</v>
      </c>
    </row>
    <row r="21" customFormat="false" ht="14.15" hidden="false" customHeight="false" outlineLevel="0" collapsed="false">
      <c r="A21" s="9" t="n">
        <v>18</v>
      </c>
      <c r="B21" s="40" t="n">
        <f aca="false">B20*(1+E20)</f>
        <v>3.56825</v>
      </c>
      <c r="C21" s="48" t="n">
        <f aca="false">C20-T20</f>
        <v>578406.939390185</v>
      </c>
      <c r="D21" s="10" t="n">
        <f aca="false">H20</f>
        <v>2063900.56147903</v>
      </c>
      <c r="E21" s="45" t="n">
        <f aca="false">'HIER Rechnung Ausschütter'!E21+'HIER Rechnung Ausschütter'!K$1</f>
        <v>0.143400826735795</v>
      </c>
      <c r="F21" s="42" t="n">
        <f aca="false">D21*(1+E21)</f>
        <v>2359865.60829559</v>
      </c>
      <c r="G21" s="107" t="n">
        <v>0.024231581089733</v>
      </c>
      <c r="H21" s="46" t="n">
        <f aca="false">C22*B22</f>
        <v>2248677.48847353</v>
      </c>
      <c r="I21" s="52" t="n">
        <f aca="false">H21/D21-1</f>
        <v>0.089528018182274</v>
      </c>
      <c r="J21" s="52" t="n">
        <f aca="false">B22/B$4-1</f>
        <v>3.07994</v>
      </c>
      <c r="K21" s="53" t="n">
        <f aca="false">H21-'HIER Rechnung Thesaurierer '!J21</f>
        <v>418102.716697029</v>
      </c>
      <c r="L21" s="53"/>
      <c r="M21" s="53" t="n">
        <f aca="false">F21*G21</f>
        <v>57183.2748482868</v>
      </c>
      <c r="N21" s="53" t="n">
        <f aca="false">M21-O21</f>
        <v>42101.1861070511</v>
      </c>
      <c r="O21" s="53" t="n">
        <f aca="false">M21*P$1-AD21</f>
        <v>15082.0887412356</v>
      </c>
      <c r="P21" s="54" t="n">
        <f aca="false">R21/H21</f>
        <v>0.0572586836501439</v>
      </c>
      <c r="Q21" s="53" t="n">
        <f aca="false">Q20*(1+'HIER Rechnung Thesaurierer '!I21)</f>
        <v>128756.312943706</v>
      </c>
      <c r="R21" s="53" t="n">
        <f aca="false">N21+Y21</f>
        <v>128756.312943706</v>
      </c>
      <c r="S21" s="45"/>
      <c r="T21" s="55" t="n">
        <f aca="false">U21/B22</f>
        <v>27252.3909229228</v>
      </c>
      <c r="U21" s="56" t="n">
        <f aca="false">Q21-N21+W21</f>
        <v>111188.11982207</v>
      </c>
      <c r="V21" s="53" t="n">
        <f aca="false">U21-X21</f>
        <v>93016.0871484937</v>
      </c>
      <c r="W21" s="53" t="n">
        <f aca="false">V21*P$1</f>
        <v>24532.9929854152</v>
      </c>
      <c r="X21" s="53" t="n">
        <f aca="false">T21*D$1</f>
        <v>18167.5238830536</v>
      </c>
      <c r="Y21" s="53" t="n">
        <f aca="false">U21-W21</f>
        <v>86655.1268366549</v>
      </c>
      <c r="Z21" s="42"/>
      <c r="AA21" s="54"/>
      <c r="AB21" s="9"/>
      <c r="AC21" s="53" t="n">
        <f aca="false">AC20*(1+'HIER Rechnung Thesaurierer '!I21)</f>
        <v>0</v>
      </c>
      <c r="AD21" s="53" t="n">
        <f aca="false">IF((M21+U21)&lt;AC21,(M21+U21)*'HIER Rechnung Ausschütter'!O$1,AC21*'HIER Rechnung Ausschütter'!O$1)</f>
        <v>0</v>
      </c>
      <c r="AE21" s="10" t="n">
        <f aca="false">'HIER Rechnung Ausschütter'!AM21-AG21</f>
        <v>-29641.2030754144</v>
      </c>
      <c r="AF21" s="65" t="n">
        <f aca="false">AF20*(1+'HIER Rechnung Thesaurierer '!I20)</f>
        <v>0</v>
      </c>
      <c r="AG21" s="10" t="n">
        <f aca="false">M21+V21</f>
        <v>150199.36199678</v>
      </c>
    </row>
    <row r="22" customFormat="false" ht="14.15" hidden="false" customHeight="false" outlineLevel="0" collapsed="false">
      <c r="A22" s="9" t="n">
        <v>19</v>
      </c>
      <c r="B22" s="40" t="n">
        <f aca="false">B21*(1+E21)</f>
        <v>4.07994000000001</v>
      </c>
      <c r="C22" s="48" t="n">
        <f aca="false">C21-T21</f>
        <v>551154.548467263</v>
      </c>
      <c r="D22" s="10" t="n">
        <f aca="false">H21</f>
        <v>2248677.48847353</v>
      </c>
      <c r="E22" s="45" t="n">
        <f aca="false">'HIER Rechnung Ausschütter'!E22+'HIER Rechnung Ausschütter'!K$1</f>
        <v>0.211851154673843</v>
      </c>
      <c r="F22" s="42" t="n">
        <f aca="false">D22*(1+E22)</f>
        <v>2725062.41089572</v>
      </c>
      <c r="G22" s="107" t="n">
        <v>0.027655360268658</v>
      </c>
      <c r="H22" s="46" t="n">
        <f aca="false">C23*B23</f>
        <v>2619287.90065412</v>
      </c>
      <c r="I22" s="52" t="n">
        <f aca="false">H22/D22-1</f>
        <v>0.164812612782535</v>
      </c>
      <c r="J22" s="52" t="n">
        <f aca="false">B23/B$4-1</f>
        <v>3.94428000000001</v>
      </c>
      <c r="K22" s="53" t="n">
        <f aca="false">H22-'HIER Rechnung Thesaurierer '!J22</f>
        <v>534490.705303351</v>
      </c>
      <c r="L22" s="53"/>
      <c r="M22" s="53" t="n">
        <f aca="false">F22*G22</f>
        <v>75362.582727899</v>
      </c>
      <c r="N22" s="53" t="n">
        <f aca="false">M22-O22</f>
        <v>55485.7015334156</v>
      </c>
      <c r="O22" s="53" t="n">
        <f aca="false">M22*P$1-AD22</f>
        <v>19876.8811944834</v>
      </c>
      <c r="P22" s="54" t="n">
        <f aca="false">R22/H22</f>
        <v>0.0523521958967559</v>
      </c>
      <c r="Q22" s="53" t="n">
        <f aca="false">Q21*(1+'HIER Rechnung Thesaurierer '!I22)</f>
        <v>137125.473285047</v>
      </c>
      <c r="R22" s="53" t="n">
        <f aca="false">N22+Y22</f>
        <v>137125.473285047</v>
      </c>
      <c r="S22" s="45"/>
      <c r="T22" s="55" t="n">
        <f aca="false">U22/B23</f>
        <v>21393.3090847609</v>
      </c>
      <c r="U22" s="56" t="n">
        <f aca="false">Q22-N22+W22</f>
        <v>105774.510241602</v>
      </c>
      <c r="V22" s="53" t="n">
        <f aca="false">U22-X22</f>
        <v>91506.1174975182</v>
      </c>
      <c r="W22" s="53" t="n">
        <f aca="false">V22*P$1</f>
        <v>24134.7384899704</v>
      </c>
      <c r="X22" s="53" t="n">
        <f aca="false">T22*D$1</f>
        <v>14261.2418685812</v>
      </c>
      <c r="Y22" s="53" t="n">
        <f aca="false">U22-W22</f>
        <v>81639.7717516314</v>
      </c>
      <c r="Z22" s="42"/>
      <c r="AA22" s="54"/>
      <c r="AB22" s="9"/>
      <c r="AC22" s="53" t="n">
        <f aca="false">AC21*(1+'HIER Rechnung Thesaurierer '!I22)</f>
        <v>0</v>
      </c>
      <c r="AD22" s="53" t="n">
        <f aca="false">IF((M22+U22)&lt;AC22,(M22+U22)*'HIER Rechnung Ausschütter'!O$1,AC22*'HIER Rechnung Ausschütter'!O$1)</f>
        <v>0</v>
      </c>
      <c r="AE22" s="10" t="n">
        <f aca="false">'HIER Rechnung Ausschütter'!AM22-AG22</f>
        <v>-45940.6896001971</v>
      </c>
      <c r="AF22" s="65" t="n">
        <f aca="false">AF21*(1+'HIER Rechnung Thesaurierer '!I21)</f>
        <v>0</v>
      </c>
      <c r="AG22" s="10" t="n">
        <f aca="false">M22+V22</f>
        <v>166868.700225417</v>
      </c>
    </row>
    <row r="23" customFormat="false" ht="14.15" hidden="false" customHeight="false" outlineLevel="0" collapsed="false">
      <c r="A23" s="9" t="n">
        <v>20</v>
      </c>
      <c r="B23" s="40" t="n">
        <f aca="false">B22*(1+E22)</f>
        <v>4.94428000000001</v>
      </c>
      <c r="C23" s="48" t="n">
        <f aca="false">C22-T22</f>
        <v>529761.239382502</v>
      </c>
      <c r="D23" s="10" t="n">
        <f aca="false">H22</f>
        <v>2619287.90065412</v>
      </c>
      <c r="E23" s="45" t="n">
        <f aca="false">'HIER Rechnung Ausschütter'!E23+'HIER Rechnung Ausschütter'!K$1</f>
        <v>0.147463331364728</v>
      </c>
      <c r="F23" s="42" t="n">
        <f aca="false">D23*(1+E23)</f>
        <v>3005536.8202879</v>
      </c>
      <c r="G23" s="107" t="n">
        <v>0.024474316925674</v>
      </c>
      <c r="H23" s="46" t="n">
        <f aca="false">C24*B24</f>
        <v>2884890.73522536</v>
      </c>
      <c r="I23" s="52" t="n">
        <f aca="false">H23/D23-1</f>
        <v>0.101402688305059</v>
      </c>
      <c r="J23" s="52" t="n">
        <f aca="false">B24/B$4-1</f>
        <v>4.67338</v>
      </c>
      <c r="K23" s="53" t="n">
        <f aca="false">H23-'HIER Rechnung Thesaurierer '!J23</f>
        <v>641159.683447433</v>
      </c>
      <c r="L23" s="53"/>
      <c r="M23" s="53" t="n">
        <f aca="false">F23*G23</f>
        <v>73558.4606715086</v>
      </c>
      <c r="N23" s="53" t="n">
        <f aca="false">M23-O23</f>
        <v>54157.4166693982</v>
      </c>
      <c r="O23" s="53" t="n">
        <f aca="false">M23*P$1-AD23</f>
        <v>19401.0440021104</v>
      </c>
      <c r="P23" s="54" t="n">
        <f aca="false">R23/H23</f>
        <v>0.0508595540979957</v>
      </c>
      <c r="Q23" s="53" t="n">
        <f aca="false">Q22*(1+'HIER Rechnung Thesaurierer '!I23)</f>
        <v>146724.256415001</v>
      </c>
      <c r="R23" s="53" t="n">
        <f aca="false">N23+Y23</f>
        <v>146724.256415001</v>
      </c>
      <c r="S23" s="45"/>
      <c r="T23" s="55" t="n">
        <f aca="false">U23/B24</f>
        <v>21265.2924821773</v>
      </c>
      <c r="U23" s="56" t="n">
        <f aca="false">Q23-N23+W23</f>
        <v>120646.085062535</v>
      </c>
      <c r="V23" s="53" t="n">
        <f aca="false">U23-X23</f>
        <v>106461.5936187</v>
      </c>
      <c r="W23" s="53" t="n">
        <f aca="false">V23*P$1</f>
        <v>28079.2453169322</v>
      </c>
      <c r="X23" s="53" t="n">
        <f aca="false">T23*D$1</f>
        <v>14175.8457216802</v>
      </c>
      <c r="Y23" s="53" t="n">
        <f aca="false">U23-W23</f>
        <v>92566.8397456028</v>
      </c>
      <c r="Z23" s="42"/>
      <c r="AA23" s="54"/>
      <c r="AB23" s="9"/>
      <c r="AC23" s="53" t="n">
        <f aca="false">AC22*(1+'HIER Rechnung Thesaurierer '!I23)</f>
        <v>0</v>
      </c>
      <c r="AD23" s="53" t="n">
        <f aca="false">IF((M23+U23)&lt;AC23,(M23+U23)*'HIER Rechnung Ausschütter'!O$1,AC23*'HIER Rechnung Ausschütter'!O$1)</f>
        <v>0</v>
      </c>
      <c r="AE23" s="10" t="n">
        <f aca="false">'HIER Rechnung Ausschütter'!AM23-AG23</f>
        <v>-35551.6971572279</v>
      </c>
      <c r="AF23" s="65" t="n">
        <f aca="false">AF22*(1+'HIER Rechnung Thesaurierer '!I22)</f>
        <v>0</v>
      </c>
      <c r="AG23" s="10" t="n">
        <f aca="false">M23+V23</f>
        <v>180020.054290209</v>
      </c>
    </row>
    <row r="24" customFormat="false" ht="14.15" hidden="false" customHeight="false" outlineLevel="0" collapsed="false">
      <c r="A24" s="9" t="n">
        <v>21</v>
      </c>
      <c r="B24" s="40" t="n">
        <f aca="false">B23*(1+E23)</f>
        <v>5.67338</v>
      </c>
      <c r="C24" s="48" t="n">
        <f aca="false">C23-T23</f>
        <v>508495.946900325</v>
      </c>
      <c r="D24" s="10" t="n">
        <f aca="false">H23</f>
        <v>2884890.73522536</v>
      </c>
      <c r="E24" s="45" t="n">
        <f aca="false">'HIER Rechnung Ausschütter'!E24+'HIER Rechnung Ausschütter'!K$1</f>
        <v>-0.186504341327392</v>
      </c>
      <c r="F24" s="42" t="n">
        <f aca="false">D24*(1+E24)</f>
        <v>2346846.08885066</v>
      </c>
      <c r="G24" s="107" t="n">
        <v>0.021327265769625</v>
      </c>
      <c r="H24" s="46" t="n">
        <f aca="false">C25*B25</f>
        <v>2188471.44195203</v>
      </c>
      <c r="I24" s="52" t="n">
        <f aca="false">H24/D24-1</f>
        <v>-0.241402311973154</v>
      </c>
      <c r="J24" s="52" t="n">
        <f aca="false">B25/B$4-1</f>
        <v>3.61527</v>
      </c>
      <c r="K24" s="53" t="n">
        <f aca="false">H24-'HIER Rechnung Thesaurierer '!J24</f>
        <v>503097.461357639</v>
      </c>
      <c r="L24" s="53"/>
      <c r="M24" s="53" t="n">
        <f aca="false">F24*G24</f>
        <v>50051.810257323</v>
      </c>
      <c r="N24" s="53" t="n">
        <f aca="false">M24-O24</f>
        <v>36850.6453019541</v>
      </c>
      <c r="O24" s="53" t="n">
        <f aca="false">M24*P$1-AD24</f>
        <v>13201.1649553689</v>
      </c>
      <c r="P24" s="54" t="n">
        <f aca="false">R24/H24</f>
        <v>0.0728770152837124</v>
      </c>
      <c r="Q24" s="53" t="n">
        <f aca="false">Q23*(1+'HIER Rechnung Thesaurierer '!I24)</f>
        <v>159489.266723106</v>
      </c>
      <c r="R24" s="53" t="n">
        <f aca="false">N24+Y24</f>
        <v>159489.266723106</v>
      </c>
      <c r="S24" s="45"/>
      <c r="T24" s="55" t="n">
        <f aca="false">U24/B25</f>
        <v>34315.3589927851</v>
      </c>
      <c r="U24" s="56" t="n">
        <f aca="false">Q24-N24+W24</f>
        <v>158374.646898631</v>
      </c>
      <c r="V24" s="53" t="n">
        <f aca="false">U24-X24</f>
        <v>135492.03972504</v>
      </c>
      <c r="W24" s="53" t="n">
        <f aca="false">V24*P$1</f>
        <v>35736.0254774792</v>
      </c>
      <c r="X24" s="53" t="n">
        <f aca="false">T24*D$1</f>
        <v>22875.9434440066</v>
      </c>
      <c r="Y24" s="53" t="n">
        <f aca="false">U24-W24</f>
        <v>122638.621421152</v>
      </c>
      <c r="Z24" s="42"/>
      <c r="AA24" s="54"/>
      <c r="AB24" s="9"/>
      <c r="AC24" s="53" t="n">
        <f aca="false">AC23*(1+'HIER Rechnung Thesaurierer '!I24)</f>
        <v>0</v>
      </c>
      <c r="AD24" s="53" t="n">
        <f aca="false">IF((M24+U24)&lt;AC24,(M24+U24)*'HIER Rechnung Ausschütter'!O$1,AC24*'HIER Rechnung Ausschütter'!O$1)</f>
        <v>0</v>
      </c>
      <c r="AE24" s="10" t="n">
        <f aca="false">'HIER Rechnung Ausschütter'!AM24-AG24</f>
        <v>-101563.848209891</v>
      </c>
      <c r="AF24" s="65" t="n">
        <f aca="false">AF23*(1+'HIER Rechnung Thesaurierer '!I23)</f>
        <v>0</v>
      </c>
      <c r="AG24" s="10" t="n">
        <f aca="false">M24+V24</f>
        <v>185543.849982363</v>
      </c>
    </row>
    <row r="25" customFormat="false" ht="14.15" hidden="false" customHeight="false" outlineLevel="0" collapsed="false">
      <c r="A25" s="9" t="n">
        <v>22</v>
      </c>
      <c r="B25" s="40" t="n">
        <f aca="false">B24*(1+E24)</f>
        <v>4.61527</v>
      </c>
      <c r="C25" s="48" t="n">
        <f aca="false">C24-T24</f>
        <v>474180.587907539</v>
      </c>
      <c r="D25" s="10" t="n">
        <f aca="false">H24</f>
        <v>2188471.44195203</v>
      </c>
      <c r="E25" s="45" t="n">
        <f aca="false">'HIER Rechnung Ausschütter'!E25+'HIER Rechnung Ausschütter'!K$1</f>
        <v>0.159984139606134</v>
      </c>
      <c r="F25" s="42" t="n">
        <f aca="false">D25*(1+E25)</f>
        <v>2538592.16264532</v>
      </c>
      <c r="G25" s="107" t="n">
        <v>0.029688264834398</v>
      </c>
      <c r="H25" s="46" t="n">
        <f aca="false">C26*B26</f>
        <v>2385951.15300852</v>
      </c>
      <c r="I25" s="52" t="n">
        <f aca="false">H25/D25-1</f>
        <v>0.0902363664751993</v>
      </c>
      <c r="J25" s="52" t="n">
        <f aca="false">B26/B$4-1</f>
        <v>4.35364000000001</v>
      </c>
      <c r="K25" s="53" t="n">
        <f aca="false">H25-'HIER Rechnung Thesaurierer '!J25</f>
        <v>607603.95329241</v>
      </c>
      <c r="L25" s="53"/>
      <c r="M25" s="53" t="n">
        <f aca="false">F25*G25</f>
        <v>75366.3964311414</v>
      </c>
      <c r="N25" s="53" t="n">
        <f aca="false">M25-O25</f>
        <v>55488.5093724279</v>
      </c>
      <c r="O25" s="53" t="n">
        <f aca="false">M25*P$1-AD25</f>
        <v>19877.8870587135</v>
      </c>
      <c r="P25" s="54" t="n">
        <f aca="false">R25/H25</f>
        <v>0.0724601444207478</v>
      </c>
      <c r="Q25" s="53" t="n">
        <f aca="false">Q24*(1+'HIER Rechnung Thesaurierer '!I25)</f>
        <v>172886.365127847</v>
      </c>
      <c r="R25" s="53" t="n">
        <f aca="false">N25+Y25</f>
        <v>172886.365127847</v>
      </c>
      <c r="S25" s="45"/>
      <c r="T25" s="55" t="n">
        <f aca="false">U25/B26</f>
        <v>28511.631270837</v>
      </c>
      <c r="U25" s="56" t="n">
        <f aca="false">Q25-N25+W25</f>
        <v>152641.009636804</v>
      </c>
      <c r="V25" s="53" t="n">
        <f aca="false">U25-X25</f>
        <v>133623.332251696</v>
      </c>
      <c r="W25" s="53" t="n">
        <f aca="false">V25*P$1</f>
        <v>35243.1538813849</v>
      </c>
      <c r="X25" s="53" t="n">
        <f aca="false">T25*D$1</f>
        <v>19006.342732625</v>
      </c>
      <c r="Y25" s="53" t="n">
        <f aca="false">U25-W25</f>
        <v>117397.855755419</v>
      </c>
      <c r="Z25" s="42"/>
      <c r="AA25" s="54"/>
      <c r="AB25" s="9"/>
      <c r="AC25" s="53" t="n">
        <f aca="false">AC24*(1+'HIER Rechnung Thesaurierer '!I25)</f>
        <v>0</v>
      </c>
      <c r="AD25" s="53" t="n">
        <f aca="false">IF((M25+U25)&lt;AC25,(M25+U25)*'HIER Rechnung Ausschütter'!O$1,AC25*'HIER Rechnung Ausschütter'!O$1)</f>
        <v>0</v>
      </c>
      <c r="AE25" s="10" t="n">
        <f aca="false">'HIER Rechnung Ausschütter'!AM25-AG25</f>
        <v>-55112.9002223068</v>
      </c>
      <c r="AF25" s="65" t="n">
        <f aca="false">AF24*(1+'HIER Rechnung Thesaurierer '!I24)</f>
        <v>0</v>
      </c>
      <c r="AG25" s="10" t="n">
        <f aca="false">M25+V25</f>
        <v>208989.728682838</v>
      </c>
    </row>
    <row r="26" customFormat="false" ht="14.15" hidden="false" customHeight="false" outlineLevel="0" collapsed="false">
      <c r="A26" s="9" t="n">
        <v>23</v>
      </c>
      <c r="B26" s="40" t="n">
        <f aca="false">B25*(1+E25)</f>
        <v>5.35364000000001</v>
      </c>
      <c r="C26" s="48" t="n">
        <f aca="false">C25-T25</f>
        <v>445668.956636702</v>
      </c>
      <c r="D26" s="10" t="n">
        <f aca="false">H25</f>
        <v>2385951.15300852</v>
      </c>
      <c r="E26" s="45" t="n">
        <f aca="false">'HIER Rechnung Ausschütter'!E26+'HIER Rechnung Ausschütter'!K$1</f>
        <v>-0.0714130946421501</v>
      </c>
      <c r="F26" s="42" t="n">
        <f aca="false">D26*(1+E26)</f>
        <v>2215562.99750717</v>
      </c>
      <c r="G26" s="107" t="n">
        <v>0.0248144608673268</v>
      </c>
      <c r="H26" s="46" t="n">
        <f aca="false">C27*B27</f>
        <v>2026490.98190455</v>
      </c>
      <c r="I26" s="52" t="n">
        <f aca="false">H26/D26-1</f>
        <v>-0.150656969926107</v>
      </c>
      <c r="J26" s="52" t="n">
        <f aca="false">B27/B$4-1</f>
        <v>3.97132</v>
      </c>
      <c r="K26" s="53" t="n">
        <f aca="false">H26-'HIER Rechnung Thesaurierer '!J26</f>
        <v>547961.872574084</v>
      </c>
      <c r="L26" s="53"/>
      <c r="M26" s="53" t="n">
        <f aca="false">F26*G26</f>
        <v>54978.0013007391</v>
      </c>
      <c r="N26" s="53" t="n">
        <f aca="false">M26-O26</f>
        <v>40477.5534576691</v>
      </c>
      <c r="O26" s="53" t="n">
        <f aca="false">M26*P$1-AD26</f>
        <v>14500.4478430699</v>
      </c>
      <c r="P26" s="54" t="n">
        <f aca="false">R26/H26</f>
        <v>0.0919675948583111</v>
      </c>
      <c r="Q26" s="53" t="n">
        <f aca="false">Q25*(1+'HIER Rechnung Thesaurierer '!I26)</f>
        <v>186371.501607819</v>
      </c>
      <c r="R26" s="53" t="n">
        <f aca="false">N26+Y26</f>
        <v>186371.501607819</v>
      </c>
      <c r="S26" s="45"/>
      <c r="T26" s="55" t="n">
        <f aca="false">U26/B27</f>
        <v>38032.5578724807</v>
      </c>
      <c r="U26" s="56" t="n">
        <f aca="false">Q26-N26+W26</f>
        <v>189072.015602621</v>
      </c>
      <c r="V26" s="53" t="n">
        <f aca="false">U26-X26</f>
        <v>163708.312616005</v>
      </c>
      <c r="W26" s="53" t="n">
        <f aca="false">V26*P$1</f>
        <v>43178.0674524713</v>
      </c>
      <c r="X26" s="53" t="n">
        <f aca="false">T26*D$1</f>
        <v>25353.6967298235</v>
      </c>
      <c r="Y26" s="53" t="n">
        <f aca="false">U26-W26</f>
        <v>145893.94815015</v>
      </c>
      <c r="Z26" s="42"/>
      <c r="AA26" s="54"/>
      <c r="AB26" s="9"/>
      <c r="AC26" s="53" t="n">
        <f aca="false">AC25*(1+'HIER Rechnung Thesaurierer '!I26)</f>
        <v>0</v>
      </c>
      <c r="AD26" s="53" t="n">
        <f aca="false">IF((M26+U26)&lt;AC26,(M26+U26)*'HIER Rechnung Ausschütter'!O$1,AC26*'HIER Rechnung Ausschütter'!O$1)</f>
        <v>0</v>
      </c>
      <c r="AE26" s="10" t="n">
        <f aca="false">'HIER Rechnung Ausschütter'!AM26-AG26</f>
        <v>-122522.490990479</v>
      </c>
      <c r="AF26" s="65" t="n">
        <f aca="false">AF25*(1+'HIER Rechnung Thesaurierer '!I25)</f>
        <v>0</v>
      </c>
      <c r="AG26" s="10" t="n">
        <f aca="false">M26+V26</f>
        <v>218686.313916744</v>
      </c>
    </row>
    <row r="27" customFormat="false" ht="14.15" hidden="false" customHeight="false" outlineLevel="0" collapsed="false">
      <c r="A27" s="9" t="n">
        <v>24</v>
      </c>
      <c r="B27" s="40" t="n">
        <f aca="false">B26*(1+E26)</f>
        <v>4.97132000000001</v>
      </c>
      <c r="C27" s="48" t="n">
        <f aca="false">C26-T26</f>
        <v>407636.398764222</v>
      </c>
      <c r="D27" s="10" t="n">
        <f aca="false">H26</f>
        <v>2026490.98190455</v>
      </c>
      <c r="E27" s="45" t="n">
        <f aca="false">'HIER Rechnung Ausschütter'!E27+'HIER Rechnung Ausschütter'!K$1</f>
        <v>0.203897556383415</v>
      </c>
      <c r="F27" s="42" t="n">
        <f aca="false">D27*(1+E27)</f>
        <v>2439687.54114792</v>
      </c>
      <c r="G27" s="107" t="n">
        <v>0.027391093477314</v>
      </c>
      <c r="H27" s="46" t="n">
        <f aca="false">C28*B28</f>
        <v>2244708.39219183</v>
      </c>
      <c r="I27" s="52" t="n">
        <f aca="false">H27/D27-1</f>
        <v>0.107682398903244</v>
      </c>
      <c r="J27" s="52" t="n">
        <f aca="false">B28/B$4-1</f>
        <v>4.98496</v>
      </c>
      <c r="K27" s="53" t="n">
        <f aca="false">H27-'HIER Rechnung Thesaurierer '!J27</f>
        <v>671866.841902888</v>
      </c>
      <c r="L27" s="53"/>
      <c r="M27" s="53" t="n">
        <f aca="false">F27*G27</f>
        <v>66825.709495021</v>
      </c>
      <c r="N27" s="53" t="n">
        <f aca="false">M27-O27</f>
        <v>49200.4286157092</v>
      </c>
      <c r="O27" s="53" t="n">
        <f aca="false">M27*P$1-AD27</f>
        <v>17625.2808793118</v>
      </c>
      <c r="P27" s="54" t="n">
        <f aca="false">R27/H27</f>
        <v>0.0884238014624774</v>
      </c>
      <c r="Q27" s="53" t="n">
        <f aca="false">Q26*(1+'HIER Rechnung Thesaurierer '!I27)</f>
        <v>198485.649212327</v>
      </c>
      <c r="R27" s="53" t="n">
        <f aca="false">N27+Y27</f>
        <v>198485.649212327</v>
      </c>
      <c r="S27" s="45"/>
      <c r="T27" s="55" t="n">
        <f aca="false">U27/B28</f>
        <v>32578.1874826378</v>
      </c>
      <c r="U27" s="56" t="n">
        <f aca="false">Q27-N27+W27</f>
        <v>194979.148956088</v>
      </c>
      <c r="V27" s="53" t="n">
        <f aca="false">U27-X27</f>
        <v>173247.121742068</v>
      </c>
      <c r="W27" s="53" t="n">
        <f aca="false">V27*P$1</f>
        <v>45693.9283594704</v>
      </c>
      <c r="X27" s="53" t="n">
        <f aca="false">T27*D$1</f>
        <v>21717.132543717</v>
      </c>
      <c r="Y27" s="53" t="n">
        <f aca="false">U27-W27</f>
        <v>149285.220596618</v>
      </c>
      <c r="Z27" s="42"/>
      <c r="AA27" s="54"/>
      <c r="AB27" s="9"/>
      <c r="AC27" s="53" t="n">
        <f aca="false">AC26*(1+'HIER Rechnung Thesaurierer '!I27)</f>
        <v>0</v>
      </c>
      <c r="AD27" s="53" t="n">
        <f aca="false">IF((M27+U27)&lt;AC27,(M27+U27)*'HIER Rechnung Ausschütter'!O$1,AC27*'HIER Rechnung Ausschütter'!O$1)</f>
        <v>0</v>
      </c>
      <c r="AE27" s="10" t="n">
        <f aca="false">'HIER Rechnung Ausschütter'!AM27-AG27</f>
        <v>-92976.0887156688</v>
      </c>
      <c r="AF27" s="65" t="n">
        <f aca="false">AF26*(1+'HIER Rechnung Thesaurierer '!I26)</f>
        <v>0</v>
      </c>
      <c r="AG27" s="10" t="n">
        <f aca="false">M27+V27</f>
        <v>240072.831237089</v>
      </c>
    </row>
    <row r="28" customFormat="false" ht="14.15" hidden="false" customHeight="false" outlineLevel="0" collapsed="false">
      <c r="A28" s="9" t="n">
        <v>25</v>
      </c>
      <c r="B28" s="40" t="n">
        <f aca="false">B27*(1+E27)</f>
        <v>5.98496</v>
      </c>
      <c r="C28" s="48" t="n">
        <f aca="false">C27-T27</f>
        <v>375058.211281584</v>
      </c>
      <c r="D28" s="10" t="n">
        <f aca="false">H27</f>
        <v>2244708.39219183</v>
      </c>
      <c r="E28" s="45" t="n">
        <f aca="false">'HIER Rechnung Ausschütter'!E28+'HIER Rechnung Ausschütter'!K$1</f>
        <v>0.0335741592257928</v>
      </c>
      <c r="F28" s="42" t="n">
        <f aca="false">D28*(1+E28)</f>
        <v>2320072.58916675</v>
      </c>
      <c r="G28" s="107" t="n">
        <v>0.0222437780060602</v>
      </c>
      <c r="H28" s="46" t="n">
        <f aca="false">C29*B29</f>
        <v>2092286.93131237</v>
      </c>
      <c r="I28" s="52" t="n">
        <f aca="false">H28/D28-1</f>
        <v>-0.0679025665024692</v>
      </c>
      <c r="J28" s="52" t="n">
        <f aca="false">B29/B$4-1</f>
        <v>5.1859</v>
      </c>
      <c r="K28" s="53" t="n">
        <f aca="false">H28-'HIER Rechnung Thesaurierer '!J28</f>
        <v>694517.885229562</v>
      </c>
      <c r="L28" s="53"/>
      <c r="M28" s="53" t="n">
        <f aca="false">F28*G28</f>
        <v>51607.1796313705</v>
      </c>
      <c r="N28" s="53" t="n">
        <f aca="false">M28-O28</f>
        <v>37995.7860035965</v>
      </c>
      <c r="O28" s="53" t="n">
        <f aca="false">M28*P$1-AD28</f>
        <v>13611.393627774</v>
      </c>
      <c r="P28" s="54" t="n">
        <f aca="false">R28/H28</f>
        <v>0.101411119016495</v>
      </c>
      <c r="Q28" s="53" t="n">
        <f aca="false">Q27*(1+'HIER Rechnung Thesaurierer '!I28)</f>
        <v>212181.159007977</v>
      </c>
      <c r="R28" s="53" t="n">
        <f aca="false">N28+Y28</f>
        <v>212181.159007977</v>
      </c>
      <c r="S28" s="45"/>
      <c r="T28" s="55" t="n">
        <f aca="false">U28/B29</f>
        <v>36823.3656952712</v>
      </c>
      <c r="U28" s="56" t="n">
        <f aca="false">Q28-N28+W28</f>
        <v>227785.657854378</v>
      </c>
      <c r="V28" s="53" t="n">
        <f aca="false">U28-X28</f>
        <v>203223.828815156</v>
      </c>
      <c r="W28" s="53" t="n">
        <f aca="false">V28*P$1</f>
        <v>53600.2848499974</v>
      </c>
      <c r="X28" s="53" t="n">
        <f aca="false">T28*D$1</f>
        <v>24547.3500460863</v>
      </c>
      <c r="Y28" s="53" t="n">
        <f aca="false">U28-W28</f>
        <v>174185.373004381</v>
      </c>
      <c r="Z28" s="42"/>
      <c r="AA28" s="54"/>
      <c r="AB28" s="9"/>
      <c r="AC28" s="53" t="n">
        <f aca="false">AC27*(1+'HIER Rechnung Thesaurierer '!I28)</f>
        <v>0</v>
      </c>
      <c r="AD28" s="53" t="n">
        <f aca="false">IF((M28+U28)&lt;AC28,(M28+U28)*'HIER Rechnung Ausschütter'!O$1,AC28*'HIER Rechnung Ausschütter'!O$1)</f>
        <v>0</v>
      </c>
      <c r="AE28" s="10" t="n">
        <f aca="false">'HIER Rechnung Ausschütter'!AM28-AG28</f>
        <v>-107910.436178532</v>
      </c>
      <c r="AF28" s="65" t="n">
        <f aca="false">AF27*(1+'HIER Rechnung Thesaurierer '!I27)</f>
        <v>0</v>
      </c>
      <c r="AG28" s="10" t="n">
        <f aca="false">M28+V28</f>
        <v>254831.008446527</v>
      </c>
    </row>
    <row r="29" customFormat="false" ht="14.15" hidden="false" customHeight="false" outlineLevel="0" collapsed="false">
      <c r="A29" s="9" t="n">
        <v>26</v>
      </c>
      <c r="B29" s="40" t="n">
        <f aca="false">B28*(1+E28)</f>
        <v>6.1859</v>
      </c>
      <c r="C29" s="48" t="n">
        <f aca="false">C28-T28</f>
        <v>338234.845586313</v>
      </c>
      <c r="D29" s="10" t="n">
        <f aca="false">H28</f>
        <v>2092286.93131237</v>
      </c>
      <c r="E29" s="45" t="n">
        <f aca="false">'HIER Rechnung Ausschütter'!E29+'HIER Rechnung Ausschütter'!K$1</f>
        <v>0.18702209864369</v>
      </c>
      <c r="F29" s="42" t="n">
        <f aca="false">D29*(1+E29)</f>
        <v>2483590.82417118</v>
      </c>
      <c r="G29" s="107" t="n">
        <v>0.026143851239646</v>
      </c>
      <c r="H29" s="46" t="n">
        <f aca="false">C30*B30</f>
        <v>2248110.5266123</v>
      </c>
      <c r="I29" s="52" t="n">
        <f aca="false">H29/D29-1</f>
        <v>0.0744752514427787</v>
      </c>
      <c r="J29" s="52" t="n">
        <f aca="false">B30/B$4-1</f>
        <v>6.34280000000001</v>
      </c>
      <c r="K29" s="53" t="n">
        <f aca="false">H29-'HIER Rechnung Thesaurierer '!J29</f>
        <v>831277.95373576</v>
      </c>
      <c r="L29" s="53"/>
      <c r="M29" s="53" t="n">
        <f aca="false">F29*G29</f>
        <v>64930.6290472811</v>
      </c>
      <c r="N29" s="53" t="n">
        <f aca="false">M29-O29</f>
        <v>47805.1756360607</v>
      </c>
      <c r="O29" s="53" t="n">
        <f aca="false">M29*P$1-AD29</f>
        <v>17125.4534112204</v>
      </c>
      <c r="P29" s="54" t="n">
        <f aca="false">R29/H29</f>
        <v>0.100894353856048</v>
      </c>
      <c r="Q29" s="53" t="n">
        <f aca="false">Q28*(1+'HIER Rechnung Thesaurierer '!I29)</f>
        <v>226821.658979528</v>
      </c>
      <c r="R29" s="53" t="n">
        <f aca="false">N29+Y29</f>
        <v>226821.658979528</v>
      </c>
      <c r="S29" s="45"/>
      <c r="T29" s="55" t="n">
        <f aca="false">U29/B30</f>
        <v>32069.5507924606</v>
      </c>
      <c r="U29" s="56" t="n">
        <f aca="false">Q29-N29+W29</f>
        <v>235480.29755888</v>
      </c>
      <c r="V29" s="53" t="n">
        <f aca="false">U29-X29</f>
        <v>214080.812191139</v>
      </c>
      <c r="W29" s="53" t="n">
        <f aca="false">V29*P$1</f>
        <v>56463.8142154128</v>
      </c>
      <c r="X29" s="53" t="n">
        <f aca="false">T29*D$1</f>
        <v>21377.7248615833</v>
      </c>
      <c r="Y29" s="53" t="n">
        <f aca="false">U29-W29</f>
        <v>179016.483343467</v>
      </c>
      <c r="Z29" s="42"/>
      <c r="AA29" s="54"/>
      <c r="AB29" s="9"/>
      <c r="AC29" s="53" t="n">
        <f aca="false">AC28*(1+'HIER Rechnung Thesaurierer '!I29)</f>
        <v>0</v>
      </c>
      <c r="AD29" s="53" t="n">
        <f aca="false">IF((M29+U29)&lt;AC29,(M29+U29)*'HIER Rechnung Ausschütter'!O$1,AC29*'HIER Rechnung Ausschütter'!O$1)</f>
        <v>0</v>
      </c>
      <c r="AE29" s="10" t="n">
        <f aca="false">'HIER Rechnung Ausschütter'!AM29-AG29</f>
        <v>-105580.699937865</v>
      </c>
      <c r="AF29" s="65" t="n">
        <f aca="false">AF28*(1+'HIER Rechnung Thesaurierer '!I28)</f>
        <v>0</v>
      </c>
      <c r="AG29" s="10" t="n">
        <f aca="false">M29+V29</f>
        <v>279011.44123842</v>
      </c>
    </row>
    <row r="30" customFormat="false" ht="14.15" hidden="false" customHeight="false" outlineLevel="0" collapsed="false">
      <c r="A30" s="9" t="n">
        <v>27</v>
      </c>
      <c r="B30" s="40" t="n">
        <f aca="false">B29*(1+E29)</f>
        <v>7.34280000000001</v>
      </c>
      <c r="C30" s="48" t="n">
        <f aca="false">C29-T29</f>
        <v>306165.294793852</v>
      </c>
      <c r="D30" s="10" t="n">
        <f aca="false">H29</f>
        <v>2248110.5266123</v>
      </c>
      <c r="E30" s="45" t="n">
        <f aca="false">'HIER Rechnung Ausschütter'!E30+'HIER Rechnung Ausschütter'!K$1</f>
        <v>0.117233208040529</v>
      </c>
      <c r="F30" s="42" t="n">
        <f aca="false">D30*(1+E30)</f>
        <v>2511663.73567674</v>
      </c>
      <c r="G30" s="107" t="n">
        <v>0.022727126367845</v>
      </c>
      <c r="H30" s="46" t="n">
        <f aca="false">C31*B31</f>
        <v>2249217.10125437</v>
      </c>
      <c r="I30" s="52" t="n">
        <f aca="false">H30/D30-1</f>
        <v>0.000492224305240319</v>
      </c>
      <c r="J30" s="52" t="n">
        <f aca="false">B31/B$4-1</f>
        <v>7.20362</v>
      </c>
      <c r="K30" s="53" t="n">
        <f aca="false">H30-'HIER Rechnung Thesaurierer '!J30</f>
        <v>926839.378040615</v>
      </c>
      <c r="L30" s="53"/>
      <c r="M30" s="53" t="n">
        <f aca="false">F30*G30</f>
        <v>57082.899114259</v>
      </c>
      <c r="N30" s="53" t="n">
        <f aca="false">M30-O30</f>
        <v>42027.2844728732</v>
      </c>
      <c r="O30" s="53" t="n">
        <f aca="false">M30*P$1-AD30</f>
        <v>15055.6146413858</v>
      </c>
      <c r="P30" s="54" t="n">
        <f aca="false">R30/H30</f>
        <v>0.107097088005386</v>
      </c>
      <c r="Q30" s="53" t="n">
        <f aca="false">Q29*(1+'HIER Rechnung Thesaurierer '!I30)</f>
        <v>240884.601836259</v>
      </c>
      <c r="R30" s="53" t="n">
        <f aca="false">N30+Y30</f>
        <v>240884.601836259</v>
      </c>
      <c r="S30" s="45"/>
      <c r="T30" s="55" t="n">
        <f aca="false">U30/B31</f>
        <v>31991.5640195884</v>
      </c>
      <c r="U30" s="56" t="n">
        <f aca="false">Q30-N30+W30</f>
        <v>262446.634422376</v>
      </c>
      <c r="V30" s="53" t="n">
        <f aca="false">U30-X30</f>
        <v>241096.93671655</v>
      </c>
      <c r="W30" s="53" t="n">
        <f aca="false">V30*P$1</f>
        <v>63589.31705899</v>
      </c>
      <c r="X30" s="53" t="n">
        <f aca="false">T30*D$1</f>
        <v>21325.764420085</v>
      </c>
      <c r="Y30" s="53" t="n">
        <f aca="false">U30-W30</f>
        <v>198857.317363386</v>
      </c>
      <c r="Z30" s="42"/>
      <c r="AA30" s="54"/>
      <c r="AB30" s="9"/>
      <c r="AC30" s="53" t="n">
        <f aca="false">AC29*(1+'HIER Rechnung Thesaurierer '!I30)</f>
        <v>0</v>
      </c>
      <c r="AD30" s="53" t="n">
        <f aca="false">IF((M30+U30)&lt;AC30,(M30+U30)*'HIER Rechnung Ausschütter'!O$1,AC30*'HIER Rechnung Ausschütter'!O$1)</f>
        <v>0</v>
      </c>
      <c r="AE30" s="10" t="n">
        <f aca="false">'HIER Rechnung Ausschütter'!AM30-AG30</f>
        <v>-119811.148764354</v>
      </c>
      <c r="AF30" s="65" t="n">
        <f aca="false">AF29*(1+'HIER Rechnung Thesaurierer '!I29)</f>
        <v>0</v>
      </c>
      <c r="AG30" s="10" t="n">
        <f aca="false">M30+V30</f>
        <v>298179.835830809</v>
      </c>
    </row>
    <row r="31" customFormat="false" ht="14.15" hidden="false" customHeight="false" outlineLevel="0" collapsed="false">
      <c r="A31" s="9" t="n">
        <v>28</v>
      </c>
      <c r="B31" s="40" t="n">
        <f aca="false">B30*(1+E30)</f>
        <v>8.20362</v>
      </c>
      <c r="C31" s="48" t="n">
        <f aca="false">C30-T30</f>
        <v>274173.730774264</v>
      </c>
      <c r="D31" s="10" t="n">
        <f aca="false">H30</f>
        <v>2249217.10125437</v>
      </c>
      <c r="E31" s="45" t="n">
        <f aca="false">'HIER Rechnung Ausschütter'!E31+'HIER Rechnung Ausschütter'!K$1</f>
        <v>0.141680136330059</v>
      </c>
      <c r="F31" s="42" t="n">
        <f aca="false">D31*(1+E31)</f>
        <v>2567886.48679598</v>
      </c>
      <c r="G31" s="107" t="n">
        <v>0.020590960383848</v>
      </c>
      <c r="H31" s="46" t="n">
        <f aca="false">C32*B32</f>
        <v>2282547.1051877</v>
      </c>
      <c r="I31" s="52" t="n">
        <f aca="false">H31/D31-1</f>
        <v>0.0148184912495741</v>
      </c>
      <c r="J31" s="52" t="n">
        <f aca="false">B32/B$4-1</f>
        <v>8.36591</v>
      </c>
      <c r="K31" s="53" t="n">
        <f aca="false">H31-'HIER Rechnung Thesaurierer '!J31</f>
        <v>1051368.00468194</v>
      </c>
      <c r="L31" s="53"/>
      <c r="M31" s="53" t="n">
        <f aca="false">F31*G31</f>
        <v>52875.2489198347</v>
      </c>
      <c r="N31" s="53" t="n">
        <f aca="false">M31-O31</f>
        <v>38929.4020172283</v>
      </c>
      <c r="O31" s="53" t="n">
        <f aca="false">M31*P$1-AD31</f>
        <v>13945.8469026064</v>
      </c>
      <c r="P31" s="54" t="n">
        <f aca="false">R31/H31</f>
        <v>0.111443106239059</v>
      </c>
      <c r="Q31" s="53" t="n">
        <f aca="false">Q30*(1+'HIER Rechnung Thesaurierer '!I31)</f>
        <v>254374.139539089</v>
      </c>
      <c r="R31" s="53" t="n">
        <f aca="false">N31+Y31</f>
        <v>254374.139539089</v>
      </c>
      <c r="S31" s="45"/>
      <c r="T31" s="55" t="n">
        <f aca="false">U31/B32</f>
        <v>30465.740286666</v>
      </c>
      <c r="U31" s="56" t="n">
        <f aca="false">Q31-N31+W31</f>
        <v>285339.381608288</v>
      </c>
      <c r="V31" s="53" t="n">
        <f aca="false">U31-X31</f>
        <v>265003.389901145</v>
      </c>
      <c r="W31" s="53" t="n">
        <f aca="false">V31*P$1</f>
        <v>69894.6440864271</v>
      </c>
      <c r="X31" s="53" t="n">
        <f aca="false">T31*D$1</f>
        <v>20308.5394816945</v>
      </c>
      <c r="Y31" s="53" t="n">
        <f aca="false">U31-W31</f>
        <v>215444.737521861</v>
      </c>
      <c r="Z31" s="42"/>
      <c r="AA31" s="54"/>
      <c r="AB31" s="9"/>
      <c r="AC31" s="53" t="n">
        <f aca="false">AC30*(1+'HIER Rechnung Thesaurierer '!I31)</f>
        <v>0</v>
      </c>
      <c r="AD31" s="53" t="n">
        <f aca="false">IF((M31+U31)&lt;AC31,(M31+U31)*'HIER Rechnung Ausschütter'!O$1,AC31*'HIER Rechnung Ausschütter'!O$1)</f>
        <v>0</v>
      </c>
      <c r="AE31" s="10" t="n">
        <f aca="false">'HIER Rechnung Ausschütter'!AM31-AG31</f>
        <v>-137058.453069037</v>
      </c>
      <c r="AF31" s="65" t="n">
        <f aca="false">AF30*(1+'HIER Rechnung Thesaurierer '!I30)</f>
        <v>0</v>
      </c>
      <c r="AG31" s="10" t="n">
        <f aca="false">M31+V31</f>
        <v>317878.63882098</v>
      </c>
    </row>
    <row r="32" customFormat="false" ht="14.15" hidden="false" customHeight="false" outlineLevel="0" collapsed="false">
      <c r="A32" s="9" t="n">
        <v>29</v>
      </c>
      <c r="B32" s="40" t="n">
        <f aca="false">B31*(1+E31)</f>
        <v>9.36591</v>
      </c>
      <c r="C32" s="48" t="n">
        <f aca="false">C31-T31</f>
        <v>243707.990487598</v>
      </c>
      <c r="D32" s="10" t="n">
        <f aca="false">H31</f>
        <v>2282547.1051877</v>
      </c>
      <c r="E32" s="45" t="n">
        <f aca="false">'HIER Rechnung Ausschütter'!E32+'HIER Rechnung Ausschütter'!K$1</f>
        <v>0.227805947313181</v>
      </c>
      <c r="F32" s="42" t="n">
        <f aca="false">D32*(1+E32)</f>
        <v>2802524.91077194</v>
      </c>
      <c r="G32" s="107" t="n">
        <v>0.020146585141558</v>
      </c>
      <c r="H32" s="46" t="n">
        <f aca="false">C33*B33</f>
        <v>2503809.34123387</v>
      </c>
      <c r="I32" s="52" t="n">
        <f aca="false">H32/D32-1</f>
        <v>0.0969365475714821</v>
      </c>
      <c r="J32" s="52" t="n">
        <f aca="false">B33/B$4-1</f>
        <v>10.49952</v>
      </c>
      <c r="K32" s="53" t="n">
        <f aca="false">H32-'HIER Rechnung Thesaurierer '!J32</f>
        <v>1285473.40854958</v>
      </c>
      <c r="L32" s="53"/>
      <c r="M32" s="53" t="n">
        <f aca="false">F32*G32</f>
        <v>56461.3067262041</v>
      </c>
      <c r="N32" s="53" t="n">
        <f aca="false">M32-O32</f>
        <v>41569.6370771678</v>
      </c>
      <c r="O32" s="53" t="n">
        <f aca="false">M32*P$1-AD32</f>
        <v>14891.6696490363</v>
      </c>
      <c r="P32" s="54" t="n">
        <f aca="false">R32/H32</f>
        <v>0.106268215225511</v>
      </c>
      <c r="Q32" s="53" t="n">
        <f aca="false">Q31*(1+'HIER Rechnung Thesaurierer '!I32)</f>
        <v>266075.349957887</v>
      </c>
      <c r="R32" s="53" t="n">
        <f aca="false">N32+Y32</f>
        <v>266075.349957887</v>
      </c>
      <c r="S32" s="45"/>
      <c r="T32" s="55" t="n">
        <f aca="false">U32/B33</f>
        <v>25976.3511466624</v>
      </c>
      <c r="U32" s="56" t="n">
        <f aca="false">Q32-N32+W32</f>
        <v>298715.569538067</v>
      </c>
      <c r="V32" s="53" t="n">
        <f aca="false">U32-X32</f>
        <v>281364.385430704</v>
      </c>
      <c r="W32" s="53" t="n">
        <f aca="false">V32*P$1</f>
        <v>74209.8566573481</v>
      </c>
      <c r="X32" s="53" t="n">
        <f aca="false">T32*D$1</f>
        <v>17315.4986300958</v>
      </c>
      <c r="Y32" s="53" t="n">
        <f aca="false">U32-W32</f>
        <v>224505.712880719</v>
      </c>
      <c r="Z32" s="42"/>
      <c r="AA32" s="54"/>
      <c r="AB32" s="9"/>
      <c r="AC32" s="53" t="n">
        <f aca="false">AC31*(1+'HIER Rechnung Thesaurierer '!I32)</f>
        <v>0</v>
      </c>
      <c r="AD32" s="53" t="n">
        <f aca="false">IF((M32+U32)&lt;AC32,(M32+U32)*'HIER Rechnung Ausschütter'!O$1,AC32*'HIER Rechnung Ausschütter'!O$1)</f>
        <v>0</v>
      </c>
      <c r="AE32" s="10" t="n">
        <f aca="false">'HIER Rechnung Ausschütter'!AM32-AG32</f>
        <v>-149080.862076905</v>
      </c>
      <c r="AF32" s="65" t="n">
        <f aca="false">AF31*(1+'HIER Rechnung Thesaurierer '!I31)</f>
        <v>0</v>
      </c>
      <c r="AG32" s="10" t="n">
        <f aca="false">M32+V32</f>
        <v>337825.692156908</v>
      </c>
    </row>
    <row r="33" customFormat="false" ht="14.15" hidden="false" customHeight="false" outlineLevel="0" collapsed="false">
      <c r="A33" s="9" t="n">
        <v>30</v>
      </c>
      <c r="B33" s="40" t="n">
        <f aca="false">B32*(1+E32)</f>
        <v>11.49952</v>
      </c>
      <c r="C33" s="48" t="n">
        <f aca="false">C32-T32</f>
        <v>217731.639340935</v>
      </c>
      <c r="D33" s="10" t="n">
        <f aca="false">H32</f>
        <v>2503809.34123387</v>
      </c>
      <c r="E33" s="45" t="n">
        <f aca="false">'HIER Rechnung Ausschütter'!E33+'HIER Rechnung Ausschütter'!K$1</f>
        <v>0.235603746939003</v>
      </c>
      <c r="F33" s="42" t="n">
        <f aca="false">D33*(1+E33)</f>
        <v>3093716.20364945</v>
      </c>
      <c r="G33" s="107" t="n">
        <v>0.017794717970258</v>
      </c>
      <c r="H33" s="46" t="n">
        <f aca="false">C34*B34</f>
        <v>2776459.60722133</v>
      </c>
      <c r="I33" s="52" t="n">
        <f aca="false">H33/D33-1</f>
        <v>0.108894180358435</v>
      </c>
      <c r="J33" s="52" t="n">
        <f aca="false">B34/B$4-1</f>
        <v>13.20885</v>
      </c>
      <c r="K33" s="53" t="n">
        <f aca="false">H33-'HIER Rechnung Thesaurierer '!J33</f>
        <v>1582914.61942007</v>
      </c>
      <c r="L33" s="53"/>
      <c r="M33" s="53" t="n">
        <f aca="false">F33*G33</f>
        <v>55051.8073239592</v>
      </c>
      <c r="N33" s="53" t="n">
        <f aca="false">M33-O33</f>
        <v>40531.893142265</v>
      </c>
      <c r="O33" s="53" t="n">
        <f aca="false">M33*P$1-AD33</f>
        <v>14519.9141816942</v>
      </c>
      <c r="P33" s="54" t="n">
        <f aca="false">R33/H33</f>
        <v>0.100145069635737</v>
      </c>
      <c r="Q33" s="53" t="n">
        <f aca="false">Q32*(1+'HIER Rechnung Thesaurierer '!I33)</f>
        <v>278048.740705992</v>
      </c>
      <c r="R33" s="53" t="n">
        <f aca="false">N33+Y33</f>
        <v>278048.740705992</v>
      </c>
      <c r="S33" s="45"/>
      <c r="T33" s="55" t="n">
        <f aca="false">U33/B34</f>
        <v>22328.0980816969</v>
      </c>
      <c r="U33" s="56" t="n">
        <f aca="false">Q33-N33+W33</f>
        <v>317256.59642812</v>
      </c>
      <c r="V33" s="53" t="n">
        <f aca="false">U33-X33</f>
        <v>302330.801381583</v>
      </c>
      <c r="W33" s="53" t="n">
        <f aca="false">V33*P$1</f>
        <v>79739.7488643926</v>
      </c>
      <c r="X33" s="53" t="n">
        <f aca="false">T33*D$1</f>
        <v>14883.4100626408</v>
      </c>
      <c r="Y33" s="53" t="n">
        <f aca="false">U33-W33</f>
        <v>237516.847563727</v>
      </c>
      <c r="Z33" s="42"/>
      <c r="AA33" s="54"/>
      <c r="AB33" s="9"/>
      <c r="AC33" s="53" t="n">
        <f aca="false">AC32*(1+'HIER Rechnung Thesaurierer '!I33)</f>
        <v>0</v>
      </c>
      <c r="AD33" s="53" t="n">
        <f aca="false">IF((M33+U33)&lt;AC33,(M33+U33)*'HIER Rechnung Ausschütter'!O$1,AC33*'HIER Rechnung Ausschütter'!O$1)</f>
        <v>0</v>
      </c>
      <c r="AE33" s="10" t="n">
        <f aca="false">'HIER Rechnung Ausschütter'!AM33-AG33</f>
        <v>-133681.369990411</v>
      </c>
      <c r="AF33" s="65" t="n">
        <f aca="false">AF32*(1+'HIER Rechnung Thesaurierer '!I32)</f>
        <v>0</v>
      </c>
      <c r="AG33" s="10" t="n">
        <f aca="false">M33+V33</f>
        <v>357382.608705543</v>
      </c>
    </row>
    <row r="34" customFormat="false" ht="13.8" hidden="false" customHeight="false" outlineLevel="0" collapsed="false">
      <c r="B34" s="40" t="n">
        <f aca="false">B33*(1+E33)</f>
        <v>14.20885</v>
      </c>
      <c r="C34" s="48" t="n">
        <f aca="false">C33-T33</f>
        <v>195403.541259238</v>
      </c>
      <c r="G34" s="45"/>
      <c r="K34" s="9"/>
      <c r="Z34" s="13"/>
    </row>
    <row r="35" customFormat="false" ht="13.8" hidden="false" customHeight="false" outlineLevel="0" collapsed="false">
      <c r="G35" s="13" t="n">
        <f aca="false">SUM(G4:G34)</f>
        <v>1.07076987612945</v>
      </c>
      <c r="K35" s="9"/>
      <c r="M35" s="10" t="n">
        <f aca="false">SUM(M4:M34)</f>
        <v>1682310.57081105</v>
      </c>
      <c r="N35" s="10" t="n">
        <f aca="false">SUM(N4:N34)</f>
        <v>1238601.15775964</v>
      </c>
      <c r="O35" s="10" t="n">
        <f aca="false">SUM(O4:O34)</f>
        <v>443709.413051415</v>
      </c>
      <c r="P35" s="22" t="n">
        <f aca="false">AVERAGE(P4:P34)</f>
        <v>0.0728448953168064</v>
      </c>
      <c r="R35" s="46" t="n">
        <f aca="false">SUM(R4:R34)</f>
        <v>3815705.21695989</v>
      </c>
      <c r="U35" s="60" t="n">
        <f aca="false">SUM(U4:U34)</f>
        <v>3307934.14426164</v>
      </c>
      <c r="Y35" s="10" t="n">
        <f aca="false">SUM(Y4:Y34)</f>
        <v>2577104.05920026</v>
      </c>
      <c r="AG35" s="10" t="n">
        <f aca="false">SUM(AG4:AG34)</f>
        <v>4453230.3245983</v>
      </c>
    </row>
    <row r="36" customFormat="false" ht="13.8" hidden="false" customHeight="false" outlineLevel="0" collapsed="false">
      <c r="B36" s="9" t="s">
        <v>72</v>
      </c>
      <c r="D36" s="13" t="n">
        <f aca="false">H33/D4-1</f>
        <v>1.77645960722133</v>
      </c>
      <c r="G36" s="13" t="n">
        <f aca="false">AVERAGE(G4:G33)</f>
        <v>0.035692329204315</v>
      </c>
      <c r="J36" s="54" t="n">
        <f aca="false">(J33+1)^(1/30)-1</f>
        <v>0.0924929195407338</v>
      </c>
      <c r="K36" s="9" t="s">
        <v>17</v>
      </c>
      <c r="L36" s="9"/>
      <c r="N36" s="10"/>
      <c r="P36" s="60"/>
      <c r="Q36" s="60"/>
      <c r="R36" s="10"/>
      <c r="S36" s="10"/>
      <c r="T36" s="10"/>
      <c r="V36" s="108"/>
      <c r="W36" s="108"/>
      <c r="Z36" s="13"/>
      <c r="AA36" s="9"/>
      <c r="AB36" s="10"/>
    </row>
    <row r="37" customFormat="false" ht="26.85" hidden="false" customHeight="false" outlineLevel="0" collapsed="false">
      <c r="B37" s="9" t="s">
        <v>73</v>
      </c>
      <c r="D37" s="13" t="n">
        <f aca="false">(H33/C4)^(1/30)-1</f>
        <v>0.0346251837079821</v>
      </c>
      <c r="F37" s="4" t="s">
        <v>113</v>
      </c>
      <c r="G37" s="10" t="n">
        <f aca="false">SUM(O4:O33)+SUM(Z4:Z33)</f>
        <v>443709.413051415</v>
      </c>
      <c r="K37" s="9"/>
      <c r="P37" s="60"/>
      <c r="Q37" s="60"/>
      <c r="R37" s="10"/>
      <c r="S37" s="10"/>
      <c r="V37" s="108"/>
      <c r="W37" s="108"/>
      <c r="AA37" s="9"/>
      <c r="AB37" s="13"/>
    </row>
    <row r="38" customFormat="false" ht="13.8" hidden="false" customHeight="false" outlineLevel="0" collapsed="false">
      <c r="K38" s="9"/>
      <c r="R38" s="10"/>
      <c r="S38" s="10"/>
      <c r="V38" s="109"/>
      <c r="W38" s="109"/>
      <c r="X38" s="110"/>
      <c r="Y38" s="110"/>
      <c r="AA38" s="9"/>
      <c r="AB38" s="111"/>
    </row>
    <row r="39" customFormat="false" ht="64.9" hidden="false" customHeight="false" outlineLevel="0" collapsed="false">
      <c r="B39" s="26" t="s">
        <v>114</v>
      </c>
      <c r="C39" s="22" t="n">
        <f aca="false">D37-'HIER Rechnung Thesaurierer '!D37</f>
        <v>0.0287101633175879</v>
      </c>
      <c r="D39" s="23" t="s">
        <v>17</v>
      </c>
      <c r="K39" s="9"/>
      <c r="P39" s="13"/>
      <c r="Q39" s="13"/>
      <c r="R39" s="112"/>
      <c r="S39" s="112"/>
      <c r="V39" s="109"/>
      <c r="W39" s="109"/>
      <c r="AA39" s="9"/>
      <c r="AB39" s="113"/>
      <c r="AD39" s="113"/>
    </row>
    <row r="40" customFormat="false" ht="64.9" hidden="false" customHeight="false" outlineLevel="0" collapsed="false">
      <c r="B40" s="26" t="s">
        <v>115</v>
      </c>
      <c r="C40" s="22" t="n">
        <f aca="false">D37-'HIER Rechnung Ausschütter'!D37</f>
        <v>0.000991047237211669</v>
      </c>
      <c r="D40" s="23" t="s">
        <v>17</v>
      </c>
      <c r="E40" s="4" t="s">
        <v>116</v>
      </c>
      <c r="F40" s="10" t="n">
        <f aca="false">H33-'HIER Rechnung Ausschütter'!I33</f>
        <v>78687.1729065576</v>
      </c>
      <c r="G40" s="9" t="s">
        <v>117</v>
      </c>
      <c r="H40" s="13" t="n">
        <f aca="false">F40/H33</f>
        <v>0.0283408311440581</v>
      </c>
      <c r="K40" s="9"/>
      <c r="R40" s="10"/>
      <c r="S40" s="10"/>
      <c r="T40" s="60"/>
      <c r="V40" s="109"/>
      <c r="W40" s="109"/>
      <c r="AA40" s="9"/>
      <c r="AB40" s="10"/>
    </row>
    <row r="41" customFormat="false" ht="13.8" hidden="false" customHeight="false" outlineLevel="0" collapsed="false">
      <c r="B41" s="14"/>
      <c r="K41" s="9"/>
      <c r="R41" s="112"/>
      <c r="S41" s="112"/>
      <c r="AA41" s="9"/>
      <c r="AB41" s="10"/>
    </row>
    <row r="42" customFormat="false" ht="17.35" hidden="false" customHeight="false" outlineLevel="0" collapsed="false">
      <c r="B42" s="63" t="s">
        <v>75</v>
      </c>
      <c r="K42" s="9"/>
      <c r="Z42" s="9"/>
    </row>
    <row r="43" customFormat="false" ht="77.6" hidden="false" customHeight="false" outlineLevel="0" collapsed="false">
      <c r="B43" s="12" t="s">
        <v>76</v>
      </c>
      <c r="C43" s="10" t="n">
        <f aca="false">(B34-D1)*C34</f>
        <v>2646190.57965003</v>
      </c>
      <c r="K43" s="9"/>
      <c r="R43" s="13"/>
      <c r="S43" s="13"/>
      <c r="Z43" s="112"/>
    </row>
    <row r="44" customFormat="false" ht="14.15" hidden="false" customHeight="false" outlineLevel="0" collapsed="false">
      <c r="B44" s="12" t="s">
        <v>77</v>
      </c>
      <c r="C44" s="10" t="n">
        <f aca="false">C43*P1</f>
        <v>697932.765382697</v>
      </c>
      <c r="K44" s="9"/>
    </row>
    <row r="45" customFormat="false" ht="52.2" hidden="false" customHeight="false" outlineLevel="0" collapsed="false">
      <c r="B45" s="12" t="s">
        <v>78</v>
      </c>
      <c r="C45" s="10" t="n">
        <f aca="false">H33-C44</f>
        <v>2078526.84183863</v>
      </c>
      <c r="G45" s="114"/>
      <c r="K45" s="9"/>
      <c r="R45" s="65"/>
      <c r="S45" s="65"/>
    </row>
    <row r="46" customFormat="false" ht="13.8" hidden="false" customHeight="false" outlineLevel="0" collapsed="false">
      <c r="B46" s="1" t="s">
        <v>73</v>
      </c>
      <c r="C46" s="13" t="n">
        <f aca="false">(C45/C4)^(1/30)-1</f>
        <v>0.0246884820597881</v>
      </c>
      <c r="D46" s="9" t="s">
        <v>17</v>
      </c>
      <c r="K46" s="9"/>
      <c r="R46" s="65"/>
      <c r="S46" s="65"/>
    </row>
    <row r="47" customFormat="false" ht="13.8" hidden="false" customHeight="false" outlineLevel="0" collapsed="false">
      <c r="B47" s="14"/>
      <c r="K47" s="9"/>
    </row>
    <row r="48" customFormat="false" ht="64.9" hidden="false" customHeight="false" outlineLevel="0" collapsed="false">
      <c r="B48" s="26" t="s">
        <v>115</v>
      </c>
      <c r="C48" s="22" t="n">
        <f aca="false">C46-'HIER Rechnung Ausschütter'!C46</f>
        <v>-0.00236888342098567</v>
      </c>
      <c r="D48" s="23" t="s">
        <v>17</v>
      </c>
      <c r="K48" s="9"/>
    </row>
    <row r="49" customFormat="false" ht="64.9" hidden="false" customHeight="false" outlineLevel="0" collapsed="false">
      <c r="B49" s="26" t="s">
        <v>114</v>
      </c>
      <c r="C49" s="22" t="n">
        <f aca="false">C46-'HIER Rechnung Thesaurierer '!C46</f>
        <v>0.0234594003592776</v>
      </c>
      <c r="D49" s="23" t="s">
        <v>17</v>
      </c>
      <c r="K49" s="9"/>
      <c r="R49" s="13"/>
      <c r="S49" s="13"/>
    </row>
    <row r="50" customFormat="false" ht="13.8" hidden="false" customHeight="false" outlineLevel="0" collapsed="false">
      <c r="B50" s="14"/>
      <c r="K50" s="9"/>
    </row>
    <row r="51" customFormat="false" ht="13.8" hidden="false" customHeight="false" outlineLevel="0" collapsed="false">
      <c r="B51" s="14"/>
      <c r="K51" s="9"/>
      <c r="R51" s="65"/>
      <c r="S51" s="65"/>
    </row>
    <row r="52" customFormat="false" ht="13.8" hidden="false" customHeight="false" outlineLevel="0" collapsed="false">
      <c r="B52" s="14"/>
      <c r="K52" s="9"/>
      <c r="R52" s="66"/>
      <c r="S52" s="66"/>
    </row>
    <row r="53" customFormat="false" ht="13.8" hidden="false" customHeight="false" outlineLevel="0" collapsed="false">
      <c r="B53" s="14"/>
      <c r="K53" s="9"/>
      <c r="R53" s="66"/>
      <c r="S53" s="66"/>
    </row>
    <row r="54" customFormat="false" ht="13.8" hidden="false" customHeight="false" outlineLevel="0" collapsed="false">
      <c r="B54" s="14"/>
      <c r="K54" s="9"/>
      <c r="R54" s="66"/>
      <c r="S54" s="66"/>
    </row>
    <row r="55" customFormat="false" ht="13.8" hidden="false" customHeight="false" outlineLevel="0" collapsed="false">
      <c r="B55" s="14"/>
      <c r="K55" s="9"/>
      <c r="R55" s="66"/>
      <c r="S55" s="66"/>
    </row>
    <row r="56" customFormat="false" ht="13.8" hidden="false" customHeight="false" outlineLevel="0" collapsed="false">
      <c r="K56" s="9"/>
    </row>
    <row r="57" customFormat="false" ht="13.8" hidden="false" customHeight="false" outlineLevel="0" collapsed="false">
      <c r="K57" s="9"/>
    </row>
    <row r="58" customFormat="false" ht="13.8" hidden="false" customHeight="false" outlineLevel="0" collapsed="false">
      <c r="K58" s="9"/>
    </row>
    <row r="59" customFormat="false" ht="13.8" hidden="false" customHeight="false" outlineLevel="0" collapsed="false">
      <c r="K59" s="9"/>
    </row>
    <row r="60" customFormat="false" ht="13.8" hidden="false" customHeight="false" outlineLevel="0" collapsed="false">
      <c r="K60" s="9"/>
    </row>
    <row r="61" customFormat="false" ht="13.8" hidden="false" customHeight="false" outlineLevel="0" collapsed="false">
      <c r="K61" s="9"/>
    </row>
    <row r="62" customFormat="false" ht="13.8" hidden="false" customHeight="false" outlineLevel="0" collapsed="false">
      <c r="K62" s="9"/>
    </row>
    <row r="63" customFormat="false" ht="13.8" hidden="false" customHeight="false" outlineLevel="0" collapsed="false">
      <c r="K63" s="9"/>
    </row>
    <row r="64" customFormat="false" ht="13.8" hidden="false" customHeight="false" outlineLevel="0" collapsed="false">
      <c r="K64" s="9"/>
    </row>
    <row r="65" customFormat="false" ht="13.8" hidden="false" customHeight="false" outlineLevel="0" collapsed="false">
      <c r="K65" s="9"/>
    </row>
    <row r="66" customFormat="false" ht="13.8" hidden="false" customHeight="false" outlineLevel="0" collapsed="false">
      <c r="K66" s="9"/>
    </row>
    <row r="67" customFormat="false" ht="13.8" hidden="false" customHeight="false" outlineLevel="0" collapsed="false">
      <c r="K67" s="9"/>
    </row>
    <row r="68" customFormat="false" ht="13.8" hidden="false" customHeight="false" outlineLevel="0" collapsed="false">
      <c r="K68" s="9"/>
    </row>
    <row r="69" customFormat="false" ht="13.8" hidden="false" customHeight="false" outlineLevel="0" collapsed="false">
      <c r="K69" s="9"/>
    </row>
    <row r="70" customFormat="false" ht="13.8" hidden="false" customHeight="false" outlineLevel="0" collapsed="false">
      <c r="K70" s="9"/>
    </row>
    <row r="71" customFormat="false" ht="13.8" hidden="false" customHeight="false" outlineLevel="0" collapsed="false">
      <c r="K71" s="9"/>
    </row>
    <row r="72" customFormat="false" ht="13.8" hidden="false" customHeight="false" outlineLevel="0" collapsed="false">
      <c r="K72" s="9"/>
    </row>
    <row r="73" customFormat="false" ht="13.8" hidden="false" customHeight="false" outlineLevel="0" collapsed="false">
      <c r="K73" s="9"/>
    </row>
    <row r="74" customFormat="false" ht="13.8" hidden="false" customHeight="false" outlineLevel="0" collapsed="false">
      <c r="K74" s="9"/>
    </row>
    <row r="75" customFormat="false" ht="13.8" hidden="false" customHeight="false" outlineLevel="0" collapsed="false">
      <c r="K75" s="9"/>
    </row>
    <row r="76" customFormat="false" ht="13.8" hidden="false" customHeight="false" outlineLevel="0" collapsed="false">
      <c r="K76" s="9"/>
    </row>
    <row r="77" customFormat="false" ht="13.8" hidden="false" customHeight="false" outlineLevel="0" collapsed="false">
      <c r="K77" s="9"/>
    </row>
    <row r="78" customFormat="false" ht="13.8" hidden="false" customHeight="false" outlineLevel="0" collapsed="false">
      <c r="K78" s="9"/>
    </row>
    <row r="79" customFormat="false" ht="13.8" hidden="false" customHeight="false" outlineLevel="0" collapsed="false">
      <c r="K79" s="9"/>
    </row>
    <row r="80" customFormat="false" ht="13.8" hidden="false" customHeight="false" outlineLevel="0" collapsed="false">
      <c r="K80" s="9"/>
    </row>
    <row r="81" customFormat="false" ht="13.8" hidden="false" customHeight="false" outlineLevel="0" collapsed="false">
      <c r="K81" s="9"/>
    </row>
    <row r="82" customFormat="false" ht="13.8" hidden="false" customHeight="false" outlineLevel="0" collapsed="false">
      <c r="K82" s="9"/>
    </row>
    <row r="83" customFormat="false" ht="13.8" hidden="false" customHeight="false" outlineLevel="0" collapsed="false">
      <c r="K83" s="9"/>
    </row>
    <row r="84" customFormat="false" ht="13.8" hidden="false" customHeight="false" outlineLevel="0" collapsed="false">
      <c r="K84" s="9"/>
    </row>
    <row r="85" customFormat="false" ht="13.8" hidden="false" customHeight="false" outlineLevel="0" collapsed="false">
      <c r="K85" s="9"/>
    </row>
    <row r="86" customFormat="false" ht="13.8" hidden="false" customHeight="false" outlineLevel="0" collapsed="false">
      <c r="K86" s="9"/>
    </row>
    <row r="87" customFormat="false" ht="13.8" hidden="false" customHeight="false" outlineLevel="0" collapsed="false">
      <c r="K87" s="9"/>
    </row>
    <row r="88" customFormat="false" ht="13.8" hidden="false" customHeight="false" outlineLevel="0" collapsed="false">
      <c r="K88" s="9"/>
    </row>
    <row r="89" customFormat="false" ht="13.8" hidden="false" customHeight="false" outlineLevel="0" collapsed="false">
      <c r="K89" s="9"/>
    </row>
    <row r="90" customFormat="false" ht="13.8" hidden="false" customHeight="false" outlineLevel="0" collapsed="false">
      <c r="K90" s="9"/>
    </row>
    <row r="91" customFormat="false" ht="13.8" hidden="false" customHeight="false" outlineLevel="0" collapsed="false">
      <c r="K91" s="9"/>
    </row>
    <row r="92" customFormat="false" ht="13.8" hidden="false" customHeight="false" outlineLevel="0" collapsed="false">
      <c r="K92" s="9"/>
    </row>
    <row r="93" customFormat="false" ht="13.8" hidden="false" customHeight="false" outlineLevel="0" collapsed="false">
      <c r="K93" s="9"/>
    </row>
    <row r="94" customFormat="false" ht="13.8" hidden="false" customHeight="false" outlineLevel="0" collapsed="false">
      <c r="K94" s="9"/>
    </row>
    <row r="95" customFormat="false" ht="13.8" hidden="false" customHeight="false" outlineLevel="0" collapsed="false">
      <c r="K95" s="9"/>
    </row>
    <row r="96" customFormat="false" ht="13.8" hidden="false" customHeight="false" outlineLevel="0" collapsed="false">
      <c r="K96" s="9"/>
    </row>
    <row r="97" customFormat="false" ht="13.8" hidden="false" customHeight="false" outlineLevel="0" collapsed="false">
      <c r="K97" s="9"/>
    </row>
    <row r="98" customFormat="false" ht="13.8" hidden="false" customHeight="false" outlineLevel="0" collapsed="false">
      <c r="K98" s="9"/>
    </row>
    <row r="99" customFormat="false" ht="13.8" hidden="false" customHeight="false" outlineLevel="0" collapsed="false">
      <c r="K99" s="9"/>
    </row>
    <row r="100" customFormat="false" ht="13.8" hidden="false" customHeight="false" outlineLevel="0" collapsed="false">
      <c r="K100" s="9"/>
    </row>
    <row r="101" customFormat="false" ht="13.8" hidden="false" customHeight="false" outlineLevel="0" collapsed="false">
      <c r="K101" s="9"/>
    </row>
    <row r="102" customFormat="false" ht="13.8" hidden="false" customHeight="false" outlineLevel="0" collapsed="false">
      <c r="K102" s="9"/>
    </row>
    <row r="103" customFormat="false" ht="13.8" hidden="false" customHeight="false" outlineLevel="0" collapsed="false">
      <c r="K103" s="9"/>
    </row>
    <row r="104" customFormat="false" ht="13.8" hidden="false" customHeight="false" outlineLevel="0" collapsed="false">
      <c r="K104" s="9"/>
    </row>
    <row r="105" customFormat="false" ht="13.8" hidden="false" customHeight="false" outlineLevel="0" collapsed="false">
      <c r="K105" s="9"/>
    </row>
    <row r="106" customFormat="false" ht="13.8" hidden="false" customHeight="false" outlineLevel="0" collapsed="false">
      <c r="K106" s="9"/>
    </row>
    <row r="107" customFormat="false" ht="13.8" hidden="false" customHeight="false" outlineLevel="0" collapsed="false">
      <c r="K107" s="9"/>
    </row>
    <row r="108" customFormat="false" ht="13.8" hidden="false" customHeight="false" outlineLevel="0" collapsed="false">
      <c r="K108" s="9"/>
    </row>
    <row r="109" customFormat="false" ht="13.8" hidden="false" customHeight="false" outlineLevel="0" collapsed="false">
      <c r="K109" s="9"/>
    </row>
    <row r="110" customFormat="false" ht="13.8" hidden="false" customHeight="false" outlineLevel="0" collapsed="false">
      <c r="K110" s="9"/>
    </row>
    <row r="111" customFormat="false" ht="13.8" hidden="false" customHeight="false" outlineLevel="0" collapsed="false">
      <c r="K111" s="9"/>
    </row>
    <row r="112" customFormat="false" ht="13.8" hidden="false" customHeight="false" outlineLevel="0" collapsed="false">
      <c r="K112" s="9"/>
    </row>
    <row r="113" customFormat="false" ht="13.8" hidden="false" customHeight="false" outlineLevel="0" collapsed="false">
      <c r="K113" s="9"/>
    </row>
    <row r="114" customFormat="false" ht="13.8" hidden="false" customHeight="false" outlineLevel="0" collapsed="false">
      <c r="K114" s="9"/>
    </row>
    <row r="115" customFormat="false" ht="13.8" hidden="false" customHeight="false" outlineLevel="0" collapsed="false">
      <c r="K115" s="9"/>
    </row>
    <row r="116" customFormat="false" ht="13.8" hidden="false" customHeight="false" outlineLevel="0" collapsed="false">
      <c r="K116" s="9"/>
    </row>
    <row r="117" customFormat="false" ht="13.8" hidden="false" customHeight="false" outlineLevel="0" collapsed="false">
      <c r="K117" s="9"/>
    </row>
    <row r="118" customFormat="false" ht="13.8" hidden="false" customHeight="false" outlineLevel="0" collapsed="false">
      <c r="K118" s="9"/>
    </row>
    <row r="119" customFormat="false" ht="13.8" hidden="false" customHeight="false" outlineLevel="0" collapsed="false">
      <c r="K119" s="9"/>
    </row>
    <row r="120" customFormat="false" ht="13.8" hidden="false" customHeight="false" outlineLevel="0" collapsed="false">
      <c r="K120" s="9"/>
    </row>
    <row r="121" customFormat="false" ht="13.8" hidden="false" customHeight="false" outlineLevel="0" collapsed="false">
      <c r="K121" s="9"/>
    </row>
    <row r="122" customFormat="false" ht="13.8" hidden="false" customHeight="false" outlineLevel="0" collapsed="false">
      <c r="K122" s="9"/>
    </row>
    <row r="123" customFormat="false" ht="13.8" hidden="false" customHeight="false" outlineLevel="0" collapsed="false">
      <c r="K123" s="9"/>
    </row>
    <row r="124" customFormat="false" ht="13.8" hidden="false" customHeight="false" outlineLevel="0" collapsed="false">
      <c r="K124" s="9"/>
    </row>
    <row r="125" customFormat="false" ht="13.8" hidden="false" customHeight="false" outlineLevel="0" collapsed="false">
      <c r="K125" s="9"/>
    </row>
    <row r="126" customFormat="false" ht="13.8" hidden="false" customHeight="false" outlineLevel="0" collapsed="false">
      <c r="K126" s="9"/>
    </row>
    <row r="127" customFormat="false" ht="13.8" hidden="false" customHeight="false" outlineLevel="0" collapsed="false">
      <c r="K127" s="9"/>
    </row>
    <row r="128" customFormat="false" ht="13.8" hidden="false" customHeight="false" outlineLevel="0" collapsed="false">
      <c r="K128" s="9"/>
    </row>
    <row r="129" customFormat="false" ht="13.8" hidden="false" customHeight="false" outlineLevel="0" collapsed="false">
      <c r="K129" s="9"/>
    </row>
    <row r="130" customFormat="false" ht="13.8" hidden="false" customHeight="false" outlineLevel="0" collapsed="false">
      <c r="K130" s="9"/>
    </row>
    <row r="131" customFormat="false" ht="13.8" hidden="false" customHeight="false" outlineLevel="0" collapsed="false">
      <c r="K131" s="9"/>
    </row>
    <row r="132" customFormat="false" ht="13.8" hidden="false" customHeight="false" outlineLevel="0" collapsed="false">
      <c r="K132" s="9"/>
    </row>
    <row r="133" customFormat="false" ht="13.8" hidden="false" customHeight="false" outlineLevel="0" collapsed="false">
      <c r="K133" s="9"/>
    </row>
    <row r="134" customFormat="false" ht="13.8" hidden="false" customHeight="false" outlineLevel="0" collapsed="false">
      <c r="K134" s="9"/>
    </row>
    <row r="135" customFormat="false" ht="13.8" hidden="false" customHeight="false" outlineLevel="0" collapsed="false">
      <c r="K135" s="9"/>
    </row>
    <row r="136" customFormat="false" ht="13.8" hidden="false" customHeight="false" outlineLevel="0" collapsed="false">
      <c r="K136" s="9"/>
    </row>
    <row r="137" customFormat="false" ht="13.8" hidden="false" customHeight="false" outlineLevel="0" collapsed="false">
      <c r="K137" s="9"/>
    </row>
    <row r="138" customFormat="false" ht="13.8" hidden="false" customHeight="false" outlineLevel="0" collapsed="false">
      <c r="K138" s="9"/>
    </row>
    <row r="139" customFormat="false" ht="13.8" hidden="false" customHeight="false" outlineLevel="0" collapsed="false">
      <c r="K139" s="9"/>
    </row>
    <row r="140" customFormat="false" ht="13.8" hidden="false" customHeight="false" outlineLevel="0" collapsed="false">
      <c r="K140" s="9"/>
    </row>
    <row r="141" customFormat="false" ht="13.8" hidden="false" customHeight="false" outlineLevel="0" collapsed="false">
      <c r="K141" s="9"/>
    </row>
    <row r="142" customFormat="false" ht="13.8" hidden="false" customHeight="false" outlineLevel="0" collapsed="false">
      <c r="K142" s="9"/>
    </row>
    <row r="143" customFormat="false" ht="13.8" hidden="false" customHeight="false" outlineLevel="0" collapsed="false">
      <c r="K143" s="9"/>
    </row>
    <row r="144" customFormat="false" ht="13.8" hidden="false" customHeight="false" outlineLevel="0" collapsed="false">
      <c r="K144" s="9"/>
    </row>
    <row r="145" customFormat="false" ht="13.8" hidden="false" customHeight="false" outlineLevel="0" collapsed="false">
      <c r="K145" s="9"/>
    </row>
    <row r="146" customFormat="false" ht="13.8" hidden="false" customHeight="false" outlineLevel="0" collapsed="false">
      <c r="K146" s="9"/>
    </row>
    <row r="147" customFormat="false" ht="13.8" hidden="false" customHeight="false" outlineLevel="0" collapsed="false">
      <c r="K147" s="9"/>
    </row>
    <row r="148" customFormat="false" ht="13.8" hidden="false" customHeight="false" outlineLevel="0" collapsed="false">
      <c r="K148" s="9"/>
    </row>
    <row r="149" customFormat="false" ht="13.8" hidden="false" customHeight="false" outlineLevel="0" collapsed="false">
      <c r="K149" s="9"/>
    </row>
    <row r="150" customFormat="false" ht="13.8" hidden="false" customHeight="false" outlineLevel="0" collapsed="false">
      <c r="K150" s="9"/>
    </row>
    <row r="151" customFormat="false" ht="13.8" hidden="false" customHeight="false" outlineLevel="0" collapsed="false">
      <c r="K151" s="9"/>
    </row>
    <row r="152" customFormat="false" ht="13.8" hidden="false" customHeight="false" outlineLevel="0" collapsed="false">
      <c r="K152" s="9"/>
    </row>
    <row r="153" customFormat="false" ht="13.8" hidden="false" customHeight="false" outlineLevel="0" collapsed="false">
      <c r="K153" s="9"/>
    </row>
    <row r="154" customFormat="false" ht="13.8" hidden="false" customHeight="false" outlineLevel="0" collapsed="false">
      <c r="K154" s="9"/>
    </row>
    <row r="155" customFormat="false" ht="13.8" hidden="false" customHeight="false" outlineLevel="0" collapsed="false">
      <c r="K155" s="9"/>
    </row>
    <row r="156" customFormat="false" ht="13.8" hidden="false" customHeight="false" outlineLevel="0" collapsed="false">
      <c r="K156" s="9"/>
    </row>
    <row r="157" customFormat="false" ht="13.8" hidden="false" customHeight="false" outlineLevel="0" collapsed="false">
      <c r="K157" s="9"/>
    </row>
    <row r="158" customFormat="false" ht="13.8" hidden="false" customHeight="false" outlineLevel="0" collapsed="false">
      <c r="K158" s="9"/>
    </row>
    <row r="159" customFormat="false" ht="13.8" hidden="false" customHeight="false" outlineLevel="0" collapsed="false">
      <c r="K159" s="9"/>
    </row>
    <row r="160" customFormat="false" ht="13.8" hidden="false" customHeight="false" outlineLevel="0" collapsed="false">
      <c r="K160" s="9"/>
    </row>
    <row r="161" customFormat="false" ht="13.8" hidden="false" customHeight="false" outlineLevel="0" collapsed="false">
      <c r="K161" s="9"/>
    </row>
    <row r="162" customFormat="false" ht="13.8" hidden="false" customHeight="false" outlineLevel="0" collapsed="false">
      <c r="K162" s="9"/>
    </row>
    <row r="163" customFormat="false" ht="13.8" hidden="false" customHeight="false" outlineLevel="0" collapsed="false">
      <c r="K163" s="9"/>
    </row>
    <row r="164" customFormat="false" ht="13.8" hidden="false" customHeight="false" outlineLevel="0" collapsed="false">
      <c r="K164" s="9"/>
    </row>
    <row r="165" customFormat="false" ht="13.8" hidden="false" customHeight="false" outlineLevel="0" collapsed="false">
      <c r="K165" s="9"/>
    </row>
    <row r="166" customFormat="false" ht="13.8" hidden="false" customHeight="false" outlineLevel="0" collapsed="false">
      <c r="K166" s="9"/>
    </row>
    <row r="167" customFormat="false" ht="13.8" hidden="false" customHeight="false" outlineLevel="0" collapsed="false">
      <c r="K167" s="9"/>
    </row>
    <row r="168" customFormat="false" ht="13.8" hidden="false" customHeight="false" outlineLevel="0" collapsed="false">
      <c r="K168" s="9"/>
    </row>
    <row r="169" customFormat="false" ht="13.8" hidden="false" customHeight="false" outlineLevel="0" collapsed="false">
      <c r="K169" s="9"/>
    </row>
    <row r="170" customFormat="false" ht="13.8" hidden="false" customHeight="false" outlineLevel="0" collapsed="false">
      <c r="K170" s="9"/>
    </row>
    <row r="171" customFormat="false" ht="13.8" hidden="false" customHeight="false" outlineLevel="0" collapsed="false">
      <c r="K171" s="9"/>
    </row>
    <row r="172" customFormat="false" ht="13.8" hidden="false" customHeight="false" outlineLevel="0" collapsed="false">
      <c r="K172" s="9"/>
    </row>
    <row r="173" customFormat="false" ht="13.8" hidden="false" customHeight="false" outlineLevel="0" collapsed="false">
      <c r="K173" s="9"/>
    </row>
    <row r="174" customFormat="false" ht="13.8" hidden="false" customHeight="false" outlineLevel="0" collapsed="false">
      <c r="K174" s="9"/>
    </row>
    <row r="175" customFormat="false" ht="13.8" hidden="false" customHeight="false" outlineLevel="0" collapsed="false">
      <c r="K175" s="9"/>
    </row>
    <row r="176" customFormat="false" ht="13.8" hidden="false" customHeight="false" outlineLevel="0" collapsed="false">
      <c r="K176" s="9"/>
    </row>
    <row r="177" customFormat="false" ht="13.8" hidden="false" customHeight="false" outlineLevel="0" collapsed="false">
      <c r="K177" s="9"/>
    </row>
    <row r="178" customFormat="false" ht="13.8" hidden="false" customHeight="false" outlineLevel="0" collapsed="false">
      <c r="K178" s="9"/>
    </row>
    <row r="179" customFormat="false" ht="13.8" hidden="false" customHeight="false" outlineLevel="0" collapsed="false">
      <c r="K179" s="9"/>
    </row>
    <row r="180" customFormat="false" ht="13.8" hidden="false" customHeight="false" outlineLevel="0" collapsed="false">
      <c r="K180" s="9"/>
    </row>
    <row r="181" customFormat="false" ht="13.8" hidden="false" customHeight="false" outlineLevel="0" collapsed="false">
      <c r="K181" s="9"/>
    </row>
    <row r="182" customFormat="false" ht="13.8" hidden="false" customHeight="false" outlineLevel="0" collapsed="false">
      <c r="K182" s="9"/>
    </row>
    <row r="183" customFormat="false" ht="13.8" hidden="false" customHeight="false" outlineLevel="0" collapsed="false">
      <c r="K183" s="9"/>
    </row>
    <row r="184" customFormat="false" ht="13.8" hidden="false" customHeight="false" outlineLevel="0" collapsed="false">
      <c r="K184" s="9"/>
    </row>
    <row r="185" customFormat="false" ht="13.8" hidden="false" customHeight="false" outlineLevel="0" collapsed="false">
      <c r="K185" s="9"/>
    </row>
    <row r="186" customFormat="false" ht="13.8" hidden="false" customHeight="false" outlineLevel="0" collapsed="false">
      <c r="K186" s="9"/>
    </row>
    <row r="187" customFormat="false" ht="13.8" hidden="false" customHeight="false" outlineLevel="0" collapsed="false">
      <c r="K187" s="9"/>
    </row>
    <row r="188" customFormat="false" ht="13.8" hidden="false" customHeight="false" outlineLevel="0" collapsed="false">
      <c r="K188" s="9"/>
    </row>
    <row r="189" customFormat="false" ht="13.8" hidden="false" customHeight="false" outlineLevel="0" collapsed="false">
      <c r="K189" s="9"/>
    </row>
    <row r="190" customFormat="false" ht="13.8" hidden="false" customHeight="false" outlineLevel="0" collapsed="false">
      <c r="K190" s="9"/>
    </row>
    <row r="191" customFormat="false" ht="13.8" hidden="false" customHeight="false" outlineLevel="0" collapsed="false">
      <c r="K191" s="9"/>
    </row>
    <row r="192" customFormat="false" ht="13.8" hidden="false" customHeight="false" outlineLevel="0" collapsed="false">
      <c r="K192" s="9"/>
    </row>
    <row r="193" customFormat="false" ht="13.8" hidden="false" customHeight="false" outlineLevel="0" collapsed="false">
      <c r="K193" s="9"/>
    </row>
    <row r="194" customFormat="false" ht="13.8" hidden="false" customHeight="false" outlineLevel="0" collapsed="false">
      <c r="K194" s="9"/>
    </row>
    <row r="195" customFormat="false" ht="13.8" hidden="false" customHeight="false" outlineLevel="0" collapsed="false">
      <c r="K195" s="9"/>
    </row>
    <row r="196" customFormat="false" ht="13.8" hidden="false" customHeight="false" outlineLevel="0" collapsed="false">
      <c r="K196" s="9"/>
    </row>
    <row r="197" customFormat="false" ht="13.8" hidden="false" customHeight="false" outlineLevel="0" collapsed="false">
      <c r="K197" s="9"/>
    </row>
    <row r="198" customFormat="false" ht="13.8" hidden="false" customHeight="false" outlineLevel="0" collapsed="false">
      <c r="K198" s="9"/>
    </row>
    <row r="199" customFormat="false" ht="13.8" hidden="false" customHeight="false" outlineLevel="0" collapsed="false">
      <c r="K199" s="9"/>
    </row>
    <row r="200" customFormat="false" ht="13.8" hidden="false" customHeight="false" outlineLevel="0" collapsed="false">
      <c r="K200" s="9"/>
    </row>
    <row r="201" customFormat="false" ht="13.8" hidden="false" customHeight="false" outlineLevel="0" collapsed="false">
      <c r="K201" s="9"/>
    </row>
    <row r="202" customFormat="false" ht="13.8" hidden="false" customHeight="false" outlineLevel="0" collapsed="false">
      <c r="K202" s="9"/>
    </row>
    <row r="203" customFormat="false" ht="13.8" hidden="false" customHeight="false" outlineLevel="0" collapsed="false">
      <c r="K203" s="9"/>
    </row>
    <row r="204" customFormat="false" ht="13.8" hidden="false" customHeight="false" outlineLevel="0" collapsed="false">
      <c r="K204" s="9"/>
    </row>
    <row r="205" customFormat="false" ht="13.8" hidden="false" customHeight="false" outlineLevel="0" collapsed="false">
      <c r="K205" s="9"/>
    </row>
    <row r="206" customFormat="false" ht="13.8" hidden="false" customHeight="false" outlineLevel="0" collapsed="false">
      <c r="K206" s="9"/>
    </row>
    <row r="207" customFormat="false" ht="13.8" hidden="false" customHeight="false" outlineLevel="0" collapsed="false">
      <c r="K207" s="9"/>
    </row>
    <row r="208" customFormat="false" ht="13.8" hidden="false" customHeight="false" outlineLevel="0" collapsed="false">
      <c r="K208" s="9"/>
    </row>
    <row r="209" customFormat="false" ht="13.8" hidden="false" customHeight="false" outlineLevel="0" collapsed="false">
      <c r="K209" s="9"/>
    </row>
    <row r="210" customFormat="false" ht="13.8" hidden="false" customHeight="false" outlineLevel="0" collapsed="false">
      <c r="K210" s="9"/>
    </row>
    <row r="211" customFormat="false" ht="13.8" hidden="false" customHeight="false" outlineLevel="0" collapsed="false">
      <c r="K211" s="9"/>
    </row>
    <row r="212" customFormat="false" ht="13.8" hidden="false" customHeight="false" outlineLevel="0" collapsed="false">
      <c r="K212" s="9"/>
    </row>
    <row r="213" customFormat="false" ht="13.8" hidden="false" customHeight="false" outlineLevel="0" collapsed="false">
      <c r="K213" s="9"/>
    </row>
    <row r="214" customFormat="false" ht="13.8" hidden="false" customHeight="false" outlineLevel="0" collapsed="false">
      <c r="K214" s="9"/>
    </row>
    <row r="215" customFormat="false" ht="13.8" hidden="false" customHeight="false" outlineLevel="0" collapsed="false">
      <c r="K215" s="9"/>
    </row>
    <row r="216" customFormat="false" ht="13.8" hidden="false" customHeight="false" outlineLevel="0" collapsed="false">
      <c r="K216" s="9"/>
    </row>
    <row r="217" customFormat="false" ht="13.8" hidden="false" customHeight="false" outlineLevel="0" collapsed="false">
      <c r="K217" s="9"/>
    </row>
    <row r="218" customFormat="false" ht="13.8" hidden="false" customHeight="false" outlineLevel="0" collapsed="false">
      <c r="K218" s="9"/>
    </row>
    <row r="219" customFormat="false" ht="13.8" hidden="false" customHeight="false" outlineLevel="0" collapsed="false">
      <c r="K219" s="9"/>
    </row>
    <row r="220" customFormat="false" ht="13.8" hidden="false" customHeight="false" outlineLevel="0" collapsed="false">
      <c r="K220" s="9"/>
    </row>
    <row r="221" customFormat="false" ht="13.8" hidden="false" customHeight="false" outlineLevel="0" collapsed="false">
      <c r="K221" s="9"/>
    </row>
    <row r="222" customFormat="false" ht="13.8" hidden="false" customHeight="false" outlineLevel="0" collapsed="false">
      <c r="K222" s="9"/>
    </row>
    <row r="223" customFormat="false" ht="13.8" hidden="false" customHeight="false" outlineLevel="0" collapsed="false">
      <c r="K223" s="9"/>
    </row>
    <row r="224" customFormat="false" ht="13.8" hidden="false" customHeight="false" outlineLevel="0" collapsed="false">
      <c r="K224" s="9"/>
    </row>
    <row r="225" customFormat="false" ht="13.8" hidden="false" customHeight="false" outlineLevel="0" collapsed="false">
      <c r="K225" s="9"/>
    </row>
    <row r="226" customFormat="false" ht="13.8" hidden="false" customHeight="false" outlineLevel="0" collapsed="false">
      <c r="K226" s="9"/>
    </row>
    <row r="227" customFormat="false" ht="13.8" hidden="false" customHeight="false" outlineLevel="0" collapsed="false">
      <c r="K227" s="9"/>
    </row>
    <row r="228" customFormat="false" ht="13.8" hidden="false" customHeight="false" outlineLevel="0" collapsed="false">
      <c r="K228" s="9"/>
    </row>
    <row r="229" customFormat="false" ht="13.8" hidden="false" customHeight="false" outlineLevel="0" collapsed="false">
      <c r="K229" s="9"/>
    </row>
    <row r="230" customFormat="false" ht="13.8" hidden="false" customHeight="false" outlineLevel="0" collapsed="false">
      <c r="K230" s="9"/>
    </row>
    <row r="231" customFormat="false" ht="13.8" hidden="false" customHeight="false" outlineLevel="0" collapsed="false">
      <c r="K231" s="9"/>
    </row>
    <row r="232" customFormat="false" ht="13.8" hidden="false" customHeight="false" outlineLevel="0" collapsed="false">
      <c r="K232" s="9"/>
    </row>
    <row r="233" customFormat="false" ht="13.8" hidden="false" customHeight="false" outlineLevel="0" collapsed="false">
      <c r="K233" s="9"/>
    </row>
    <row r="234" customFormat="false" ht="13.8" hidden="false" customHeight="false" outlineLevel="0" collapsed="false">
      <c r="K234" s="9"/>
    </row>
    <row r="235" customFormat="false" ht="13.8" hidden="false" customHeight="false" outlineLevel="0" collapsed="false">
      <c r="K235" s="9"/>
    </row>
    <row r="236" customFormat="false" ht="13.8" hidden="false" customHeight="false" outlineLevel="0" collapsed="false">
      <c r="K236" s="9"/>
    </row>
    <row r="237" customFormat="false" ht="13.8" hidden="false" customHeight="false" outlineLevel="0" collapsed="false">
      <c r="K237" s="9"/>
    </row>
    <row r="238" customFormat="false" ht="13.8" hidden="false" customHeight="false" outlineLevel="0" collapsed="false">
      <c r="K238" s="9"/>
    </row>
    <row r="239" customFormat="false" ht="13.8" hidden="false" customHeight="false" outlineLevel="0" collapsed="false">
      <c r="K239" s="9"/>
    </row>
    <row r="240" customFormat="false" ht="13.8" hidden="false" customHeight="false" outlineLevel="0" collapsed="false">
      <c r="K240" s="9"/>
    </row>
    <row r="241" customFormat="false" ht="13.8" hidden="false" customHeight="false" outlineLevel="0" collapsed="false">
      <c r="K241" s="9"/>
    </row>
    <row r="242" customFormat="false" ht="13.8" hidden="false" customHeight="false" outlineLevel="0" collapsed="false">
      <c r="K242" s="9"/>
    </row>
    <row r="243" customFormat="false" ht="13.8" hidden="false" customHeight="false" outlineLevel="0" collapsed="false">
      <c r="K243" s="9"/>
    </row>
    <row r="244" customFormat="false" ht="13.8" hidden="false" customHeight="false" outlineLevel="0" collapsed="false">
      <c r="K244" s="9"/>
    </row>
    <row r="245" customFormat="false" ht="13.8" hidden="false" customHeight="false" outlineLevel="0" collapsed="false">
      <c r="K245" s="9"/>
    </row>
    <row r="246" customFormat="false" ht="13.8" hidden="false" customHeight="false" outlineLevel="0" collapsed="false">
      <c r="K246" s="9"/>
    </row>
    <row r="247" customFormat="false" ht="13.8" hidden="false" customHeight="false" outlineLevel="0" collapsed="false">
      <c r="K247" s="9"/>
    </row>
    <row r="248" customFormat="false" ht="13.8" hidden="false" customHeight="false" outlineLevel="0" collapsed="false">
      <c r="K248" s="9"/>
    </row>
    <row r="249" customFormat="false" ht="13.8" hidden="false" customHeight="false" outlineLevel="0" collapsed="false">
      <c r="K249" s="9"/>
    </row>
    <row r="250" customFormat="false" ht="13.8" hidden="false" customHeight="false" outlineLevel="0" collapsed="false">
      <c r="K250" s="9"/>
    </row>
    <row r="251" customFormat="false" ht="13.8" hidden="false" customHeight="false" outlineLevel="0" collapsed="false">
      <c r="K251" s="9"/>
    </row>
    <row r="252" customFormat="false" ht="13.8" hidden="false" customHeight="false" outlineLevel="0" collapsed="false">
      <c r="K252" s="9"/>
    </row>
    <row r="253" customFormat="false" ht="13.8" hidden="false" customHeight="false" outlineLevel="0" collapsed="false">
      <c r="K253" s="9"/>
    </row>
    <row r="254" customFormat="false" ht="13.8" hidden="false" customHeight="false" outlineLevel="0" collapsed="false">
      <c r="K254" s="9"/>
    </row>
    <row r="255" customFormat="false" ht="13.8" hidden="false" customHeight="false" outlineLevel="0" collapsed="false">
      <c r="K255" s="9"/>
    </row>
    <row r="256" customFormat="false" ht="13.8" hidden="false" customHeight="false" outlineLevel="0" collapsed="false">
      <c r="K256" s="9"/>
    </row>
    <row r="257" customFormat="false" ht="13.8" hidden="false" customHeight="false" outlineLevel="0" collapsed="false">
      <c r="K257" s="9"/>
    </row>
    <row r="258" customFormat="false" ht="13.8" hidden="false" customHeight="false" outlineLevel="0" collapsed="false">
      <c r="K258" s="9"/>
    </row>
    <row r="259" customFormat="false" ht="13.8" hidden="false" customHeight="false" outlineLevel="0" collapsed="false">
      <c r="K259" s="9"/>
    </row>
    <row r="260" customFormat="false" ht="13.8" hidden="false" customHeight="false" outlineLevel="0" collapsed="false">
      <c r="K260" s="9"/>
    </row>
    <row r="261" customFormat="false" ht="13.8" hidden="false" customHeight="false" outlineLevel="0" collapsed="false">
      <c r="K261" s="9"/>
    </row>
    <row r="262" customFormat="false" ht="13.8" hidden="false" customHeight="false" outlineLevel="0" collapsed="false">
      <c r="K262" s="9"/>
    </row>
    <row r="263" customFormat="false" ht="13.8" hidden="false" customHeight="false" outlineLevel="0" collapsed="false">
      <c r="K263" s="9"/>
    </row>
    <row r="264" customFormat="false" ht="13.8" hidden="false" customHeight="false" outlineLevel="0" collapsed="false">
      <c r="K264" s="9"/>
    </row>
    <row r="265" customFormat="false" ht="13.8" hidden="false" customHeight="false" outlineLevel="0" collapsed="false">
      <c r="K265" s="9"/>
    </row>
    <row r="266" customFormat="false" ht="13.8" hidden="false" customHeight="false" outlineLevel="0" collapsed="false">
      <c r="K266" s="9"/>
    </row>
    <row r="267" customFormat="false" ht="13.8" hidden="false" customHeight="false" outlineLevel="0" collapsed="false">
      <c r="K267" s="9"/>
    </row>
    <row r="268" customFormat="false" ht="13.8" hidden="false" customHeight="false" outlineLevel="0" collapsed="false">
      <c r="K268" s="9"/>
    </row>
    <row r="269" customFormat="false" ht="13.8" hidden="false" customHeight="false" outlineLevel="0" collapsed="false">
      <c r="K269" s="9"/>
    </row>
    <row r="270" customFormat="false" ht="13.8" hidden="false" customHeight="false" outlineLevel="0" collapsed="false">
      <c r="K270" s="9"/>
    </row>
    <row r="271" customFormat="false" ht="13.8" hidden="false" customHeight="false" outlineLevel="0" collapsed="false">
      <c r="K271" s="9"/>
    </row>
    <row r="272" customFormat="false" ht="13.8" hidden="false" customHeight="false" outlineLevel="0" collapsed="false">
      <c r="K272" s="9"/>
    </row>
    <row r="273" customFormat="false" ht="13.8" hidden="false" customHeight="false" outlineLevel="0" collapsed="false">
      <c r="K273" s="9"/>
    </row>
    <row r="274" customFormat="false" ht="13.8" hidden="false" customHeight="false" outlineLevel="0" collapsed="false">
      <c r="K274" s="9"/>
    </row>
    <row r="275" customFormat="false" ht="13.8" hidden="false" customHeight="false" outlineLevel="0" collapsed="false">
      <c r="K275" s="9"/>
    </row>
    <row r="276" customFormat="false" ht="13.8" hidden="false" customHeight="false" outlineLevel="0" collapsed="false">
      <c r="K276" s="9"/>
    </row>
    <row r="277" customFormat="false" ht="13.8" hidden="false" customHeight="false" outlineLevel="0" collapsed="false">
      <c r="K277" s="9"/>
    </row>
    <row r="278" customFormat="false" ht="13.8" hidden="false" customHeight="false" outlineLevel="0" collapsed="false">
      <c r="K278" s="9"/>
    </row>
    <row r="279" customFormat="false" ht="13.8" hidden="false" customHeight="false" outlineLevel="0" collapsed="false">
      <c r="K279" s="9"/>
    </row>
    <row r="280" customFormat="false" ht="13.8" hidden="false" customHeight="false" outlineLevel="0" collapsed="false">
      <c r="K280" s="9"/>
    </row>
    <row r="281" customFormat="false" ht="13.8" hidden="false" customHeight="false" outlineLevel="0" collapsed="false">
      <c r="K281" s="9"/>
    </row>
    <row r="282" customFormat="false" ht="13.8" hidden="false" customHeight="false" outlineLevel="0" collapsed="false">
      <c r="K282" s="9"/>
    </row>
    <row r="283" customFormat="false" ht="13.8" hidden="false" customHeight="false" outlineLevel="0" collapsed="false">
      <c r="K283" s="9"/>
    </row>
    <row r="284" customFormat="false" ht="13.8" hidden="false" customHeight="false" outlineLevel="0" collapsed="false">
      <c r="K284" s="9"/>
    </row>
    <row r="285" customFormat="false" ht="13.8" hidden="false" customHeight="false" outlineLevel="0" collapsed="false">
      <c r="K285" s="9"/>
    </row>
    <row r="286" customFormat="false" ht="13.8" hidden="false" customHeight="false" outlineLevel="0" collapsed="false">
      <c r="K286" s="9"/>
    </row>
    <row r="287" customFormat="false" ht="13.8" hidden="false" customHeight="false" outlineLevel="0" collapsed="false">
      <c r="K287" s="9"/>
    </row>
    <row r="288" customFormat="false" ht="13.8" hidden="false" customHeight="false" outlineLevel="0" collapsed="false">
      <c r="K288" s="9"/>
    </row>
    <row r="289" customFormat="false" ht="13.8" hidden="false" customHeight="false" outlineLevel="0" collapsed="false">
      <c r="K289" s="9"/>
    </row>
    <row r="290" customFormat="false" ht="13.8" hidden="false" customHeight="false" outlineLevel="0" collapsed="false">
      <c r="K290" s="9"/>
    </row>
    <row r="291" customFormat="false" ht="13.8" hidden="false" customHeight="false" outlineLevel="0" collapsed="false">
      <c r="K291" s="9"/>
    </row>
    <row r="292" customFormat="false" ht="13.8" hidden="false" customHeight="false" outlineLevel="0" collapsed="false">
      <c r="K292" s="9"/>
    </row>
    <row r="293" customFormat="false" ht="13.8" hidden="false" customHeight="false" outlineLevel="0" collapsed="false">
      <c r="K293" s="9"/>
    </row>
    <row r="294" customFormat="false" ht="13.8" hidden="false" customHeight="false" outlineLevel="0" collapsed="false">
      <c r="K294" s="9"/>
    </row>
    <row r="295" customFormat="false" ht="13.8" hidden="false" customHeight="false" outlineLevel="0" collapsed="false">
      <c r="K295" s="9"/>
    </row>
    <row r="296" customFormat="false" ht="13.8" hidden="false" customHeight="false" outlineLevel="0" collapsed="false">
      <c r="K296" s="9"/>
    </row>
    <row r="297" customFormat="false" ht="13.8" hidden="false" customHeight="false" outlineLevel="0" collapsed="false">
      <c r="K297" s="9"/>
    </row>
    <row r="298" customFormat="false" ht="13.8" hidden="false" customHeight="false" outlineLevel="0" collapsed="false">
      <c r="K298" s="9"/>
    </row>
    <row r="299" customFormat="false" ht="13.8" hidden="false" customHeight="false" outlineLevel="0" collapsed="false">
      <c r="K299" s="9"/>
    </row>
    <row r="300" customFormat="false" ht="13.8" hidden="false" customHeight="false" outlineLevel="0" collapsed="false">
      <c r="K300" s="9"/>
    </row>
    <row r="301" customFormat="false" ht="13.8" hidden="false" customHeight="false" outlineLevel="0" collapsed="false">
      <c r="K301" s="9"/>
    </row>
    <row r="302" customFormat="false" ht="13.8" hidden="false" customHeight="false" outlineLevel="0" collapsed="false">
      <c r="K302" s="9"/>
    </row>
    <row r="303" customFormat="false" ht="13.8" hidden="false" customHeight="false" outlineLevel="0" collapsed="false">
      <c r="K303" s="9"/>
    </row>
    <row r="304" customFormat="false" ht="13.8" hidden="false" customHeight="false" outlineLevel="0" collapsed="false">
      <c r="K304" s="9"/>
    </row>
    <row r="305" customFormat="false" ht="13.8" hidden="false" customHeight="false" outlineLevel="0" collapsed="false">
      <c r="K305" s="9"/>
    </row>
    <row r="306" customFormat="false" ht="13.8" hidden="false" customHeight="false" outlineLevel="0" collapsed="false">
      <c r="K306" s="9"/>
    </row>
    <row r="307" customFormat="false" ht="13.8" hidden="false" customHeight="false" outlineLevel="0" collapsed="false">
      <c r="K307" s="9"/>
    </row>
    <row r="308" customFormat="false" ht="13.8" hidden="false" customHeight="false" outlineLevel="0" collapsed="false">
      <c r="K308" s="9"/>
    </row>
    <row r="309" customFormat="false" ht="13.8" hidden="false" customHeight="false" outlineLevel="0" collapsed="false">
      <c r="K309" s="9"/>
    </row>
    <row r="310" customFormat="false" ht="13.8" hidden="false" customHeight="false" outlineLevel="0" collapsed="false">
      <c r="K310" s="9"/>
    </row>
    <row r="311" customFormat="false" ht="13.8" hidden="false" customHeight="false" outlineLevel="0" collapsed="false">
      <c r="K311" s="9"/>
    </row>
    <row r="312" customFormat="false" ht="13.8" hidden="false" customHeight="false" outlineLevel="0" collapsed="false">
      <c r="K312" s="9"/>
    </row>
    <row r="313" customFormat="false" ht="13.8" hidden="false" customHeight="false" outlineLevel="0" collapsed="false">
      <c r="K313" s="9"/>
    </row>
    <row r="314" customFormat="false" ht="13.8" hidden="false" customHeight="false" outlineLevel="0" collapsed="false">
      <c r="K314" s="9"/>
    </row>
    <row r="315" customFormat="false" ht="13.8" hidden="false" customHeight="false" outlineLevel="0" collapsed="false">
      <c r="K315" s="9"/>
    </row>
    <row r="316" customFormat="false" ht="13.8" hidden="false" customHeight="false" outlineLevel="0" collapsed="false">
      <c r="K316" s="9"/>
    </row>
    <row r="317" customFormat="false" ht="13.8" hidden="false" customHeight="false" outlineLevel="0" collapsed="false">
      <c r="K317" s="9"/>
    </row>
    <row r="318" customFormat="false" ht="13.8" hidden="false" customHeight="false" outlineLevel="0" collapsed="false">
      <c r="K318" s="9"/>
    </row>
    <row r="319" customFormat="false" ht="13.8" hidden="false" customHeight="false" outlineLevel="0" collapsed="false">
      <c r="K319" s="9"/>
    </row>
    <row r="320" customFormat="false" ht="13.8" hidden="false" customHeight="false" outlineLevel="0" collapsed="false">
      <c r="K320" s="9"/>
    </row>
    <row r="321" customFormat="false" ht="13.8" hidden="false" customHeight="false" outlineLevel="0" collapsed="false">
      <c r="K321" s="9"/>
    </row>
    <row r="322" customFormat="false" ht="13.8" hidden="false" customHeight="false" outlineLevel="0" collapsed="false">
      <c r="K322" s="9"/>
    </row>
    <row r="323" customFormat="false" ht="13.8" hidden="false" customHeight="false" outlineLevel="0" collapsed="false">
      <c r="K323" s="9"/>
    </row>
    <row r="324" customFormat="false" ht="13.8" hidden="false" customHeight="false" outlineLevel="0" collapsed="false">
      <c r="K324" s="9"/>
    </row>
    <row r="325" customFormat="false" ht="13.8" hidden="false" customHeight="false" outlineLevel="0" collapsed="false">
      <c r="K325" s="9"/>
    </row>
    <row r="326" customFormat="false" ht="13.8" hidden="false" customHeight="false" outlineLevel="0" collapsed="false">
      <c r="K326" s="9"/>
    </row>
    <row r="327" customFormat="false" ht="13.8" hidden="false" customHeight="false" outlineLevel="0" collapsed="false">
      <c r="K327" s="9"/>
    </row>
    <row r="328" customFormat="false" ht="13.8" hidden="false" customHeight="false" outlineLevel="0" collapsed="false">
      <c r="K328" s="9"/>
    </row>
    <row r="329" customFormat="false" ht="13.8" hidden="false" customHeight="false" outlineLevel="0" collapsed="false">
      <c r="K329" s="9"/>
    </row>
    <row r="330" customFormat="false" ht="13.8" hidden="false" customHeight="false" outlineLevel="0" collapsed="false">
      <c r="K330" s="9"/>
    </row>
    <row r="331" customFormat="false" ht="13.8" hidden="false" customHeight="false" outlineLevel="0" collapsed="false">
      <c r="K331" s="9"/>
    </row>
    <row r="332" customFormat="false" ht="13.8" hidden="false" customHeight="false" outlineLevel="0" collapsed="false">
      <c r="K332" s="9"/>
    </row>
    <row r="333" customFormat="false" ht="13.8" hidden="false" customHeight="false" outlineLevel="0" collapsed="false">
      <c r="K333" s="9"/>
    </row>
    <row r="334" customFormat="false" ht="13.8" hidden="false" customHeight="false" outlineLevel="0" collapsed="false">
      <c r="K334" s="9"/>
    </row>
    <row r="335" customFormat="false" ht="13.8" hidden="false" customHeight="false" outlineLevel="0" collapsed="false">
      <c r="K335" s="9"/>
    </row>
    <row r="336" customFormat="false" ht="13.8" hidden="false" customHeight="false" outlineLevel="0" collapsed="false">
      <c r="K336" s="9"/>
    </row>
    <row r="337" customFormat="false" ht="13.8" hidden="false" customHeight="false" outlineLevel="0" collapsed="false">
      <c r="K337" s="9"/>
    </row>
    <row r="338" customFormat="false" ht="13.8" hidden="false" customHeight="false" outlineLevel="0" collapsed="false">
      <c r="K338" s="9"/>
    </row>
    <row r="339" customFormat="false" ht="13.8" hidden="false" customHeight="false" outlineLevel="0" collapsed="false">
      <c r="K339" s="9"/>
    </row>
    <row r="340" customFormat="false" ht="13.8" hidden="false" customHeight="false" outlineLevel="0" collapsed="false">
      <c r="K340" s="9"/>
    </row>
    <row r="341" customFormat="false" ht="13.8" hidden="false" customHeight="false" outlineLevel="0" collapsed="false">
      <c r="K341" s="9"/>
    </row>
    <row r="342" customFormat="false" ht="13.8" hidden="false" customHeight="false" outlineLevel="0" collapsed="false">
      <c r="K342" s="9"/>
    </row>
    <row r="343" customFormat="false" ht="13.8" hidden="false" customHeight="false" outlineLevel="0" collapsed="false">
      <c r="K343" s="9"/>
    </row>
    <row r="344" customFormat="false" ht="13.8" hidden="false" customHeight="false" outlineLevel="0" collapsed="false">
      <c r="K344" s="9"/>
    </row>
    <row r="345" customFormat="false" ht="13.8" hidden="false" customHeight="false" outlineLevel="0" collapsed="false">
      <c r="K345" s="9"/>
    </row>
    <row r="346" customFormat="false" ht="13.8" hidden="false" customHeight="false" outlineLevel="0" collapsed="false">
      <c r="K346" s="9"/>
    </row>
    <row r="347" customFormat="false" ht="13.8" hidden="false" customHeight="false" outlineLevel="0" collapsed="false">
      <c r="K347" s="9"/>
    </row>
    <row r="348" customFormat="false" ht="13.8" hidden="false" customHeight="false" outlineLevel="0" collapsed="false">
      <c r="K348" s="9"/>
    </row>
    <row r="349" customFormat="false" ht="13.8" hidden="false" customHeight="false" outlineLevel="0" collapsed="false">
      <c r="K349" s="9"/>
    </row>
    <row r="350" customFormat="false" ht="13.8" hidden="false" customHeight="false" outlineLevel="0" collapsed="false">
      <c r="K350" s="9"/>
    </row>
    <row r="351" customFormat="false" ht="13.8" hidden="false" customHeight="false" outlineLevel="0" collapsed="false">
      <c r="K351" s="9"/>
    </row>
    <row r="352" customFormat="false" ht="13.8" hidden="false" customHeight="false" outlineLevel="0" collapsed="false">
      <c r="K352" s="9"/>
    </row>
    <row r="353" customFormat="false" ht="13.8" hidden="false" customHeight="false" outlineLevel="0" collapsed="false">
      <c r="K353" s="9"/>
    </row>
    <row r="354" customFormat="false" ht="13.8" hidden="false" customHeight="false" outlineLevel="0" collapsed="false">
      <c r="K354" s="9"/>
    </row>
    <row r="355" customFormat="false" ht="13.8" hidden="false" customHeight="false" outlineLevel="0" collapsed="false">
      <c r="K355" s="9"/>
    </row>
    <row r="356" customFormat="false" ht="13.8" hidden="false" customHeight="false" outlineLevel="0" collapsed="false">
      <c r="K356" s="9"/>
    </row>
    <row r="357" customFormat="false" ht="13.8" hidden="false" customHeight="false" outlineLevel="0" collapsed="false">
      <c r="K357" s="9"/>
    </row>
    <row r="358" customFormat="false" ht="13.8" hidden="false" customHeight="false" outlineLevel="0" collapsed="false">
      <c r="K358" s="9"/>
    </row>
    <row r="359" customFormat="false" ht="13.8" hidden="false" customHeight="false" outlineLevel="0" collapsed="false">
      <c r="K359" s="9"/>
    </row>
    <row r="360" customFormat="false" ht="13.8" hidden="false" customHeight="false" outlineLevel="0" collapsed="false">
      <c r="K360" s="9"/>
    </row>
    <row r="361" customFormat="false" ht="13.8" hidden="false" customHeight="false" outlineLevel="0" collapsed="false">
      <c r="K361" s="9"/>
    </row>
    <row r="362" customFormat="false" ht="13.8" hidden="false" customHeight="false" outlineLevel="0" collapsed="false">
      <c r="K362" s="9"/>
    </row>
    <row r="363" customFormat="false" ht="13.8" hidden="false" customHeight="false" outlineLevel="0" collapsed="false">
      <c r="K363" s="9"/>
    </row>
    <row r="364" customFormat="false" ht="13.8" hidden="false" customHeight="false" outlineLevel="0" collapsed="false">
      <c r="K364" s="9"/>
    </row>
    <row r="365" customFormat="false" ht="13.8" hidden="false" customHeight="false" outlineLevel="0" collapsed="false">
      <c r="K365" s="9"/>
    </row>
    <row r="366" customFormat="false" ht="13.8" hidden="false" customHeight="false" outlineLevel="0" collapsed="false">
      <c r="K366" s="9"/>
    </row>
    <row r="367" customFormat="false" ht="13.8" hidden="false" customHeight="false" outlineLevel="0" collapsed="false">
      <c r="K367" s="9"/>
    </row>
    <row r="368" customFormat="false" ht="13.8" hidden="false" customHeight="false" outlineLevel="0" collapsed="false">
      <c r="K368" s="9"/>
    </row>
    <row r="369" customFormat="false" ht="13.8" hidden="false" customHeight="false" outlineLevel="0" collapsed="false">
      <c r="K369" s="9"/>
    </row>
    <row r="370" customFormat="false" ht="13.8" hidden="false" customHeight="false" outlineLevel="0" collapsed="false">
      <c r="K370" s="9"/>
    </row>
    <row r="371" customFormat="false" ht="13.8" hidden="false" customHeight="false" outlineLevel="0" collapsed="false">
      <c r="K371" s="9"/>
    </row>
    <row r="372" customFormat="false" ht="13.8" hidden="false" customHeight="false" outlineLevel="0" collapsed="false">
      <c r="K372" s="9"/>
    </row>
    <row r="373" customFormat="false" ht="13.8" hidden="false" customHeight="false" outlineLevel="0" collapsed="false">
      <c r="K373" s="9"/>
    </row>
    <row r="374" customFormat="false" ht="13.8" hidden="false" customHeight="false" outlineLevel="0" collapsed="false">
      <c r="K374" s="9"/>
    </row>
    <row r="375" customFormat="false" ht="13.8" hidden="false" customHeight="false" outlineLevel="0" collapsed="false">
      <c r="K375" s="9"/>
    </row>
    <row r="376" customFormat="false" ht="13.8" hidden="false" customHeight="false" outlineLevel="0" collapsed="false">
      <c r="K376" s="9"/>
    </row>
    <row r="377" customFormat="false" ht="13.8" hidden="false" customHeight="false" outlineLevel="0" collapsed="false">
      <c r="K377" s="9"/>
    </row>
    <row r="378" customFormat="false" ht="13.8" hidden="false" customHeight="false" outlineLevel="0" collapsed="false">
      <c r="K378" s="9"/>
    </row>
    <row r="379" customFormat="false" ht="13.8" hidden="false" customHeight="false" outlineLevel="0" collapsed="false">
      <c r="K379" s="9"/>
    </row>
    <row r="380" customFormat="false" ht="13.8" hidden="false" customHeight="false" outlineLevel="0" collapsed="false">
      <c r="K380" s="9"/>
    </row>
    <row r="381" customFormat="false" ht="13.8" hidden="false" customHeight="false" outlineLevel="0" collapsed="false">
      <c r="K381" s="9"/>
    </row>
    <row r="382" customFormat="false" ht="13.8" hidden="false" customHeight="false" outlineLevel="0" collapsed="false">
      <c r="K382" s="9"/>
    </row>
    <row r="383" customFormat="false" ht="13.8" hidden="false" customHeight="false" outlineLevel="0" collapsed="false">
      <c r="K383" s="9"/>
    </row>
    <row r="384" customFormat="false" ht="13.8" hidden="false" customHeight="false" outlineLevel="0" collapsed="false">
      <c r="K384" s="9"/>
    </row>
    <row r="385" customFormat="false" ht="13.8" hidden="false" customHeight="false" outlineLevel="0" collapsed="false">
      <c r="K385" s="9"/>
    </row>
    <row r="386" customFormat="false" ht="13.8" hidden="false" customHeight="false" outlineLevel="0" collapsed="false">
      <c r="K386" s="9"/>
    </row>
    <row r="387" customFormat="false" ht="13.8" hidden="false" customHeight="false" outlineLevel="0" collapsed="false">
      <c r="K387" s="9"/>
    </row>
    <row r="388" customFormat="false" ht="13.8" hidden="false" customHeight="false" outlineLevel="0" collapsed="false">
      <c r="K388" s="9"/>
    </row>
    <row r="389" customFormat="false" ht="13.8" hidden="false" customHeight="false" outlineLevel="0" collapsed="false">
      <c r="K389" s="9"/>
    </row>
    <row r="390" customFormat="false" ht="13.8" hidden="false" customHeight="false" outlineLevel="0" collapsed="false">
      <c r="K390" s="9"/>
    </row>
    <row r="391" customFormat="false" ht="13.8" hidden="false" customHeight="false" outlineLevel="0" collapsed="false">
      <c r="K391" s="9"/>
    </row>
    <row r="392" customFormat="false" ht="13.8" hidden="false" customHeight="false" outlineLevel="0" collapsed="false">
      <c r="K392" s="9"/>
    </row>
    <row r="393" customFormat="false" ht="13.8" hidden="false" customHeight="false" outlineLevel="0" collapsed="false">
      <c r="K393" s="9"/>
    </row>
    <row r="394" customFormat="false" ht="13.8" hidden="false" customHeight="false" outlineLevel="0" collapsed="false">
      <c r="K394" s="9"/>
    </row>
    <row r="395" customFormat="false" ht="13.8" hidden="false" customHeight="false" outlineLevel="0" collapsed="false">
      <c r="K395" s="9"/>
    </row>
    <row r="396" customFormat="false" ht="13.8" hidden="false" customHeight="false" outlineLevel="0" collapsed="false">
      <c r="K396" s="9"/>
    </row>
    <row r="397" customFormat="false" ht="13.8" hidden="false" customHeight="false" outlineLevel="0" collapsed="false">
      <c r="K397" s="9"/>
    </row>
    <row r="398" customFormat="false" ht="13.8" hidden="false" customHeight="false" outlineLevel="0" collapsed="false">
      <c r="K398" s="9"/>
    </row>
    <row r="399" customFormat="false" ht="13.8" hidden="false" customHeight="false" outlineLevel="0" collapsed="false">
      <c r="K399" s="9"/>
    </row>
    <row r="400" customFormat="false" ht="13.8" hidden="false" customHeight="false" outlineLevel="0" collapsed="false">
      <c r="K400" s="9"/>
    </row>
    <row r="401" customFormat="false" ht="13.8" hidden="false" customHeight="false" outlineLevel="0" collapsed="false">
      <c r="K401" s="9"/>
    </row>
    <row r="402" customFormat="false" ht="13.8" hidden="false" customHeight="false" outlineLevel="0" collapsed="false">
      <c r="K402" s="9"/>
    </row>
    <row r="403" customFormat="false" ht="13.8" hidden="false" customHeight="false" outlineLevel="0" collapsed="false">
      <c r="K403" s="9"/>
    </row>
    <row r="404" customFormat="false" ht="13.8" hidden="false" customHeight="false" outlineLevel="0" collapsed="false">
      <c r="K404" s="9"/>
    </row>
    <row r="405" customFormat="false" ht="13.8" hidden="false" customHeight="false" outlineLevel="0" collapsed="false">
      <c r="K405" s="9"/>
    </row>
    <row r="406" customFormat="false" ht="13.8" hidden="false" customHeight="false" outlineLevel="0" collapsed="false">
      <c r="K406" s="9"/>
    </row>
    <row r="407" customFormat="false" ht="13.8" hidden="false" customHeight="false" outlineLevel="0" collapsed="false">
      <c r="K407" s="9"/>
    </row>
    <row r="408" customFormat="false" ht="13.8" hidden="false" customHeight="false" outlineLevel="0" collapsed="false">
      <c r="K408" s="9"/>
    </row>
    <row r="409" customFormat="false" ht="13.8" hidden="false" customHeight="false" outlineLevel="0" collapsed="false">
      <c r="K409" s="9"/>
    </row>
    <row r="410" customFormat="false" ht="13.8" hidden="false" customHeight="false" outlineLevel="0" collapsed="false">
      <c r="K410" s="9"/>
    </row>
    <row r="411" customFormat="false" ht="13.8" hidden="false" customHeight="false" outlineLevel="0" collapsed="false">
      <c r="K411" s="9"/>
    </row>
    <row r="412" customFormat="false" ht="13.8" hidden="false" customHeight="false" outlineLevel="0" collapsed="false">
      <c r="K412" s="9"/>
    </row>
    <row r="413" customFormat="false" ht="13.8" hidden="false" customHeight="false" outlineLevel="0" collapsed="false">
      <c r="K413" s="9"/>
    </row>
    <row r="414" customFormat="false" ht="13.8" hidden="false" customHeight="false" outlineLevel="0" collapsed="false">
      <c r="K414" s="9"/>
    </row>
    <row r="415" customFormat="false" ht="13.8" hidden="false" customHeight="false" outlineLevel="0" collapsed="false">
      <c r="K415" s="9"/>
    </row>
    <row r="416" customFormat="false" ht="13.8" hidden="false" customHeight="false" outlineLevel="0" collapsed="false">
      <c r="K416" s="9"/>
    </row>
    <row r="417" customFormat="false" ht="13.8" hidden="false" customHeight="false" outlineLevel="0" collapsed="false">
      <c r="K417" s="9"/>
    </row>
    <row r="418" customFormat="false" ht="13.8" hidden="false" customHeight="false" outlineLevel="0" collapsed="false">
      <c r="K418" s="9"/>
    </row>
    <row r="419" customFormat="false" ht="13.8" hidden="false" customHeight="false" outlineLevel="0" collapsed="false">
      <c r="K419" s="9"/>
    </row>
    <row r="420" customFormat="false" ht="13.8" hidden="false" customHeight="false" outlineLevel="0" collapsed="false">
      <c r="K420" s="9"/>
    </row>
    <row r="421" customFormat="false" ht="13.8" hidden="false" customHeight="false" outlineLevel="0" collapsed="false">
      <c r="K421" s="9"/>
    </row>
    <row r="422" customFormat="false" ht="13.8" hidden="false" customHeight="false" outlineLevel="0" collapsed="false">
      <c r="K422" s="9"/>
    </row>
    <row r="423" customFormat="false" ht="13.8" hidden="false" customHeight="false" outlineLevel="0" collapsed="false">
      <c r="K423" s="9"/>
    </row>
    <row r="424" customFormat="false" ht="13.8" hidden="false" customHeight="false" outlineLevel="0" collapsed="false">
      <c r="K424" s="9"/>
    </row>
    <row r="425" customFormat="false" ht="13.8" hidden="false" customHeight="false" outlineLevel="0" collapsed="false">
      <c r="K425" s="9"/>
    </row>
    <row r="426" customFormat="false" ht="13.8" hidden="false" customHeight="false" outlineLevel="0" collapsed="false">
      <c r="K426" s="9"/>
    </row>
    <row r="427" customFormat="false" ht="13.8" hidden="false" customHeight="false" outlineLevel="0" collapsed="false">
      <c r="K427" s="9"/>
    </row>
    <row r="428" customFormat="false" ht="13.8" hidden="false" customHeight="false" outlineLevel="0" collapsed="false">
      <c r="K428" s="9"/>
    </row>
    <row r="429" customFormat="false" ht="13.8" hidden="false" customHeight="false" outlineLevel="0" collapsed="false">
      <c r="K429" s="9"/>
    </row>
    <row r="430" customFormat="false" ht="13.8" hidden="false" customHeight="false" outlineLevel="0" collapsed="false">
      <c r="K430" s="9"/>
    </row>
    <row r="431" customFormat="false" ht="13.8" hidden="false" customHeight="false" outlineLevel="0" collapsed="false">
      <c r="K431" s="9"/>
    </row>
    <row r="432" customFormat="false" ht="13.8" hidden="false" customHeight="false" outlineLevel="0" collapsed="false">
      <c r="K432" s="9"/>
    </row>
    <row r="433" customFormat="false" ht="13.8" hidden="false" customHeight="false" outlineLevel="0" collapsed="false">
      <c r="K433" s="9"/>
    </row>
    <row r="434" customFormat="false" ht="13.8" hidden="false" customHeight="false" outlineLevel="0" collapsed="false">
      <c r="K434" s="9"/>
    </row>
    <row r="435" customFormat="false" ht="13.8" hidden="false" customHeight="false" outlineLevel="0" collapsed="false">
      <c r="K435" s="9"/>
    </row>
    <row r="436" customFormat="false" ht="13.8" hidden="false" customHeight="false" outlineLevel="0" collapsed="false">
      <c r="K436" s="9"/>
    </row>
    <row r="437" customFormat="false" ht="13.8" hidden="false" customHeight="false" outlineLevel="0" collapsed="false">
      <c r="K437" s="9"/>
    </row>
    <row r="438" customFormat="false" ht="13.8" hidden="false" customHeight="false" outlineLevel="0" collapsed="false">
      <c r="K438" s="9"/>
    </row>
    <row r="439" customFormat="false" ht="13.8" hidden="false" customHeight="false" outlineLevel="0" collapsed="false">
      <c r="K439" s="9"/>
    </row>
    <row r="440" customFormat="false" ht="13.8" hidden="false" customHeight="false" outlineLevel="0" collapsed="false">
      <c r="K440" s="9"/>
    </row>
    <row r="441" customFormat="false" ht="13.8" hidden="false" customHeight="false" outlineLevel="0" collapsed="false">
      <c r="K441" s="9"/>
    </row>
    <row r="442" customFormat="false" ht="13.8" hidden="false" customHeight="false" outlineLevel="0" collapsed="false">
      <c r="K442" s="9"/>
    </row>
    <row r="443" customFormat="false" ht="13.8" hidden="false" customHeight="false" outlineLevel="0" collapsed="false">
      <c r="K443" s="9"/>
    </row>
    <row r="444" customFormat="false" ht="13.8" hidden="false" customHeight="false" outlineLevel="0" collapsed="false">
      <c r="K444" s="9"/>
    </row>
    <row r="445" customFormat="false" ht="13.8" hidden="false" customHeight="false" outlineLevel="0" collapsed="false">
      <c r="K445" s="9"/>
    </row>
    <row r="446" customFormat="false" ht="13.8" hidden="false" customHeight="false" outlineLevel="0" collapsed="false">
      <c r="K446" s="9"/>
    </row>
    <row r="447" customFormat="false" ht="13.8" hidden="false" customHeight="false" outlineLevel="0" collapsed="false">
      <c r="K447" s="9"/>
    </row>
    <row r="448" customFormat="false" ht="13.8" hidden="false" customHeight="false" outlineLevel="0" collapsed="false">
      <c r="K448" s="9"/>
    </row>
    <row r="449" customFormat="false" ht="13.8" hidden="false" customHeight="false" outlineLevel="0" collapsed="false">
      <c r="K449" s="9"/>
    </row>
    <row r="450" customFormat="false" ht="13.8" hidden="false" customHeight="false" outlineLevel="0" collapsed="false">
      <c r="K450" s="9"/>
    </row>
    <row r="451" customFormat="false" ht="13.8" hidden="false" customHeight="false" outlineLevel="0" collapsed="false">
      <c r="K451" s="9"/>
    </row>
    <row r="452" customFormat="false" ht="13.8" hidden="false" customHeight="false" outlineLevel="0" collapsed="false">
      <c r="K452" s="9"/>
    </row>
    <row r="453" customFormat="false" ht="13.8" hidden="false" customHeight="false" outlineLevel="0" collapsed="false">
      <c r="K453" s="9"/>
    </row>
    <row r="454" customFormat="false" ht="13.8" hidden="false" customHeight="false" outlineLevel="0" collapsed="false">
      <c r="K454" s="9"/>
    </row>
    <row r="455" customFormat="false" ht="13.8" hidden="false" customHeight="false" outlineLevel="0" collapsed="false">
      <c r="K455" s="9"/>
    </row>
    <row r="456" customFormat="false" ht="13.8" hidden="false" customHeight="false" outlineLevel="0" collapsed="false">
      <c r="K456" s="9"/>
    </row>
    <row r="457" customFormat="false" ht="13.8" hidden="false" customHeight="false" outlineLevel="0" collapsed="false">
      <c r="K457" s="9"/>
    </row>
    <row r="458" customFormat="false" ht="13.8" hidden="false" customHeight="false" outlineLevel="0" collapsed="false">
      <c r="K458" s="9"/>
    </row>
    <row r="459" customFormat="false" ht="13.8" hidden="false" customHeight="false" outlineLevel="0" collapsed="false">
      <c r="K459" s="9"/>
    </row>
    <row r="460" customFormat="false" ht="13.8" hidden="false" customHeight="false" outlineLevel="0" collapsed="false">
      <c r="K460" s="9"/>
    </row>
    <row r="461" customFormat="false" ht="13.8" hidden="false" customHeight="false" outlineLevel="0" collapsed="false">
      <c r="K461" s="9"/>
    </row>
    <row r="462" customFormat="false" ht="13.8" hidden="false" customHeight="false" outlineLevel="0" collapsed="false">
      <c r="K462" s="9"/>
    </row>
    <row r="463" customFormat="false" ht="13.8" hidden="false" customHeight="false" outlineLevel="0" collapsed="false">
      <c r="K463" s="9"/>
    </row>
    <row r="464" customFormat="false" ht="13.8" hidden="false" customHeight="false" outlineLevel="0" collapsed="false">
      <c r="K464" s="9"/>
    </row>
    <row r="465" customFormat="false" ht="13.8" hidden="false" customHeight="false" outlineLevel="0" collapsed="false">
      <c r="K465" s="9"/>
    </row>
    <row r="466" customFormat="false" ht="13.8" hidden="false" customHeight="false" outlineLevel="0" collapsed="false">
      <c r="K466" s="9"/>
    </row>
    <row r="467" customFormat="false" ht="13.8" hidden="false" customHeight="false" outlineLevel="0" collapsed="false">
      <c r="K467" s="9"/>
    </row>
    <row r="468" customFormat="false" ht="13.8" hidden="false" customHeight="false" outlineLevel="0" collapsed="false">
      <c r="K468" s="9"/>
    </row>
    <row r="469" customFormat="false" ht="13.8" hidden="false" customHeight="false" outlineLevel="0" collapsed="false">
      <c r="K469" s="9"/>
    </row>
    <row r="470" customFormat="false" ht="13.8" hidden="false" customHeight="false" outlineLevel="0" collapsed="false">
      <c r="K470" s="9"/>
    </row>
    <row r="471" customFormat="false" ht="13.8" hidden="false" customHeight="false" outlineLevel="0" collapsed="false">
      <c r="K471" s="9"/>
    </row>
    <row r="472" customFormat="false" ht="13.8" hidden="false" customHeight="false" outlineLevel="0" collapsed="false">
      <c r="K472" s="9"/>
    </row>
    <row r="473" customFormat="false" ht="13.8" hidden="false" customHeight="false" outlineLevel="0" collapsed="false">
      <c r="K473" s="9"/>
    </row>
    <row r="474" customFormat="false" ht="13.8" hidden="false" customHeight="false" outlineLevel="0" collapsed="false">
      <c r="K474" s="9"/>
    </row>
    <row r="475" customFormat="false" ht="13.8" hidden="false" customHeight="false" outlineLevel="0" collapsed="false">
      <c r="K475" s="9"/>
    </row>
    <row r="476" customFormat="false" ht="13.8" hidden="false" customHeight="false" outlineLevel="0" collapsed="false">
      <c r="K476" s="9"/>
    </row>
    <row r="477" customFormat="false" ht="13.8" hidden="false" customHeight="false" outlineLevel="0" collapsed="false">
      <c r="K477" s="9"/>
    </row>
    <row r="478" customFormat="false" ht="13.8" hidden="false" customHeight="false" outlineLevel="0" collapsed="false">
      <c r="K478" s="9"/>
    </row>
    <row r="479" customFormat="false" ht="13.8" hidden="false" customHeight="false" outlineLevel="0" collapsed="false">
      <c r="K479" s="9"/>
    </row>
    <row r="480" customFormat="false" ht="13.8" hidden="false" customHeight="false" outlineLevel="0" collapsed="false">
      <c r="K480" s="9"/>
    </row>
    <row r="481" customFormat="false" ht="13.8" hidden="false" customHeight="false" outlineLevel="0" collapsed="false">
      <c r="K481" s="9"/>
    </row>
    <row r="482" customFormat="false" ht="13.8" hidden="false" customHeight="false" outlineLevel="0" collapsed="false">
      <c r="K482" s="9"/>
    </row>
    <row r="483" customFormat="false" ht="13.8" hidden="false" customHeight="false" outlineLevel="0" collapsed="false">
      <c r="K483" s="9"/>
    </row>
    <row r="484" customFormat="false" ht="13.8" hidden="false" customHeight="false" outlineLevel="0" collapsed="false">
      <c r="K484" s="9"/>
    </row>
    <row r="485" customFormat="false" ht="13.8" hidden="false" customHeight="false" outlineLevel="0" collapsed="false">
      <c r="K485" s="9"/>
    </row>
    <row r="486" customFormat="false" ht="13.8" hidden="false" customHeight="false" outlineLevel="0" collapsed="false">
      <c r="K486" s="9"/>
    </row>
    <row r="487" customFormat="false" ht="13.8" hidden="false" customHeight="false" outlineLevel="0" collapsed="false">
      <c r="K487" s="9"/>
    </row>
    <row r="488" customFormat="false" ht="13.8" hidden="false" customHeight="false" outlineLevel="0" collapsed="false">
      <c r="K488" s="9"/>
    </row>
    <row r="489" customFormat="false" ht="13.8" hidden="false" customHeight="false" outlineLevel="0" collapsed="false">
      <c r="K489" s="9"/>
    </row>
    <row r="490" customFormat="false" ht="13.8" hidden="false" customHeight="false" outlineLevel="0" collapsed="false">
      <c r="K490" s="9"/>
    </row>
    <row r="491" customFormat="false" ht="13.8" hidden="false" customHeight="false" outlineLevel="0" collapsed="false">
      <c r="K491" s="9"/>
    </row>
    <row r="492" customFormat="false" ht="13.8" hidden="false" customHeight="false" outlineLevel="0" collapsed="false">
      <c r="K492" s="9"/>
    </row>
    <row r="493" customFormat="false" ht="13.8" hidden="false" customHeight="false" outlineLevel="0" collapsed="false">
      <c r="K493" s="9"/>
    </row>
    <row r="494" customFormat="false" ht="13.8" hidden="false" customHeight="false" outlineLevel="0" collapsed="false">
      <c r="K494" s="9"/>
    </row>
    <row r="495" customFormat="false" ht="13.8" hidden="false" customHeight="false" outlineLevel="0" collapsed="false">
      <c r="K495" s="9"/>
    </row>
    <row r="496" customFormat="false" ht="13.8" hidden="false" customHeight="false" outlineLevel="0" collapsed="false">
      <c r="K496" s="9"/>
    </row>
    <row r="497" customFormat="false" ht="13.8" hidden="false" customHeight="false" outlineLevel="0" collapsed="false">
      <c r="K497" s="9"/>
    </row>
    <row r="498" customFormat="false" ht="13.8" hidden="false" customHeight="false" outlineLevel="0" collapsed="false">
      <c r="K498" s="9"/>
    </row>
    <row r="499" customFormat="false" ht="13.8" hidden="false" customHeight="false" outlineLevel="0" collapsed="false">
      <c r="K499" s="9"/>
    </row>
    <row r="500" customFormat="false" ht="13.8" hidden="false" customHeight="false" outlineLevel="0" collapsed="false">
      <c r="K500" s="9"/>
    </row>
    <row r="501" customFormat="false" ht="13.8" hidden="false" customHeight="false" outlineLevel="0" collapsed="false">
      <c r="K501" s="9"/>
    </row>
    <row r="502" customFormat="false" ht="13.8" hidden="false" customHeight="false" outlineLevel="0" collapsed="false">
      <c r="K502" s="9"/>
    </row>
    <row r="503" customFormat="false" ht="13.8" hidden="false" customHeight="false" outlineLevel="0" collapsed="false">
      <c r="K503" s="9"/>
    </row>
    <row r="504" customFormat="false" ht="13.8" hidden="false" customHeight="false" outlineLevel="0" collapsed="false">
      <c r="K504" s="9"/>
    </row>
    <row r="505" customFormat="false" ht="13.8" hidden="false" customHeight="false" outlineLevel="0" collapsed="false">
      <c r="K505" s="9"/>
    </row>
    <row r="506" customFormat="false" ht="13.8" hidden="false" customHeight="false" outlineLevel="0" collapsed="false">
      <c r="K506" s="9"/>
    </row>
    <row r="507" customFormat="false" ht="13.8" hidden="false" customHeight="false" outlineLevel="0" collapsed="false">
      <c r="K507" s="9"/>
    </row>
    <row r="508" customFormat="false" ht="13.8" hidden="false" customHeight="false" outlineLevel="0" collapsed="false">
      <c r="K508" s="9"/>
    </row>
    <row r="509" customFormat="false" ht="13.8" hidden="false" customHeight="false" outlineLevel="0" collapsed="false">
      <c r="K509" s="9"/>
    </row>
    <row r="510" customFormat="false" ht="13.8" hidden="false" customHeight="false" outlineLevel="0" collapsed="false">
      <c r="K510" s="9"/>
    </row>
    <row r="511" customFormat="false" ht="13.8" hidden="false" customHeight="false" outlineLevel="0" collapsed="false">
      <c r="K511" s="9"/>
    </row>
    <row r="512" customFormat="false" ht="13.8" hidden="false" customHeight="false" outlineLevel="0" collapsed="false">
      <c r="K512" s="9"/>
    </row>
    <row r="513" customFormat="false" ht="13.8" hidden="false" customHeight="false" outlineLevel="0" collapsed="false">
      <c r="K513" s="9"/>
    </row>
    <row r="514" customFormat="false" ht="13.8" hidden="false" customHeight="false" outlineLevel="0" collapsed="false">
      <c r="K514" s="9"/>
    </row>
    <row r="515" customFormat="false" ht="13.8" hidden="false" customHeight="false" outlineLevel="0" collapsed="false">
      <c r="K515" s="9"/>
    </row>
    <row r="516" customFormat="false" ht="13.8" hidden="false" customHeight="false" outlineLevel="0" collapsed="false">
      <c r="K516" s="9"/>
    </row>
    <row r="517" customFormat="false" ht="13.8" hidden="false" customHeight="false" outlineLevel="0" collapsed="false">
      <c r="K517" s="9"/>
    </row>
    <row r="518" customFormat="false" ht="13.8" hidden="false" customHeight="false" outlineLevel="0" collapsed="false">
      <c r="K518" s="9"/>
    </row>
    <row r="519" customFormat="false" ht="13.8" hidden="false" customHeight="false" outlineLevel="0" collapsed="false">
      <c r="K519" s="9"/>
    </row>
    <row r="520" customFormat="false" ht="13.8" hidden="false" customHeight="false" outlineLevel="0" collapsed="false">
      <c r="K520" s="9"/>
    </row>
    <row r="521" customFormat="false" ht="13.8" hidden="false" customHeight="false" outlineLevel="0" collapsed="false">
      <c r="K521" s="9"/>
    </row>
    <row r="522" customFormat="false" ht="13.8" hidden="false" customHeight="false" outlineLevel="0" collapsed="false">
      <c r="K522" s="9"/>
    </row>
    <row r="523" customFormat="false" ht="13.8" hidden="false" customHeight="false" outlineLevel="0" collapsed="false">
      <c r="K523" s="9"/>
    </row>
    <row r="524" customFormat="false" ht="13.8" hidden="false" customHeight="false" outlineLevel="0" collapsed="false">
      <c r="K524" s="9"/>
    </row>
    <row r="525" customFormat="false" ht="13.8" hidden="false" customHeight="false" outlineLevel="0" collapsed="false">
      <c r="K525" s="9"/>
    </row>
    <row r="526" customFormat="false" ht="13.8" hidden="false" customHeight="false" outlineLevel="0" collapsed="false">
      <c r="K526" s="9"/>
    </row>
    <row r="527" customFormat="false" ht="13.8" hidden="false" customHeight="false" outlineLevel="0" collapsed="false">
      <c r="K527" s="9"/>
    </row>
    <row r="528" customFormat="false" ht="13.8" hidden="false" customHeight="false" outlineLevel="0" collapsed="false">
      <c r="K528" s="9"/>
    </row>
    <row r="529" customFormat="false" ht="13.8" hidden="false" customHeight="false" outlineLevel="0" collapsed="false">
      <c r="K529" s="9"/>
    </row>
    <row r="530" customFormat="false" ht="13.8" hidden="false" customHeight="false" outlineLevel="0" collapsed="false">
      <c r="K530" s="9"/>
    </row>
    <row r="531" customFormat="false" ht="13.8" hidden="false" customHeight="false" outlineLevel="0" collapsed="false">
      <c r="K531" s="9"/>
    </row>
    <row r="532" customFormat="false" ht="13.8" hidden="false" customHeight="false" outlineLevel="0" collapsed="false">
      <c r="K532" s="9"/>
    </row>
    <row r="533" customFormat="false" ht="13.8" hidden="false" customHeight="false" outlineLevel="0" collapsed="false">
      <c r="K533" s="9"/>
    </row>
    <row r="534" customFormat="false" ht="13.8" hidden="false" customHeight="false" outlineLevel="0" collapsed="false">
      <c r="K534" s="9"/>
    </row>
    <row r="535" customFormat="false" ht="13.8" hidden="false" customHeight="false" outlineLevel="0" collapsed="false">
      <c r="K535" s="9"/>
    </row>
    <row r="536" customFormat="false" ht="13.8" hidden="false" customHeight="false" outlineLevel="0" collapsed="false">
      <c r="K536" s="9"/>
    </row>
    <row r="537" customFormat="false" ht="13.8" hidden="false" customHeight="false" outlineLevel="0" collapsed="false">
      <c r="K537" s="9"/>
    </row>
    <row r="538" customFormat="false" ht="13.8" hidden="false" customHeight="false" outlineLevel="0" collapsed="false">
      <c r="K538" s="9"/>
    </row>
    <row r="539" customFormat="false" ht="13.8" hidden="false" customHeight="false" outlineLevel="0" collapsed="false">
      <c r="K539" s="9"/>
    </row>
    <row r="540" customFormat="false" ht="13.8" hidden="false" customHeight="false" outlineLevel="0" collapsed="false">
      <c r="K540" s="9"/>
    </row>
    <row r="541" customFormat="false" ht="13.8" hidden="false" customHeight="false" outlineLevel="0" collapsed="false">
      <c r="K541" s="9"/>
    </row>
    <row r="542" customFormat="false" ht="13.8" hidden="false" customHeight="false" outlineLevel="0" collapsed="false">
      <c r="K542" s="9"/>
    </row>
    <row r="543" customFormat="false" ht="13.8" hidden="false" customHeight="false" outlineLevel="0" collapsed="false">
      <c r="K543" s="9"/>
    </row>
    <row r="544" customFormat="false" ht="13.8" hidden="false" customHeight="false" outlineLevel="0" collapsed="false">
      <c r="K544" s="9"/>
    </row>
    <row r="545" customFormat="false" ht="13.8" hidden="false" customHeight="false" outlineLevel="0" collapsed="false">
      <c r="K545" s="9"/>
    </row>
    <row r="546" customFormat="false" ht="13.8" hidden="false" customHeight="false" outlineLevel="0" collapsed="false">
      <c r="K546" s="9"/>
    </row>
    <row r="547" customFormat="false" ht="13.8" hidden="false" customHeight="false" outlineLevel="0" collapsed="false">
      <c r="K547" s="9"/>
    </row>
    <row r="548" customFormat="false" ht="13.8" hidden="false" customHeight="false" outlineLevel="0" collapsed="false">
      <c r="K548" s="9"/>
    </row>
    <row r="549" customFormat="false" ht="13.8" hidden="false" customHeight="false" outlineLevel="0" collapsed="false">
      <c r="K549" s="9"/>
    </row>
    <row r="550" customFormat="false" ht="13.8" hidden="false" customHeight="false" outlineLevel="0" collapsed="false">
      <c r="K550" s="9"/>
    </row>
    <row r="551" customFormat="false" ht="13.8" hidden="false" customHeight="false" outlineLevel="0" collapsed="false">
      <c r="K551" s="9"/>
    </row>
    <row r="552" customFormat="false" ht="13.8" hidden="false" customHeight="false" outlineLevel="0" collapsed="false">
      <c r="K552" s="9"/>
    </row>
    <row r="553" customFormat="false" ht="13.8" hidden="false" customHeight="false" outlineLevel="0" collapsed="false">
      <c r="K553" s="9"/>
    </row>
    <row r="554" customFormat="false" ht="13.8" hidden="false" customHeight="false" outlineLevel="0" collapsed="false">
      <c r="K554" s="9"/>
    </row>
    <row r="555" customFormat="false" ht="13.8" hidden="false" customHeight="false" outlineLevel="0" collapsed="false">
      <c r="K555" s="9"/>
    </row>
    <row r="556" customFormat="false" ht="13.8" hidden="false" customHeight="false" outlineLevel="0" collapsed="false">
      <c r="K556" s="9"/>
    </row>
    <row r="557" customFormat="false" ht="13.8" hidden="false" customHeight="false" outlineLevel="0" collapsed="false">
      <c r="K557" s="9"/>
    </row>
    <row r="558" customFormat="false" ht="13.8" hidden="false" customHeight="false" outlineLevel="0" collapsed="false">
      <c r="K558" s="9"/>
    </row>
    <row r="559" customFormat="false" ht="13.8" hidden="false" customHeight="false" outlineLevel="0" collapsed="false">
      <c r="K559" s="9"/>
    </row>
    <row r="560" customFormat="false" ht="13.8" hidden="false" customHeight="false" outlineLevel="0" collapsed="false">
      <c r="K560" s="9"/>
    </row>
    <row r="561" customFormat="false" ht="13.8" hidden="false" customHeight="false" outlineLevel="0" collapsed="false">
      <c r="K561" s="9"/>
    </row>
    <row r="562" customFormat="false" ht="13.8" hidden="false" customHeight="false" outlineLevel="0" collapsed="false">
      <c r="K562" s="9"/>
    </row>
    <row r="563" customFormat="false" ht="13.8" hidden="false" customHeight="false" outlineLevel="0" collapsed="false">
      <c r="K563" s="9"/>
    </row>
    <row r="564" customFormat="false" ht="13.8" hidden="false" customHeight="false" outlineLevel="0" collapsed="false">
      <c r="K564" s="9"/>
    </row>
    <row r="565" customFormat="false" ht="13.8" hidden="false" customHeight="false" outlineLevel="0" collapsed="false">
      <c r="K565" s="9"/>
    </row>
    <row r="566" customFormat="false" ht="13.8" hidden="false" customHeight="false" outlineLevel="0" collapsed="false">
      <c r="K566" s="9"/>
    </row>
    <row r="567" customFormat="false" ht="13.8" hidden="false" customHeight="false" outlineLevel="0" collapsed="false">
      <c r="K567" s="9"/>
    </row>
    <row r="568" customFormat="false" ht="13.8" hidden="false" customHeight="false" outlineLevel="0" collapsed="false">
      <c r="K568" s="9"/>
    </row>
    <row r="569" customFormat="false" ht="13.8" hidden="false" customHeight="false" outlineLevel="0" collapsed="false">
      <c r="K569" s="9"/>
    </row>
    <row r="570" customFormat="false" ht="13.8" hidden="false" customHeight="false" outlineLevel="0" collapsed="false">
      <c r="K570" s="9"/>
    </row>
    <row r="571" customFormat="false" ht="13.8" hidden="false" customHeight="false" outlineLevel="0" collapsed="false">
      <c r="K571" s="9"/>
    </row>
    <row r="572" customFormat="false" ht="13.8" hidden="false" customHeight="false" outlineLevel="0" collapsed="false">
      <c r="K572" s="9"/>
    </row>
    <row r="573" customFormat="false" ht="13.8" hidden="false" customHeight="false" outlineLevel="0" collapsed="false">
      <c r="K573" s="9"/>
    </row>
    <row r="574" customFormat="false" ht="13.8" hidden="false" customHeight="false" outlineLevel="0" collapsed="false">
      <c r="K574" s="9"/>
    </row>
    <row r="575" customFormat="false" ht="13.8" hidden="false" customHeight="false" outlineLevel="0" collapsed="false">
      <c r="K575" s="9"/>
    </row>
    <row r="576" customFormat="false" ht="13.8" hidden="false" customHeight="false" outlineLevel="0" collapsed="false">
      <c r="K576" s="9"/>
    </row>
    <row r="577" customFormat="false" ht="13.8" hidden="false" customHeight="false" outlineLevel="0" collapsed="false">
      <c r="K577" s="9"/>
    </row>
    <row r="578" customFormat="false" ht="13.8" hidden="false" customHeight="false" outlineLevel="0" collapsed="false">
      <c r="K578" s="9"/>
    </row>
    <row r="579" customFormat="false" ht="13.8" hidden="false" customHeight="false" outlineLevel="0" collapsed="false">
      <c r="K579" s="9"/>
    </row>
    <row r="580" customFormat="false" ht="13.8" hidden="false" customHeight="false" outlineLevel="0" collapsed="false">
      <c r="K580" s="9"/>
    </row>
    <row r="581" customFormat="false" ht="13.8" hidden="false" customHeight="false" outlineLevel="0" collapsed="false">
      <c r="K581" s="9"/>
    </row>
    <row r="582" customFormat="false" ht="13.8" hidden="false" customHeight="false" outlineLevel="0" collapsed="false">
      <c r="K582" s="9"/>
    </row>
    <row r="583" customFormat="false" ht="13.8" hidden="false" customHeight="false" outlineLevel="0" collapsed="false">
      <c r="K583" s="9"/>
    </row>
    <row r="584" customFormat="false" ht="13.8" hidden="false" customHeight="false" outlineLevel="0" collapsed="false">
      <c r="K584" s="9"/>
    </row>
    <row r="585" customFormat="false" ht="13.8" hidden="false" customHeight="false" outlineLevel="0" collapsed="false">
      <c r="K585" s="9"/>
    </row>
    <row r="586" customFormat="false" ht="13.8" hidden="false" customHeight="false" outlineLevel="0" collapsed="false">
      <c r="K586" s="9"/>
    </row>
    <row r="587" customFormat="false" ht="13.8" hidden="false" customHeight="false" outlineLevel="0" collapsed="false">
      <c r="K587" s="9"/>
    </row>
    <row r="588" customFormat="false" ht="13.8" hidden="false" customHeight="false" outlineLevel="0" collapsed="false">
      <c r="K588" s="9"/>
    </row>
    <row r="589" customFormat="false" ht="13.8" hidden="false" customHeight="false" outlineLevel="0" collapsed="false">
      <c r="K589" s="9"/>
    </row>
    <row r="590" customFormat="false" ht="13.8" hidden="false" customHeight="false" outlineLevel="0" collapsed="false">
      <c r="K590" s="9"/>
    </row>
    <row r="591" customFormat="false" ht="13.8" hidden="false" customHeight="false" outlineLevel="0" collapsed="false">
      <c r="K591" s="9"/>
    </row>
    <row r="592" customFormat="false" ht="13.8" hidden="false" customHeight="false" outlineLevel="0" collapsed="false">
      <c r="K592" s="9"/>
    </row>
    <row r="593" customFormat="false" ht="13.8" hidden="false" customHeight="false" outlineLevel="0" collapsed="false">
      <c r="K593" s="9"/>
    </row>
    <row r="594" customFormat="false" ht="13.8" hidden="false" customHeight="false" outlineLevel="0" collapsed="false">
      <c r="K594" s="9"/>
    </row>
    <row r="595" customFormat="false" ht="13.8" hidden="false" customHeight="false" outlineLevel="0" collapsed="false">
      <c r="K595" s="9"/>
    </row>
    <row r="596" customFormat="false" ht="13.8" hidden="false" customHeight="false" outlineLevel="0" collapsed="false">
      <c r="K596" s="9"/>
    </row>
    <row r="597" customFormat="false" ht="13.8" hidden="false" customHeight="false" outlineLevel="0" collapsed="false">
      <c r="K597" s="9"/>
    </row>
    <row r="598" customFormat="false" ht="13.8" hidden="false" customHeight="false" outlineLevel="0" collapsed="false">
      <c r="K598" s="9"/>
    </row>
    <row r="599" customFormat="false" ht="13.8" hidden="false" customHeight="false" outlineLevel="0" collapsed="false">
      <c r="K599" s="9"/>
    </row>
    <row r="600" customFormat="false" ht="13.8" hidden="false" customHeight="false" outlineLevel="0" collapsed="false">
      <c r="K600" s="9"/>
    </row>
    <row r="601" customFormat="false" ht="13.8" hidden="false" customHeight="false" outlineLevel="0" collapsed="false">
      <c r="K601" s="9"/>
    </row>
    <row r="602" customFormat="false" ht="13.8" hidden="false" customHeight="false" outlineLevel="0" collapsed="false">
      <c r="K602" s="9"/>
    </row>
    <row r="603" customFormat="false" ht="13.8" hidden="false" customHeight="false" outlineLevel="0" collapsed="false">
      <c r="K603" s="9"/>
    </row>
    <row r="604" customFormat="false" ht="13.8" hidden="false" customHeight="false" outlineLevel="0" collapsed="false">
      <c r="K604" s="9"/>
    </row>
    <row r="605" customFormat="false" ht="13.8" hidden="false" customHeight="false" outlineLevel="0" collapsed="false">
      <c r="K605" s="9"/>
    </row>
    <row r="606" customFormat="false" ht="13.8" hidden="false" customHeight="false" outlineLevel="0" collapsed="false">
      <c r="K606" s="9"/>
    </row>
    <row r="607" customFormat="false" ht="13.8" hidden="false" customHeight="false" outlineLevel="0" collapsed="false">
      <c r="K607" s="9"/>
    </row>
    <row r="608" customFormat="false" ht="13.8" hidden="false" customHeight="false" outlineLevel="0" collapsed="false">
      <c r="K608" s="9"/>
    </row>
    <row r="609" customFormat="false" ht="13.8" hidden="false" customHeight="false" outlineLevel="0" collapsed="false">
      <c r="K609" s="9"/>
    </row>
    <row r="610" customFormat="false" ht="13.8" hidden="false" customHeight="false" outlineLevel="0" collapsed="false">
      <c r="K610" s="9"/>
    </row>
    <row r="611" customFormat="false" ht="13.8" hidden="false" customHeight="false" outlineLevel="0" collapsed="false">
      <c r="K611" s="9"/>
    </row>
    <row r="612" customFormat="false" ht="13.8" hidden="false" customHeight="false" outlineLevel="0" collapsed="false">
      <c r="K612" s="9"/>
    </row>
    <row r="613" customFormat="false" ht="13.8" hidden="false" customHeight="false" outlineLevel="0" collapsed="false">
      <c r="K613" s="9"/>
    </row>
    <row r="614" customFormat="false" ht="13.8" hidden="false" customHeight="false" outlineLevel="0" collapsed="false">
      <c r="K614" s="9"/>
    </row>
    <row r="615" customFormat="false" ht="13.8" hidden="false" customHeight="false" outlineLevel="0" collapsed="false">
      <c r="K615" s="9"/>
    </row>
    <row r="616" customFormat="false" ht="13.8" hidden="false" customHeight="false" outlineLevel="0" collapsed="false">
      <c r="K616" s="9"/>
    </row>
    <row r="617" customFormat="false" ht="13.8" hidden="false" customHeight="false" outlineLevel="0" collapsed="false">
      <c r="K617" s="9"/>
    </row>
    <row r="618" customFormat="false" ht="13.8" hidden="false" customHeight="false" outlineLevel="0" collapsed="false">
      <c r="K618" s="9"/>
    </row>
    <row r="619" customFormat="false" ht="13.8" hidden="false" customHeight="false" outlineLevel="0" collapsed="false">
      <c r="K619" s="9"/>
    </row>
    <row r="620" customFormat="false" ht="13.8" hidden="false" customHeight="false" outlineLevel="0" collapsed="false">
      <c r="K620" s="9"/>
    </row>
    <row r="621" customFormat="false" ht="13.8" hidden="false" customHeight="false" outlineLevel="0" collapsed="false">
      <c r="K621" s="9"/>
    </row>
    <row r="622" customFormat="false" ht="13.8" hidden="false" customHeight="false" outlineLevel="0" collapsed="false">
      <c r="K622" s="9"/>
    </row>
    <row r="623" customFormat="false" ht="13.8" hidden="false" customHeight="false" outlineLevel="0" collapsed="false">
      <c r="K623" s="9"/>
    </row>
    <row r="624" customFormat="false" ht="13.8" hidden="false" customHeight="false" outlineLevel="0" collapsed="false">
      <c r="K624" s="9"/>
    </row>
    <row r="625" customFormat="false" ht="13.8" hidden="false" customHeight="false" outlineLevel="0" collapsed="false">
      <c r="K625" s="9"/>
    </row>
    <row r="626" customFormat="false" ht="13.8" hidden="false" customHeight="false" outlineLevel="0" collapsed="false">
      <c r="K626" s="9"/>
    </row>
    <row r="627" customFormat="false" ht="13.8" hidden="false" customHeight="false" outlineLevel="0" collapsed="false">
      <c r="K627" s="9"/>
    </row>
    <row r="628" customFormat="false" ht="13.8" hidden="false" customHeight="false" outlineLevel="0" collapsed="false">
      <c r="K628" s="9"/>
    </row>
    <row r="629" customFormat="false" ht="13.8" hidden="false" customHeight="false" outlineLevel="0" collapsed="false">
      <c r="K629" s="9"/>
    </row>
    <row r="630" customFormat="false" ht="13.8" hidden="false" customHeight="false" outlineLevel="0" collapsed="false">
      <c r="K630" s="9"/>
    </row>
    <row r="631" customFormat="false" ht="13.8" hidden="false" customHeight="false" outlineLevel="0" collapsed="false">
      <c r="K631" s="9"/>
    </row>
    <row r="632" customFormat="false" ht="13.8" hidden="false" customHeight="false" outlineLevel="0" collapsed="false">
      <c r="K632" s="9"/>
    </row>
    <row r="633" customFormat="false" ht="13.8" hidden="false" customHeight="false" outlineLevel="0" collapsed="false">
      <c r="K633" s="9"/>
    </row>
    <row r="634" customFormat="false" ht="13.8" hidden="false" customHeight="false" outlineLevel="0" collapsed="false">
      <c r="K634" s="9"/>
    </row>
    <row r="635" customFormat="false" ht="13.8" hidden="false" customHeight="false" outlineLevel="0" collapsed="false">
      <c r="K635" s="9"/>
    </row>
    <row r="636" customFormat="false" ht="13.8" hidden="false" customHeight="false" outlineLevel="0" collapsed="false">
      <c r="K636" s="9"/>
    </row>
    <row r="637" customFormat="false" ht="13.8" hidden="false" customHeight="false" outlineLevel="0" collapsed="false">
      <c r="K637" s="9"/>
    </row>
    <row r="638" customFormat="false" ht="13.8" hidden="false" customHeight="false" outlineLevel="0" collapsed="false">
      <c r="K638" s="9"/>
    </row>
    <row r="639" customFormat="false" ht="13.8" hidden="false" customHeight="false" outlineLevel="0" collapsed="false">
      <c r="K639" s="9"/>
    </row>
    <row r="640" customFormat="false" ht="13.8" hidden="false" customHeight="false" outlineLevel="0" collapsed="false">
      <c r="K640" s="9"/>
    </row>
    <row r="641" customFormat="false" ht="13.8" hidden="false" customHeight="false" outlineLevel="0" collapsed="false">
      <c r="K641" s="9"/>
    </row>
    <row r="642" customFormat="false" ht="13.8" hidden="false" customHeight="false" outlineLevel="0" collapsed="false">
      <c r="K642" s="9"/>
    </row>
    <row r="643" customFormat="false" ht="13.8" hidden="false" customHeight="false" outlineLevel="0" collapsed="false">
      <c r="K643" s="9"/>
    </row>
    <row r="644" customFormat="false" ht="13.8" hidden="false" customHeight="false" outlineLevel="0" collapsed="false">
      <c r="K644" s="9"/>
    </row>
    <row r="645" customFormat="false" ht="13.8" hidden="false" customHeight="false" outlineLevel="0" collapsed="false">
      <c r="K645" s="9"/>
    </row>
    <row r="646" customFormat="false" ht="13.8" hidden="false" customHeight="false" outlineLevel="0" collapsed="false">
      <c r="K646" s="9"/>
    </row>
    <row r="647" customFormat="false" ht="13.8" hidden="false" customHeight="false" outlineLevel="0" collapsed="false">
      <c r="K647" s="9"/>
    </row>
    <row r="648" customFormat="false" ht="13.8" hidden="false" customHeight="false" outlineLevel="0" collapsed="false">
      <c r="K648" s="9"/>
    </row>
    <row r="649" customFormat="false" ht="13.8" hidden="false" customHeight="false" outlineLevel="0" collapsed="false">
      <c r="K649" s="9"/>
    </row>
    <row r="650" customFormat="false" ht="13.8" hidden="false" customHeight="false" outlineLevel="0" collapsed="false">
      <c r="K650" s="9"/>
    </row>
    <row r="651" customFormat="false" ht="13.8" hidden="false" customHeight="false" outlineLevel="0" collapsed="false">
      <c r="K651" s="9"/>
    </row>
    <row r="652" customFormat="false" ht="13.8" hidden="false" customHeight="false" outlineLevel="0" collapsed="false">
      <c r="K652" s="9"/>
    </row>
    <row r="653" customFormat="false" ht="13.8" hidden="false" customHeight="false" outlineLevel="0" collapsed="false">
      <c r="K653" s="9"/>
    </row>
    <row r="654" customFormat="false" ht="13.8" hidden="false" customHeight="false" outlineLevel="0" collapsed="false">
      <c r="K654" s="9"/>
    </row>
    <row r="655" customFormat="false" ht="13.8" hidden="false" customHeight="false" outlineLevel="0" collapsed="false">
      <c r="K655" s="9"/>
    </row>
    <row r="656" customFormat="false" ht="13.8" hidden="false" customHeight="false" outlineLevel="0" collapsed="false">
      <c r="K656" s="9"/>
    </row>
    <row r="657" customFormat="false" ht="13.8" hidden="false" customHeight="false" outlineLevel="0" collapsed="false">
      <c r="K657" s="9"/>
    </row>
    <row r="658" customFormat="false" ht="13.8" hidden="false" customHeight="false" outlineLevel="0" collapsed="false">
      <c r="K658" s="9"/>
    </row>
    <row r="659" customFormat="false" ht="13.8" hidden="false" customHeight="false" outlineLevel="0" collapsed="false">
      <c r="K659" s="9"/>
    </row>
    <row r="660" customFormat="false" ht="13.8" hidden="false" customHeight="false" outlineLevel="0" collapsed="false">
      <c r="K660" s="9"/>
    </row>
    <row r="661" customFormat="false" ht="13.8" hidden="false" customHeight="false" outlineLevel="0" collapsed="false">
      <c r="K661" s="9"/>
    </row>
    <row r="662" customFormat="false" ht="13.8" hidden="false" customHeight="false" outlineLevel="0" collapsed="false">
      <c r="K662" s="9"/>
    </row>
    <row r="663" customFormat="false" ht="13.8" hidden="false" customHeight="false" outlineLevel="0" collapsed="false">
      <c r="K663" s="9"/>
    </row>
    <row r="664" customFormat="false" ht="13.8" hidden="false" customHeight="false" outlineLevel="0" collapsed="false">
      <c r="K664" s="9"/>
    </row>
    <row r="665" customFormat="false" ht="13.8" hidden="false" customHeight="false" outlineLevel="0" collapsed="false">
      <c r="K665" s="9"/>
    </row>
    <row r="666" customFormat="false" ht="13.8" hidden="false" customHeight="false" outlineLevel="0" collapsed="false">
      <c r="K666" s="9"/>
    </row>
    <row r="667" customFormat="false" ht="13.8" hidden="false" customHeight="false" outlineLevel="0" collapsed="false">
      <c r="K667" s="9"/>
    </row>
    <row r="668" customFormat="false" ht="13.8" hidden="false" customHeight="false" outlineLevel="0" collapsed="false">
      <c r="K668" s="9"/>
    </row>
    <row r="669" customFormat="false" ht="13.8" hidden="false" customHeight="false" outlineLevel="0" collapsed="false">
      <c r="K669" s="9"/>
    </row>
    <row r="670" customFormat="false" ht="13.8" hidden="false" customHeight="false" outlineLevel="0" collapsed="false">
      <c r="K670" s="9"/>
    </row>
    <row r="671" customFormat="false" ht="13.8" hidden="false" customHeight="false" outlineLevel="0" collapsed="false">
      <c r="K671" s="9"/>
    </row>
    <row r="672" customFormat="false" ht="13.8" hidden="false" customHeight="false" outlineLevel="0" collapsed="false">
      <c r="K672" s="9"/>
    </row>
    <row r="673" customFormat="false" ht="13.8" hidden="false" customHeight="false" outlineLevel="0" collapsed="false">
      <c r="K673" s="9"/>
    </row>
    <row r="674" customFormat="false" ht="13.8" hidden="false" customHeight="false" outlineLevel="0" collapsed="false">
      <c r="K674" s="9"/>
    </row>
    <row r="675" customFormat="false" ht="13.8" hidden="false" customHeight="false" outlineLevel="0" collapsed="false">
      <c r="K675" s="9"/>
    </row>
    <row r="676" customFormat="false" ht="13.8" hidden="false" customHeight="false" outlineLevel="0" collapsed="false">
      <c r="K676" s="9"/>
    </row>
    <row r="677" customFormat="false" ht="13.8" hidden="false" customHeight="false" outlineLevel="0" collapsed="false">
      <c r="K677" s="9"/>
    </row>
    <row r="678" customFormat="false" ht="13.8" hidden="false" customHeight="false" outlineLevel="0" collapsed="false">
      <c r="K678" s="9"/>
    </row>
    <row r="679" customFormat="false" ht="13.8" hidden="false" customHeight="false" outlineLevel="0" collapsed="false">
      <c r="K679" s="9"/>
    </row>
    <row r="680" customFormat="false" ht="13.8" hidden="false" customHeight="false" outlineLevel="0" collapsed="false">
      <c r="K680" s="9"/>
    </row>
    <row r="681" customFormat="false" ht="13.8" hidden="false" customHeight="false" outlineLevel="0" collapsed="false">
      <c r="K681" s="9"/>
    </row>
    <row r="682" customFormat="false" ht="13.8" hidden="false" customHeight="false" outlineLevel="0" collapsed="false">
      <c r="K682" s="9"/>
    </row>
    <row r="683" customFormat="false" ht="13.8" hidden="false" customHeight="false" outlineLevel="0" collapsed="false">
      <c r="K683" s="9"/>
    </row>
    <row r="684" customFormat="false" ht="13.8" hidden="false" customHeight="false" outlineLevel="0" collapsed="false">
      <c r="K684" s="9"/>
    </row>
    <row r="685" customFormat="false" ht="13.8" hidden="false" customHeight="false" outlineLevel="0" collapsed="false">
      <c r="K685" s="9"/>
    </row>
    <row r="686" customFormat="false" ht="13.8" hidden="false" customHeight="false" outlineLevel="0" collapsed="false">
      <c r="K686" s="9"/>
    </row>
    <row r="687" customFormat="false" ht="13.8" hidden="false" customHeight="false" outlineLevel="0" collapsed="false">
      <c r="K687" s="9"/>
    </row>
    <row r="688" customFormat="false" ht="13.8" hidden="false" customHeight="false" outlineLevel="0" collapsed="false">
      <c r="K688" s="9"/>
    </row>
    <row r="689" customFormat="false" ht="13.8" hidden="false" customHeight="false" outlineLevel="0" collapsed="false">
      <c r="K689" s="9"/>
    </row>
    <row r="690" customFormat="false" ht="13.8" hidden="false" customHeight="false" outlineLevel="0" collapsed="false">
      <c r="K690" s="9"/>
    </row>
    <row r="691" customFormat="false" ht="13.8" hidden="false" customHeight="false" outlineLevel="0" collapsed="false">
      <c r="K691" s="9"/>
    </row>
    <row r="692" customFormat="false" ht="13.8" hidden="false" customHeight="false" outlineLevel="0" collapsed="false">
      <c r="K692" s="9"/>
    </row>
    <row r="693" customFormat="false" ht="13.8" hidden="false" customHeight="false" outlineLevel="0" collapsed="false">
      <c r="K693" s="9"/>
    </row>
    <row r="694" customFormat="false" ht="13.8" hidden="false" customHeight="false" outlineLevel="0" collapsed="false">
      <c r="K694" s="9"/>
    </row>
    <row r="695" customFormat="false" ht="13.8" hidden="false" customHeight="false" outlineLevel="0" collapsed="false">
      <c r="K695" s="9"/>
    </row>
    <row r="696" customFormat="false" ht="13.8" hidden="false" customHeight="false" outlineLevel="0" collapsed="false">
      <c r="K696" s="9"/>
    </row>
    <row r="697" customFormat="false" ht="13.8" hidden="false" customHeight="false" outlineLevel="0" collapsed="false">
      <c r="K697" s="9"/>
    </row>
    <row r="698" customFormat="false" ht="13.8" hidden="false" customHeight="false" outlineLevel="0" collapsed="false">
      <c r="K698" s="9"/>
    </row>
    <row r="699" customFormat="false" ht="13.8" hidden="false" customHeight="false" outlineLevel="0" collapsed="false">
      <c r="K699" s="9"/>
    </row>
    <row r="700" customFormat="false" ht="13.8" hidden="false" customHeight="false" outlineLevel="0" collapsed="false">
      <c r="K700" s="9"/>
    </row>
    <row r="701" customFormat="false" ht="13.8" hidden="false" customHeight="false" outlineLevel="0" collapsed="false">
      <c r="K701" s="9"/>
    </row>
    <row r="702" customFormat="false" ht="13.8" hidden="false" customHeight="false" outlineLevel="0" collapsed="false">
      <c r="K702" s="9"/>
    </row>
    <row r="703" customFormat="false" ht="13.8" hidden="false" customHeight="false" outlineLevel="0" collapsed="false">
      <c r="K703" s="9"/>
    </row>
    <row r="704" customFormat="false" ht="13.8" hidden="false" customHeight="false" outlineLevel="0" collapsed="false">
      <c r="K704" s="9"/>
    </row>
    <row r="705" customFormat="false" ht="13.8" hidden="false" customHeight="false" outlineLevel="0" collapsed="false">
      <c r="K705" s="9"/>
    </row>
    <row r="706" customFormat="false" ht="13.8" hidden="false" customHeight="false" outlineLevel="0" collapsed="false">
      <c r="K706" s="9"/>
    </row>
    <row r="707" customFormat="false" ht="13.8" hidden="false" customHeight="false" outlineLevel="0" collapsed="false">
      <c r="K707" s="9"/>
    </row>
    <row r="708" customFormat="false" ht="13.8" hidden="false" customHeight="false" outlineLevel="0" collapsed="false">
      <c r="K708" s="9"/>
    </row>
    <row r="709" customFormat="false" ht="13.8" hidden="false" customHeight="false" outlineLevel="0" collapsed="false">
      <c r="K709" s="9"/>
    </row>
    <row r="710" customFormat="false" ht="13.8" hidden="false" customHeight="false" outlineLevel="0" collapsed="false">
      <c r="K710" s="9"/>
    </row>
    <row r="711" customFormat="false" ht="13.8" hidden="false" customHeight="false" outlineLevel="0" collapsed="false">
      <c r="K711" s="9"/>
    </row>
    <row r="712" customFormat="false" ht="13.8" hidden="false" customHeight="false" outlineLevel="0" collapsed="false">
      <c r="K712" s="9"/>
    </row>
    <row r="713" customFormat="false" ht="13.8" hidden="false" customHeight="false" outlineLevel="0" collapsed="false">
      <c r="K713" s="9"/>
    </row>
    <row r="714" customFormat="false" ht="13.8" hidden="false" customHeight="false" outlineLevel="0" collapsed="false">
      <c r="K714" s="9"/>
    </row>
    <row r="715" customFormat="false" ht="13.8" hidden="false" customHeight="false" outlineLevel="0" collapsed="false">
      <c r="K715" s="9"/>
    </row>
    <row r="716" customFormat="false" ht="13.8" hidden="false" customHeight="false" outlineLevel="0" collapsed="false">
      <c r="K716" s="9"/>
    </row>
    <row r="717" customFormat="false" ht="13.8" hidden="false" customHeight="false" outlineLevel="0" collapsed="false">
      <c r="K717" s="9"/>
    </row>
    <row r="718" customFormat="false" ht="13.8" hidden="false" customHeight="false" outlineLevel="0" collapsed="false">
      <c r="K718" s="9"/>
    </row>
    <row r="719" customFormat="false" ht="13.8" hidden="false" customHeight="false" outlineLevel="0" collapsed="false">
      <c r="K719" s="9"/>
    </row>
    <row r="720" customFormat="false" ht="13.8" hidden="false" customHeight="false" outlineLevel="0" collapsed="false">
      <c r="K720" s="9"/>
    </row>
    <row r="721" customFormat="false" ht="13.8" hidden="false" customHeight="false" outlineLevel="0" collapsed="false">
      <c r="K721" s="9"/>
    </row>
    <row r="722" customFormat="false" ht="13.8" hidden="false" customHeight="false" outlineLevel="0" collapsed="false">
      <c r="K722" s="9"/>
    </row>
    <row r="723" customFormat="false" ht="13.8" hidden="false" customHeight="false" outlineLevel="0" collapsed="false">
      <c r="K723" s="9"/>
    </row>
    <row r="724" customFormat="false" ht="13.8" hidden="false" customHeight="false" outlineLevel="0" collapsed="false">
      <c r="K724" s="9"/>
    </row>
    <row r="725" customFormat="false" ht="13.8" hidden="false" customHeight="false" outlineLevel="0" collapsed="false">
      <c r="K725" s="9"/>
    </row>
    <row r="726" customFormat="false" ht="13.8" hidden="false" customHeight="false" outlineLevel="0" collapsed="false">
      <c r="K726" s="9"/>
    </row>
    <row r="727" customFormat="false" ht="13.8" hidden="false" customHeight="false" outlineLevel="0" collapsed="false">
      <c r="K727" s="9"/>
    </row>
    <row r="728" customFormat="false" ht="13.8" hidden="false" customHeight="false" outlineLevel="0" collapsed="false">
      <c r="K728" s="9"/>
    </row>
    <row r="729" customFormat="false" ht="13.8" hidden="false" customHeight="false" outlineLevel="0" collapsed="false">
      <c r="K729" s="9"/>
    </row>
    <row r="730" customFormat="false" ht="13.8" hidden="false" customHeight="false" outlineLevel="0" collapsed="false">
      <c r="K730" s="9"/>
    </row>
    <row r="731" customFormat="false" ht="13.8" hidden="false" customHeight="false" outlineLevel="0" collapsed="false">
      <c r="K731" s="9"/>
    </row>
    <row r="732" customFormat="false" ht="13.8" hidden="false" customHeight="false" outlineLevel="0" collapsed="false">
      <c r="K732" s="9"/>
    </row>
    <row r="733" customFormat="false" ht="13.8" hidden="false" customHeight="false" outlineLevel="0" collapsed="false">
      <c r="K733" s="9"/>
    </row>
    <row r="734" customFormat="false" ht="13.8" hidden="false" customHeight="false" outlineLevel="0" collapsed="false">
      <c r="K734" s="9"/>
    </row>
    <row r="735" customFormat="false" ht="13.8" hidden="false" customHeight="false" outlineLevel="0" collapsed="false">
      <c r="K735" s="9"/>
    </row>
    <row r="736" customFormat="false" ht="13.8" hidden="false" customHeight="false" outlineLevel="0" collapsed="false">
      <c r="K736" s="9"/>
    </row>
    <row r="737" customFormat="false" ht="13.8" hidden="false" customHeight="false" outlineLevel="0" collapsed="false">
      <c r="K737" s="9"/>
    </row>
    <row r="738" customFormat="false" ht="13.8" hidden="false" customHeight="false" outlineLevel="0" collapsed="false">
      <c r="K738" s="9"/>
    </row>
    <row r="739" customFormat="false" ht="13.8" hidden="false" customHeight="false" outlineLevel="0" collapsed="false">
      <c r="K739" s="9"/>
    </row>
    <row r="740" customFormat="false" ht="13.8" hidden="false" customHeight="false" outlineLevel="0" collapsed="false">
      <c r="K740" s="9"/>
    </row>
    <row r="741" customFormat="false" ht="13.8" hidden="false" customHeight="false" outlineLevel="0" collapsed="false">
      <c r="K741" s="9"/>
    </row>
    <row r="742" customFormat="false" ht="13.8" hidden="false" customHeight="false" outlineLevel="0" collapsed="false">
      <c r="K742" s="9"/>
    </row>
    <row r="743" customFormat="false" ht="13.8" hidden="false" customHeight="false" outlineLevel="0" collapsed="false">
      <c r="K743" s="9"/>
    </row>
    <row r="744" customFormat="false" ht="13.8" hidden="false" customHeight="false" outlineLevel="0" collapsed="false">
      <c r="K744" s="9"/>
    </row>
    <row r="745" customFormat="false" ht="13.8" hidden="false" customHeight="false" outlineLevel="0" collapsed="false">
      <c r="K745" s="9"/>
    </row>
    <row r="746" customFormat="false" ht="13.8" hidden="false" customHeight="false" outlineLevel="0" collapsed="false">
      <c r="K746" s="9"/>
    </row>
    <row r="747" customFormat="false" ht="13.8" hidden="false" customHeight="false" outlineLevel="0" collapsed="false">
      <c r="K747" s="9"/>
    </row>
    <row r="748" customFormat="false" ht="13.8" hidden="false" customHeight="false" outlineLevel="0" collapsed="false">
      <c r="K748" s="9"/>
    </row>
    <row r="749" customFormat="false" ht="13.8" hidden="false" customHeight="false" outlineLevel="0" collapsed="false">
      <c r="K749" s="9"/>
    </row>
    <row r="750" customFormat="false" ht="13.8" hidden="false" customHeight="false" outlineLevel="0" collapsed="false">
      <c r="K750" s="9"/>
    </row>
    <row r="751" customFormat="false" ht="13.8" hidden="false" customHeight="false" outlineLevel="0" collapsed="false">
      <c r="K751" s="9"/>
    </row>
    <row r="752" customFormat="false" ht="13.8" hidden="false" customHeight="false" outlineLevel="0" collapsed="false">
      <c r="K752" s="9"/>
    </row>
    <row r="753" customFormat="false" ht="13.8" hidden="false" customHeight="false" outlineLevel="0" collapsed="false">
      <c r="K753" s="9"/>
    </row>
    <row r="754" customFormat="false" ht="13.8" hidden="false" customHeight="false" outlineLevel="0" collapsed="false">
      <c r="K754" s="9"/>
    </row>
    <row r="755" customFormat="false" ht="13.8" hidden="false" customHeight="false" outlineLevel="0" collapsed="false">
      <c r="K755" s="9"/>
    </row>
    <row r="756" customFormat="false" ht="13.8" hidden="false" customHeight="false" outlineLevel="0" collapsed="false">
      <c r="K756" s="9"/>
    </row>
    <row r="757" customFormat="false" ht="13.8" hidden="false" customHeight="false" outlineLevel="0" collapsed="false">
      <c r="K757" s="9"/>
    </row>
    <row r="758" customFormat="false" ht="13.8" hidden="false" customHeight="false" outlineLevel="0" collapsed="false">
      <c r="K758" s="9"/>
    </row>
    <row r="759" customFormat="false" ht="13.8" hidden="false" customHeight="false" outlineLevel="0" collapsed="false">
      <c r="K759" s="9"/>
    </row>
    <row r="760" customFormat="false" ht="13.8" hidden="false" customHeight="false" outlineLevel="0" collapsed="false">
      <c r="K760" s="9"/>
    </row>
    <row r="761" customFormat="false" ht="13.8" hidden="false" customHeight="false" outlineLevel="0" collapsed="false">
      <c r="K761" s="9"/>
    </row>
    <row r="762" customFormat="false" ht="13.8" hidden="false" customHeight="false" outlineLevel="0" collapsed="false">
      <c r="K762" s="9"/>
    </row>
    <row r="763" customFormat="false" ht="13.8" hidden="false" customHeight="false" outlineLevel="0" collapsed="false">
      <c r="K763" s="9"/>
    </row>
    <row r="764" customFormat="false" ht="13.8" hidden="false" customHeight="false" outlineLevel="0" collapsed="false">
      <c r="K764" s="9"/>
    </row>
    <row r="765" customFormat="false" ht="13.8" hidden="false" customHeight="false" outlineLevel="0" collapsed="false">
      <c r="K765" s="9"/>
    </row>
    <row r="766" customFormat="false" ht="13.8" hidden="false" customHeight="false" outlineLevel="0" collapsed="false">
      <c r="K766" s="9"/>
    </row>
    <row r="767" customFormat="false" ht="13.8" hidden="false" customHeight="false" outlineLevel="0" collapsed="false">
      <c r="K767" s="9"/>
    </row>
    <row r="768" customFormat="false" ht="13.8" hidden="false" customHeight="false" outlineLevel="0" collapsed="false">
      <c r="K768" s="9"/>
    </row>
    <row r="769" customFormat="false" ht="13.8" hidden="false" customHeight="false" outlineLevel="0" collapsed="false">
      <c r="K769" s="9"/>
    </row>
    <row r="770" customFormat="false" ht="13.8" hidden="false" customHeight="false" outlineLevel="0" collapsed="false">
      <c r="K770" s="9"/>
    </row>
    <row r="771" customFormat="false" ht="13.8" hidden="false" customHeight="false" outlineLevel="0" collapsed="false">
      <c r="K771" s="9"/>
    </row>
    <row r="772" customFormat="false" ht="13.8" hidden="false" customHeight="false" outlineLevel="0" collapsed="false">
      <c r="K772" s="9"/>
    </row>
    <row r="773" customFormat="false" ht="13.8" hidden="false" customHeight="false" outlineLevel="0" collapsed="false">
      <c r="K773" s="9"/>
    </row>
    <row r="774" customFormat="false" ht="13.8" hidden="false" customHeight="false" outlineLevel="0" collapsed="false">
      <c r="K774" s="9"/>
    </row>
    <row r="775" customFormat="false" ht="13.8" hidden="false" customHeight="false" outlineLevel="0" collapsed="false">
      <c r="K775" s="9"/>
    </row>
    <row r="776" customFormat="false" ht="13.8" hidden="false" customHeight="false" outlineLevel="0" collapsed="false">
      <c r="K776" s="9"/>
    </row>
    <row r="777" customFormat="false" ht="13.8" hidden="false" customHeight="false" outlineLevel="0" collapsed="false">
      <c r="K777" s="9"/>
    </row>
    <row r="778" customFormat="false" ht="13.8" hidden="false" customHeight="false" outlineLevel="0" collapsed="false">
      <c r="K778" s="9"/>
    </row>
    <row r="779" customFormat="false" ht="13.8" hidden="false" customHeight="false" outlineLevel="0" collapsed="false">
      <c r="K779" s="9"/>
    </row>
    <row r="780" customFormat="false" ht="13.8" hidden="false" customHeight="false" outlineLevel="0" collapsed="false">
      <c r="K780" s="9"/>
    </row>
    <row r="781" customFormat="false" ht="13.8" hidden="false" customHeight="false" outlineLevel="0" collapsed="false">
      <c r="K781" s="9"/>
    </row>
    <row r="782" customFormat="false" ht="13.8" hidden="false" customHeight="false" outlineLevel="0" collapsed="false">
      <c r="K782" s="9"/>
    </row>
    <row r="783" customFormat="false" ht="13.8" hidden="false" customHeight="false" outlineLevel="0" collapsed="false">
      <c r="K783" s="9"/>
    </row>
    <row r="784" customFormat="false" ht="13.8" hidden="false" customHeight="false" outlineLevel="0" collapsed="false">
      <c r="K784" s="9"/>
    </row>
    <row r="785" customFormat="false" ht="13.8" hidden="false" customHeight="false" outlineLevel="0" collapsed="false">
      <c r="K785" s="9"/>
    </row>
    <row r="786" customFormat="false" ht="13.8" hidden="false" customHeight="false" outlineLevel="0" collapsed="false">
      <c r="K786" s="9"/>
    </row>
    <row r="787" customFormat="false" ht="13.8" hidden="false" customHeight="false" outlineLevel="0" collapsed="false">
      <c r="K787" s="9"/>
    </row>
    <row r="788" customFormat="false" ht="13.8" hidden="false" customHeight="false" outlineLevel="0" collapsed="false">
      <c r="K788" s="9"/>
    </row>
    <row r="789" customFormat="false" ht="13.8" hidden="false" customHeight="false" outlineLevel="0" collapsed="false">
      <c r="K789" s="9"/>
    </row>
    <row r="790" customFormat="false" ht="13.8" hidden="false" customHeight="false" outlineLevel="0" collapsed="false">
      <c r="K790" s="9"/>
    </row>
    <row r="791" customFormat="false" ht="13.8" hidden="false" customHeight="false" outlineLevel="0" collapsed="false">
      <c r="K791" s="9"/>
    </row>
    <row r="792" customFormat="false" ht="13.8" hidden="false" customHeight="false" outlineLevel="0" collapsed="false">
      <c r="K792" s="9"/>
    </row>
    <row r="793" customFormat="false" ht="13.8" hidden="false" customHeight="false" outlineLevel="0" collapsed="false">
      <c r="K793" s="9"/>
    </row>
    <row r="794" customFormat="false" ht="13.8" hidden="false" customHeight="false" outlineLevel="0" collapsed="false">
      <c r="K794" s="9"/>
    </row>
    <row r="795" customFormat="false" ht="13.8" hidden="false" customHeight="false" outlineLevel="0" collapsed="false">
      <c r="K795" s="9"/>
    </row>
    <row r="796" customFormat="false" ht="13.8" hidden="false" customHeight="false" outlineLevel="0" collapsed="false">
      <c r="K796" s="9"/>
    </row>
    <row r="797" customFormat="false" ht="13.8" hidden="false" customHeight="false" outlineLevel="0" collapsed="false">
      <c r="K797" s="9"/>
    </row>
    <row r="798" customFormat="false" ht="13.8" hidden="false" customHeight="false" outlineLevel="0" collapsed="false">
      <c r="K798" s="9"/>
    </row>
    <row r="799" customFormat="false" ht="13.8" hidden="false" customHeight="false" outlineLevel="0" collapsed="false">
      <c r="K799" s="9"/>
    </row>
    <row r="800" customFormat="false" ht="13.8" hidden="false" customHeight="false" outlineLevel="0" collapsed="false">
      <c r="K800" s="9"/>
    </row>
    <row r="801" customFormat="false" ht="13.8" hidden="false" customHeight="false" outlineLevel="0" collapsed="false">
      <c r="K801" s="9"/>
    </row>
    <row r="802" customFormat="false" ht="13.8" hidden="false" customHeight="false" outlineLevel="0" collapsed="false">
      <c r="K802" s="9"/>
    </row>
    <row r="803" customFormat="false" ht="13.8" hidden="false" customHeight="false" outlineLevel="0" collapsed="false">
      <c r="K803" s="9"/>
    </row>
    <row r="804" customFormat="false" ht="13.8" hidden="false" customHeight="false" outlineLevel="0" collapsed="false">
      <c r="K804" s="9"/>
    </row>
    <row r="805" customFormat="false" ht="13.8" hidden="false" customHeight="false" outlineLevel="0" collapsed="false">
      <c r="K805" s="9"/>
    </row>
    <row r="806" customFormat="false" ht="13.8" hidden="false" customHeight="false" outlineLevel="0" collapsed="false">
      <c r="K806" s="9"/>
    </row>
    <row r="807" customFormat="false" ht="13.8" hidden="false" customHeight="false" outlineLevel="0" collapsed="false">
      <c r="K807" s="9"/>
    </row>
    <row r="808" customFormat="false" ht="13.8" hidden="false" customHeight="false" outlineLevel="0" collapsed="false">
      <c r="K808" s="9"/>
    </row>
    <row r="809" customFormat="false" ht="13.8" hidden="false" customHeight="false" outlineLevel="0" collapsed="false">
      <c r="K809" s="9"/>
    </row>
    <row r="810" customFormat="false" ht="13.8" hidden="false" customHeight="false" outlineLevel="0" collapsed="false">
      <c r="K810" s="9"/>
    </row>
    <row r="811" customFormat="false" ht="13.8" hidden="false" customHeight="false" outlineLevel="0" collapsed="false">
      <c r="K811" s="9"/>
    </row>
    <row r="812" customFormat="false" ht="13.8" hidden="false" customHeight="false" outlineLevel="0" collapsed="false">
      <c r="K812" s="9"/>
    </row>
    <row r="813" customFormat="false" ht="13.8" hidden="false" customHeight="false" outlineLevel="0" collapsed="false">
      <c r="K813" s="9"/>
    </row>
    <row r="814" customFormat="false" ht="13.8" hidden="false" customHeight="false" outlineLevel="0" collapsed="false">
      <c r="K814" s="9"/>
    </row>
    <row r="815" customFormat="false" ht="13.8" hidden="false" customHeight="false" outlineLevel="0" collapsed="false">
      <c r="K815" s="9"/>
    </row>
    <row r="816" customFormat="false" ht="13.8" hidden="false" customHeight="false" outlineLevel="0" collapsed="false">
      <c r="K816" s="9"/>
    </row>
    <row r="817" customFormat="false" ht="13.8" hidden="false" customHeight="false" outlineLevel="0" collapsed="false">
      <c r="K817" s="9"/>
    </row>
    <row r="818" customFormat="false" ht="13.8" hidden="false" customHeight="false" outlineLevel="0" collapsed="false">
      <c r="K818" s="9"/>
    </row>
    <row r="819" customFormat="false" ht="13.8" hidden="false" customHeight="false" outlineLevel="0" collapsed="false">
      <c r="K819" s="9"/>
    </row>
    <row r="820" customFormat="false" ht="13.8" hidden="false" customHeight="false" outlineLevel="0" collapsed="false">
      <c r="K820" s="9"/>
    </row>
    <row r="821" customFormat="false" ht="13.8" hidden="false" customHeight="false" outlineLevel="0" collapsed="false">
      <c r="K821" s="9"/>
    </row>
    <row r="822" customFormat="false" ht="13.8" hidden="false" customHeight="false" outlineLevel="0" collapsed="false">
      <c r="K822" s="9"/>
    </row>
    <row r="823" customFormat="false" ht="13.8" hidden="false" customHeight="false" outlineLevel="0" collapsed="false">
      <c r="K823" s="9"/>
    </row>
    <row r="824" customFormat="false" ht="13.8" hidden="false" customHeight="false" outlineLevel="0" collapsed="false">
      <c r="K824" s="9"/>
    </row>
    <row r="825" customFormat="false" ht="13.8" hidden="false" customHeight="false" outlineLevel="0" collapsed="false">
      <c r="K825" s="9"/>
    </row>
    <row r="826" customFormat="false" ht="13.8" hidden="false" customHeight="false" outlineLevel="0" collapsed="false">
      <c r="K826" s="9"/>
    </row>
    <row r="827" customFormat="false" ht="13.8" hidden="false" customHeight="false" outlineLevel="0" collapsed="false">
      <c r="K827" s="9"/>
    </row>
    <row r="828" customFormat="false" ht="13.8" hidden="false" customHeight="false" outlineLevel="0" collapsed="false">
      <c r="K828" s="9"/>
    </row>
    <row r="829" customFormat="false" ht="13.8" hidden="false" customHeight="false" outlineLevel="0" collapsed="false">
      <c r="K829" s="9"/>
    </row>
    <row r="830" customFormat="false" ht="13.8" hidden="false" customHeight="false" outlineLevel="0" collapsed="false">
      <c r="K830" s="9"/>
    </row>
    <row r="831" customFormat="false" ht="13.8" hidden="false" customHeight="false" outlineLevel="0" collapsed="false">
      <c r="K831" s="9"/>
    </row>
    <row r="832" customFormat="false" ht="13.8" hidden="false" customHeight="false" outlineLevel="0" collapsed="false">
      <c r="K832" s="9"/>
    </row>
    <row r="833" customFormat="false" ht="13.8" hidden="false" customHeight="false" outlineLevel="0" collapsed="false">
      <c r="K833" s="9"/>
    </row>
    <row r="834" customFormat="false" ht="13.8" hidden="false" customHeight="false" outlineLevel="0" collapsed="false">
      <c r="K834" s="9"/>
    </row>
    <row r="835" customFormat="false" ht="13.8" hidden="false" customHeight="false" outlineLevel="0" collapsed="false">
      <c r="K835" s="9"/>
    </row>
    <row r="836" customFormat="false" ht="13.8" hidden="false" customHeight="false" outlineLevel="0" collapsed="false">
      <c r="K836" s="9"/>
    </row>
    <row r="837" customFormat="false" ht="13.8" hidden="false" customHeight="false" outlineLevel="0" collapsed="false">
      <c r="K837" s="9"/>
    </row>
    <row r="838" customFormat="false" ht="13.8" hidden="false" customHeight="false" outlineLevel="0" collapsed="false">
      <c r="K838" s="9"/>
    </row>
    <row r="839" customFormat="false" ht="13.8" hidden="false" customHeight="false" outlineLevel="0" collapsed="false">
      <c r="K839" s="9"/>
    </row>
    <row r="840" customFormat="false" ht="13.8" hidden="false" customHeight="false" outlineLevel="0" collapsed="false">
      <c r="K840" s="9"/>
    </row>
    <row r="841" customFormat="false" ht="13.8" hidden="false" customHeight="false" outlineLevel="0" collapsed="false">
      <c r="K841" s="9"/>
    </row>
    <row r="842" customFormat="false" ht="13.8" hidden="false" customHeight="false" outlineLevel="0" collapsed="false">
      <c r="K842" s="9"/>
    </row>
    <row r="843" customFormat="false" ht="13.8" hidden="false" customHeight="false" outlineLevel="0" collapsed="false">
      <c r="K843" s="9"/>
    </row>
    <row r="844" customFormat="false" ht="13.8" hidden="false" customHeight="false" outlineLevel="0" collapsed="false">
      <c r="K844" s="9"/>
    </row>
    <row r="845" customFormat="false" ht="13.8" hidden="false" customHeight="false" outlineLevel="0" collapsed="false">
      <c r="K845" s="9"/>
    </row>
    <row r="846" customFormat="false" ht="13.8" hidden="false" customHeight="false" outlineLevel="0" collapsed="false">
      <c r="K846" s="9"/>
    </row>
    <row r="847" customFormat="false" ht="13.8" hidden="false" customHeight="false" outlineLevel="0" collapsed="false">
      <c r="K847" s="9"/>
    </row>
    <row r="848" customFormat="false" ht="13.8" hidden="false" customHeight="false" outlineLevel="0" collapsed="false">
      <c r="K848" s="9"/>
    </row>
    <row r="849" customFormat="false" ht="13.8" hidden="false" customHeight="false" outlineLevel="0" collapsed="false">
      <c r="K849" s="9"/>
    </row>
    <row r="850" customFormat="false" ht="13.8" hidden="false" customHeight="false" outlineLevel="0" collapsed="false">
      <c r="K850" s="9"/>
    </row>
    <row r="851" customFormat="false" ht="13.8" hidden="false" customHeight="false" outlineLevel="0" collapsed="false">
      <c r="K851" s="9"/>
    </row>
    <row r="852" customFormat="false" ht="13.8" hidden="false" customHeight="false" outlineLevel="0" collapsed="false">
      <c r="K852" s="9"/>
    </row>
    <row r="853" customFormat="false" ht="13.8" hidden="false" customHeight="false" outlineLevel="0" collapsed="false">
      <c r="K853" s="9"/>
    </row>
    <row r="854" customFormat="false" ht="13.8" hidden="false" customHeight="false" outlineLevel="0" collapsed="false">
      <c r="K854" s="9"/>
    </row>
    <row r="855" customFormat="false" ht="13.8" hidden="false" customHeight="false" outlineLevel="0" collapsed="false">
      <c r="K855" s="9"/>
    </row>
    <row r="856" customFormat="false" ht="13.8" hidden="false" customHeight="false" outlineLevel="0" collapsed="false">
      <c r="K856" s="9"/>
    </row>
    <row r="857" customFormat="false" ht="13.8" hidden="false" customHeight="false" outlineLevel="0" collapsed="false">
      <c r="K857" s="9"/>
    </row>
    <row r="858" customFormat="false" ht="13.8" hidden="false" customHeight="false" outlineLevel="0" collapsed="false">
      <c r="K858" s="9"/>
    </row>
    <row r="859" customFormat="false" ht="13.8" hidden="false" customHeight="false" outlineLevel="0" collapsed="false">
      <c r="K859" s="9"/>
    </row>
    <row r="860" customFormat="false" ht="13.8" hidden="false" customHeight="false" outlineLevel="0" collapsed="false">
      <c r="K860" s="9"/>
    </row>
    <row r="861" customFormat="false" ht="13.8" hidden="false" customHeight="false" outlineLevel="0" collapsed="false">
      <c r="K861" s="9"/>
    </row>
    <row r="862" customFormat="false" ht="13.8" hidden="false" customHeight="false" outlineLevel="0" collapsed="false">
      <c r="K862" s="9"/>
    </row>
    <row r="863" customFormat="false" ht="13.8" hidden="false" customHeight="false" outlineLevel="0" collapsed="false">
      <c r="K863" s="9"/>
    </row>
    <row r="864" customFormat="false" ht="13.8" hidden="false" customHeight="false" outlineLevel="0" collapsed="false">
      <c r="K864" s="9"/>
    </row>
    <row r="865" customFormat="false" ht="13.8" hidden="false" customHeight="false" outlineLevel="0" collapsed="false">
      <c r="K865" s="9"/>
    </row>
    <row r="866" customFormat="false" ht="13.8" hidden="false" customHeight="false" outlineLevel="0" collapsed="false">
      <c r="K866" s="9"/>
    </row>
    <row r="867" customFormat="false" ht="13.8" hidden="false" customHeight="false" outlineLevel="0" collapsed="false">
      <c r="K867" s="9"/>
    </row>
    <row r="868" customFormat="false" ht="13.8" hidden="false" customHeight="false" outlineLevel="0" collapsed="false">
      <c r="K868" s="9"/>
    </row>
    <row r="869" customFormat="false" ht="13.8" hidden="false" customHeight="false" outlineLevel="0" collapsed="false">
      <c r="K869" s="9"/>
    </row>
    <row r="870" customFormat="false" ht="13.8" hidden="false" customHeight="false" outlineLevel="0" collapsed="false">
      <c r="K870" s="9"/>
    </row>
    <row r="871" customFormat="false" ht="13.8" hidden="false" customHeight="false" outlineLevel="0" collapsed="false">
      <c r="K871" s="9"/>
    </row>
    <row r="872" customFormat="false" ht="13.8" hidden="false" customHeight="false" outlineLevel="0" collapsed="false">
      <c r="K872" s="9"/>
    </row>
    <row r="873" customFormat="false" ht="13.8" hidden="false" customHeight="false" outlineLevel="0" collapsed="false">
      <c r="K873" s="9"/>
    </row>
    <row r="874" customFormat="false" ht="13.8" hidden="false" customHeight="false" outlineLevel="0" collapsed="false">
      <c r="K874" s="9"/>
    </row>
    <row r="875" customFormat="false" ht="13.8" hidden="false" customHeight="false" outlineLevel="0" collapsed="false">
      <c r="K875" s="9"/>
    </row>
    <row r="876" customFormat="false" ht="13.8" hidden="false" customHeight="false" outlineLevel="0" collapsed="false">
      <c r="K876" s="9"/>
    </row>
    <row r="877" customFormat="false" ht="13.8" hidden="false" customHeight="false" outlineLevel="0" collapsed="false">
      <c r="K877" s="9"/>
    </row>
    <row r="878" customFormat="false" ht="13.8" hidden="false" customHeight="false" outlineLevel="0" collapsed="false">
      <c r="K878" s="9"/>
    </row>
    <row r="879" customFormat="false" ht="13.8" hidden="false" customHeight="false" outlineLevel="0" collapsed="false">
      <c r="K879" s="9"/>
    </row>
    <row r="880" customFormat="false" ht="13.8" hidden="false" customHeight="false" outlineLevel="0" collapsed="false">
      <c r="K880" s="9"/>
    </row>
    <row r="881" customFormat="false" ht="13.8" hidden="false" customHeight="false" outlineLevel="0" collapsed="false">
      <c r="K881" s="9"/>
    </row>
    <row r="882" customFormat="false" ht="13.8" hidden="false" customHeight="false" outlineLevel="0" collapsed="false">
      <c r="K882" s="9"/>
    </row>
    <row r="883" customFormat="false" ht="13.8" hidden="false" customHeight="false" outlineLevel="0" collapsed="false">
      <c r="K883" s="9"/>
    </row>
    <row r="884" customFormat="false" ht="13.8" hidden="false" customHeight="false" outlineLevel="0" collapsed="false">
      <c r="K884" s="9"/>
    </row>
    <row r="885" customFormat="false" ht="13.8" hidden="false" customHeight="false" outlineLevel="0" collapsed="false">
      <c r="K885" s="9"/>
    </row>
    <row r="886" customFormat="false" ht="13.8" hidden="false" customHeight="false" outlineLevel="0" collapsed="false">
      <c r="K886" s="9"/>
    </row>
    <row r="887" customFormat="false" ht="13.8" hidden="false" customHeight="false" outlineLevel="0" collapsed="false">
      <c r="K887" s="9"/>
    </row>
    <row r="888" customFormat="false" ht="13.8" hidden="false" customHeight="false" outlineLevel="0" collapsed="false">
      <c r="K888" s="9"/>
    </row>
    <row r="889" customFormat="false" ht="13.8" hidden="false" customHeight="false" outlineLevel="0" collapsed="false">
      <c r="K889" s="9"/>
    </row>
    <row r="890" customFormat="false" ht="13.8" hidden="false" customHeight="false" outlineLevel="0" collapsed="false">
      <c r="K890" s="9"/>
    </row>
    <row r="891" customFormat="false" ht="13.8" hidden="false" customHeight="false" outlineLevel="0" collapsed="false">
      <c r="K891" s="9"/>
    </row>
    <row r="892" customFormat="false" ht="13.8" hidden="false" customHeight="false" outlineLevel="0" collapsed="false">
      <c r="K892" s="9"/>
    </row>
    <row r="893" customFormat="false" ht="13.8" hidden="false" customHeight="false" outlineLevel="0" collapsed="false">
      <c r="K893" s="9"/>
    </row>
    <row r="894" customFormat="false" ht="13.8" hidden="false" customHeight="false" outlineLevel="0" collapsed="false">
      <c r="K894" s="9"/>
    </row>
    <row r="895" customFormat="false" ht="13.8" hidden="false" customHeight="false" outlineLevel="0" collapsed="false">
      <c r="K895" s="9"/>
    </row>
    <row r="896" customFormat="false" ht="13.8" hidden="false" customHeight="false" outlineLevel="0" collapsed="false">
      <c r="K896" s="9"/>
    </row>
    <row r="897" customFormat="false" ht="13.8" hidden="false" customHeight="false" outlineLevel="0" collapsed="false">
      <c r="K897" s="9"/>
    </row>
    <row r="898" customFormat="false" ht="13.8" hidden="false" customHeight="false" outlineLevel="0" collapsed="false">
      <c r="K898" s="9"/>
    </row>
    <row r="899" customFormat="false" ht="13.8" hidden="false" customHeight="false" outlineLevel="0" collapsed="false">
      <c r="K899" s="9"/>
    </row>
    <row r="900" customFormat="false" ht="13.8" hidden="false" customHeight="false" outlineLevel="0" collapsed="false">
      <c r="K900" s="9"/>
    </row>
    <row r="901" customFormat="false" ht="13.8" hidden="false" customHeight="false" outlineLevel="0" collapsed="false">
      <c r="K901" s="9"/>
    </row>
    <row r="902" customFormat="false" ht="13.8" hidden="false" customHeight="false" outlineLevel="0" collapsed="false">
      <c r="K902" s="9"/>
    </row>
    <row r="903" customFormat="false" ht="13.8" hidden="false" customHeight="false" outlineLevel="0" collapsed="false">
      <c r="K903" s="9"/>
    </row>
    <row r="904" customFormat="false" ht="13.8" hidden="false" customHeight="false" outlineLevel="0" collapsed="false">
      <c r="K904" s="9"/>
    </row>
    <row r="905" customFormat="false" ht="13.8" hidden="false" customHeight="false" outlineLevel="0" collapsed="false">
      <c r="K905" s="9"/>
    </row>
    <row r="906" customFormat="false" ht="13.8" hidden="false" customHeight="false" outlineLevel="0" collapsed="false">
      <c r="K906" s="9"/>
    </row>
    <row r="907" customFormat="false" ht="13.8" hidden="false" customHeight="false" outlineLevel="0" collapsed="false">
      <c r="K907" s="9"/>
    </row>
    <row r="908" customFormat="false" ht="13.8" hidden="false" customHeight="false" outlineLevel="0" collapsed="false">
      <c r="K908" s="9"/>
    </row>
    <row r="909" customFormat="false" ht="13.8" hidden="false" customHeight="false" outlineLevel="0" collapsed="false">
      <c r="K909" s="9"/>
    </row>
    <row r="910" customFormat="false" ht="13.8" hidden="false" customHeight="false" outlineLevel="0" collapsed="false">
      <c r="K910" s="9"/>
    </row>
    <row r="911" customFormat="false" ht="13.8" hidden="false" customHeight="false" outlineLevel="0" collapsed="false">
      <c r="K911" s="9"/>
    </row>
    <row r="912" customFormat="false" ht="13.8" hidden="false" customHeight="false" outlineLevel="0" collapsed="false">
      <c r="K912" s="9"/>
    </row>
    <row r="913" customFormat="false" ht="13.8" hidden="false" customHeight="false" outlineLevel="0" collapsed="false">
      <c r="K913" s="9"/>
    </row>
    <row r="914" customFormat="false" ht="13.8" hidden="false" customHeight="false" outlineLevel="0" collapsed="false">
      <c r="K914" s="9"/>
    </row>
    <row r="915" customFormat="false" ht="13.8" hidden="false" customHeight="false" outlineLevel="0" collapsed="false">
      <c r="K915" s="9"/>
    </row>
    <row r="916" customFormat="false" ht="13.8" hidden="false" customHeight="false" outlineLevel="0" collapsed="false">
      <c r="K916" s="9"/>
    </row>
    <row r="917" customFormat="false" ht="13.8" hidden="false" customHeight="false" outlineLevel="0" collapsed="false">
      <c r="K917" s="9"/>
    </row>
    <row r="918" customFormat="false" ht="13.8" hidden="false" customHeight="false" outlineLevel="0" collapsed="false">
      <c r="K918" s="9"/>
    </row>
    <row r="919" customFormat="false" ht="13.8" hidden="false" customHeight="false" outlineLevel="0" collapsed="false">
      <c r="K919" s="9"/>
    </row>
    <row r="920" customFormat="false" ht="13.8" hidden="false" customHeight="false" outlineLevel="0" collapsed="false">
      <c r="K920" s="9"/>
    </row>
    <row r="921" customFormat="false" ht="13.8" hidden="false" customHeight="false" outlineLevel="0" collapsed="false">
      <c r="K921" s="9"/>
    </row>
    <row r="922" customFormat="false" ht="13.8" hidden="false" customHeight="false" outlineLevel="0" collapsed="false">
      <c r="K922" s="9"/>
    </row>
    <row r="923" customFormat="false" ht="13.8" hidden="false" customHeight="false" outlineLevel="0" collapsed="false">
      <c r="K923" s="9"/>
    </row>
    <row r="924" customFormat="false" ht="13.8" hidden="false" customHeight="false" outlineLevel="0" collapsed="false">
      <c r="K924" s="9"/>
    </row>
    <row r="925" customFormat="false" ht="13.8" hidden="false" customHeight="false" outlineLevel="0" collapsed="false">
      <c r="K925" s="9"/>
    </row>
    <row r="926" customFormat="false" ht="13.8" hidden="false" customHeight="false" outlineLevel="0" collapsed="false">
      <c r="K926" s="9"/>
    </row>
    <row r="927" customFormat="false" ht="13.8" hidden="false" customHeight="false" outlineLevel="0" collapsed="false">
      <c r="K927" s="9"/>
    </row>
    <row r="928" customFormat="false" ht="13.8" hidden="false" customHeight="false" outlineLevel="0" collapsed="false">
      <c r="K928" s="9"/>
    </row>
    <row r="929" customFormat="false" ht="13.8" hidden="false" customHeight="false" outlineLevel="0" collapsed="false">
      <c r="K929" s="9"/>
    </row>
    <row r="930" customFormat="false" ht="13.8" hidden="false" customHeight="false" outlineLevel="0" collapsed="false">
      <c r="K930" s="9"/>
    </row>
    <row r="931" customFormat="false" ht="13.8" hidden="false" customHeight="false" outlineLevel="0" collapsed="false">
      <c r="K931" s="9"/>
    </row>
    <row r="932" customFormat="false" ht="13.8" hidden="false" customHeight="false" outlineLevel="0" collapsed="false">
      <c r="K932" s="9"/>
    </row>
    <row r="933" customFormat="false" ht="13.8" hidden="false" customHeight="false" outlineLevel="0" collapsed="false">
      <c r="K933" s="9"/>
    </row>
    <row r="934" customFormat="false" ht="13.8" hidden="false" customHeight="false" outlineLevel="0" collapsed="false">
      <c r="K934" s="9"/>
    </row>
    <row r="935" customFormat="false" ht="13.8" hidden="false" customHeight="false" outlineLevel="0" collapsed="false">
      <c r="K935" s="9"/>
    </row>
    <row r="936" customFormat="false" ht="13.8" hidden="false" customHeight="false" outlineLevel="0" collapsed="false">
      <c r="K936" s="9"/>
    </row>
    <row r="937" customFormat="false" ht="13.8" hidden="false" customHeight="false" outlineLevel="0" collapsed="false">
      <c r="K937" s="9"/>
    </row>
    <row r="938" customFormat="false" ht="13.8" hidden="false" customHeight="false" outlineLevel="0" collapsed="false">
      <c r="K938" s="9"/>
    </row>
    <row r="939" customFormat="false" ht="13.8" hidden="false" customHeight="false" outlineLevel="0" collapsed="false">
      <c r="K939" s="9"/>
    </row>
    <row r="940" customFormat="false" ht="13.8" hidden="false" customHeight="false" outlineLevel="0" collapsed="false">
      <c r="K940" s="9"/>
    </row>
    <row r="941" customFormat="false" ht="13.8" hidden="false" customHeight="false" outlineLevel="0" collapsed="false">
      <c r="K941" s="9"/>
    </row>
    <row r="942" customFormat="false" ht="13.8" hidden="false" customHeight="false" outlineLevel="0" collapsed="false">
      <c r="K942" s="9"/>
    </row>
    <row r="943" customFormat="false" ht="13.8" hidden="false" customHeight="false" outlineLevel="0" collapsed="false">
      <c r="K943" s="9"/>
    </row>
    <row r="944" customFormat="false" ht="13.8" hidden="false" customHeight="false" outlineLevel="0" collapsed="false">
      <c r="K944" s="9"/>
    </row>
    <row r="945" customFormat="false" ht="13.8" hidden="false" customHeight="false" outlineLevel="0" collapsed="false">
      <c r="K945" s="9"/>
    </row>
    <row r="946" customFormat="false" ht="13.8" hidden="false" customHeight="false" outlineLevel="0" collapsed="false">
      <c r="K946" s="9"/>
    </row>
    <row r="947" customFormat="false" ht="13.8" hidden="false" customHeight="false" outlineLevel="0" collapsed="false">
      <c r="K947" s="9"/>
    </row>
    <row r="948" customFormat="false" ht="13.8" hidden="false" customHeight="false" outlineLevel="0" collapsed="false">
      <c r="K948" s="9"/>
    </row>
    <row r="949" customFormat="false" ht="13.8" hidden="false" customHeight="false" outlineLevel="0" collapsed="false">
      <c r="K949" s="9"/>
    </row>
    <row r="950" customFormat="false" ht="13.8" hidden="false" customHeight="false" outlineLevel="0" collapsed="false">
      <c r="K950" s="9"/>
    </row>
    <row r="951" customFormat="false" ht="13.8" hidden="false" customHeight="false" outlineLevel="0" collapsed="false">
      <c r="K951" s="9"/>
    </row>
    <row r="952" customFormat="false" ht="13.8" hidden="false" customHeight="false" outlineLevel="0" collapsed="false">
      <c r="K952" s="9"/>
    </row>
    <row r="953" customFormat="false" ht="13.8" hidden="false" customHeight="false" outlineLevel="0" collapsed="false">
      <c r="K953" s="9"/>
    </row>
    <row r="954" customFormat="false" ht="13.8" hidden="false" customHeight="false" outlineLevel="0" collapsed="false">
      <c r="K954" s="9"/>
    </row>
    <row r="955" customFormat="false" ht="13.8" hidden="false" customHeight="false" outlineLevel="0" collapsed="false">
      <c r="K955" s="9"/>
    </row>
    <row r="956" customFormat="false" ht="13.8" hidden="false" customHeight="false" outlineLevel="0" collapsed="false">
      <c r="K956" s="9"/>
    </row>
    <row r="957" customFormat="false" ht="13.8" hidden="false" customHeight="false" outlineLevel="0" collapsed="false">
      <c r="K957" s="9"/>
    </row>
    <row r="958" customFormat="false" ht="13.8" hidden="false" customHeight="false" outlineLevel="0" collapsed="false">
      <c r="K958" s="9"/>
    </row>
    <row r="959" customFormat="false" ht="13.8" hidden="false" customHeight="false" outlineLevel="0" collapsed="false">
      <c r="K959" s="9"/>
    </row>
    <row r="960" customFormat="false" ht="13.8" hidden="false" customHeight="false" outlineLevel="0" collapsed="false">
      <c r="K960" s="9"/>
    </row>
    <row r="961" customFormat="false" ht="13.8" hidden="false" customHeight="false" outlineLevel="0" collapsed="false">
      <c r="K961" s="9"/>
    </row>
    <row r="962" customFormat="false" ht="13.8" hidden="false" customHeight="false" outlineLevel="0" collapsed="false">
      <c r="K962" s="9"/>
    </row>
    <row r="963" customFormat="false" ht="13.8" hidden="false" customHeight="false" outlineLevel="0" collapsed="false">
      <c r="K963" s="9"/>
    </row>
    <row r="964" customFormat="false" ht="13.8" hidden="false" customHeight="false" outlineLevel="0" collapsed="false">
      <c r="K964" s="9"/>
    </row>
    <row r="965" customFormat="false" ht="13.8" hidden="false" customHeight="false" outlineLevel="0" collapsed="false">
      <c r="K965" s="9"/>
    </row>
    <row r="966" customFormat="false" ht="13.8" hidden="false" customHeight="false" outlineLevel="0" collapsed="false">
      <c r="K966" s="9"/>
    </row>
    <row r="967" customFormat="false" ht="13.8" hidden="false" customHeight="false" outlineLevel="0" collapsed="false">
      <c r="K967" s="9"/>
    </row>
    <row r="968" customFormat="false" ht="13.8" hidden="false" customHeight="false" outlineLevel="0" collapsed="false">
      <c r="K968" s="9"/>
    </row>
    <row r="969" customFormat="false" ht="13.8" hidden="false" customHeight="false" outlineLevel="0" collapsed="false">
      <c r="K969" s="9"/>
    </row>
    <row r="970" customFormat="false" ht="13.8" hidden="false" customHeight="false" outlineLevel="0" collapsed="false">
      <c r="K970" s="9"/>
    </row>
    <row r="971" customFormat="false" ht="13.8" hidden="false" customHeight="false" outlineLevel="0" collapsed="false">
      <c r="K971" s="9"/>
    </row>
    <row r="972" customFormat="false" ht="13.8" hidden="false" customHeight="false" outlineLevel="0" collapsed="false">
      <c r="K972" s="9"/>
    </row>
    <row r="973" customFormat="false" ht="13.8" hidden="false" customHeight="false" outlineLevel="0" collapsed="false">
      <c r="K973" s="9"/>
    </row>
    <row r="974" customFormat="false" ht="13.8" hidden="false" customHeight="false" outlineLevel="0" collapsed="false">
      <c r="K974" s="9"/>
    </row>
    <row r="975" customFormat="false" ht="13.8" hidden="false" customHeight="false" outlineLevel="0" collapsed="false">
      <c r="K975" s="9"/>
    </row>
    <row r="976" customFormat="false" ht="13.8" hidden="false" customHeight="false" outlineLevel="0" collapsed="false">
      <c r="K976" s="9"/>
    </row>
    <row r="977" customFormat="false" ht="13.8" hidden="false" customHeight="false" outlineLevel="0" collapsed="false">
      <c r="K977" s="9"/>
    </row>
    <row r="978" customFormat="false" ht="13.8" hidden="false" customHeight="false" outlineLevel="0" collapsed="false">
      <c r="K978" s="9"/>
    </row>
    <row r="979" customFormat="false" ht="13.8" hidden="false" customHeight="false" outlineLevel="0" collapsed="false">
      <c r="K979" s="9"/>
    </row>
    <row r="980" customFormat="false" ht="13.8" hidden="false" customHeight="false" outlineLevel="0" collapsed="false">
      <c r="K980" s="9"/>
    </row>
    <row r="981" customFormat="false" ht="13.8" hidden="false" customHeight="false" outlineLevel="0" collapsed="false">
      <c r="K981" s="9"/>
    </row>
    <row r="982" customFormat="false" ht="13.8" hidden="false" customHeight="false" outlineLevel="0" collapsed="false">
      <c r="K982" s="9"/>
    </row>
    <row r="983" customFormat="false" ht="13.8" hidden="false" customHeight="false" outlineLevel="0" collapsed="false">
      <c r="K983" s="9"/>
    </row>
    <row r="984" customFormat="false" ht="13.8" hidden="false" customHeight="false" outlineLevel="0" collapsed="false">
      <c r="K984" s="9"/>
    </row>
    <row r="985" customFormat="false" ht="13.8" hidden="false" customHeight="false" outlineLevel="0" collapsed="false">
      <c r="K985" s="9"/>
    </row>
    <row r="986" customFormat="false" ht="13.8" hidden="false" customHeight="false" outlineLevel="0" collapsed="false">
      <c r="K986" s="9"/>
    </row>
    <row r="987" customFormat="false" ht="13.8" hidden="false" customHeight="false" outlineLevel="0" collapsed="false">
      <c r="K987" s="9"/>
    </row>
    <row r="988" customFormat="false" ht="13.8" hidden="false" customHeight="false" outlineLevel="0" collapsed="false">
      <c r="K988" s="9"/>
    </row>
    <row r="989" customFormat="false" ht="13.8" hidden="false" customHeight="false" outlineLevel="0" collapsed="false">
      <c r="K989" s="9"/>
    </row>
    <row r="990" customFormat="false" ht="13.8" hidden="false" customHeight="false" outlineLevel="0" collapsed="false">
      <c r="K990" s="9"/>
    </row>
    <row r="991" customFormat="false" ht="13.8" hidden="false" customHeight="false" outlineLevel="0" collapsed="false">
      <c r="K991" s="9"/>
    </row>
    <row r="992" customFormat="false" ht="13.8" hidden="false" customHeight="false" outlineLevel="0" collapsed="false">
      <c r="K992" s="9"/>
    </row>
    <row r="993" customFormat="false" ht="13.8" hidden="false" customHeight="false" outlineLevel="0" collapsed="false">
      <c r="K993" s="9"/>
    </row>
    <row r="994" customFormat="false" ht="13.8" hidden="false" customHeight="false" outlineLevel="0" collapsed="false">
      <c r="K994" s="9"/>
    </row>
    <row r="995" customFormat="false" ht="13.8" hidden="false" customHeight="false" outlineLevel="0" collapsed="false">
      <c r="K995" s="9"/>
    </row>
    <row r="996" customFormat="false" ht="13.8" hidden="false" customHeight="false" outlineLevel="0" collapsed="false">
      <c r="K996" s="9"/>
    </row>
    <row r="997" customFormat="false" ht="13.8" hidden="false" customHeight="false" outlineLevel="0" collapsed="false">
      <c r="K997" s="9"/>
    </row>
    <row r="998" customFormat="false" ht="13.8" hidden="false" customHeight="false" outlineLevel="0" collapsed="false">
      <c r="K998" s="9"/>
    </row>
    <row r="999" customFormat="false" ht="13.8" hidden="false" customHeight="false" outlineLevel="0" collapsed="false">
      <c r="K999" s="9"/>
    </row>
    <row r="1000" customFormat="false" ht="13.8" hidden="false" customHeight="false" outlineLevel="0" collapsed="false">
      <c r="K1000" s="9"/>
    </row>
    <row r="1001" customFormat="false" ht="13.8" hidden="false" customHeight="false" outlineLevel="0" collapsed="false">
      <c r="K1001" s="9"/>
    </row>
    <row r="1002" customFormat="false" ht="13.8" hidden="false" customHeight="false" outlineLevel="0" collapsed="false">
      <c r="K1002" s="9"/>
    </row>
    <row r="1003" customFormat="false" ht="13.8" hidden="false" customHeight="false" outlineLevel="0" collapsed="false">
      <c r="K1003" s="9"/>
    </row>
  </sheetData>
  <conditionalFormatting sqref="AE3:AE33">
    <cfRule type="colorScale" priority="2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3">
      <colorScale>
        <cfvo type="min" val="0"/>
        <cfvo type="max" val="0"/>
        <color rgb="FFFF0000"/>
        <color rgb="FF57BB8A"/>
      </colorScale>
    </cfRule>
  </conditionalFormatting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12.6953125" defaultRowHeight="15.75" zeroHeight="false" outlineLevelRow="0" outlineLevelCol="0"/>
  <cols>
    <col collapsed="false" customWidth="true" hidden="false" outlineLevel="0" max="1" min="1" style="0" width="23.13"/>
  </cols>
  <sheetData>
    <row r="1" customFormat="false" ht="26.8" hidden="false" customHeight="false" outlineLevel="0" collapsed="false">
      <c r="A1" s="115" t="s">
        <v>118</v>
      </c>
    </row>
    <row r="2" customFormat="false" ht="15.75" hidden="false" customHeight="false" outlineLevel="0" collapsed="false">
      <c r="A2" s="9" t="s">
        <v>119</v>
      </c>
    </row>
    <row r="3" customFormat="false" ht="15.75" hidden="false" customHeight="false" outlineLevel="0" collapsed="false">
      <c r="A3" s="116" t="s">
        <v>120</v>
      </c>
      <c r="B3" s="117"/>
      <c r="C3" s="117"/>
    </row>
    <row r="4" customFormat="false" ht="15.75" hidden="false" customHeight="false" outlineLevel="0" collapsed="false">
      <c r="A4" s="9"/>
    </row>
    <row r="5" customFormat="false" ht="15.75" hidden="false" customHeight="false" outlineLevel="0" collapsed="false">
      <c r="A5" s="9" t="s">
        <v>121</v>
      </c>
    </row>
    <row r="6" customFormat="false" ht="15.75" hidden="false" customHeight="false" outlineLevel="0" collapsed="false">
      <c r="A6" s="9" t="s">
        <v>122</v>
      </c>
    </row>
    <row r="7" customFormat="false" ht="15.75" hidden="false" customHeight="false" outlineLevel="0" collapsed="false">
      <c r="A7" s="9" t="s">
        <v>123</v>
      </c>
    </row>
    <row r="8" customFormat="false" ht="15.75" hidden="false" customHeight="false" outlineLevel="0" collapsed="false">
      <c r="A8" s="9" t="s">
        <v>124</v>
      </c>
    </row>
    <row r="9" customFormat="false" ht="15.75" hidden="false" customHeight="false" outlineLevel="0" collapsed="false">
      <c r="A9" s="9" t="s">
        <v>125</v>
      </c>
    </row>
    <row r="11" customFormat="false" ht="15.75" hidden="false" customHeight="false" outlineLevel="0" collapsed="false">
      <c r="A11" s="0" t="s">
        <v>126</v>
      </c>
    </row>
    <row r="12" customFormat="false" ht="15.75" hidden="false" customHeight="false" outlineLevel="0" collapsed="false">
      <c r="A12" s="23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79"/>
  <sheetViews>
    <sheetView showFormulas="false" showGridLines="true" showRowColHeaders="true" showZeros="true" rightToLeft="false" tabSelected="false" showOutlineSymbols="true" defaultGridColor="true" view="normal" topLeftCell="A5" colorId="64" zoomScale="100" zoomScaleNormal="100" zoomScalePageLayoutView="100" workbookViewId="0">
      <selection pane="topLeft" activeCell="M7" activeCellId="0" sqref="M7"/>
    </sheetView>
  </sheetViews>
  <sheetFormatPr defaultColWidth="12.6953125" defaultRowHeight="15.75" zeroHeight="false" outlineLevelRow="0" outlineLevelCol="0"/>
  <sheetData>
    <row r="1" customFormat="false" ht="15.75" hidden="false" customHeight="false" outlineLevel="0" collapsed="false">
      <c r="A1" s="118" t="s">
        <v>127</v>
      </c>
      <c r="B1" s="119" t="s">
        <v>128</v>
      </c>
      <c r="C1" s="119"/>
      <c r="D1" s="119"/>
      <c r="E1" s="119"/>
      <c r="F1" s="119"/>
      <c r="G1" s="118" t="s">
        <v>127</v>
      </c>
      <c r="H1" s="119" t="s">
        <v>129</v>
      </c>
      <c r="I1" s="119"/>
      <c r="N1" s="9"/>
    </row>
    <row r="2" customFormat="false" ht="15.75" hidden="false" customHeight="false" outlineLevel="0" collapsed="false">
      <c r="A2" s="118" t="s">
        <v>130</v>
      </c>
      <c r="B2" s="119" t="s">
        <v>131</v>
      </c>
      <c r="C2" s="119"/>
      <c r="D2" s="119"/>
      <c r="E2" s="119"/>
      <c r="F2" s="119"/>
      <c r="G2" s="118" t="s">
        <v>130</v>
      </c>
      <c r="H2" s="119" t="s">
        <v>131</v>
      </c>
      <c r="I2" s="119"/>
      <c r="N2" s="9"/>
    </row>
    <row r="3" customFormat="false" ht="15.75" hidden="false" customHeight="false" outlineLevel="0" collapsed="false">
      <c r="A3" s="119"/>
      <c r="B3" s="119"/>
      <c r="C3" s="119"/>
      <c r="D3" s="119"/>
      <c r="E3" s="119"/>
      <c r="F3" s="119"/>
      <c r="G3" s="119"/>
      <c r="H3" s="119"/>
      <c r="I3" s="119"/>
      <c r="N3" s="120"/>
    </row>
    <row r="4" customFormat="false" ht="15.75" hidden="false" customHeight="false" outlineLevel="0" collapsed="false">
      <c r="A4" s="119"/>
      <c r="B4" s="119"/>
      <c r="C4" s="119"/>
      <c r="D4" s="119"/>
      <c r="E4" s="119"/>
      <c r="F4" s="119"/>
      <c r="G4" s="119"/>
      <c r="H4" s="119"/>
      <c r="N4" s="121"/>
    </row>
    <row r="5" customFormat="false" ht="15.75" hidden="false" customHeight="false" outlineLevel="0" collapsed="false">
      <c r="A5" s="118" t="s">
        <v>132</v>
      </c>
      <c r="B5" s="118" t="s">
        <v>133</v>
      </c>
      <c r="C5" s="119"/>
      <c r="D5" s="119"/>
      <c r="E5" s="119"/>
      <c r="F5" s="119"/>
      <c r="G5" s="118" t="s">
        <v>132</v>
      </c>
      <c r="H5" s="118" t="s">
        <v>133</v>
      </c>
      <c r="I5" s="119"/>
      <c r="K5" s="9" t="s">
        <v>134</v>
      </c>
      <c r="M5" s="4" t="s">
        <v>135</v>
      </c>
      <c r="N5" s="120"/>
    </row>
    <row r="6" customFormat="false" ht="70.1" hidden="false" customHeight="true" outlineLevel="0" collapsed="false">
      <c r="A6" s="119" t="s">
        <v>136</v>
      </c>
      <c r="B6" s="122" t="n">
        <v>100</v>
      </c>
      <c r="C6" s="119"/>
      <c r="D6" s="119"/>
      <c r="E6" s="119"/>
      <c r="F6" s="119"/>
      <c r="G6" s="119" t="s">
        <v>136</v>
      </c>
      <c r="H6" s="122" t="n">
        <v>100</v>
      </c>
      <c r="I6" s="123" t="s">
        <v>137</v>
      </c>
      <c r="K6" s="123" t="s">
        <v>138</v>
      </c>
      <c r="L6" s="9" t="s">
        <v>139</v>
      </c>
      <c r="M6" s="123" t="s">
        <v>140</v>
      </c>
      <c r="N6" s="124" t="s">
        <v>141</v>
      </c>
    </row>
    <row r="7" customFormat="false" ht="15.75" hidden="false" customHeight="false" outlineLevel="0" collapsed="false">
      <c r="A7" s="119" t="s">
        <v>142</v>
      </c>
      <c r="B7" s="122" t="n">
        <v>98.017</v>
      </c>
      <c r="C7" s="43" t="n">
        <v>-0.01983</v>
      </c>
      <c r="D7" s="119"/>
      <c r="E7" s="119"/>
      <c r="F7" s="119"/>
      <c r="G7" s="119" t="s">
        <v>142</v>
      </c>
      <c r="H7" s="122" t="n">
        <v>94.292</v>
      </c>
      <c r="I7" s="125" t="n">
        <v>-0.05708</v>
      </c>
      <c r="K7" s="126" t="n">
        <v>0.03725</v>
      </c>
      <c r="L7" s="13" t="n">
        <f aca="false">M7-K7</f>
        <v>0.04575</v>
      </c>
      <c r="M7" s="127" t="n">
        <v>0.083</v>
      </c>
      <c r="N7" s="120"/>
    </row>
    <row r="8" customFormat="false" ht="15.75" hidden="false" customHeight="false" outlineLevel="0" collapsed="false">
      <c r="A8" s="119" t="s">
        <v>143</v>
      </c>
      <c r="B8" s="122" t="n">
        <v>117.193</v>
      </c>
      <c r="C8" s="43" t="n">
        <v>0.195639531917933</v>
      </c>
      <c r="D8" s="119"/>
      <c r="E8" s="119"/>
      <c r="F8" s="119"/>
      <c r="G8" s="119" t="s">
        <v>143</v>
      </c>
      <c r="H8" s="122" t="n">
        <v>108.993</v>
      </c>
      <c r="I8" s="125" t="n">
        <v>0.155909303016162</v>
      </c>
      <c r="K8" s="126" t="n">
        <v>0.039730228901771</v>
      </c>
      <c r="L8" s="13" t="n">
        <f aca="false">M8-K8</f>
        <v>0.040269771098229</v>
      </c>
      <c r="M8" s="127" t="n">
        <v>0.08</v>
      </c>
      <c r="N8" s="121"/>
    </row>
    <row r="9" customFormat="false" ht="15.75" hidden="false" customHeight="false" outlineLevel="0" collapsed="false">
      <c r="A9" s="119" t="s">
        <v>144</v>
      </c>
      <c r="B9" s="122" t="n">
        <v>144.79</v>
      </c>
      <c r="C9" s="43" t="n">
        <v>0.235483347981535</v>
      </c>
      <c r="D9" s="119"/>
      <c r="E9" s="119"/>
      <c r="F9" s="119"/>
      <c r="G9" s="119" t="s">
        <v>144</v>
      </c>
      <c r="H9" s="122" t="n">
        <v>130.737</v>
      </c>
      <c r="I9" s="125" t="n">
        <v>0.199499050397732</v>
      </c>
      <c r="K9" s="126" t="n">
        <v>0.035984297583803</v>
      </c>
      <c r="L9" s="13" t="n">
        <f aca="false">M9-K9</f>
        <v>0.043015702416197</v>
      </c>
      <c r="M9" s="127" t="n">
        <v>0.079</v>
      </c>
      <c r="N9" s="120"/>
    </row>
    <row r="10" customFormat="false" ht="15.75" hidden="false" customHeight="false" outlineLevel="0" collapsed="false">
      <c r="A10" s="119" t="s">
        <v>145</v>
      </c>
      <c r="B10" s="122" t="n">
        <v>123.787</v>
      </c>
      <c r="C10" s="43" t="n">
        <v>-0.145058360384004</v>
      </c>
      <c r="D10" s="119"/>
      <c r="E10" s="119"/>
      <c r="F10" s="119"/>
      <c r="G10" s="119" t="s">
        <v>145</v>
      </c>
      <c r="H10" s="122" t="n">
        <v>108.41</v>
      </c>
      <c r="I10" s="125" t="n">
        <v>-0.170777974100675</v>
      </c>
      <c r="K10" s="126" t="n">
        <v>0.025719613716671</v>
      </c>
      <c r="L10" s="13" t="n">
        <f aca="false">M10-K10</f>
        <v>0.067280386283329</v>
      </c>
      <c r="M10" s="127" t="n">
        <v>0.093</v>
      </c>
      <c r="N10" s="121"/>
    </row>
    <row r="11" customFormat="false" ht="15.75" hidden="false" customHeight="false" outlineLevel="0" collapsed="false">
      <c r="A11" s="119" t="s">
        <v>146</v>
      </c>
      <c r="B11" s="122" t="n">
        <v>93.484</v>
      </c>
      <c r="C11" s="43" t="n">
        <v>-0.244799534684579</v>
      </c>
      <c r="D11" s="119"/>
      <c r="E11" s="119"/>
      <c r="F11" s="119"/>
      <c r="G11" s="119" t="s">
        <v>146</v>
      </c>
      <c r="H11" s="122" t="n">
        <v>78.237</v>
      </c>
      <c r="I11" s="125" t="n">
        <v>-0.278323032930541</v>
      </c>
      <c r="K11" s="126" t="n">
        <v>0.033523498245962</v>
      </c>
      <c r="L11" s="13" t="n">
        <f aca="false">M11-K11</f>
        <v>0.070476501754038</v>
      </c>
      <c r="M11" s="127" t="n">
        <v>0.104</v>
      </c>
      <c r="N11" s="120"/>
    </row>
    <row r="12" customFormat="false" ht="15.75" hidden="false" customHeight="false" outlineLevel="0" collapsed="false">
      <c r="A12" s="119" t="s">
        <v>147</v>
      </c>
      <c r="B12" s="122" t="n">
        <v>125.732</v>
      </c>
      <c r="C12" s="43" t="n">
        <v>0.344957425869668</v>
      </c>
      <c r="D12" s="119"/>
      <c r="E12" s="119"/>
      <c r="F12" s="119"/>
      <c r="G12" s="119" t="s">
        <v>147</v>
      </c>
      <c r="H12" s="122" t="n">
        <v>100.863</v>
      </c>
      <c r="I12" s="125" t="n">
        <v>0.289198205452663</v>
      </c>
      <c r="K12" s="126" t="n">
        <v>0.055759220417005</v>
      </c>
      <c r="L12" s="13" t="n">
        <f aca="false">M12-K12</f>
        <v>0.031240779582995</v>
      </c>
      <c r="M12" s="127" t="n">
        <v>0.087</v>
      </c>
      <c r="N12" s="121"/>
    </row>
    <row r="13" customFormat="false" ht="15.75" hidden="false" customHeight="false" outlineLevel="0" collapsed="false">
      <c r="A13" s="119" t="s">
        <v>148</v>
      </c>
      <c r="B13" s="122" t="n">
        <v>144.228</v>
      </c>
      <c r="C13" s="43" t="n">
        <v>0.14710654407788</v>
      </c>
      <c r="D13" s="119"/>
      <c r="E13" s="119"/>
      <c r="F13" s="119"/>
      <c r="G13" s="119" t="s">
        <v>148</v>
      </c>
      <c r="H13" s="122" t="n">
        <v>111.262</v>
      </c>
      <c r="I13" s="125" t="n">
        <v>0.103100244886629</v>
      </c>
      <c r="K13" s="126" t="n">
        <v>0.044006299191251</v>
      </c>
      <c r="L13" s="13" t="n">
        <f aca="false">M13-K13</f>
        <v>0.035993700808749</v>
      </c>
      <c r="M13" s="127" t="n">
        <v>0.08</v>
      </c>
      <c r="N13" s="120"/>
    </row>
    <row r="14" customFormat="false" ht="15.75" hidden="false" customHeight="false" outlineLevel="0" collapsed="false">
      <c r="A14" s="119" t="s">
        <v>149</v>
      </c>
      <c r="B14" s="122" t="n">
        <v>147.115</v>
      </c>
      <c r="C14" s="43" t="n">
        <v>0.0200169176581524</v>
      </c>
      <c r="D14" s="119"/>
      <c r="E14" s="119"/>
      <c r="F14" s="119"/>
      <c r="G14" s="119" t="s">
        <v>149</v>
      </c>
      <c r="H14" s="122" t="n">
        <v>108.521</v>
      </c>
      <c r="I14" s="125" t="n">
        <v>-0.0246355449299851</v>
      </c>
      <c r="K14" s="126" t="n">
        <v>0.0446524625881375</v>
      </c>
      <c r="L14" s="13" t="n">
        <f aca="false">M14-K14</f>
        <v>0.0203475374118625</v>
      </c>
      <c r="M14" s="127" t="n">
        <v>0.065</v>
      </c>
      <c r="N14" s="121"/>
    </row>
    <row r="15" customFormat="false" ht="15.75" hidden="false" customHeight="false" outlineLevel="0" collapsed="false">
      <c r="A15" s="119" t="s">
        <v>150</v>
      </c>
      <c r="B15" s="122" t="n">
        <v>173.914</v>
      </c>
      <c r="C15" s="43" t="n">
        <v>0.182163613499643</v>
      </c>
      <c r="D15" s="119"/>
      <c r="E15" s="119"/>
      <c r="F15" s="119"/>
      <c r="G15" s="119" t="s">
        <v>150</v>
      </c>
      <c r="H15" s="122" t="n">
        <v>122.28</v>
      </c>
      <c r="I15" s="125" t="n">
        <v>0.12678652058127</v>
      </c>
      <c r="K15" s="126" t="n">
        <v>0.055377092918373</v>
      </c>
      <c r="L15" s="13" t="n">
        <f aca="false">M15-K15</f>
        <v>0.005622907081627</v>
      </c>
      <c r="M15" s="127" t="n">
        <v>0.061</v>
      </c>
      <c r="N15" s="120"/>
    </row>
    <row r="16" customFormat="false" ht="15.75" hidden="false" customHeight="false" outlineLevel="0" collapsed="false">
      <c r="A16" s="119" t="s">
        <v>151</v>
      </c>
      <c r="B16" s="122" t="n">
        <v>195.949</v>
      </c>
      <c r="C16" s="43" t="n">
        <v>0.126700553146958</v>
      </c>
      <c r="D16" s="119"/>
      <c r="E16" s="119"/>
      <c r="F16" s="119"/>
      <c r="G16" s="119" t="s">
        <v>151</v>
      </c>
      <c r="H16" s="122" t="n">
        <v>131.101</v>
      </c>
      <c r="I16" s="125" t="n">
        <v>0.0721377167157344</v>
      </c>
      <c r="K16" s="126" t="n">
        <v>0.0545628364312236</v>
      </c>
      <c r="L16" s="13" t="n">
        <f aca="false">M16-K16</f>
        <v>0.0214371635687764</v>
      </c>
      <c r="M16" s="127" t="n">
        <v>0.076</v>
      </c>
      <c r="N16" s="121"/>
    </row>
    <row r="17" customFormat="false" ht="15.75" hidden="false" customHeight="false" outlineLevel="0" collapsed="false">
      <c r="A17" s="119" t="s">
        <v>152</v>
      </c>
      <c r="B17" s="122" t="n">
        <v>250.269</v>
      </c>
      <c r="C17" s="43" t="n">
        <v>0.277214989614645</v>
      </c>
      <c r="D17" s="119"/>
      <c r="E17" s="119"/>
      <c r="F17" s="119"/>
      <c r="G17" s="119" t="s">
        <v>152</v>
      </c>
      <c r="H17" s="122" t="n">
        <v>159.228</v>
      </c>
      <c r="I17" s="125" t="n">
        <v>0.214544511483513</v>
      </c>
      <c r="K17" s="126" t="n">
        <v>0.062670478131132</v>
      </c>
      <c r="L17" s="13" t="n">
        <f aca="false">M17-K17</f>
        <v>0.021329521868868</v>
      </c>
      <c r="M17" s="127" t="n">
        <v>0.084</v>
      </c>
      <c r="N17" s="120"/>
    </row>
    <row r="18" customFormat="false" ht="15.75" hidden="false" customHeight="false" outlineLevel="0" collapsed="false">
      <c r="A18" s="119" t="s">
        <v>153</v>
      </c>
      <c r="B18" s="122" t="n">
        <v>241.998</v>
      </c>
      <c r="C18" s="43" t="n">
        <v>-0.0330484398786905</v>
      </c>
      <c r="D18" s="119"/>
      <c r="E18" s="119"/>
      <c r="F18" s="119"/>
      <c r="G18" s="119" t="s">
        <v>153</v>
      </c>
      <c r="H18" s="122" t="n">
        <v>146.62</v>
      </c>
      <c r="I18" s="125" t="n">
        <v>-0.0791820534076921</v>
      </c>
      <c r="K18" s="126" t="n">
        <v>0.0461336135290016</v>
      </c>
      <c r="L18" s="13" t="n">
        <f aca="false">M18-K18</f>
        <v>0.0548663864709984</v>
      </c>
      <c r="M18" s="127" t="n">
        <v>0.101</v>
      </c>
      <c r="N18" s="121"/>
    </row>
    <row r="19" customFormat="false" ht="15.75" hidden="false" customHeight="false" outlineLevel="0" collapsed="false">
      <c r="A19" s="119" t="s">
        <v>154</v>
      </c>
      <c r="B19" s="122" t="n">
        <v>269.277</v>
      </c>
      <c r="C19" s="43" t="n">
        <v>0.112724072099769</v>
      </c>
      <c r="D19" s="119"/>
      <c r="E19" s="119"/>
      <c r="F19" s="119"/>
      <c r="G19" s="119" t="s">
        <v>154</v>
      </c>
      <c r="H19" s="122" t="n">
        <v>155.156</v>
      </c>
      <c r="I19" s="125" t="n">
        <v>0.0582185240758424</v>
      </c>
      <c r="K19" s="126" t="n">
        <v>0.0545055480239266</v>
      </c>
      <c r="L19" s="13" t="n">
        <f aca="false">M19-K19</f>
        <v>0.0344944519760734</v>
      </c>
      <c r="M19" s="127" t="n">
        <v>0.089</v>
      </c>
      <c r="N19" s="120"/>
    </row>
    <row r="20" customFormat="false" ht="15.75" hidden="false" customHeight="false" outlineLevel="0" collapsed="false">
      <c r="A20" s="119" t="s">
        <v>155</v>
      </c>
      <c r="B20" s="122" t="n">
        <v>331.964</v>
      </c>
      <c r="C20" s="43" t="n">
        <v>0.232797453922912</v>
      </c>
      <c r="D20" s="119"/>
      <c r="E20" s="119"/>
      <c r="F20" s="119"/>
      <c r="G20" s="119" t="s">
        <v>155</v>
      </c>
      <c r="H20" s="122" t="n">
        <v>183.952</v>
      </c>
      <c r="I20" s="125" t="n">
        <v>0.18559385392766</v>
      </c>
      <c r="K20" s="126" t="n">
        <v>0.047203599995252</v>
      </c>
      <c r="L20" s="13" t="n">
        <f aca="false">M20-K20</f>
        <v>0.033796400004748</v>
      </c>
      <c r="M20" s="127" t="n">
        <v>0.081</v>
      </c>
      <c r="N20" s="121"/>
    </row>
    <row r="21" customFormat="false" ht="15.75" hidden="false" customHeight="false" outlineLevel="0" collapsed="false">
      <c r="A21" s="119" t="s">
        <v>156</v>
      </c>
      <c r="B21" s="122" t="n">
        <v>351.132</v>
      </c>
      <c r="C21" s="43" t="n">
        <v>0.0577412008531046</v>
      </c>
      <c r="D21" s="119"/>
      <c r="E21" s="119"/>
      <c r="F21" s="119"/>
      <c r="G21" s="119" t="s">
        <v>156</v>
      </c>
      <c r="H21" s="122" t="n">
        <v>187.205</v>
      </c>
      <c r="I21" s="125" t="n">
        <v>0.017683961033313</v>
      </c>
      <c r="K21" s="126" t="n">
        <v>0.0400572398197916</v>
      </c>
      <c r="L21" s="13" t="n">
        <f aca="false">M21-K21</f>
        <v>0.0399427601802084</v>
      </c>
      <c r="M21" s="127" t="n">
        <v>0.08</v>
      </c>
      <c r="N21" s="120"/>
    </row>
    <row r="22" customFormat="false" ht="15.75" hidden="false" customHeight="false" outlineLevel="0" collapsed="false">
      <c r="A22" s="119" t="s">
        <v>157</v>
      </c>
      <c r="B22" s="122" t="n">
        <v>497.798</v>
      </c>
      <c r="C22" s="43" t="n">
        <v>0.417694770057984</v>
      </c>
      <c r="D22" s="119"/>
      <c r="E22" s="119"/>
      <c r="F22" s="119"/>
      <c r="G22" s="119" t="s">
        <v>157</v>
      </c>
      <c r="H22" s="122" t="n">
        <v>256.514</v>
      </c>
      <c r="I22" s="125" t="n">
        <v>0.370230495980342</v>
      </c>
      <c r="K22" s="126" t="n">
        <v>0.047464274077642</v>
      </c>
      <c r="L22" s="13" t="n">
        <f aca="false">M22-K22</f>
        <v>0.022535725922358</v>
      </c>
      <c r="M22" s="127" t="n">
        <v>0.07</v>
      </c>
      <c r="N22" s="121"/>
    </row>
    <row r="23" customFormat="false" ht="15.75" hidden="false" customHeight="false" outlineLevel="0" collapsed="false">
      <c r="A23" s="119" t="s">
        <v>158</v>
      </c>
      <c r="B23" s="122" t="n">
        <v>710.853</v>
      </c>
      <c r="C23" s="43" t="n">
        <v>0.427994889493329</v>
      </c>
      <c r="D23" s="119"/>
      <c r="E23" s="119"/>
      <c r="F23" s="119"/>
      <c r="G23" s="119" t="s">
        <v>158</v>
      </c>
      <c r="H23" s="122" t="n">
        <v>356.825</v>
      </c>
      <c r="I23" s="125" t="n">
        <v>0.391054679276765</v>
      </c>
      <c r="K23" s="126" t="n">
        <v>0.036940210216564</v>
      </c>
      <c r="L23" s="13" t="n">
        <f aca="false">M23-K23</f>
        <v>0.025059789783436</v>
      </c>
      <c r="M23" s="127" t="n">
        <v>0.062</v>
      </c>
      <c r="N23" s="120"/>
    </row>
    <row r="24" customFormat="false" ht="15.75" hidden="false" customHeight="false" outlineLevel="0" collapsed="false">
      <c r="A24" s="119" t="s">
        <v>159</v>
      </c>
      <c r="B24" s="122" t="n">
        <v>830.015</v>
      </c>
      <c r="C24" s="43" t="n">
        <v>0.167632407825528</v>
      </c>
      <c r="D24" s="119"/>
      <c r="E24" s="119"/>
      <c r="F24" s="119"/>
      <c r="G24" s="119" t="s">
        <v>159</v>
      </c>
      <c r="H24" s="122" t="n">
        <v>407.994</v>
      </c>
      <c r="I24" s="125" t="n">
        <v>0.143400826735795</v>
      </c>
      <c r="K24" s="126" t="n">
        <v>0.024231581089733</v>
      </c>
      <c r="L24" s="13" t="n">
        <f aca="false">M24-K24</f>
        <v>0.038768418910267</v>
      </c>
      <c r="M24" s="127" t="n">
        <v>0.063</v>
      </c>
      <c r="N24" s="121"/>
    </row>
    <row r="25" customFormat="false" ht="15.75" hidden="false" customHeight="false" outlineLevel="0" collapsed="false">
      <c r="A25" s="119" t="s">
        <v>160</v>
      </c>
      <c r="B25" s="122" t="n">
        <v>1028.809</v>
      </c>
      <c r="C25" s="43" t="n">
        <v>0.239506514942501</v>
      </c>
      <c r="D25" s="119"/>
      <c r="E25" s="119"/>
      <c r="F25" s="119"/>
      <c r="G25" s="119" t="s">
        <v>160</v>
      </c>
      <c r="H25" s="122" t="n">
        <v>494.428</v>
      </c>
      <c r="I25" s="125" t="n">
        <v>0.211851154673843</v>
      </c>
      <c r="K25" s="126" t="n">
        <v>0.027655360268658</v>
      </c>
      <c r="L25" s="13" t="n">
        <f aca="false">M25-K25</f>
        <v>0.037344639731342</v>
      </c>
      <c r="M25" s="127" t="n">
        <v>0.065</v>
      </c>
      <c r="N25" s="120"/>
    </row>
    <row r="26" customFormat="false" ht="15.75" hidden="false" customHeight="false" outlineLevel="0" collapsed="false">
      <c r="A26" s="119" t="s">
        <v>161</v>
      </c>
      <c r="B26" s="122" t="n">
        <v>1205.7</v>
      </c>
      <c r="C26" s="43" t="n">
        <v>0.171937648290402</v>
      </c>
      <c r="D26" s="119"/>
      <c r="E26" s="119"/>
      <c r="F26" s="119"/>
      <c r="G26" s="119" t="s">
        <v>161</v>
      </c>
      <c r="H26" s="122" t="n">
        <v>567.338</v>
      </c>
      <c r="I26" s="125" t="n">
        <v>0.147463331364728</v>
      </c>
      <c r="K26" s="126" t="n">
        <v>0.024474316925674</v>
      </c>
      <c r="L26" s="13" t="n">
        <f aca="false">M26-K26</f>
        <v>0.045525683074326</v>
      </c>
      <c r="M26" s="127" t="n">
        <v>0.07</v>
      </c>
      <c r="N26" s="121"/>
    </row>
    <row r="27" customFormat="false" ht="15.75" hidden="false" customHeight="false" outlineLevel="0" collapsed="false">
      <c r="A27" s="119" t="s">
        <v>162</v>
      </c>
      <c r="B27" s="122" t="n">
        <v>1006.546</v>
      </c>
      <c r="C27" s="43" t="n">
        <v>-0.165177075557767</v>
      </c>
      <c r="D27" s="119"/>
      <c r="E27" s="119"/>
      <c r="F27" s="119"/>
      <c r="G27" s="119" t="s">
        <v>162</v>
      </c>
      <c r="H27" s="122" t="n">
        <v>461.527</v>
      </c>
      <c r="I27" s="125" t="n">
        <v>-0.186504341327392</v>
      </c>
      <c r="K27" s="126" t="n">
        <v>0.021327265769625</v>
      </c>
      <c r="L27" s="13" t="n">
        <f aca="false">M27-K27</f>
        <v>0.065672734230375</v>
      </c>
      <c r="M27" s="127" t="n">
        <v>0.087</v>
      </c>
      <c r="N27" s="120"/>
    </row>
    <row r="28" customFormat="false" ht="15.75" hidden="false" customHeight="false" outlineLevel="0" collapsed="false">
      <c r="A28" s="119" t="s">
        <v>163</v>
      </c>
      <c r="B28" s="122" t="n">
        <v>1197.46</v>
      </c>
      <c r="C28" s="43" t="n">
        <v>0.189672404440532</v>
      </c>
      <c r="D28" s="119"/>
      <c r="E28" s="119"/>
      <c r="F28" s="119"/>
      <c r="G28" s="119" t="s">
        <v>163</v>
      </c>
      <c r="H28" s="122" t="n">
        <v>535.364</v>
      </c>
      <c r="I28" s="125" t="n">
        <v>0.159984139606134</v>
      </c>
      <c r="K28" s="126" t="n">
        <v>0.029688264834398</v>
      </c>
      <c r="L28" s="13" t="n">
        <f aca="false">M28-K28</f>
        <v>0.054311735165602</v>
      </c>
      <c r="M28" s="127" t="n">
        <v>0.084</v>
      </c>
      <c r="N28" s="121"/>
    </row>
    <row r="29" customFormat="false" ht="15.75" hidden="false" customHeight="false" outlineLevel="0" collapsed="false">
      <c r="A29" s="119" t="s">
        <v>164</v>
      </c>
      <c r="B29" s="122" t="n">
        <v>1141.66</v>
      </c>
      <c r="C29" s="43" t="n">
        <v>-0.0465986337748233</v>
      </c>
      <c r="D29" s="119"/>
      <c r="E29" s="119"/>
      <c r="F29" s="119"/>
      <c r="G29" s="119" t="s">
        <v>164</v>
      </c>
      <c r="H29" s="122" t="n">
        <v>497.132</v>
      </c>
      <c r="I29" s="125" t="n">
        <v>-0.0714130946421501</v>
      </c>
      <c r="K29" s="126" t="n">
        <v>0.0248144608673268</v>
      </c>
      <c r="L29" s="13" t="n">
        <f aca="false">M29-K29</f>
        <v>0.0531855391326732</v>
      </c>
      <c r="M29" s="127" t="n">
        <v>0.078</v>
      </c>
      <c r="N29" s="120"/>
    </row>
    <row r="30" customFormat="false" ht="15.75" hidden="false" customHeight="false" outlineLevel="0" collapsed="false">
      <c r="A30" s="119" t="s">
        <v>165</v>
      </c>
      <c r="B30" s="122" t="n">
        <v>1405.713</v>
      </c>
      <c r="C30" s="43" t="n">
        <v>0.231288649860729</v>
      </c>
      <c r="D30" s="119"/>
      <c r="E30" s="119"/>
      <c r="F30" s="119"/>
      <c r="G30" s="119" t="s">
        <v>165</v>
      </c>
      <c r="H30" s="122" t="n">
        <v>598.496</v>
      </c>
      <c r="I30" s="125" t="n">
        <v>0.203897556383415</v>
      </c>
      <c r="K30" s="126" t="n">
        <v>0.027391093477314</v>
      </c>
      <c r="L30" s="13" t="n">
        <f aca="false">M30-K30</f>
        <v>0.037608906522686</v>
      </c>
      <c r="M30" s="127" t="n">
        <v>0.065</v>
      </c>
      <c r="N30" s="121"/>
    </row>
    <row r="31" customFormat="false" ht="15.75" hidden="false" customHeight="false" outlineLevel="0" collapsed="false">
      <c r="A31" s="119" t="s">
        <v>166</v>
      </c>
      <c r="B31" s="122" t="n">
        <v>1484.177</v>
      </c>
      <c r="C31" s="43" t="n">
        <v>0.055817937231853</v>
      </c>
      <c r="D31" s="119"/>
      <c r="E31" s="119"/>
      <c r="F31" s="119"/>
      <c r="G31" s="119" t="s">
        <v>166</v>
      </c>
      <c r="H31" s="122" t="n">
        <v>618.59</v>
      </c>
      <c r="I31" s="125" t="n">
        <v>0.0335741592257928</v>
      </c>
      <c r="K31" s="126" t="n">
        <v>0.0222437780060602</v>
      </c>
      <c r="L31" s="13" t="n">
        <f aca="false">M31-K31</f>
        <v>0.0467562219939398</v>
      </c>
      <c r="M31" s="127" t="n">
        <v>0.069</v>
      </c>
      <c r="N31" s="120"/>
    </row>
    <row r="32" customFormat="false" ht="15.75" hidden="false" customHeight="false" outlineLevel="0" collapsed="false">
      <c r="A32" s="119" t="s">
        <v>167</v>
      </c>
      <c r="B32" s="122" t="n">
        <v>1800.553</v>
      </c>
      <c r="C32" s="43" t="n">
        <v>0.213165949883336</v>
      </c>
      <c r="D32" s="119"/>
      <c r="E32" s="119"/>
      <c r="F32" s="119"/>
      <c r="G32" s="119" t="s">
        <v>167</v>
      </c>
      <c r="H32" s="122" t="n">
        <v>734.28</v>
      </c>
      <c r="I32" s="125" t="n">
        <v>0.18702209864369</v>
      </c>
      <c r="K32" s="126" t="n">
        <v>0.026143851239646</v>
      </c>
      <c r="L32" s="13" t="n">
        <f aca="false">M32-K32</f>
        <v>0.042856148760354</v>
      </c>
      <c r="M32" s="127" t="n">
        <v>0.069</v>
      </c>
      <c r="N32" s="121"/>
    </row>
    <row r="33" customFormat="false" ht="15.75" hidden="false" customHeight="false" outlineLevel="0" collapsed="false">
      <c r="A33" s="119" t="s">
        <v>168</v>
      </c>
      <c r="B33" s="122" t="n">
        <v>2052.559</v>
      </c>
      <c r="C33" s="43" t="n">
        <v>0.139960334408374</v>
      </c>
      <c r="D33" s="119"/>
      <c r="E33" s="119"/>
      <c r="F33" s="119"/>
      <c r="G33" s="119" t="s">
        <v>168</v>
      </c>
      <c r="H33" s="122" t="n">
        <v>820.362</v>
      </c>
      <c r="I33" s="125" t="n">
        <v>0.117233208040529</v>
      </c>
      <c r="K33" s="126" t="n">
        <v>0.022727126367845</v>
      </c>
      <c r="L33" s="13" t="n">
        <f aca="false">M33-K33</f>
        <v>0.039272873632155</v>
      </c>
      <c r="M33" s="127" t="n">
        <v>0.062</v>
      </c>
      <c r="N33" s="120"/>
    </row>
    <row r="34" customFormat="false" ht="15.75" hidden="false" customHeight="false" outlineLevel="0" collapsed="false">
      <c r="A34" s="119" t="s">
        <v>169</v>
      </c>
      <c r="B34" s="122" t="n">
        <v>2385.63</v>
      </c>
      <c r="C34" s="43" t="n">
        <v>0.162271096713907</v>
      </c>
      <c r="D34" s="119"/>
      <c r="E34" s="119"/>
      <c r="F34" s="119"/>
      <c r="G34" s="119" t="s">
        <v>169</v>
      </c>
      <c r="H34" s="122" t="n">
        <v>936.591</v>
      </c>
      <c r="I34" s="125" t="n">
        <v>0.141680136330059</v>
      </c>
      <c r="K34" s="126" t="n">
        <v>0.020590960383848</v>
      </c>
      <c r="L34" s="13" t="n">
        <f aca="false">M34-K34</f>
        <v>0.035409039616152</v>
      </c>
      <c r="M34" s="127" t="n">
        <v>0.056</v>
      </c>
    </row>
    <row r="35" customFormat="false" ht="15.75" hidden="false" customHeight="false" outlineLevel="0" collapsed="false">
      <c r="A35" s="119" t="s">
        <v>170</v>
      </c>
      <c r="B35" s="122" t="n">
        <v>2977.153</v>
      </c>
      <c r="C35" s="43" t="n">
        <v>0.247952532454739</v>
      </c>
      <c r="D35" s="119"/>
      <c r="E35" s="119"/>
      <c r="F35" s="119"/>
      <c r="G35" s="119" t="s">
        <v>170</v>
      </c>
      <c r="H35" s="122" t="n">
        <v>1149.952</v>
      </c>
      <c r="I35" s="125" t="n">
        <v>0.227805947313181</v>
      </c>
      <c r="K35" s="126" t="n">
        <v>0.020146585141558</v>
      </c>
      <c r="L35" s="13" t="n">
        <f aca="false">M35-K35</f>
        <v>0.025853414858442</v>
      </c>
      <c r="M35" s="127" t="n">
        <v>0.046</v>
      </c>
    </row>
    <row r="36" customFormat="false" ht="15.75" hidden="false" customHeight="false" outlineLevel="0" collapsed="false">
      <c r="A36" s="119" t="s">
        <v>171</v>
      </c>
      <c r="B36" s="122" t="n">
        <v>3731.559</v>
      </c>
      <c r="C36" s="43" t="n">
        <v>0.253398464909261</v>
      </c>
      <c r="D36" s="119"/>
      <c r="E36" s="119"/>
      <c r="F36" s="119"/>
      <c r="G36" s="119" t="s">
        <v>171</v>
      </c>
      <c r="H36" s="122" t="n">
        <v>1420.885</v>
      </c>
      <c r="I36" s="125" t="n">
        <v>0.235603746939003</v>
      </c>
      <c r="K36" s="126" t="n">
        <v>0.017794717970258</v>
      </c>
      <c r="L36" s="13" t="n">
        <f aca="false">M36-K36</f>
        <v>0.027205282029742</v>
      </c>
      <c r="M36" s="127" t="n">
        <v>0.045</v>
      </c>
    </row>
    <row r="37" customFormat="false" ht="15.75" hidden="false" customHeight="false" outlineLevel="0" collapsed="false">
      <c r="A37" s="119" t="s">
        <v>172</v>
      </c>
      <c r="B37" s="122" t="n">
        <v>3249.513</v>
      </c>
      <c r="C37" s="43" t="n">
        <v>-0.129180859796134</v>
      </c>
      <c r="D37" s="119"/>
      <c r="E37" s="119"/>
      <c r="F37" s="119"/>
      <c r="G37" s="119" t="s">
        <v>172</v>
      </c>
      <c r="H37" s="122" t="n">
        <v>1221.253</v>
      </c>
      <c r="I37" s="125" t="n">
        <v>-0.140498351379598</v>
      </c>
      <c r="K37" s="126" t="n">
        <v>0.011317491583464</v>
      </c>
      <c r="L37" s="13" t="n">
        <f aca="false">M37-K37</f>
        <v>0.041682508416536</v>
      </c>
      <c r="M37" s="127" t="n">
        <v>0.053</v>
      </c>
    </row>
    <row r="38" customFormat="false" ht="15.75" hidden="false" customHeight="false" outlineLevel="0" collapsed="false">
      <c r="A38" s="119" t="s">
        <v>173</v>
      </c>
      <c r="B38" s="122" t="n">
        <v>2712.658</v>
      </c>
      <c r="C38" s="43" t="n">
        <v>-0.165210910065601</v>
      </c>
      <c r="D38" s="119"/>
      <c r="E38" s="119"/>
      <c r="F38" s="119"/>
      <c r="G38" s="119" t="s">
        <v>173</v>
      </c>
      <c r="H38" s="122" t="n">
        <v>1003.516</v>
      </c>
      <c r="I38" s="125" t="n">
        <v>-0.178289838387296</v>
      </c>
      <c r="K38" s="126" t="n">
        <v>0.013078928321695</v>
      </c>
      <c r="L38" s="13" t="n">
        <f aca="false">M38-K38</f>
        <v>0.034921071678305</v>
      </c>
      <c r="M38" s="127" t="n">
        <v>0.048</v>
      </c>
    </row>
    <row r="39" customFormat="false" ht="15.75" hidden="false" customHeight="false" outlineLevel="0" collapsed="false">
      <c r="A39" s="119" t="s">
        <v>174</v>
      </c>
      <c r="B39" s="122" t="n">
        <v>2182.57</v>
      </c>
      <c r="C39" s="43" t="n">
        <v>-0.195412764897012</v>
      </c>
      <c r="D39" s="119"/>
      <c r="E39" s="119"/>
      <c r="F39" s="119"/>
      <c r="G39" s="119" t="s">
        <v>174</v>
      </c>
      <c r="H39" s="122" t="n">
        <v>792.215</v>
      </c>
      <c r="I39" s="125" t="n">
        <v>-0.21056066868889</v>
      </c>
      <c r="K39" s="126" t="n">
        <v>0.015147903791878</v>
      </c>
      <c r="L39" s="13" t="n">
        <f aca="false">M39-K39</f>
        <v>0.032852096208122</v>
      </c>
      <c r="M39" s="127" t="n">
        <v>0.048</v>
      </c>
    </row>
    <row r="40" customFormat="false" ht="15.75" hidden="false" customHeight="false" outlineLevel="0" collapsed="false">
      <c r="A40" s="119" t="s">
        <v>175</v>
      </c>
      <c r="B40" s="122" t="n">
        <v>2919.442</v>
      </c>
      <c r="C40" s="43" t="n">
        <v>0.3376166629249</v>
      </c>
      <c r="D40" s="119"/>
      <c r="E40" s="119"/>
      <c r="F40" s="119"/>
      <c r="G40" s="119" t="s">
        <v>175</v>
      </c>
      <c r="H40" s="122" t="n">
        <v>1036.318</v>
      </c>
      <c r="I40" s="125" t="n">
        <v>0.308127212940931</v>
      </c>
      <c r="K40" s="126" t="n">
        <v>0.029489449983969</v>
      </c>
      <c r="L40" s="13" t="n">
        <f aca="false">M40-K40</f>
        <v>0.011510550016031</v>
      </c>
      <c r="M40" s="127" t="n">
        <v>0.041</v>
      </c>
    </row>
    <row r="41" customFormat="false" ht="15.75" hidden="false" customHeight="false" outlineLevel="0" collapsed="false">
      <c r="A41" s="119" t="s">
        <v>176</v>
      </c>
      <c r="B41" s="122" t="n">
        <v>3364.558</v>
      </c>
      <c r="C41" s="43" t="n">
        <v>0.152466121950702</v>
      </c>
      <c r="D41" s="119"/>
      <c r="E41" s="119"/>
      <c r="F41" s="119"/>
      <c r="G41" s="119" t="s">
        <v>176</v>
      </c>
      <c r="H41" s="122" t="n">
        <v>1169.341</v>
      </c>
      <c r="I41" s="125" t="n">
        <v>0.128361178711554</v>
      </c>
      <c r="K41" s="126" t="n">
        <v>0.024104943239148</v>
      </c>
      <c r="L41" s="13" t="n">
        <f aca="false">M41-K41</f>
        <v>0.015895056760852</v>
      </c>
      <c r="M41" s="127" t="n">
        <v>0.04</v>
      </c>
    </row>
    <row r="42" customFormat="false" ht="15.75" hidden="false" customHeight="false" outlineLevel="0" collapsed="false">
      <c r="A42" s="119" t="s">
        <v>177</v>
      </c>
      <c r="B42" s="122" t="n">
        <v>3701.795</v>
      </c>
      <c r="C42" s="43" t="n">
        <v>0.100232185029951</v>
      </c>
      <c r="D42" s="119"/>
      <c r="E42" s="119"/>
      <c r="F42" s="119"/>
      <c r="G42" s="119" t="s">
        <v>177</v>
      </c>
      <c r="H42" s="122" t="n">
        <v>1257.775</v>
      </c>
      <c r="I42" s="125" t="n">
        <v>0.075627212250319</v>
      </c>
      <c r="K42" s="126" t="n">
        <v>0.024604972779632</v>
      </c>
      <c r="L42" s="13" t="n">
        <f aca="false">M42-K42</f>
        <v>0.009395027220368</v>
      </c>
      <c r="M42" s="127" t="n">
        <v>0.034</v>
      </c>
    </row>
    <row r="43" customFormat="false" ht="15.75" hidden="false" customHeight="false" outlineLevel="0" collapsed="false">
      <c r="A43" s="119" t="s">
        <v>178</v>
      </c>
      <c r="B43" s="122" t="n">
        <v>4466.298</v>
      </c>
      <c r="C43" s="43" t="n">
        <v>0.206522241237021</v>
      </c>
      <c r="D43" s="119"/>
      <c r="E43" s="119"/>
      <c r="F43" s="119"/>
      <c r="G43" s="119" t="s">
        <v>178</v>
      </c>
      <c r="H43" s="122" t="n">
        <v>1483.578</v>
      </c>
      <c r="I43" s="125" t="n">
        <v>0.17952574983602</v>
      </c>
      <c r="K43" s="126" t="n">
        <v>0.026996491401001</v>
      </c>
      <c r="L43" s="13" t="n">
        <f aca="false">M43-K43</f>
        <v>0.011003508598999</v>
      </c>
      <c r="M43" s="127" t="n">
        <v>0.038</v>
      </c>
    </row>
    <row r="44" customFormat="false" ht="15.75" hidden="false" customHeight="false" outlineLevel="0" collapsed="false">
      <c r="A44" s="119" t="s">
        <v>179</v>
      </c>
      <c r="B44" s="122" t="n">
        <v>4893.543</v>
      </c>
      <c r="C44" s="43" t="n">
        <v>0.0956597611713326</v>
      </c>
      <c r="D44" s="119"/>
      <c r="E44" s="119"/>
      <c r="F44" s="119"/>
      <c r="G44" s="119" t="s">
        <v>179</v>
      </c>
      <c r="H44" s="122" t="n">
        <v>1588.803</v>
      </c>
      <c r="I44" s="125" t="n">
        <v>0.0709265033587718</v>
      </c>
      <c r="K44" s="126" t="n">
        <v>0.0247332578125608</v>
      </c>
      <c r="L44" s="13" t="n">
        <f aca="false">M44-K44</f>
        <v>0.0172667421874392</v>
      </c>
      <c r="M44" s="127" t="n">
        <v>0.042</v>
      </c>
    </row>
    <row r="45" customFormat="false" ht="15.75" hidden="false" customHeight="false" outlineLevel="0" collapsed="false">
      <c r="A45" s="119" t="s">
        <v>180</v>
      </c>
      <c r="B45" s="122" t="n">
        <v>2919.783</v>
      </c>
      <c r="C45" s="43" t="n">
        <v>-0.403339666168255</v>
      </c>
      <c r="D45" s="119"/>
      <c r="E45" s="119"/>
      <c r="F45" s="119"/>
      <c r="G45" s="119" t="s">
        <v>180</v>
      </c>
      <c r="H45" s="122" t="n">
        <v>920.226</v>
      </c>
      <c r="I45" s="125" t="n">
        <v>-0.420805474309905</v>
      </c>
      <c r="K45" s="126" t="n">
        <v>0.01746580814165</v>
      </c>
      <c r="L45" s="13" t="n">
        <f aca="false">M45-K45</f>
        <v>0.02253419185835</v>
      </c>
      <c r="M45" s="127" t="n">
        <v>0.04</v>
      </c>
    </row>
    <row r="46" customFormat="false" ht="15.75" hidden="false" customHeight="false" outlineLevel="0" collapsed="false">
      <c r="A46" s="119" t="s">
        <v>181</v>
      </c>
      <c r="B46" s="122" t="n">
        <v>3818.859</v>
      </c>
      <c r="C46" s="43" t="n">
        <v>0.307925623239809</v>
      </c>
      <c r="D46" s="119"/>
      <c r="E46" s="119"/>
      <c r="F46" s="119"/>
      <c r="G46" s="119" t="s">
        <v>181</v>
      </c>
      <c r="H46" s="122" t="n">
        <v>1168.468</v>
      </c>
      <c r="I46" s="125" t="n">
        <v>0.269761993249484</v>
      </c>
      <c r="K46" s="126" t="n">
        <v>0.038163629990325</v>
      </c>
      <c r="L46" s="13" t="n">
        <f aca="false">M46-K46</f>
        <v>-0.006163629990325</v>
      </c>
      <c r="M46" s="127" t="n">
        <v>0.032</v>
      </c>
    </row>
    <row r="47" customFormat="false" ht="15.75" hidden="false" customHeight="false" outlineLevel="0" collapsed="false">
      <c r="A47" s="119" t="s">
        <v>182</v>
      </c>
      <c r="B47" s="122" t="n">
        <v>4290.045</v>
      </c>
      <c r="C47" s="43" t="n">
        <v>0.123383974113734</v>
      </c>
      <c r="D47" s="119"/>
      <c r="E47" s="119"/>
      <c r="F47" s="119"/>
      <c r="G47" s="119" t="s">
        <v>182</v>
      </c>
      <c r="H47" s="122" t="n">
        <v>1280.071</v>
      </c>
      <c r="I47" s="125" t="n">
        <v>0.0955122433819324</v>
      </c>
      <c r="K47" s="126" t="n">
        <v>0.0278717307318016</v>
      </c>
      <c r="L47" s="13" t="n">
        <f aca="false">M47-K47</f>
        <v>-0.0008717307318016</v>
      </c>
      <c r="M47" s="127" t="n">
        <v>0.027</v>
      </c>
    </row>
    <row r="48" customFormat="false" ht="15.75" hidden="false" customHeight="false" outlineLevel="0" collapsed="false">
      <c r="A48" s="119" t="s">
        <v>183</v>
      </c>
      <c r="B48" s="122" t="n">
        <v>4074.834</v>
      </c>
      <c r="C48" s="43" t="n">
        <v>-0.0501652080572582</v>
      </c>
      <c r="D48" s="119"/>
      <c r="E48" s="119"/>
      <c r="F48" s="119"/>
      <c r="G48" s="119" t="s">
        <v>183</v>
      </c>
      <c r="H48" s="122" t="n">
        <v>1182.595</v>
      </c>
      <c r="I48" s="125" t="n">
        <v>-0.0761489011156412</v>
      </c>
      <c r="K48" s="126" t="n">
        <v>0.025983693058383</v>
      </c>
      <c r="L48" s="13" t="n">
        <f aca="false">M48-K48</f>
        <v>1.63069416170003E-005</v>
      </c>
      <c r="M48" s="127" t="n">
        <v>0.026</v>
      </c>
    </row>
    <row r="49" customFormat="false" ht="15.75" hidden="false" customHeight="false" outlineLevel="0" collapsed="false">
      <c r="A49" s="119" t="s">
        <v>184</v>
      </c>
      <c r="B49" s="122" t="n">
        <v>4748.699</v>
      </c>
      <c r="C49" s="43" t="n">
        <v>0.16537238081355</v>
      </c>
      <c r="D49" s="119"/>
      <c r="E49" s="119"/>
      <c r="F49" s="119"/>
      <c r="G49" s="119" t="s">
        <v>184</v>
      </c>
      <c r="H49" s="122" t="n">
        <v>1338.5</v>
      </c>
      <c r="I49" s="125" t="n">
        <v>0.131832960565536</v>
      </c>
      <c r="K49" s="126" t="n">
        <v>0.033539420248014</v>
      </c>
      <c r="L49" s="13" t="n">
        <f aca="false">M49-K49</f>
        <v>-0.018539420248014</v>
      </c>
      <c r="M49" s="127" t="n">
        <v>0.015</v>
      </c>
    </row>
    <row r="50" customFormat="false" ht="15.75" hidden="false" customHeight="false" outlineLevel="0" collapsed="false">
      <c r="A50" s="119" t="s">
        <v>185</v>
      </c>
      <c r="B50" s="122" t="n">
        <v>6048.181</v>
      </c>
      <c r="C50" s="43" t="n">
        <v>0.273650109219388</v>
      </c>
      <c r="D50" s="119"/>
      <c r="E50" s="119"/>
      <c r="F50" s="119"/>
      <c r="G50" s="119" t="s">
        <v>185</v>
      </c>
      <c r="H50" s="122" t="n">
        <v>1661.069</v>
      </c>
      <c r="I50" s="125" t="n">
        <v>0.240992902502802</v>
      </c>
      <c r="K50" s="126" t="n">
        <v>0.032657206716586</v>
      </c>
      <c r="L50" s="13" t="n">
        <f aca="false">M50-K50</f>
        <v>-0.016657206716586</v>
      </c>
      <c r="M50" s="127" t="n">
        <v>0.016</v>
      </c>
    </row>
    <row r="51" customFormat="false" ht="15.75" hidden="false" customHeight="false" outlineLevel="0" collapsed="false">
      <c r="A51" s="119" t="s">
        <v>186</v>
      </c>
      <c r="B51" s="122" t="n">
        <v>6381.054</v>
      </c>
      <c r="C51" s="43" t="n">
        <v>0.05503687802994</v>
      </c>
      <c r="D51" s="119"/>
      <c r="E51" s="119"/>
      <c r="F51" s="119"/>
      <c r="G51" s="119" t="s">
        <v>186</v>
      </c>
      <c r="H51" s="122" t="n">
        <v>1709.672</v>
      </c>
      <c r="I51" s="125" t="n">
        <v>0.0292600728807775</v>
      </c>
      <c r="K51" s="126" t="n">
        <v>0.0257768051491625</v>
      </c>
      <c r="L51" s="13" t="n">
        <f aca="false">M51-K51</f>
        <v>-0.0137768051491625</v>
      </c>
      <c r="M51" s="127" t="n">
        <v>0.012</v>
      </c>
    </row>
    <row r="52" customFormat="false" ht="15.75" hidden="false" customHeight="false" outlineLevel="0" collapsed="false">
      <c r="A52" s="119" t="s">
        <v>187</v>
      </c>
      <c r="B52" s="122" t="n">
        <v>6360.575</v>
      </c>
      <c r="C52" s="43" t="n">
        <v>-0.00320934441238085</v>
      </c>
      <c r="D52" s="119"/>
      <c r="E52" s="119"/>
      <c r="F52" s="119"/>
      <c r="G52" s="119" t="s">
        <v>187</v>
      </c>
      <c r="H52" s="122" t="n">
        <v>1662.794</v>
      </c>
      <c r="I52" s="125" t="n">
        <v>-0.0274192944611598</v>
      </c>
      <c r="K52" s="126" t="n">
        <v>0.0242099500487789</v>
      </c>
      <c r="L52" s="13" t="n">
        <f aca="false">M52-K52</f>
        <v>-0.0192099500487789</v>
      </c>
      <c r="M52" s="127" t="n">
        <v>0.005</v>
      </c>
    </row>
    <row r="53" customFormat="false" ht="15.75" hidden="false" customHeight="false" outlineLevel="0" collapsed="false">
      <c r="A53" s="119" t="s">
        <v>188</v>
      </c>
      <c r="B53" s="122" t="n">
        <v>6879.162</v>
      </c>
      <c r="C53" s="43" t="n">
        <v>0.0815314653156358</v>
      </c>
      <c r="D53" s="119"/>
      <c r="E53" s="119"/>
      <c r="F53" s="119"/>
      <c r="G53" s="119" t="s">
        <v>188</v>
      </c>
      <c r="H53" s="122" t="n">
        <v>1751.219</v>
      </c>
      <c r="I53" s="125" t="n">
        <v>0.0531785657152961</v>
      </c>
      <c r="K53" s="126" t="n">
        <v>0.0283528996003397</v>
      </c>
      <c r="L53" s="13" t="n">
        <f aca="false">M53-K53</f>
        <v>-0.0273528996003397</v>
      </c>
      <c r="M53" s="127" t="n">
        <v>0.001</v>
      </c>
    </row>
    <row r="54" customFormat="false" ht="15.75" hidden="false" customHeight="false" outlineLevel="0" collapsed="false">
      <c r="A54" s="119" t="s">
        <v>189</v>
      </c>
      <c r="B54" s="122" t="n">
        <v>8466.345</v>
      </c>
      <c r="C54" s="43" t="n">
        <v>0.230723306123624</v>
      </c>
      <c r="D54" s="119"/>
      <c r="E54" s="119"/>
      <c r="F54" s="119"/>
      <c r="G54" s="119" t="s">
        <v>189</v>
      </c>
      <c r="H54" s="122" t="n">
        <v>2103.448</v>
      </c>
      <c r="I54" s="125" t="n">
        <v>0.201133610359412</v>
      </c>
      <c r="K54" s="126" t="n">
        <v>0.029589695764212</v>
      </c>
      <c r="L54" s="13" t="n">
        <f aca="false">M54-K54</f>
        <v>-0.026589695764212</v>
      </c>
      <c r="M54" s="127" t="n">
        <v>0.003</v>
      </c>
    </row>
    <row r="55" customFormat="false" ht="15.75" hidden="false" customHeight="false" outlineLevel="0" collapsed="false">
      <c r="A55" s="119" t="s">
        <v>190</v>
      </c>
      <c r="B55" s="122" t="n">
        <v>7771.71</v>
      </c>
      <c r="C55" s="43" t="n">
        <v>-0.0820466210625718</v>
      </c>
      <c r="D55" s="119"/>
      <c r="E55" s="119"/>
      <c r="F55" s="119"/>
      <c r="G55" s="119" t="s">
        <v>190</v>
      </c>
      <c r="H55" s="122" t="n">
        <v>1883.901</v>
      </c>
      <c r="I55" s="125" t="n">
        <v>-0.104374816967189</v>
      </c>
      <c r="K55" s="126" t="n">
        <v>0.0223281959046172</v>
      </c>
      <c r="L55" s="13" t="n">
        <f aca="false">M55-K55</f>
        <v>-0.0183281959046172</v>
      </c>
      <c r="M55" s="127" t="n">
        <v>0.004</v>
      </c>
    </row>
    <row r="56" customFormat="false" ht="15.75" hidden="false" customHeight="false" outlineLevel="0" collapsed="false">
      <c r="A56" s="119" t="s">
        <v>191</v>
      </c>
      <c r="B56" s="122" t="n">
        <v>9979.034</v>
      </c>
      <c r="C56" s="43" t="n">
        <v>0.284020376467984</v>
      </c>
      <c r="D56" s="119"/>
      <c r="E56" s="119"/>
      <c r="F56" s="119"/>
      <c r="G56" s="119" t="s">
        <v>191</v>
      </c>
      <c r="H56" s="122" t="n">
        <v>2358.468</v>
      </c>
      <c r="I56" s="125" t="n">
        <v>0.251906549229498</v>
      </c>
      <c r="K56" s="126" t="n">
        <v>0.032113827238486</v>
      </c>
      <c r="L56" s="13" t="n">
        <f aca="false">M56-K56</f>
        <v>-0.035113827238486</v>
      </c>
      <c r="M56" s="127" t="n">
        <v>-0.003</v>
      </c>
    </row>
    <row r="57" customFormat="false" ht="15.75" hidden="false" customHeight="false" outlineLevel="0" collapsed="false">
      <c r="A57" s="119" t="s">
        <v>192</v>
      </c>
      <c r="B57" s="122" t="n">
        <v>11625.199</v>
      </c>
      <c r="C57" s="43" t="n">
        <v>0.164962360084153</v>
      </c>
      <c r="D57" s="119"/>
      <c r="E57" s="119"/>
      <c r="F57" s="119"/>
      <c r="G57" s="119" t="s">
        <v>192</v>
      </c>
      <c r="H57" s="122" t="n">
        <v>2690.044</v>
      </c>
      <c r="I57" s="125" t="n">
        <v>0.140589569160998</v>
      </c>
      <c r="K57" s="126" t="n">
        <v>0.024372790923155</v>
      </c>
      <c r="L57" s="13" t="n">
        <f aca="false">M57-K57</f>
        <v>-0.029372790923155</v>
      </c>
      <c r="M57" s="127" t="n">
        <v>-0.005</v>
      </c>
    </row>
    <row r="58" customFormat="false" ht="15.75" hidden="false" customHeight="false" outlineLevel="0" collapsed="false">
      <c r="A58" s="119" t="s">
        <v>193</v>
      </c>
      <c r="B58" s="122" t="n">
        <v>14223.137</v>
      </c>
      <c r="C58" s="43" t="n">
        <v>0.223474712131809</v>
      </c>
      <c r="D58" s="119"/>
      <c r="E58" s="119"/>
      <c r="F58" s="119"/>
      <c r="G58" s="119" t="s">
        <v>193</v>
      </c>
      <c r="H58" s="122" t="n">
        <v>3231.727</v>
      </c>
      <c r="I58" s="125" t="n">
        <v>0.201365851264886</v>
      </c>
      <c r="K58" s="126" t="n">
        <v>0.022108860866923</v>
      </c>
      <c r="L58" s="13" t="n">
        <f aca="false">M58-K58</f>
        <v>-0.026108860866923</v>
      </c>
      <c r="M58" s="127" t="n">
        <v>-0.004</v>
      </c>
    </row>
    <row r="59" customFormat="false" ht="15.75" hidden="false" customHeight="false" outlineLevel="0" collapsed="false">
      <c r="A59" s="119" t="s">
        <v>194</v>
      </c>
      <c r="B59" s="122" t="n">
        <v>11700.992</v>
      </c>
      <c r="C59" s="43" t="n">
        <v>-0.177326914589939</v>
      </c>
      <c r="D59" s="119"/>
      <c r="E59" s="119"/>
      <c r="F59" s="119"/>
      <c r="G59" s="119" t="s">
        <v>194</v>
      </c>
      <c r="H59" s="122" t="n">
        <v>2602.685</v>
      </c>
      <c r="I59" s="125" t="n">
        <v>-0.194645772987632</v>
      </c>
      <c r="K59" s="126" t="n">
        <v>0.0173188583976927</v>
      </c>
      <c r="L59" s="13" t="n">
        <f aca="false">M59-K59</f>
        <v>-0.0059188583976927</v>
      </c>
      <c r="M59" s="127" t="n">
        <v>0.0114</v>
      </c>
    </row>
    <row r="60" customFormat="false" ht="15.75" hidden="false" customHeight="false" outlineLevel="0" collapsed="false">
      <c r="A60" s="119" t="s">
        <v>195</v>
      </c>
      <c r="B60" s="122" t="n">
        <v>14557.826</v>
      </c>
      <c r="C60" s="43" t="n">
        <v>0.244153145305971</v>
      </c>
      <c r="D60" s="119"/>
      <c r="E60" s="119"/>
      <c r="F60" s="119"/>
      <c r="G60" s="119" t="s">
        <v>195</v>
      </c>
      <c r="H60" s="122" t="n">
        <v>3169.18</v>
      </c>
      <c r="I60" s="125" t="n">
        <v>0.217657918649395</v>
      </c>
      <c r="K60" s="126" t="n">
        <v>0.0264952266565759</v>
      </c>
      <c r="L60" s="13" t="n">
        <f aca="false">M60-K60</f>
        <v>-0.0021952266565759</v>
      </c>
      <c r="M60" s="127" t="n">
        <v>0.0243</v>
      </c>
    </row>
    <row r="61" customFormat="false" ht="15.75" hidden="false" customHeight="false" outlineLevel="0" collapsed="false">
      <c r="A61" s="119" t="s">
        <v>196</v>
      </c>
      <c r="B61" s="122" t="n">
        <v>17352.115</v>
      </c>
      <c r="C61" s="43" t="n">
        <v>0.191944113083918</v>
      </c>
      <c r="D61" s="119"/>
      <c r="E61" s="119"/>
      <c r="F61" s="119"/>
      <c r="G61" s="119" t="s">
        <v>196</v>
      </c>
      <c r="H61" s="122" t="n">
        <v>3707.837</v>
      </c>
      <c r="I61" s="125" t="n">
        <v>0.169967310155939</v>
      </c>
      <c r="K61" s="126" t="n">
        <v>0.0219768029279788</v>
      </c>
      <c r="L61" s="13" t="n">
        <f aca="false">M61-K61</f>
        <v>0.0012231970720212</v>
      </c>
      <c r="M61" s="127" t="n">
        <v>0.0232</v>
      </c>
    </row>
    <row r="62" customFormat="false" ht="15.75" hidden="false" customHeight="false" outlineLevel="0" collapsed="false">
      <c r="A62" s="119"/>
      <c r="B62" s="119"/>
      <c r="C62" s="119"/>
      <c r="D62" s="119"/>
      <c r="E62" s="119"/>
      <c r="F62" s="119"/>
      <c r="G62" s="119"/>
      <c r="H62" s="119"/>
      <c r="I62" s="119"/>
    </row>
    <row r="63" customFormat="false" ht="15.75" hidden="false" customHeight="false" outlineLevel="0" collapsed="false">
      <c r="A63" s="119" t="s">
        <v>197</v>
      </c>
      <c r="B63" s="119"/>
      <c r="C63" s="119"/>
      <c r="D63" s="119"/>
      <c r="E63" s="119"/>
      <c r="F63" s="119"/>
      <c r="G63" s="119"/>
      <c r="H63" s="119"/>
      <c r="I63" s="119"/>
    </row>
    <row r="64" customFormat="false" ht="15.75" hidden="false" customHeight="false" outlineLevel="0" collapsed="false">
      <c r="A64" s="119" t="s">
        <v>198</v>
      </c>
      <c r="B64" s="119"/>
      <c r="C64" s="119"/>
      <c r="D64" s="119"/>
      <c r="E64" s="119"/>
      <c r="F64" s="119"/>
      <c r="G64" s="119"/>
      <c r="H64" s="119"/>
      <c r="I64" s="119"/>
    </row>
    <row r="65" customFormat="false" ht="15.75" hidden="false" customHeight="false" outlineLevel="0" collapsed="false">
      <c r="A65" s="119" t="s">
        <v>199</v>
      </c>
      <c r="B65" s="119"/>
      <c r="C65" s="119"/>
      <c r="D65" s="119"/>
      <c r="E65" s="119"/>
      <c r="F65" s="119"/>
      <c r="G65" s="119"/>
      <c r="H65" s="119"/>
      <c r="I65" s="119"/>
    </row>
    <row r="66" customFormat="false" ht="15.75" hidden="false" customHeight="false" outlineLevel="0" collapsed="false">
      <c r="A66" s="119" t="s">
        <v>200</v>
      </c>
      <c r="B66" s="119"/>
      <c r="C66" s="119"/>
      <c r="D66" s="119"/>
      <c r="E66" s="119"/>
      <c r="F66" s="119"/>
      <c r="G66" s="119"/>
      <c r="H66" s="119"/>
      <c r="I66" s="119"/>
    </row>
    <row r="67" customFormat="false" ht="15.75" hidden="false" customHeight="false" outlineLevel="0" collapsed="false">
      <c r="A67" s="119" t="s">
        <v>201</v>
      </c>
      <c r="B67" s="119"/>
      <c r="C67" s="119"/>
      <c r="D67" s="119"/>
      <c r="E67" s="119"/>
      <c r="F67" s="119"/>
      <c r="G67" s="119"/>
      <c r="H67" s="119"/>
      <c r="I67" s="119"/>
    </row>
    <row r="68" customFormat="false" ht="15.75" hidden="false" customHeight="false" outlineLevel="0" collapsed="false">
      <c r="A68" s="119" t="s">
        <v>202</v>
      </c>
      <c r="B68" s="119"/>
      <c r="C68" s="119"/>
      <c r="D68" s="119"/>
      <c r="E68" s="119"/>
      <c r="F68" s="119"/>
      <c r="G68" s="119"/>
      <c r="H68" s="119"/>
      <c r="I68" s="119"/>
    </row>
    <row r="69" customFormat="false" ht="15.75" hidden="false" customHeight="false" outlineLevel="0" collapsed="false">
      <c r="A69" s="119" t="s">
        <v>203</v>
      </c>
      <c r="B69" s="119"/>
      <c r="C69" s="119"/>
      <c r="D69" s="119"/>
      <c r="E69" s="119"/>
      <c r="F69" s="119"/>
      <c r="G69" s="119"/>
      <c r="H69" s="119"/>
      <c r="I69" s="119"/>
    </row>
    <row r="70" customFormat="false" ht="15.75" hidden="false" customHeight="false" outlineLevel="0" collapsed="false">
      <c r="A70" s="119" t="s">
        <v>204</v>
      </c>
      <c r="B70" s="119"/>
      <c r="C70" s="119"/>
      <c r="D70" s="119"/>
      <c r="E70" s="119"/>
      <c r="F70" s="119"/>
      <c r="G70" s="119"/>
      <c r="H70" s="119"/>
      <c r="I70" s="119"/>
    </row>
    <row r="71" customFormat="false" ht="15.75" hidden="false" customHeight="false" outlineLevel="0" collapsed="false">
      <c r="A71" s="119" t="s">
        <v>199</v>
      </c>
      <c r="B71" s="119"/>
      <c r="C71" s="119"/>
      <c r="D71" s="119"/>
      <c r="E71" s="119"/>
      <c r="F71" s="119"/>
      <c r="G71" s="119"/>
      <c r="H71" s="119"/>
      <c r="I71" s="119"/>
    </row>
    <row r="72" customFormat="false" ht="15.75" hidden="false" customHeight="false" outlineLevel="0" collapsed="false">
      <c r="A72" s="119" t="s">
        <v>205</v>
      </c>
      <c r="B72" s="119"/>
      <c r="C72" s="119"/>
      <c r="D72" s="119"/>
      <c r="E72" s="119"/>
      <c r="F72" s="119"/>
      <c r="G72" s="119"/>
      <c r="H72" s="119"/>
      <c r="I72" s="119"/>
    </row>
    <row r="73" customFormat="false" ht="15.75" hidden="false" customHeight="false" outlineLevel="0" collapsed="false">
      <c r="A73" s="119" t="s">
        <v>206</v>
      </c>
      <c r="B73" s="119"/>
      <c r="C73" s="119"/>
      <c r="D73" s="119"/>
      <c r="E73" s="119"/>
      <c r="F73" s="119"/>
      <c r="G73" s="119"/>
      <c r="H73" s="119"/>
      <c r="I73" s="119"/>
    </row>
    <row r="74" customFormat="false" ht="15.75" hidden="false" customHeight="false" outlineLevel="0" collapsed="false">
      <c r="A74" s="119" t="s">
        <v>207</v>
      </c>
      <c r="B74" s="119"/>
      <c r="C74" s="119"/>
      <c r="D74" s="119"/>
      <c r="E74" s="119"/>
      <c r="F74" s="119"/>
      <c r="G74" s="119"/>
      <c r="H74" s="119"/>
      <c r="I74" s="119"/>
    </row>
    <row r="75" customFormat="false" ht="15.75" hidden="false" customHeight="false" outlineLevel="0" collapsed="false">
      <c r="A75" s="119" t="s">
        <v>208</v>
      </c>
      <c r="B75" s="119"/>
      <c r="C75" s="119"/>
      <c r="D75" s="119"/>
      <c r="E75" s="119"/>
      <c r="F75" s="119"/>
      <c r="G75" s="119"/>
      <c r="H75" s="119"/>
      <c r="I75" s="119"/>
    </row>
    <row r="76" customFormat="false" ht="15.75" hidden="false" customHeight="false" outlineLevel="0" collapsed="false">
      <c r="A76" s="119" t="s">
        <v>209</v>
      </c>
      <c r="B76" s="119"/>
      <c r="C76" s="119"/>
      <c r="D76" s="119"/>
      <c r="E76" s="119"/>
      <c r="F76" s="119"/>
      <c r="G76" s="119"/>
      <c r="H76" s="119"/>
      <c r="I76" s="119"/>
    </row>
    <row r="77" customFormat="false" ht="15.75" hidden="false" customHeight="false" outlineLevel="0" collapsed="false">
      <c r="A77" s="119" t="s">
        <v>210</v>
      </c>
      <c r="B77" s="119"/>
      <c r="C77" s="119"/>
      <c r="D77" s="119"/>
      <c r="E77" s="119"/>
      <c r="F77" s="119"/>
      <c r="G77" s="119"/>
      <c r="H77" s="119"/>
      <c r="I77" s="119"/>
    </row>
    <row r="78" customFormat="false" ht="15.75" hidden="false" customHeight="false" outlineLevel="0" collapsed="false">
      <c r="A78" s="119" t="s">
        <v>211</v>
      </c>
      <c r="B78" s="119"/>
      <c r="C78" s="119"/>
      <c r="D78" s="119"/>
      <c r="E78" s="119"/>
      <c r="F78" s="119"/>
      <c r="G78" s="119"/>
      <c r="H78" s="119"/>
      <c r="I78" s="119"/>
    </row>
    <row r="79" customFormat="false" ht="15.75" hidden="false" customHeight="false" outlineLevel="0" collapsed="false">
      <c r="A79" s="119" t="s">
        <v>212</v>
      </c>
      <c r="B79" s="119"/>
      <c r="C79" s="119"/>
      <c r="D79" s="119"/>
      <c r="E79" s="119"/>
      <c r="F79" s="119"/>
      <c r="G79" s="119"/>
      <c r="H79" s="119"/>
      <c r="I79" s="119"/>
    </row>
  </sheetData>
  <hyperlinks>
    <hyperlink ref="N6" r:id="rId1" display="10 Jahres Rendite BundQuelle: https://data.oecd.org/interest/long-term-interest-rates.htm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2025-05-24T08:05:01Z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