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rgebnis" sheetId="1" r:id="rId4"/>
    <sheet state="visible" name="HIER Rechnung Ausschütter" sheetId="2" r:id="rId5"/>
    <sheet state="visible" name="HIER Rechnung Thesaurierer " sheetId="3" r:id="rId6"/>
    <sheet state="visible" name="HIER Einzelaktien" sheetId="4" r:id="rId7"/>
    <sheet state="visible" name="Notizen" sheetId="5" r:id="rId8"/>
    <sheet state="visible" name="Historische Renditen" sheetId="6" r:id="rId9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2">
      <text>
        <t xml:space="preserve">https://www.wertpapier-forum.de/topic/38496-reform-der-besteuerung-von-investmentfonds/?do=findComment&amp;comment=1627740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I2">
      <text>
        <t xml:space="preserve">Betrag am Jahresende nach Ausschüttung, nach Entnahme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P1">
      <text>
        <t xml:space="preserve">Bei der Entnahme verkauft man zu einem besseren Kurs, als zum Zeitpunkt der Ausschüttung beim Ausschütter.</t>
      </text>
    </comment>
    <comment authorId="0" ref="J2">
      <text>
        <t xml:space="preserve">ETF-Wert am Jahresende nach Entnahme und Vorabpauschale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H2">
      <text>
        <t xml:space="preserve">Betrag am Jahresende nach Ausschüttung, nach Entnahme</t>
      </text>
    </comment>
  </commentList>
</comments>
</file>

<file path=xl/sharedStrings.xml><?xml version="1.0" encoding="utf-8"?>
<sst xmlns="http://schemas.openxmlformats.org/spreadsheetml/2006/main" count="364" uniqueCount="219">
  <si>
    <t>Betrag</t>
  </si>
  <si>
    <t>1995 - 2024</t>
  </si>
  <si>
    <t>MSCI World</t>
  </si>
  <si>
    <t>Jahr</t>
  </si>
  <si>
    <t>Entnahmerate Thesaurierer Brutto</t>
  </si>
  <si>
    <t>Entnahmerate Ausschütter Brutto</t>
  </si>
  <si>
    <t>Entnahme mit LIFO siehe Blatt</t>
  </si>
  <si>
    <t>Ausschütter AO-AR</t>
  </si>
  <si>
    <t>Entnahme zu Beginn</t>
  </si>
  <si>
    <t>Steuerfreibetrag:</t>
  </si>
  <si>
    <t>Fondsinterne Quellensteuer auf Dividenden</t>
  </si>
  <si>
    <t>TER/OCF inkl. Wertpapierleihe</t>
  </si>
  <si>
    <t>Steuersatz nach Teilfreistellung:</t>
  </si>
  <si>
    <t>Steuersatz ohne Teilfreistellung:</t>
  </si>
  <si>
    <t>Horror-Szenario: Basiszins=Zinsen+Wertentwicklung *0,3</t>
  </si>
  <si>
    <t>Nein</t>
  </si>
  <si>
    <t>Ohne Verkauf am Ende:</t>
  </si>
  <si>
    <t>Ausschütter vs. Thesaurierer:</t>
  </si>
  <si>
    <t>p.a.</t>
  </si>
  <si>
    <t>Ausschütter vs. Direktanlage:</t>
  </si>
  <si>
    <t>Thesaurierer vs. Direktanlage:</t>
  </si>
  <si>
    <t>Mit Verkauf am Ende:</t>
  </si>
  <si>
    <t>Endvermögen (ohne Verkauf am Ende)</t>
  </si>
  <si>
    <t>Endvermögen (Verkauf am Ende)</t>
  </si>
  <si>
    <t>Entnahmen inkl. Ausschüttungen brutto</t>
  </si>
  <si>
    <t>Entnahmen inkl. Ausschüttungen netto</t>
  </si>
  <si>
    <t>durchschnittliche Entnahmerate brutto</t>
  </si>
  <si>
    <t>Ausschütter:</t>
  </si>
  <si>
    <t>Thesaurierer:</t>
  </si>
  <si>
    <t>Direktanlage:</t>
  </si>
  <si>
    <t>durchschnittliche Dividendenrendite</t>
  </si>
  <si>
    <t>durchschnittliche Ausschüttungsrendite</t>
  </si>
  <si>
    <t>durchnittlicher Basiszins</t>
  </si>
  <si>
    <t>Ausschütter</t>
  </si>
  <si>
    <t>Einstandskurs pro Stück:</t>
  </si>
  <si>
    <t>Startvermögen</t>
  </si>
  <si>
    <t>OCF minus Wertpapierleihe:</t>
  </si>
  <si>
    <t>Fondsinterne Quellensteuer:</t>
  </si>
  <si>
    <t>Steuersatz nach Teilfreistellung und ohne:</t>
  </si>
  <si>
    <t>Jährlicher Freibetrag (inkl. Günstigeprüfung)</t>
  </si>
  <si>
    <t>Entname zu Beginn:</t>
  </si>
  <si>
    <t>ETF-Kurs</t>
  </si>
  <si>
    <t>Stücke</t>
  </si>
  <si>
    <t>Betrag am Jahresanfang</t>
  </si>
  <si>
    <t>Kursperformance abzgl. OCF</t>
  </si>
  <si>
    <t>Kursperformance Preisindex (ohne Ausschüttungen)</t>
  </si>
  <si>
    <t>Betrag nach Kursgewinn am Jahresende vor Entnahme</t>
  </si>
  <si>
    <t>Ausschüttungs-rendite</t>
  </si>
  <si>
    <t>Performance Vermögen</t>
  </si>
  <si>
    <t>Kumulierte Performance in %</t>
  </si>
  <si>
    <t>Einstandskurs der verkauften Anteile nach LIFO</t>
  </si>
  <si>
    <t>Ausschüttung an Anleger</t>
  </si>
  <si>
    <t>Steuer auf Ausschüttung inkl. Steuererstattung</t>
  </si>
  <si>
    <t>Ausschüttungen an Anleger netto</t>
  </si>
  <si>
    <t>Entnahmerate brutto</t>
  </si>
  <si>
    <t>Benötigte Netto Entnahme gesamt</t>
  </si>
  <si>
    <t>Benötige Stücke für den Verkauf</t>
  </si>
  <si>
    <t>Benötigte Entnahme brutto abzüglich Ausschüttung</t>
  </si>
  <si>
    <t>Enthaltene Kursgewinne der Entnahme</t>
  </si>
  <si>
    <t>Steuer auf Entnahme</t>
  </si>
  <si>
    <t>Anschaffungswert der Entnahme abzgl. bezahlte Vorabpauschalen</t>
  </si>
  <si>
    <t>Entnahme Netto</t>
  </si>
  <si>
    <t>Ausschüttung netto + Entnahme netto</t>
  </si>
  <si>
    <t>Basiszins</t>
  </si>
  <si>
    <t>Wertentwicklung</t>
  </si>
  <si>
    <t>Vorabpauschale Obergrenze</t>
  </si>
  <si>
    <t>Vorabpauschale</t>
  </si>
  <si>
    <t>Steuern Vorabpauschale</t>
  </si>
  <si>
    <t>Anteil der zu verkaufenden Anteile in %</t>
  </si>
  <si>
    <t>Anrechenbare Vorabpauschale bei der Entnahme</t>
  </si>
  <si>
    <t>kumulierte Vorabpauschale abzüglich eingelöste Vorabpauschale bei der Entnahme</t>
  </si>
  <si>
    <t>Steuerfreibetrag</t>
  </si>
  <si>
    <t>Steuerrückerstattung</t>
  </si>
  <si>
    <t>Kapitaleträge Gesamt</t>
  </si>
  <si>
    <t>fiktive Anschaffung Thesaurierer für LIFO</t>
  </si>
  <si>
    <t>Performance</t>
  </si>
  <si>
    <t>fiktive Anschaffung Ausschüttter und Direktanlage für LIFO</t>
  </si>
  <si>
    <t>Performance kumulativ:</t>
  </si>
  <si>
    <t>Performance p.a.:</t>
  </si>
  <si>
    <t>Vorteil Ausschütter vs. Thesaurierer:</t>
  </si>
  <si>
    <t>Verkauf am Ende</t>
  </si>
  <si>
    <t>Zu versteuernder Gewinn am Ende abgzl. Vorabpauschale:</t>
  </si>
  <si>
    <t>Steuern:</t>
  </si>
  <si>
    <t>Wert nach Steuer bei Komplettverkauf am Ende:</t>
  </si>
  <si>
    <t>Vorteil Ausschütter:</t>
  </si>
  <si>
    <t>schlechte Sequenz:</t>
  </si>
  <si>
    <t>Thesaurierer</t>
  </si>
  <si>
    <t>Horror-Szenario: Basiszins+Wertentwicklung *0,3</t>
  </si>
  <si>
    <t>Kursperformance</t>
  </si>
  <si>
    <t>Betrag nach Kursgewinn am Jahresende inkl. Thesaurierung</t>
  </si>
  <si>
    <t>Thesaurierungs-rendite</t>
  </si>
  <si>
    <t xml:space="preserve">Zinsen Deutschland = Inflation </t>
  </si>
  <si>
    <t>Performance Vorteil Thesauerierer</t>
  </si>
  <si>
    <t>Vorteil gegenüber Ausschütter</t>
  </si>
  <si>
    <t>Brutto Entnahme in %</t>
  </si>
  <si>
    <t>Basisertrag</t>
  </si>
  <si>
    <t>Steuer aufVorabpauschale</t>
  </si>
  <si>
    <t>benötigte Entnahme brutto</t>
  </si>
  <si>
    <t>benötigte Entnahme netto</t>
  </si>
  <si>
    <t>Entnahme netto</t>
  </si>
  <si>
    <t>Anschaffungswert der Entnahme abzgl. bezahlte vorabpauschalen</t>
  </si>
  <si>
    <t>Kapitaleträge Vorteil(-)/Nachteil(+) Thesaurierer</t>
  </si>
  <si>
    <t>Einzelaktien</t>
  </si>
  <si>
    <t>Steuersatz:</t>
  </si>
  <si>
    <t>Aktien-Kurs</t>
  </si>
  <si>
    <t>Dividenden- rendite</t>
  </si>
  <si>
    <t>Direktanlage</t>
  </si>
  <si>
    <t>Vorteil Einzelaktien vs. Thesaurierer</t>
  </si>
  <si>
    <t>Dividenden brutto</t>
  </si>
  <si>
    <t>Dividenden netto</t>
  </si>
  <si>
    <t>Steuer auf Dividenden inkl. Steuererstattung</t>
  </si>
  <si>
    <t>benötigte Entnahme</t>
  </si>
  <si>
    <t>Dividende netto + Entnahme netto</t>
  </si>
  <si>
    <t>Benötigte Entnahme brutto abzüglich Dividende</t>
  </si>
  <si>
    <t>Entnahmegewinn</t>
  </si>
  <si>
    <t>Anschaffungswert der Entnahme</t>
  </si>
  <si>
    <t>Steuerfreibetrag (Günstigerprüfung)</t>
  </si>
  <si>
    <t>Vorteil/nachteil Kapitalertäge Einzelaktien vs. Ausschütter</t>
  </si>
  <si>
    <t>Steuern insgesamt:</t>
  </si>
  <si>
    <t>Vorteil Einzelaktien vs. Thesaurierer:</t>
  </si>
  <si>
    <t>Vorteil Einzelaktien vs. Ausschütter:</t>
  </si>
  <si>
    <t>In Euro (+ Vorteil Einzelaktien)</t>
  </si>
  <si>
    <t>Kumulativ:</t>
  </si>
  <si>
    <t>Anleitung:</t>
  </si>
  <si>
    <t>Die Tabelle funktioniert nicht mit Libreoffice! Die Ergebnisse oszillieren. Mit Google Tabellen oder Excel in der Cloud funktioniert es.</t>
  </si>
  <si>
    <t>Iterationen müssen eingeschaltet werden: https://www.google.com/search?q=wie+schalten+man+iterationen+bei+excel+ein&amp;oq=wie+schalten+man+iterationen+bei+excel+ein</t>
  </si>
  <si>
    <t>Nur die gelben Felder dürfen ausgefüllt werden</t>
  </si>
  <si>
    <t>Zeitraum ändern:</t>
  </si>
  <si>
    <t>Aus dem Blatt Historische Renditen 30 Zeilen aus Spalte I in Blatt Ausschütter (gelbe Spalte) eintragen</t>
  </si>
  <si>
    <t>Aus dem Blatt Historische Renditen 30 Zeilen aus Splate K (Dividendenrendite) ins Blatt Einzelaktien (gelbe Spalte) eintragen</t>
  </si>
  <si>
    <t>Aus dem Blatt Historische Renditen 30 Zeilen aus Spalte M (Zinsen) als Inflation in das Blatt Thesaurierer (gelbe Spalte) eintragen.</t>
  </si>
  <si>
    <t>fertig</t>
  </si>
  <si>
    <t>Hinweis: Die Zinsen Deutschland werden als Basiszins und als Inflationsrate benutzt.</t>
  </si>
  <si>
    <t>Index Level :</t>
  </si>
  <si>
    <t>Gross</t>
  </si>
  <si>
    <t>Price</t>
  </si>
  <si>
    <t>Currency :</t>
  </si>
  <si>
    <t>USD</t>
  </si>
  <si>
    <t>Date</t>
  </si>
  <si>
    <t>WORLD Standard (Large+Mid Cap)</t>
  </si>
  <si>
    <t>Dividendenrndite</t>
  </si>
  <si>
    <t>Zinsen Deutschland in %</t>
  </si>
  <si>
    <t>Dec 31, 1969</t>
  </si>
  <si>
    <t>Von hier die Rendite ins Ausschüttungsblatt kopieren</t>
  </si>
  <si>
    <t>Von hier die Dividendenrendite ins Einzelaktienblatt kopieren</t>
  </si>
  <si>
    <t>Differenz</t>
  </si>
  <si>
    <t>Von hier die Zinsen ins Thesaurierer-Blatt kopieren</t>
  </si>
  <si>
    <t>10 Jahres Rendite BundQuelle: https://data.oecd.org/interest/long-term-interest-rates.htm</t>
  </si>
  <si>
    <t>Dec 31, 1970</t>
  </si>
  <si>
    <t>Dec 31, 1971</t>
  </si>
  <si>
    <t>Dec 29, 1972</t>
  </si>
  <si>
    <t>Dec 31, 1973</t>
  </si>
  <si>
    <t>Dec 31, 1974</t>
  </si>
  <si>
    <t>Dec 31, 1975</t>
  </si>
  <si>
    <t>Dec 31, 1976</t>
  </si>
  <si>
    <t>Dec 30, 1977</t>
  </si>
  <si>
    <t>Dec 29, 1978</t>
  </si>
  <si>
    <t>Dec 31, 1979</t>
  </si>
  <si>
    <t>Dec 31, 1980</t>
  </si>
  <si>
    <t>Dec 31, 1981</t>
  </si>
  <si>
    <t>Dec 31, 1982</t>
  </si>
  <si>
    <t>Dec 30, 1983</t>
  </si>
  <si>
    <t>Dec 31, 1984</t>
  </si>
  <si>
    <t>Dec 31, 1985</t>
  </si>
  <si>
    <t>Dec 31, 1986</t>
  </si>
  <si>
    <t>Dec 31, 1987</t>
  </si>
  <si>
    <t>Dec 30, 1988</t>
  </si>
  <si>
    <t>Dec 29, 1989</t>
  </si>
  <si>
    <t>Dec 31, 1990</t>
  </si>
  <si>
    <t>Dec 31, 1991</t>
  </si>
  <si>
    <t>Dec 31, 1992</t>
  </si>
  <si>
    <t>Dec 31, 1993</t>
  </si>
  <si>
    <t>Dec 30, 1994</t>
  </si>
  <si>
    <t>Dec 29, 1995</t>
  </si>
  <si>
    <t>Dec 31, 1996</t>
  </si>
  <si>
    <t>Dec 31, 1997</t>
  </si>
  <si>
    <t>Dec 31, 1998</t>
  </si>
  <si>
    <t>Dec 31, 1999</t>
  </si>
  <si>
    <t>Dec 29, 2000</t>
  </si>
  <si>
    <t>Dec 31, 2001</t>
  </si>
  <si>
    <t>Dec 31, 2002</t>
  </si>
  <si>
    <t>Dec 31, 2003</t>
  </si>
  <si>
    <t>Dec 31, 2004</t>
  </si>
  <si>
    <t>Dec 30, 2005</t>
  </si>
  <si>
    <t>Dec 29, 2006</t>
  </si>
  <si>
    <t>Dec 31, 2007</t>
  </si>
  <si>
    <t>Dec 31, 2008</t>
  </si>
  <si>
    <t>Dec 31, 2009</t>
  </si>
  <si>
    <t>Dec 31, 2010</t>
  </si>
  <si>
    <t>Dec 30, 2011</t>
  </si>
  <si>
    <t>Dec 31, 2012</t>
  </si>
  <si>
    <t>Dec 31, 2013</t>
  </si>
  <si>
    <t>Dec 31, 2014</t>
  </si>
  <si>
    <t>Dec 31, 2015</t>
  </si>
  <si>
    <t>Dec 30, 2016</t>
  </si>
  <si>
    <t>Dec 29, 2017</t>
  </si>
  <si>
    <t>Dec 31, 2018</t>
  </si>
  <si>
    <t>Dec 31, 2019</t>
  </si>
  <si>
    <t>Dec 31, 2020</t>
  </si>
  <si>
    <t>Dec 31, 2021</t>
  </si>
  <si>
    <t>Dec 30, 2022</t>
  </si>
  <si>
    <t>Dec 29, 2023</t>
  </si>
  <si>
    <t>Dec 31, 2024</t>
  </si>
  <si>
    <t>Copyright MSCI Inc.</t>
  </si>
  <si>
    <t>This information is the property of MSCI Inc. and /or its subsidiaries (collectively, "MSCI"). It is provided for informational</t>
  </si>
  <si>
    <t>purposes only, and is not a recommendation to participate in any particular trading strategy. The information may not be used to</t>
  </si>
  <si>
    <t>verify or correct data, or any compilation of data or index or in the creation of any indexes. Nor may it be used in the creating,</t>
  </si>
  <si>
    <t>writing, offering, trading, marketing or promotion of any financial instruments or products. This information is provided on an</t>
  </si>
  <si>
    <t>"as is" basis. Although MSCI shall obtain information from sources which MSCI considers reliable, none of the MSCI, its subsidiaries</t>
  </si>
  <si>
    <t>or its or their direct or indirect information provider or any other third party involved in, or related to, compiling, computing or</t>
  </si>
  <si>
    <t>creating the information (collectively, the "MSCI Parties") guarantees the accuracy and/or the completeness of any of this information.</t>
  </si>
  <si>
    <t>None of the MSCI Parties makes any representation or warranty, express or implied, as to the results to be obtained by any person or</t>
  </si>
  <si>
    <t>entity from any use of this information, and the user of this information assumes the entire risk of any use made of this information.</t>
  </si>
  <si>
    <t>None of the MSCI Parties makes any express or implied warranties, and the MSCI Parties hereby expressly disclaim all warranties of</t>
  </si>
  <si>
    <t>merchantability or fitness for a particular purpose with respect to any of this information. Without limiting any of the foregoing,</t>
  </si>
  <si>
    <t>in no event shall any of the MSCI Parties have any liability for any direct, indirect, special, punitive, consequential or any other</t>
  </si>
  <si>
    <t>damages (including lost profits) even if notified of the possibility of such damages. MSCI, Barra, RiskMetrics and FEA</t>
  </si>
  <si>
    <t>and all other service marks referred to herein are the exclusive property of MSCI and/or its subsidiaries. All MSCI indexes and data</t>
  </si>
  <si>
    <t>are the exclusive property of MSCI and may not be used in any way without the express written permission of MSCI.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</si>
</sst>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2">
    <numFmt numFmtId="164" formatCode="#,##0\ [$€-1]"/>
    <numFmt numFmtId="165" formatCode="#,##0\€"/>
    <numFmt numFmtId="166" formatCode="0.0%"/>
    <numFmt numFmtId="167" formatCode="0.00\ %"/>
    <numFmt numFmtId="168" formatCode="0\ %"/>
    <numFmt numFmtId="169" formatCode="#,##0.000\€"/>
    <numFmt numFmtId="170" formatCode="#,##0.00\ [$€-1]"/>
    <numFmt numFmtId="171" formatCode="0.000%"/>
    <numFmt numFmtId="172" formatCode="#,##0.000\ [$€-1]"/>
    <numFmt numFmtId="173" formatCode="#,##0.00\€"/>
    <numFmt numFmtId="174" formatCode="#,##0.0000\ [$€-1]"/>
    <numFmt numFmtId="175" formatCode="mmm\ d&quot;, &quot;yyyy"/>
  </numFmts>
  <fonts count="20">
    <font>
      <sz val="10.0"/>
      <color rgb="FF000000"/>
      <name val="Arial"/>
      <scheme val="minor"/>
    </font>
    <font>
      <sz val="11.0"/>
      <color rgb="FF000000"/>
      <name val="Arial"/>
    </font>
    <font>
      <sz val="28.0"/>
      <color rgb="FF000000"/>
      <name val="Arial"/>
    </font>
    <font>
      <sz val="8.0"/>
      <color theme="1"/>
      <name val="Arial"/>
      <scheme val="minor"/>
    </font>
    <font>
      <sz val="7.0"/>
      <color theme="1"/>
      <name val="Arial"/>
      <scheme val="minor"/>
    </font>
    <font>
      <sz val="10.0"/>
      <color rgb="FF000000"/>
      <name val="Arial"/>
    </font>
    <font>
      <sz val="11.0"/>
      <color rgb="FF666666"/>
      <name val="Arial"/>
    </font>
    <font>
      <b/>
      <sz val="11.0"/>
      <color rgb="FF000000"/>
      <name val="Arial"/>
    </font>
    <font>
      <b/>
      <sz val="8.0"/>
      <color rgb="FF000000"/>
      <name val="Arial"/>
    </font>
    <font>
      <b/>
      <sz val="12.0"/>
      <color rgb="FF000000"/>
      <name val="Arial"/>
    </font>
    <font>
      <sz val="8.0"/>
      <color rgb="FF000000"/>
      <name val="Arial"/>
    </font>
    <font>
      <sz val="11.0"/>
      <color rgb="FF3C4043"/>
      <name val="Inconsolata"/>
    </font>
    <font>
      <sz val="9.0"/>
      <color rgb="FF000000"/>
      <name val="Arial"/>
    </font>
    <font>
      <b/>
      <sz val="14.0"/>
      <color rgb="FF000000"/>
      <name val="Arial"/>
    </font>
    <font>
      <i/>
      <sz val="11.0"/>
      <color rgb="FF3C4043"/>
      <name val="Roboto"/>
    </font>
    <font>
      <b/>
      <sz val="22.0"/>
      <color rgb="FF000000"/>
      <name val="Arial"/>
    </font>
    <font>
      <sz val="11.0"/>
      <color rgb="FFFFFFFF"/>
      <name val="Arial"/>
    </font>
    <font>
      <color theme="1"/>
      <name val="Arial"/>
      <scheme val="minor"/>
    </font>
    <font>
      <sz val="12.0"/>
      <color rgb="FF111111"/>
      <name val="Inherit"/>
    </font>
    <font>
      <u/>
      <sz val="8.0"/>
      <color rgb="FF111111"/>
      <name val="Inherit"/>
    </font>
  </fonts>
  <fills count="3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FDB1F"/>
        <bgColor rgb="FF3FDB1F"/>
      </patternFill>
    </fill>
    <fill>
      <patternFill patternType="solid">
        <fgColor rgb="FF3EDC1F"/>
        <bgColor rgb="FF3EDC1F"/>
      </patternFill>
    </fill>
    <fill>
      <patternFill patternType="solid">
        <fgColor rgb="FF40DB20"/>
        <bgColor rgb="FF40DB20"/>
      </patternFill>
    </fill>
    <fill>
      <patternFill patternType="solid">
        <fgColor rgb="FF7FB73F"/>
        <bgColor rgb="FF7FB73F"/>
      </patternFill>
    </fill>
    <fill>
      <patternFill patternType="solid">
        <fgColor rgb="FF98A84C"/>
        <bgColor rgb="FF98A84C"/>
      </patternFill>
    </fill>
    <fill>
      <patternFill patternType="solid">
        <fgColor rgb="FF9EA54F"/>
        <bgColor rgb="FF9EA54F"/>
      </patternFill>
    </fill>
    <fill>
      <patternFill patternType="solid">
        <fgColor rgb="FFB39959"/>
        <bgColor rgb="FFB39959"/>
      </patternFill>
    </fill>
    <fill>
      <patternFill patternType="solid">
        <fgColor rgb="FFB5985A"/>
        <bgColor rgb="FFB5985A"/>
      </patternFill>
    </fill>
    <fill>
      <patternFill patternType="solid">
        <fgColor rgb="FF39DE1C"/>
        <bgColor rgb="FF39DE1C"/>
      </patternFill>
    </fill>
    <fill>
      <patternFill patternType="solid">
        <fgColor rgb="FF55CF2A"/>
        <bgColor rgb="FF55CF2A"/>
      </patternFill>
    </fill>
    <fill>
      <patternFill patternType="solid">
        <fgColor rgb="FF7CB93E"/>
        <bgColor rgb="FF7CB93E"/>
      </patternFill>
    </fill>
    <fill>
      <patternFill patternType="solid">
        <fgColor rgb="FF30E418"/>
        <bgColor rgb="FF30E418"/>
      </patternFill>
    </fill>
    <fill>
      <patternFill patternType="solid">
        <fgColor rgb="FF51D128"/>
        <bgColor rgb="FF51D128"/>
      </patternFill>
    </fill>
    <fill>
      <patternFill patternType="solid">
        <fgColor rgb="FF5FC92F"/>
        <bgColor rgb="FF5FC92F"/>
      </patternFill>
    </fill>
    <fill>
      <patternFill patternType="solid">
        <fgColor rgb="FF70C038"/>
        <bgColor rgb="FF70C038"/>
      </patternFill>
    </fill>
    <fill>
      <patternFill patternType="solid">
        <fgColor rgb="FF4CD426"/>
        <bgColor rgb="FF4CD426"/>
      </patternFill>
    </fill>
    <fill>
      <patternFill patternType="solid">
        <fgColor rgb="FF4FD227"/>
        <bgColor rgb="FF4FD227"/>
      </patternFill>
    </fill>
    <fill>
      <patternFill patternType="solid">
        <fgColor rgb="FF58CD2C"/>
        <bgColor rgb="FF58CD2C"/>
      </patternFill>
    </fill>
    <fill>
      <patternFill patternType="solid">
        <fgColor rgb="FF66C533"/>
        <bgColor rgb="FF66C533"/>
      </patternFill>
    </fill>
    <fill>
      <patternFill patternType="solid">
        <fgColor rgb="FF56CE2B"/>
        <bgColor rgb="FF56CE2B"/>
      </patternFill>
    </fill>
    <fill>
      <patternFill patternType="solid">
        <fgColor rgb="FF67C533"/>
        <bgColor rgb="FF67C533"/>
      </patternFill>
    </fill>
    <fill>
      <patternFill patternType="solid">
        <fgColor rgb="FF6AC335"/>
        <bgColor rgb="FF6AC335"/>
      </patternFill>
    </fill>
    <fill>
      <patternFill patternType="solid">
        <fgColor rgb="FF7CB83E"/>
        <bgColor rgb="FF7CB83E"/>
      </patternFill>
    </fill>
    <fill>
      <patternFill patternType="solid">
        <fgColor rgb="FFBE935F"/>
        <bgColor rgb="FFBE935F"/>
      </patternFill>
    </fill>
    <fill>
      <patternFill patternType="solid">
        <fgColor rgb="FFC49062"/>
        <bgColor rgb="FFC49062"/>
      </patternFill>
    </fill>
    <fill>
      <patternFill patternType="solid">
        <fgColor rgb="FFE67C73"/>
        <bgColor rgb="FFE67C73"/>
      </patternFill>
    </fill>
    <fill>
      <patternFill patternType="solid">
        <fgColor rgb="FFFF0000"/>
        <bgColor rgb="FFFF0000"/>
      </patternFill>
    </fill>
    <fill>
      <patternFill patternType="solid">
        <fgColor rgb="FFF4F4F4"/>
        <bgColor rgb="FFF4F4F4"/>
      </patternFill>
    </fill>
    <fill>
      <patternFill patternType="solid">
        <fgColor rgb="FFB6D7A8"/>
        <bgColor rgb="FFB6D7A8"/>
      </patternFill>
    </fill>
    <fill>
      <patternFill patternType="solid">
        <fgColor rgb="FFEAD1DC"/>
        <bgColor rgb="FFEAD1DC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1" fillId="2" fontId="1" numFmtId="164" xfId="0" applyAlignment="1" applyBorder="1" applyFill="1" applyFont="1" applyNumberFormat="1">
      <alignment shrinkToFit="0" vertical="bottom" wrapText="0"/>
    </xf>
    <xf borderId="0" fillId="0" fontId="2" numFmtId="0" xfId="0" applyAlignment="1" applyFont="1">
      <alignment horizontal="left" readingOrder="0" shrinkToFit="0" vertical="bottom" wrapText="0"/>
    </xf>
    <xf borderId="0" fillId="0" fontId="3" numFmtId="0" xfId="0" applyFont="1"/>
    <xf borderId="0" fillId="0" fontId="4" numFmtId="0" xfId="0" applyFont="1"/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horizontal="right" shrinkToFit="0" vertical="bottom" wrapText="0"/>
    </xf>
    <xf borderId="0" fillId="0" fontId="5" numFmtId="0" xfId="0" applyAlignment="1" applyFont="1">
      <alignment shrinkToFit="0" vertical="bottom" wrapText="1"/>
    </xf>
    <xf borderId="0" fillId="0" fontId="6" numFmtId="0" xfId="0" applyAlignment="1" applyFont="1">
      <alignment horizontal="left" readingOrder="0" shrinkToFit="0" vertical="bottom" wrapText="1"/>
    </xf>
    <xf borderId="1" fillId="2" fontId="1" numFmtId="165" xfId="0" applyAlignment="1" applyBorder="1" applyFont="1" applyNumberFormat="1">
      <alignment readingOrder="0" shrinkToFit="0" vertical="bottom" wrapText="0"/>
    </xf>
    <xf borderId="0" fillId="0" fontId="1" numFmtId="166" xfId="0" applyAlignment="1" applyFont="1" applyNumberForma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164" xfId="0" applyAlignment="1" applyFont="1" applyNumberFormat="1">
      <alignment shrinkToFit="0" vertical="bottom" wrapText="0"/>
    </xf>
    <xf borderId="0" fillId="0" fontId="5" numFmtId="167" xfId="0" applyAlignment="1" applyFont="1" applyNumberFormat="1">
      <alignment shrinkToFit="0" vertical="bottom" wrapText="0"/>
    </xf>
    <xf borderId="0" fillId="0" fontId="6" numFmtId="0" xfId="0" applyAlignment="1" applyFont="1">
      <alignment horizontal="left" readingOrder="0" shrinkToFit="0" vertical="bottom" wrapText="0"/>
    </xf>
    <xf borderId="1" fillId="2" fontId="1" numFmtId="164" xfId="0" applyAlignment="1" applyBorder="1" applyFont="1" applyNumberFormat="1">
      <alignment readingOrder="0" shrinkToFit="0" vertical="bottom" wrapText="0"/>
    </xf>
    <xf borderId="0" fillId="0" fontId="1" numFmtId="0" xfId="0" applyAlignment="1" applyFont="1">
      <alignment horizontal="left" shrinkToFit="0" vertical="bottom" wrapText="1"/>
    </xf>
    <xf borderId="0" fillId="0" fontId="1" numFmtId="167" xfId="0" applyAlignment="1" applyFont="1" applyNumberFormat="1">
      <alignment shrinkToFit="0" vertical="bottom" wrapText="0"/>
    </xf>
    <xf borderId="0" fillId="0" fontId="5" numFmtId="0" xfId="0" applyAlignment="1" applyFont="1">
      <alignment horizontal="left" shrinkToFit="0" vertical="bottom" wrapText="0"/>
    </xf>
    <xf borderId="1" fillId="2" fontId="1" numFmtId="0" xfId="0" applyAlignment="1" applyBorder="1" applyFont="1">
      <alignment shrinkToFit="0" vertical="bottom" wrapText="0"/>
    </xf>
    <xf borderId="1" fillId="2" fontId="1" numFmtId="168" xfId="0" applyAlignment="1" applyBorder="1" applyFont="1" applyNumberFormat="1">
      <alignment shrinkToFit="0" vertical="bottom" wrapText="0"/>
    </xf>
    <xf borderId="1" fillId="2" fontId="1" numFmtId="167" xfId="0" applyAlignment="1" applyBorder="1" applyFont="1" applyNumberFormat="1">
      <alignment readingOrder="0" shrinkToFit="0" vertical="bottom" wrapText="0"/>
    </xf>
    <xf borderId="1" fillId="2" fontId="1" numFmtId="10" xfId="0" applyAlignment="1" applyBorder="1" applyFont="1" applyNumberFormat="1">
      <alignment readingOrder="0" shrinkToFit="0" vertical="bottom" wrapText="0"/>
    </xf>
    <xf borderId="1" fillId="2" fontId="1" numFmtId="0" xfId="0" applyAlignment="1" applyBorder="1" applyFont="1">
      <alignment readingOrder="0" shrinkToFit="0" vertical="bottom" wrapText="1"/>
    </xf>
    <xf borderId="0" fillId="0" fontId="7" numFmtId="0" xfId="0" applyAlignment="1" applyFont="1">
      <alignment horizontal="left" shrinkToFit="0" vertical="bottom" wrapText="0"/>
    </xf>
    <xf borderId="0" fillId="0" fontId="7" numFmtId="0" xfId="0" applyAlignment="1" applyFont="1">
      <alignment shrinkToFit="0" vertical="bottom" wrapText="0"/>
    </xf>
    <xf borderId="0" fillId="0" fontId="7" numFmtId="167" xfId="0" applyAlignment="1" applyFont="1" applyNumberFormat="1">
      <alignment shrinkToFit="0" vertical="bottom" wrapText="0"/>
    </xf>
    <xf borderId="0" fillId="0" fontId="8" numFmtId="0" xfId="0" applyAlignment="1" applyFont="1">
      <alignment shrinkToFit="0" vertical="bottom" wrapText="1"/>
    </xf>
    <xf borderId="0" fillId="0" fontId="1" numFmtId="167" xfId="0" applyAlignment="1" applyFont="1" applyNumberFormat="1">
      <alignment horizontal="left" shrinkToFit="0" vertical="bottom" wrapText="0"/>
    </xf>
    <xf borderId="0" fillId="0" fontId="7" numFmtId="0" xfId="0" applyAlignment="1" applyFont="1">
      <alignment horizontal="left" shrinkToFit="0" vertical="bottom" wrapText="1"/>
    </xf>
    <xf borderId="0" fillId="0" fontId="7" numFmtId="167" xfId="0" applyAlignment="1" applyFont="1" applyNumberFormat="1">
      <alignment horizontal="left" shrinkToFit="0" vertical="bottom" wrapText="0"/>
    </xf>
    <xf borderId="0" fillId="0" fontId="9" numFmtId="0" xfId="0" applyAlignment="1" applyFont="1">
      <alignment horizontal="left" shrinkToFit="0" vertical="bottom" wrapText="0"/>
    </xf>
    <xf borderId="0" fillId="0" fontId="1" numFmtId="169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horizontal="left" shrinkToFit="0" vertical="bottom" wrapText="0"/>
    </xf>
    <xf borderId="0" fillId="0" fontId="1" numFmtId="164" xfId="0" applyAlignment="1" applyFont="1" applyNumberFormat="1">
      <alignment horizontal="left" shrinkToFit="0" vertical="bottom" wrapText="0"/>
    </xf>
    <xf borderId="0" fillId="0" fontId="1" numFmtId="168" xfId="0" applyAlignment="1" applyFont="1" applyNumberFormat="1">
      <alignment horizontal="left" shrinkToFit="0" vertical="bottom" wrapText="0"/>
    </xf>
    <xf borderId="0" fillId="0" fontId="1" numFmtId="171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horizontal="left" shrinkToFit="0" vertical="bottom" wrapText="1"/>
    </xf>
    <xf borderId="0" fillId="0" fontId="5" numFmtId="10" xfId="0" applyAlignment="1" applyFont="1" applyNumberFormat="1">
      <alignment horizontal="left" shrinkToFit="0" vertical="bottom" wrapText="0"/>
    </xf>
    <xf borderId="0" fillId="0" fontId="7" numFmtId="0" xfId="0" applyAlignment="1" applyFont="1">
      <alignment shrinkToFit="0" vertical="bottom" wrapText="1"/>
    </xf>
    <xf borderId="0" fillId="0" fontId="1" numFmtId="0" xfId="0" applyAlignment="1" applyFont="1">
      <alignment horizontal="left" readingOrder="0" shrinkToFit="0" vertical="bottom" wrapText="1"/>
    </xf>
    <xf borderId="1" fillId="3" fontId="1" numFmtId="0" xfId="0" applyAlignment="1" applyBorder="1" applyFill="1" applyFont="1">
      <alignment shrinkToFit="0" vertical="bottom" wrapText="1"/>
    </xf>
    <xf borderId="1" fillId="4" fontId="1" numFmtId="0" xfId="0" applyAlignment="1" applyBorder="1" applyFill="1" applyFont="1">
      <alignment shrinkToFit="0" vertical="bottom" wrapText="1"/>
    </xf>
    <xf borderId="0" fillId="0" fontId="1" numFmtId="0" xfId="0" applyAlignment="1" applyFont="1">
      <alignment readingOrder="0" shrinkToFit="0" vertical="bottom" wrapText="1"/>
    </xf>
    <xf borderId="0" fillId="0" fontId="1" numFmtId="172" xfId="0" applyAlignment="1" applyFont="1" applyNumberFormat="1">
      <alignment shrinkToFit="0" vertical="bottom" wrapText="0"/>
    </xf>
    <xf borderId="0" fillId="0" fontId="1" numFmtId="3" xfId="0" applyAlignment="1" applyFont="1" applyNumberFormat="1">
      <alignment shrinkToFit="0" vertical="bottom" wrapText="0"/>
    </xf>
    <xf borderId="0" fillId="0" fontId="10" numFmtId="167" xfId="0" applyAlignment="1" applyFont="1" applyNumberFormat="1">
      <alignment horizontal="right" shrinkToFit="0" vertical="bottom" wrapText="0"/>
    </xf>
    <xf borderId="1" fillId="2" fontId="10" numFmtId="167" xfId="0" applyAlignment="1" applyBorder="1" applyFont="1" applyNumberFormat="1">
      <alignment horizontal="right" shrinkToFit="0" vertical="bottom" wrapText="0"/>
    </xf>
    <xf borderId="0" fillId="0" fontId="7" numFmtId="164" xfId="0" applyAlignment="1" applyFont="1" applyNumberFormat="1">
      <alignment shrinkToFit="0" vertical="bottom" wrapText="0"/>
    </xf>
    <xf borderId="1" fillId="5" fontId="11" numFmtId="167" xfId="0" applyAlignment="1" applyBorder="1" applyFill="1" applyFont="1" applyNumberFormat="1">
      <alignment shrinkToFit="0" vertical="bottom" wrapText="0"/>
    </xf>
    <xf borderId="0" fillId="0" fontId="1" numFmtId="1" xfId="0" applyAlignment="1" applyFont="1" applyNumberFormat="1">
      <alignment shrinkToFit="0" vertical="bottom" wrapText="0"/>
    </xf>
    <xf borderId="1" fillId="5" fontId="12" numFmtId="0" xfId="0" applyAlignment="1" applyBorder="1" applyFont="1">
      <alignment horizontal="left" shrinkToFit="0" vertical="bottom" wrapText="0"/>
    </xf>
    <xf borderId="1" fillId="5" fontId="11" numFmtId="164" xfId="0" applyAlignment="1" applyBorder="1" applyFont="1" applyNumberFormat="1">
      <alignment shrinkToFit="0" vertical="bottom" wrapText="0"/>
    </xf>
    <xf borderId="1" fillId="5" fontId="11" numFmtId="167" xfId="0" applyAlignment="1" applyBorder="1" applyFont="1" applyNumberFormat="1">
      <alignment horizontal="right" shrinkToFit="0" vertical="bottom" wrapText="0"/>
    </xf>
    <xf borderId="0" fillId="0" fontId="1" numFmtId="172" xfId="0" applyAlignment="1" applyFont="1" applyNumberFormat="1">
      <alignment horizontal="right" shrinkToFit="0" vertical="bottom" wrapText="0"/>
    </xf>
    <xf borderId="0" fillId="0" fontId="1" numFmtId="164" xfId="0" applyAlignment="1" applyFont="1" applyNumberFormat="1">
      <alignment horizontal="right" shrinkToFit="0" vertical="bottom" wrapText="0"/>
    </xf>
    <xf borderId="0" fillId="0" fontId="1" numFmtId="167" xfId="0" applyAlignment="1" applyFont="1" applyNumberFormat="1">
      <alignment horizontal="right" shrinkToFit="0" vertical="bottom" wrapText="0"/>
    </xf>
    <xf borderId="0" fillId="0" fontId="1" numFmtId="3" xfId="0" applyAlignment="1" applyFont="1" applyNumberFormat="1">
      <alignment horizontal="right" shrinkToFit="0" vertical="bottom" wrapText="0"/>
    </xf>
    <xf borderId="0" fillId="0" fontId="1" numFmtId="1" xfId="0" applyAlignment="1" applyFont="1" applyNumberFormat="1">
      <alignment horizontal="right" shrinkToFit="0" vertical="bottom" wrapText="0"/>
    </xf>
    <xf borderId="1" fillId="5" fontId="12" numFmtId="172" xfId="0" applyAlignment="1" applyBorder="1" applyFont="1" applyNumberFormat="1">
      <alignment shrinkToFit="0" vertical="bottom" wrapText="0"/>
    </xf>
    <xf borderId="1" fillId="5" fontId="11" numFmtId="164" xfId="0" applyAlignment="1" applyBorder="1" applyFont="1" applyNumberFormat="1">
      <alignment horizontal="right" shrinkToFit="0" vertical="bottom" wrapText="0"/>
    </xf>
    <xf borderId="0" fillId="0" fontId="1" numFmtId="170" xfId="0" applyAlignment="1" applyFont="1" applyNumberFormat="1">
      <alignment horizontal="right" shrinkToFit="0" vertical="bottom" wrapText="0"/>
    </xf>
    <xf borderId="0" fillId="0" fontId="1" numFmtId="9" xfId="0" applyAlignment="1" applyFont="1" applyNumberFormat="1">
      <alignment horizontal="right" readingOrder="0" shrinkToFit="0" vertical="bottom" wrapText="0"/>
    </xf>
    <xf borderId="0" fillId="0" fontId="1" numFmtId="1" xfId="0" applyAlignment="1" applyFont="1" applyNumberFormat="1">
      <alignment horizontal="left" shrinkToFit="0" vertical="bottom" wrapText="0"/>
    </xf>
    <xf borderId="0" fillId="0" fontId="1" numFmtId="4" xfId="0" applyAlignment="1" applyFont="1" applyNumberFormat="1">
      <alignment horizontal="left" shrinkToFit="0" vertical="bottom" wrapText="0"/>
    </xf>
    <xf borderId="0" fillId="0" fontId="13" numFmtId="0" xfId="0" applyAlignment="1" applyFont="1">
      <alignment horizontal="left" shrinkToFit="0" vertical="bottom" wrapText="0"/>
    </xf>
    <xf borderId="0" fillId="0" fontId="1" numFmtId="173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shrinkToFit="0" vertical="bottom" wrapText="0"/>
    </xf>
    <xf borderId="0" fillId="0" fontId="1" numFmtId="174" xfId="0" applyAlignment="1" applyFont="1" applyNumberFormat="1">
      <alignment shrinkToFit="0" vertical="bottom" wrapText="0"/>
    </xf>
    <xf borderId="0" fillId="0" fontId="10" numFmtId="0" xfId="0" applyAlignment="1" applyFont="1">
      <alignment horizontal="left" shrinkToFit="0" vertical="bottom" wrapText="1"/>
    </xf>
    <xf borderId="1" fillId="3" fontId="1" numFmtId="0" xfId="0" applyAlignment="1" applyBorder="1" applyFont="1">
      <alignment horizontal="left" shrinkToFit="0" vertical="bottom" wrapText="1"/>
    </xf>
    <xf borderId="1" fillId="2" fontId="1" numFmtId="167" xfId="0" applyAlignment="1" applyBorder="1" applyFont="1" applyNumberFormat="1">
      <alignment horizontal="right" shrinkToFit="0" vertical="bottom" wrapText="0"/>
    </xf>
    <xf borderId="1" fillId="5" fontId="12" numFmtId="164" xfId="0" applyAlignment="1" applyBorder="1" applyFont="1" applyNumberFormat="1">
      <alignment shrinkToFit="0" vertical="bottom" wrapText="0"/>
    </xf>
    <xf borderId="1" fillId="5" fontId="11" numFmtId="4" xfId="0" applyAlignment="1" applyBorder="1" applyFont="1" applyNumberFormat="1">
      <alignment shrinkToFit="0" vertical="bottom" wrapText="0"/>
    </xf>
    <xf borderId="1" fillId="5" fontId="12" numFmtId="0" xfId="0" applyAlignment="1" applyBorder="1" applyFont="1">
      <alignment shrinkToFit="0" vertical="bottom" wrapText="0"/>
    </xf>
    <xf borderId="1" fillId="5" fontId="12" numFmtId="164" xfId="0" applyAlignment="1" applyBorder="1" applyFont="1" applyNumberFormat="1">
      <alignment horizontal="right" shrinkToFit="0" vertical="bottom" wrapText="0"/>
    </xf>
    <xf borderId="1" fillId="5" fontId="14" numFmtId="1" xfId="0" applyAlignment="1" applyBorder="1" applyFont="1" applyNumberFormat="1">
      <alignment horizontal="right" shrinkToFit="0" vertical="bottom" wrapText="0"/>
    </xf>
    <xf borderId="1" fillId="5" fontId="14" numFmtId="4" xfId="0" applyAlignment="1" applyBorder="1" applyFont="1" applyNumberFormat="1">
      <alignment horizontal="right" shrinkToFit="0" vertical="bottom" wrapText="0"/>
    </xf>
    <xf borderId="1" fillId="5" fontId="12" numFmtId="170" xfId="0" applyAlignment="1" applyBorder="1" applyFont="1" applyNumberFormat="1">
      <alignment horizontal="right" shrinkToFit="0" vertical="bottom" wrapText="0"/>
    </xf>
    <xf borderId="1" fillId="6" fontId="1" numFmtId="164" xfId="0" applyAlignment="1" applyBorder="1" applyFill="1" applyFont="1" applyNumberFormat="1">
      <alignment horizontal="right" shrinkToFit="0" vertical="bottom" wrapText="0"/>
    </xf>
    <xf borderId="1" fillId="7" fontId="1" numFmtId="164" xfId="0" applyAlignment="1" applyBorder="1" applyFill="1" applyFont="1" applyNumberFormat="1">
      <alignment horizontal="right" shrinkToFit="0" vertical="bottom" wrapText="0"/>
    </xf>
    <xf borderId="1" fillId="8" fontId="1" numFmtId="164" xfId="0" applyAlignment="1" applyBorder="1" applyFill="1" applyFont="1" applyNumberFormat="1">
      <alignment horizontal="right" shrinkToFit="0" vertical="bottom" wrapText="0"/>
    </xf>
    <xf borderId="1" fillId="9" fontId="1" numFmtId="164" xfId="0" applyAlignment="1" applyBorder="1" applyFill="1" applyFont="1" applyNumberFormat="1">
      <alignment horizontal="right" shrinkToFit="0" vertical="bottom" wrapText="0"/>
    </xf>
    <xf borderId="1" fillId="10" fontId="1" numFmtId="164" xfId="0" applyAlignment="1" applyBorder="1" applyFill="1" applyFont="1" applyNumberFormat="1">
      <alignment horizontal="right" shrinkToFit="0" vertical="bottom" wrapText="0"/>
    </xf>
    <xf borderId="1" fillId="11" fontId="1" numFmtId="164" xfId="0" applyAlignment="1" applyBorder="1" applyFill="1" applyFont="1" applyNumberFormat="1">
      <alignment horizontal="right" shrinkToFit="0" vertical="bottom" wrapText="0"/>
    </xf>
    <xf borderId="1" fillId="12" fontId="1" numFmtId="164" xfId="0" applyAlignment="1" applyBorder="1" applyFill="1" applyFont="1" applyNumberFormat="1">
      <alignment horizontal="right" shrinkToFit="0" vertical="bottom" wrapText="0"/>
    </xf>
    <xf borderId="1" fillId="13" fontId="1" numFmtId="164" xfId="0" applyAlignment="1" applyBorder="1" applyFill="1" applyFont="1" applyNumberFormat="1">
      <alignment horizontal="right" shrinkToFit="0" vertical="bottom" wrapText="0"/>
    </xf>
    <xf borderId="1" fillId="14" fontId="1" numFmtId="164" xfId="0" applyAlignment="1" applyBorder="1" applyFill="1" applyFont="1" applyNumberFormat="1">
      <alignment horizontal="right" shrinkToFit="0" vertical="bottom" wrapText="0"/>
    </xf>
    <xf borderId="1" fillId="15" fontId="1" numFmtId="164" xfId="0" applyAlignment="1" applyBorder="1" applyFill="1" applyFont="1" applyNumberFormat="1">
      <alignment horizontal="right" shrinkToFit="0" vertical="bottom" wrapText="0"/>
    </xf>
    <xf borderId="1" fillId="16" fontId="1" numFmtId="164" xfId="0" applyAlignment="1" applyBorder="1" applyFill="1" applyFont="1" applyNumberFormat="1">
      <alignment horizontal="right" shrinkToFit="0" vertical="bottom" wrapText="0"/>
    </xf>
    <xf borderId="1" fillId="17" fontId="1" numFmtId="164" xfId="0" applyAlignment="1" applyBorder="1" applyFill="1" applyFont="1" applyNumberFormat="1">
      <alignment horizontal="right" shrinkToFit="0" vertical="bottom" wrapText="0"/>
    </xf>
    <xf borderId="1" fillId="18" fontId="1" numFmtId="164" xfId="0" applyAlignment="1" applyBorder="1" applyFill="1" applyFont="1" applyNumberFormat="1">
      <alignment horizontal="right" shrinkToFit="0" vertical="bottom" wrapText="0"/>
    </xf>
    <xf borderId="1" fillId="19" fontId="1" numFmtId="164" xfId="0" applyAlignment="1" applyBorder="1" applyFill="1" applyFont="1" applyNumberFormat="1">
      <alignment horizontal="right" shrinkToFit="0" vertical="bottom" wrapText="0"/>
    </xf>
    <xf borderId="1" fillId="20" fontId="1" numFmtId="164" xfId="0" applyAlignment="1" applyBorder="1" applyFill="1" applyFont="1" applyNumberFormat="1">
      <alignment horizontal="right" shrinkToFit="0" vertical="bottom" wrapText="0"/>
    </xf>
    <xf borderId="1" fillId="21" fontId="1" numFmtId="164" xfId="0" applyAlignment="1" applyBorder="1" applyFill="1" applyFont="1" applyNumberFormat="1">
      <alignment horizontal="right" shrinkToFit="0" vertical="bottom" wrapText="0"/>
    </xf>
    <xf borderId="1" fillId="22" fontId="1" numFmtId="164" xfId="0" applyAlignment="1" applyBorder="1" applyFill="1" applyFont="1" applyNumberFormat="1">
      <alignment horizontal="right" shrinkToFit="0" vertical="bottom" wrapText="0"/>
    </xf>
    <xf borderId="1" fillId="23" fontId="1" numFmtId="164" xfId="0" applyAlignment="1" applyBorder="1" applyFill="1" applyFont="1" applyNumberFormat="1">
      <alignment horizontal="right" shrinkToFit="0" vertical="bottom" wrapText="0"/>
    </xf>
    <xf borderId="1" fillId="24" fontId="1" numFmtId="164" xfId="0" applyAlignment="1" applyBorder="1" applyFill="1" applyFont="1" applyNumberFormat="1">
      <alignment horizontal="right" shrinkToFit="0" vertical="bottom" wrapText="0"/>
    </xf>
    <xf borderId="1" fillId="25" fontId="1" numFmtId="164" xfId="0" applyAlignment="1" applyBorder="1" applyFill="1" applyFont="1" applyNumberFormat="1">
      <alignment horizontal="right" shrinkToFit="0" vertical="bottom" wrapText="0"/>
    </xf>
    <xf borderId="1" fillId="26" fontId="1" numFmtId="164" xfId="0" applyAlignment="1" applyBorder="1" applyFill="1" applyFont="1" applyNumberFormat="1">
      <alignment horizontal="right" shrinkToFit="0" vertical="bottom" wrapText="0"/>
    </xf>
    <xf borderId="1" fillId="27" fontId="1" numFmtId="164" xfId="0" applyAlignment="1" applyBorder="1" applyFill="1" applyFont="1" applyNumberFormat="1">
      <alignment horizontal="right" shrinkToFit="0" vertical="bottom" wrapText="0"/>
    </xf>
    <xf borderId="1" fillId="28" fontId="1" numFmtId="164" xfId="0" applyAlignment="1" applyBorder="1" applyFill="1" applyFont="1" applyNumberFormat="1">
      <alignment horizontal="right" shrinkToFit="0" vertical="bottom" wrapText="0"/>
    </xf>
    <xf borderId="1" fillId="29" fontId="1" numFmtId="164" xfId="0" applyAlignment="1" applyBorder="1" applyFill="1" applyFont="1" applyNumberFormat="1">
      <alignment horizontal="right" shrinkToFit="0" vertical="bottom" wrapText="0"/>
    </xf>
    <xf borderId="1" fillId="30" fontId="1" numFmtId="164" xfId="0" applyAlignment="1" applyBorder="1" applyFill="1" applyFont="1" applyNumberFormat="1">
      <alignment horizontal="right" shrinkToFit="0" vertical="bottom" wrapText="0"/>
    </xf>
    <xf borderId="1" fillId="31" fontId="1" numFmtId="164" xfId="0" applyAlignment="1" applyBorder="1" applyFill="1" applyFont="1" applyNumberFormat="1">
      <alignment horizontal="right" shrinkToFit="0" vertical="bottom" wrapText="0"/>
    </xf>
    <xf borderId="0" fillId="0" fontId="7" numFmtId="164" xfId="0" applyAlignment="1" applyFont="1" applyNumberFormat="1">
      <alignment horizontal="left" shrinkToFit="0" vertical="bottom" wrapText="0"/>
    </xf>
    <xf borderId="0" fillId="0" fontId="5" numFmtId="170" xfId="0" applyAlignment="1" applyFont="1" applyNumberFormat="1">
      <alignment horizontal="left" shrinkToFit="0" vertical="bottom" wrapText="0"/>
    </xf>
    <xf borderId="0" fillId="0" fontId="1" numFmtId="171" xfId="0" applyAlignment="1" applyFont="1" applyNumberFormat="1">
      <alignment shrinkToFit="0" vertical="bottom" wrapText="0"/>
    </xf>
    <xf borderId="1" fillId="2" fontId="1" numFmtId="167" xfId="0" applyAlignment="1" applyBorder="1" applyFont="1" applyNumberFormat="1">
      <alignment shrinkToFit="0" vertical="bottom" wrapText="0"/>
    </xf>
    <xf borderId="1" fillId="5" fontId="11" numFmtId="170" xfId="0" applyAlignment="1" applyBorder="1" applyFont="1" applyNumberFormat="1">
      <alignment shrinkToFit="0" vertical="bottom" wrapText="0"/>
    </xf>
    <xf borderId="1" fillId="5" fontId="14" numFmtId="170" xfId="0" applyAlignment="1" applyBorder="1" applyFont="1" applyNumberFormat="1">
      <alignment shrinkToFit="0" vertical="bottom" wrapText="0"/>
    </xf>
    <xf borderId="1" fillId="5" fontId="14" numFmtId="167" xfId="0" applyAlignment="1" applyBorder="1" applyFont="1" applyNumberFormat="1">
      <alignment shrinkToFit="0" vertical="bottom" wrapText="0"/>
    </xf>
    <xf borderId="0" fillId="0" fontId="1" numFmtId="4" xfId="0" applyAlignment="1" applyFont="1" applyNumberFormat="1">
      <alignment shrinkToFit="0" vertical="bottom" wrapText="0"/>
    </xf>
    <xf borderId="0" fillId="0" fontId="1" numFmtId="173" xfId="0" applyAlignment="1" applyFont="1" applyNumberFormat="1">
      <alignment shrinkToFit="0" vertical="bottom" wrapText="0"/>
    </xf>
    <xf borderId="0" fillId="0" fontId="15" numFmtId="0" xfId="0" applyAlignment="1" applyFont="1">
      <alignment shrinkToFit="0" vertical="bottom" wrapText="0"/>
    </xf>
    <xf borderId="0" fillId="32" fontId="16" numFmtId="0" xfId="0" applyAlignment="1" applyFill="1" applyFont="1">
      <alignment readingOrder="0" shrinkToFit="0" vertical="bottom" wrapText="0"/>
    </xf>
    <xf borderId="0" fillId="32" fontId="17" numFmtId="0" xfId="0" applyFont="1"/>
    <xf borderId="1" fillId="2" fontId="7" numFmtId="0" xfId="0" applyAlignment="1" applyBorder="1" applyFont="1">
      <alignment shrinkToFit="0" vertical="bottom" wrapText="0"/>
    </xf>
    <xf borderId="1" fillId="2" fontId="5" numFmtId="0" xfId="0" applyAlignment="1" applyBorder="1" applyFont="1">
      <alignment shrinkToFit="0" vertical="bottom" wrapText="0"/>
    </xf>
    <xf borderId="0" fillId="0" fontId="17" numFmtId="0" xfId="0" applyFont="1"/>
    <xf borderId="0" fillId="0" fontId="8" numFmtId="0" xfId="0" applyAlignment="1" applyFont="1">
      <alignment horizontal="left" shrinkToFit="0" vertical="bottom" wrapText="0"/>
    </xf>
    <xf borderId="0" fillId="0" fontId="10" numFmtId="0" xfId="0" applyAlignment="1" applyFont="1">
      <alignment horizontal="left" shrinkToFit="0" vertical="bottom" wrapText="0"/>
    </xf>
    <xf borderId="1" fillId="33" fontId="18" numFmtId="175" xfId="0" applyAlignment="1" applyBorder="1" applyFill="1" applyFont="1" applyNumberFormat="1">
      <alignment horizontal="right" shrinkToFit="0" vertical="bottom" wrapText="0"/>
    </xf>
    <xf borderId="1" fillId="5" fontId="18" numFmtId="175" xfId="0" applyAlignment="1" applyBorder="1" applyFont="1" applyNumberFormat="1">
      <alignment horizontal="right" shrinkToFit="0" vertical="bottom" wrapText="0"/>
    </xf>
    <xf borderId="0" fillId="0" fontId="10" numFmtId="0" xfId="0" applyAlignment="1" applyFont="1">
      <alignment horizontal="right" shrinkToFit="0" vertical="bottom" wrapText="0"/>
    </xf>
    <xf borderId="1" fillId="32" fontId="16" numFmtId="0" xfId="0" applyAlignment="1" applyBorder="1" applyFont="1">
      <alignment shrinkToFit="0" vertical="bottom" wrapText="1"/>
    </xf>
    <xf borderId="1" fillId="5" fontId="19" numFmtId="0" xfId="0" applyAlignment="1" applyBorder="1" applyFont="1">
      <alignment horizontal="left" shrinkToFit="0" vertical="bottom" wrapText="1"/>
    </xf>
    <xf borderId="1" fillId="4" fontId="10" numFmtId="167" xfId="0" applyAlignment="1" applyBorder="1" applyFont="1" applyNumberFormat="1">
      <alignment horizontal="right" shrinkToFit="0" vertical="bottom" wrapText="0"/>
    </xf>
    <xf borderId="1" fillId="34" fontId="1" numFmtId="167" xfId="0" applyAlignment="1" applyBorder="1" applyFill="1" applyFont="1" applyNumberFormat="1">
      <alignment shrinkToFit="0" vertical="bottom" wrapText="0"/>
    </xf>
    <xf borderId="1" fillId="35" fontId="1" numFmtId="167" xfId="0" applyAlignment="1" applyBorder="1" applyFill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Thesaurierer</c:v>
          </c:tx>
          <c:spPr>
            <a:ln cmpd="sng" w="19050">
              <a:solidFill>
                <a:srgbClr val="4285F4">
                  <a:alpha val="100000"/>
                </a:srgbClr>
              </a:solidFill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cat>
            <c:strRef>
              <c:f>'HIER Rechnung Ausschütter'!$A$3:$A$33</c:f>
            </c:strRef>
          </c:cat>
          <c:val>
            <c:numRef>
              <c:f>'HIER Rechnung Thesaurierer '!$J$3:$J$33</c:f>
              <c:numCache/>
            </c:numRef>
          </c:val>
          <c:smooth val="0"/>
        </c:ser>
        <c:ser>
          <c:idx val="1"/>
          <c:order val="1"/>
          <c:tx>
            <c:v>Direktanlage</c:v>
          </c:tx>
          <c:spPr>
            <a:ln cmpd="sng" w="19050">
              <a:solidFill>
                <a:srgbClr val="EA4335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'HIER Rechnung Ausschütter'!$A$3:$A$33</c:f>
            </c:strRef>
          </c:cat>
          <c:val>
            <c:numRef>
              <c:f>'HIER Einzelaktien'!$H$3:$H$33</c:f>
              <c:numCache/>
            </c:numRef>
          </c:val>
          <c:smooth val="0"/>
        </c:ser>
        <c:ser>
          <c:idx val="2"/>
          <c:order val="2"/>
          <c:tx>
            <c:v>Ausschütter</c:v>
          </c:tx>
          <c:spPr>
            <a:ln cmpd="sng" w="19050">
              <a:solidFill>
                <a:srgbClr val="FBBC04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'HIER Rechnung Ausschütter'!$A$3:$A$33</c:f>
            </c:strRef>
          </c:cat>
          <c:val>
            <c:numRef>
              <c:f>'HIER Rechnung Ausschütter'!$I$3:$I$33</c:f>
              <c:numCache/>
            </c:numRef>
          </c:val>
          <c:smooth val="0"/>
        </c:ser>
        <c:axId val="1436545408"/>
        <c:axId val="1352303005"/>
      </c:lineChart>
      <c:catAx>
        <c:axId val="1436545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/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1352303005"/>
      </c:catAx>
      <c:valAx>
        <c:axId val="135230300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1436545408"/>
      </c:valAx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Arial"/>
            </a:defRPr>
          </a:pPr>
        </a:p>
      </c:txPr>
    </c:legend>
    <c:plotVisOnly val="0"/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361950</xdr:colOff>
      <xdr:row>1</xdr:row>
      <xdr:rowOff>19050</xdr:rowOff>
    </xdr:from>
    <xdr:ext cx="9144000" cy="414337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3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4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data.oecd.org/interest/long-term-interest-rates.htm" TargetMode="External"/><Relationship Id="rId2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38"/>
    <col customWidth="1" min="2" max="7" width="12.75"/>
    <col customWidth="1" min="8" max="8" width="14.75"/>
    <col customWidth="1" min="9" max="26" width="12.75"/>
  </cols>
  <sheetData>
    <row r="1" ht="31.5" customHeight="1">
      <c r="A1" s="1" t="s">
        <v>0</v>
      </c>
      <c r="B1" s="2">
        <v>1000000.0</v>
      </c>
      <c r="E1" s="3" t="s">
        <v>1</v>
      </c>
      <c r="F1" s="4"/>
      <c r="G1" s="5"/>
      <c r="H1" s="6" t="s">
        <v>2</v>
      </c>
      <c r="M1" s="7" t="s">
        <v>3</v>
      </c>
      <c r="N1" s="6" t="str">
        <f>'HIER Rechnung Thesaurierer '!AF2</f>
        <v>Kapitaleträge Vorteil(-)/Nachteil(+) Thesaurierer</v>
      </c>
      <c r="O1" s="8" t="s">
        <v>4</v>
      </c>
      <c r="P1" s="8" t="s">
        <v>5</v>
      </c>
    </row>
    <row r="2" ht="15.75" customHeight="1">
      <c r="A2" s="9" t="s">
        <v>6</v>
      </c>
      <c r="B2" s="10"/>
      <c r="C2" s="11"/>
      <c r="M2" s="12">
        <v>1.0</v>
      </c>
      <c r="N2" s="13">
        <f>'HIER Rechnung Thesaurierer '!AF4</f>
        <v>3585.550304</v>
      </c>
      <c r="O2" s="14">
        <f>'HIER Rechnung Thesaurierer '!O4</f>
        <v>0.03742998995</v>
      </c>
      <c r="P2" s="14">
        <f>'HIER Rechnung Ausschütter'!P4</f>
        <v>0.03746205853</v>
      </c>
    </row>
    <row r="3" ht="15.75" customHeight="1">
      <c r="A3" s="15" t="s">
        <v>7</v>
      </c>
      <c r="B3" s="16"/>
      <c r="C3" s="11"/>
      <c r="M3" s="12"/>
      <c r="N3" s="13"/>
      <c r="O3" s="14"/>
      <c r="P3" s="14"/>
    </row>
    <row r="4" ht="15.75" customHeight="1">
      <c r="A4" s="17" t="s">
        <v>8</v>
      </c>
      <c r="B4" s="16">
        <v>35000.0</v>
      </c>
      <c r="C4" s="18">
        <f>B4/B1</f>
        <v>0.035</v>
      </c>
      <c r="M4" s="12">
        <v>2.0</v>
      </c>
      <c r="N4" s="13">
        <f>'HIER Rechnung Thesaurierer '!AF5</f>
        <v>5787.133002</v>
      </c>
      <c r="O4" s="14">
        <f>'HIER Rechnung Thesaurierer '!O5</f>
        <v>0.03696694293</v>
      </c>
      <c r="P4" s="14">
        <f>'HIER Rechnung Ausschütter'!P5</f>
        <v>0.03647728765</v>
      </c>
    </row>
    <row r="5" ht="15.75" customHeight="1">
      <c r="A5" s="1" t="s">
        <v>9</v>
      </c>
      <c r="B5" s="16">
        <v>0.0</v>
      </c>
      <c r="M5" s="12">
        <v>3.0</v>
      </c>
      <c r="N5" s="13">
        <f>'HIER Rechnung Thesaurierer '!AF6</f>
        <v>8187.228216</v>
      </c>
      <c r="O5" s="14">
        <f>'HIER Rechnung Thesaurierer '!O6</f>
        <v>0.03517046416</v>
      </c>
      <c r="P5" s="14">
        <f>'HIER Rechnung Ausschütter'!P6</f>
        <v>0.03423402249</v>
      </c>
    </row>
    <row r="6" ht="15.75" customHeight="1">
      <c r="A6" s="19"/>
      <c r="B6" s="20"/>
      <c r="M6" s="12">
        <v>4.0</v>
      </c>
      <c r="N6" s="13">
        <f>'HIER Rechnung Thesaurierer '!AF7</f>
        <v>12711.73217</v>
      </c>
      <c r="O6" s="14">
        <f>'HIER Rechnung Thesaurierer '!O7</f>
        <v>0.03057724394</v>
      </c>
      <c r="P6" s="14">
        <f>'HIER Rechnung Ausschütter'!P7</f>
        <v>0.02908626228</v>
      </c>
    </row>
    <row r="7" ht="15.75" customHeight="1">
      <c r="A7" s="17" t="s">
        <v>10</v>
      </c>
      <c r="B7" s="21">
        <v>0.15</v>
      </c>
      <c r="M7" s="12">
        <v>5.0</v>
      </c>
      <c r="N7" s="13">
        <f>'HIER Rechnung Thesaurierer '!AF8</f>
        <v>16593.58429</v>
      </c>
      <c r="O7" s="14">
        <f>'HIER Rechnung Thesaurierer '!O8</f>
        <v>0.02744014229</v>
      </c>
      <c r="P7" s="14">
        <f>'HIER Rechnung Ausschütter'!P8</f>
        <v>0.02566396376</v>
      </c>
    </row>
    <row r="8" ht="15.75" customHeight="1">
      <c r="A8" s="17" t="s">
        <v>11</v>
      </c>
      <c r="B8" s="22">
        <v>0.0</v>
      </c>
      <c r="M8" s="12">
        <v>6.0</v>
      </c>
      <c r="N8" s="13">
        <f>'HIER Rechnung Thesaurierer '!AF9</f>
        <v>-4784.494541</v>
      </c>
      <c r="O8" s="14">
        <f>'HIER Rechnung Thesaurierer '!O9</f>
        <v>0.02731110904</v>
      </c>
      <c r="P8" s="14">
        <f>'HIER Rechnung Ausschütter'!P9</f>
        <v>0.02804714884</v>
      </c>
    </row>
    <row r="9" ht="15.75" customHeight="1">
      <c r="A9" s="19"/>
      <c r="B9" s="20"/>
      <c r="M9" s="12">
        <v>7.0</v>
      </c>
      <c r="N9" s="13">
        <f>'HIER Rechnung Thesaurierer '!AF10</f>
        <v>-5176.784954</v>
      </c>
      <c r="O9" s="14">
        <f>'HIER Rechnung Thesaurierer '!O10</f>
        <v>0.03493456471</v>
      </c>
      <c r="P9" s="14">
        <f>'HIER Rechnung Ausschütter'!P10</f>
        <v>0.03598784409</v>
      </c>
    </row>
    <row r="10" ht="15.75" customHeight="1">
      <c r="A10" s="17" t="s">
        <v>12</v>
      </c>
      <c r="B10" s="23">
        <f>0.26475*0.7</f>
        <v>0.185325</v>
      </c>
      <c r="M10" s="12">
        <v>8.0</v>
      </c>
      <c r="N10" s="13">
        <f>'HIER Rechnung Thesaurierer '!AF11</f>
        <v>-5577.555954</v>
      </c>
      <c r="O10" s="14">
        <f>'HIER Rechnung Thesaurierer '!O11</f>
        <v>0.04649177964</v>
      </c>
      <c r="P10" s="14">
        <f>'HIER Rechnung Ausschütter'!P11</f>
        <v>0.04807016382</v>
      </c>
    </row>
    <row r="11" ht="15.75" customHeight="1">
      <c r="A11" s="17" t="s">
        <v>13</v>
      </c>
      <c r="B11" s="23">
        <v>0.26375</v>
      </c>
      <c r="M11" s="12">
        <v>9.0</v>
      </c>
      <c r="N11" s="13">
        <f>'HIER Rechnung Thesaurierer '!AF12</f>
        <v>13084.91958</v>
      </c>
      <c r="O11" s="14">
        <f>'HIER Rechnung Thesaurierer '!O12</f>
        <v>0.04415587132</v>
      </c>
      <c r="P11" s="14">
        <f>'HIER Rechnung Ausschütter'!P12</f>
        <v>0.04206357175</v>
      </c>
    </row>
    <row r="12" ht="38.25" customHeight="1">
      <c r="A12" s="8" t="s">
        <v>14</v>
      </c>
      <c r="B12" s="24" t="s">
        <v>15</v>
      </c>
      <c r="M12" s="12">
        <v>10.0</v>
      </c>
      <c r="N12" s="13">
        <f>'HIER Rechnung Thesaurierer '!AF13</f>
        <v>16448.61375</v>
      </c>
      <c r="O12" s="14">
        <f>'HIER Rechnung Thesaurierer '!O13</f>
        <v>0.04302063704</v>
      </c>
      <c r="P12" s="14">
        <f>'HIER Rechnung Ausschütter'!P13</f>
        <v>0.04026553739</v>
      </c>
    </row>
    <row r="13" ht="15.75" customHeight="1">
      <c r="A13" s="19"/>
      <c r="M13" s="12">
        <v>11.0</v>
      </c>
      <c r="N13" s="13">
        <f>'HIER Rechnung Thesaurierer '!AF14</f>
        <v>18220.35061</v>
      </c>
      <c r="O13" s="14">
        <f>'HIER Rechnung Thesaurierer '!O14</f>
        <v>0.04209300793</v>
      </c>
      <c r="P13" s="14">
        <f>'HIER Rechnung Ausschütter'!P14</f>
        <v>0.03906185328</v>
      </c>
    </row>
    <row r="14" ht="15.75" customHeight="1">
      <c r="A14" s="1" t="s">
        <v>16</v>
      </c>
      <c r="M14" s="12"/>
      <c r="N14" s="13">
        <f>'HIER Rechnung Thesaurierer '!AF15</f>
        <v>24063.9686</v>
      </c>
      <c r="O14" s="14">
        <f>'HIER Rechnung Thesaurierer '!O15</f>
        <v>0.03879496649</v>
      </c>
      <c r="P14" s="14">
        <f>'HIER Rechnung Ausschütter'!P15</f>
        <v>0.03529712723</v>
      </c>
    </row>
    <row r="15" ht="15.75" customHeight="1">
      <c r="A15" s="25" t="s">
        <v>17</v>
      </c>
      <c r="B15" s="26"/>
      <c r="C15" s="27">
        <f>'HIER Rechnung Ausschütter'!C39</f>
        <v>0.002717123401</v>
      </c>
      <c r="D15" s="26" t="s">
        <v>18</v>
      </c>
      <c r="M15" s="12">
        <v>12.0</v>
      </c>
      <c r="N15" s="13">
        <f>'HIER Rechnung Thesaurierer '!AF16</f>
        <v>23968.4556</v>
      </c>
      <c r="O15" s="14">
        <f>'HIER Rechnung Thesaurierer '!O16</f>
        <v>0.03965977286</v>
      </c>
      <c r="P15" s="14">
        <f>'HIER Rechnung Ausschütter'!P16</f>
        <v>0.0360983799</v>
      </c>
    </row>
    <row r="16" ht="15.75" customHeight="1">
      <c r="A16" s="25" t="s">
        <v>19</v>
      </c>
      <c r="B16" s="26"/>
      <c r="C16" s="27">
        <f>'HIER Einzelaktien'!C40</f>
        <v>0.0007619302301</v>
      </c>
      <c r="D16" s="26" t="s">
        <v>18</v>
      </c>
      <c r="M16" s="12">
        <v>13.0</v>
      </c>
      <c r="N16" s="13">
        <f>'HIER Rechnung Thesaurierer '!AF17</f>
        <v>-9226.801248</v>
      </c>
      <c r="O16" s="14">
        <f>'HIER Rechnung Thesaurierer '!O17</f>
        <v>0.05947629154</v>
      </c>
      <c r="P16" s="14">
        <f>'HIER Rechnung Ausschütter'!P17</f>
        <v>0.06021130201</v>
      </c>
    </row>
    <row r="17" ht="15.75" customHeight="1">
      <c r="A17" s="25" t="s">
        <v>20</v>
      </c>
      <c r="B17" s="26"/>
      <c r="C17" s="27">
        <f>'HIER Einzelaktien'!C39</f>
        <v>0.00347905363</v>
      </c>
      <c r="D17" s="26" t="s">
        <v>18</v>
      </c>
      <c r="M17" s="12">
        <v>14.0</v>
      </c>
      <c r="N17" s="13">
        <f>'HIER Rechnung Thesaurierer '!AF18</f>
        <v>4501.832974</v>
      </c>
      <c r="O17" s="14">
        <f>'HIER Rechnung Thesaurierer '!O18</f>
        <v>0.05477792688</v>
      </c>
      <c r="P17" s="14">
        <f>'HIER Rechnung Ausschütter'!P18</f>
        <v>0.05362603834</v>
      </c>
    </row>
    <row r="18" ht="15.75" customHeight="1">
      <c r="A18" s="19"/>
      <c r="M18" s="12">
        <v>15.0</v>
      </c>
      <c r="N18" s="13">
        <f>'HIER Rechnung Thesaurierer '!AF19</f>
        <v>9512.035134</v>
      </c>
      <c r="O18" s="14">
        <f>'HIER Rechnung Thesaurierer '!O19</f>
        <v>0.05353560654</v>
      </c>
      <c r="P18" s="14">
        <f>'HIER Rechnung Ausschütter'!P19</f>
        <v>0.05097074823</v>
      </c>
    </row>
    <row r="19" ht="15.75" customHeight="1">
      <c r="A19" s="1" t="s">
        <v>21</v>
      </c>
      <c r="M19" s="12">
        <v>16.0</v>
      </c>
      <c r="N19" s="13">
        <f>'HIER Rechnung Thesaurierer '!AF20</f>
        <v>-10703.8083</v>
      </c>
      <c r="O19" s="14">
        <f>'HIER Rechnung Thesaurierer '!O20</f>
        <v>0.05702061391</v>
      </c>
      <c r="P19" s="14">
        <f>'HIER Rechnung Ausschütter'!P20</f>
        <v>0.05779731317</v>
      </c>
    </row>
    <row r="20" ht="15.75" customHeight="1">
      <c r="A20" s="25" t="s">
        <v>17</v>
      </c>
      <c r="C20" s="27">
        <f>'HIER Rechnung Ausschütter'!C48</f>
        <v>0.001990822835</v>
      </c>
      <c r="D20" s="26" t="s">
        <v>18</v>
      </c>
      <c r="M20" s="12">
        <v>17.0</v>
      </c>
      <c r="N20" s="13">
        <f>'HIER Rechnung Thesaurierer '!AF21</f>
        <v>-1052.725464</v>
      </c>
      <c r="O20" s="14">
        <f>'HIER Rechnung Thesaurierer '!O21</f>
        <v>0.0553301239</v>
      </c>
      <c r="P20" s="14">
        <f>'HIER Rechnung Ausschütter'!P21</f>
        <v>0.0545808617</v>
      </c>
    </row>
    <row r="21" ht="15.75" customHeight="1">
      <c r="A21" s="25" t="s">
        <v>19</v>
      </c>
      <c r="C21" s="27">
        <f>'HIER Einzelaktien'!C48</f>
        <v>-0.002934318653</v>
      </c>
      <c r="D21" s="26" t="s">
        <v>18</v>
      </c>
      <c r="M21" s="12">
        <v>18.0</v>
      </c>
      <c r="N21" s="13">
        <f>'HIER Rechnung Thesaurierer '!AF22</f>
        <v>2155.288261</v>
      </c>
      <c r="O21" s="14">
        <f>'HIER Rechnung Thesaurierer '!O22</f>
        <v>0.04760017479</v>
      </c>
      <c r="P21" s="14">
        <f>'HIER Rechnung Ausschütter'!P22</f>
        <v>0.04633503034</v>
      </c>
    </row>
    <row r="22" ht="15.75" customHeight="1">
      <c r="A22" s="25" t="s">
        <v>20</v>
      </c>
      <c r="C22" s="27">
        <f>'HIER Einzelaktien'!C49</f>
        <v>-0.0009434958188</v>
      </c>
      <c r="D22" s="26" t="s">
        <v>18</v>
      </c>
      <c r="M22" s="12">
        <v>19.0</v>
      </c>
      <c r="N22" s="13">
        <f>'HIER Rechnung Thesaurierer '!AF23</f>
        <v>3288.202601</v>
      </c>
      <c r="O22" s="14">
        <f>'HIER Rechnung Thesaurierer '!O23</f>
        <v>0.04798814018</v>
      </c>
      <c r="P22" s="14">
        <f>'HIER Rechnung Ausschütter'!P23</f>
        <v>0.04616372301</v>
      </c>
    </row>
    <row r="23" ht="15.75" customHeight="1">
      <c r="A23" s="19"/>
      <c r="B23" s="8" t="s">
        <v>22</v>
      </c>
      <c r="C23" s="8" t="s">
        <v>23</v>
      </c>
      <c r="D23" s="8" t="s">
        <v>24</v>
      </c>
      <c r="E23" s="8" t="s">
        <v>25</v>
      </c>
      <c r="F23" s="28" t="s">
        <v>26</v>
      </c>
      <c r="M23" s="12">
        <v>23.0</v>
      </c>
      <c r="N23" s="13">
        <f>'HIER Rechnung Thesaurierer '!AF24</f>
        <v>-8073.869404</v>
      </c>
      <c r="O23" s="14">
        <f>'HIER Rechnung Thesaurierer '!O24</f>
        <v>0.04914751702</v>
      </c>
      <c r="P23" s="14">
        <f>'HIER Rechnung Ausschütter'!P24</f>
        <v>0.0487934749</v>
      </c>
    </row>
    <row r="24" ht="15.75" customHeight="1">
      <c r="A24" s="1" t="s">
        <v>27</v>
      </c>
      <c r="B24" s="13">
        <f>'HIER Rechnung Ausschütter'!I33</f>
        <v>3258815.104</v>
      </c>
      <c r="C24" s="13">
        <f>'HIER Rechnung Ausschütter'!C45</f>
        <v>2661187.275</v>
      </c>
      <c r="D24" s="13">
        <f>'HIER Rechnung Ausschütter'!S35+'HIER Rechnung Ausschütter'!M35+'HIER Rechnung Ausschütter'!N35</f>
        <v>2378508.244</v>
      </c>
      <c r="E24" s="13">
        <f>'HIER Rechnung Ausschütter'!X35</f>
        <v>1807641.088</v>
      </c>
      <c r="F24" s="27">
        <f>'HIER Rechnung Ausschütter'!P35</f>
        <v>0.0406754737</v>
      </c>
      <c r="M24" s="12">
        <v>24.0</v>
      </c>
      <c r="N24" s="13">
        <f>'HIER Rechnung Thesaurierer '!AF25</f>
        <v>-7674.591274</v>
      </c>
      <c r="O24" s="14">
        <f>'HIER Rechnung Thesaurierer '!O25</f>
        <v>0.04834538952</v>
      </c>
      <c r="P24" s="14">
        <f>'HIER Rechnung Ausschütter'!P25</f>
        <v>0.048025025</v>
      </c>
    </row>
    <row r="25" ht="15.75" customHeight="1">
      <c r="A25" s="1" t="s">
        <v>28</v>
      </c>
      <c r="B25" s="13">
        <f>'HIER Rechnung Thesaurierer '!J33</f>
        <v>3021077.781</v>
      </c>
      <c r="C25" s="13">
        <f>'HIER Rechnung Thesaurierer '!C45</f>
        <v>2516579.818</v>
      </c>
      <c r="D25" s="13">
        <f>'HIER Rechnung Thesaurierer '!U35</f>
        <v>2202692.487</v>
      </c>
      <c r="E25" s="13">
        <f>'HIER Rechnung Thesaurierer '!X35</f>
        <v>1807641.088</v>
      </c>
      <c r="F25" s="27">
        <f>'HIER Rechnung Thesaurierer '!O36</f>
        <v>0.04187764649</v>
      </c>
      <c r="M25" s="12">
        <v>25.0</v>
      </c>
      <c r="N25" s="13">
        <f>'HIER Rechnung Thesaurierer '!AF26</f>
        <v>-5159.43528</v>
      </c>
      <c r="O25" s="14">
        <f>'HIER Rechnung Thesaurierer '!O26</f>
        <v>0.04205108617</v>
      </c>
      <c r="P25" s="14">
        <f>'HIER Rechnung Ausschütter'!P26</f>
        <v>0.04141349965</v>
      </c>
    </row>
    <row r="26" ht="15.75" customHeight="1">
      <c r="A26" s="1" t="s">
        <v>29</v>
      </c>
      <c r="B26" s="13">
        <f>'HIER Einzelaktien'!H33</f>
        <v>3328660.119</v>
      </c>
      <c r="C26" s="13">
        <f>'HIER Einzelaktien'!C45</f>
        <v>2450726.007</v>
      </c>
      <c r="D26" s="13">
        <f>'HIER Einzelaktien'!M35+'HIER Einzelaktien'!U35</f>
        <v>2366697.346</v>
      </c>
      <c r="E26" s="13">
        <f>'HIER Einzelaktien'!R35</f>
        <v>1807641.094</v>
      </c>
      <c r="F26" s="27">
        <f>'HIER Einzelaktien'!P35</f>
        <v>0.03446085411</v>
      </c>
      <c r="M26" s="12">
        <v>26.0</v>
      </c>
      <c r="N26" s="13">
        <f>'HIER Rechnung Thesaurierer '!AF27</f>
        <v>-6268.458417</v>
      </c>
      <c r="O26" s="14">
        <f>'HIER Rechnung Thesaurierer '!O27</f>
        <v>0.04768854244</v>
      </c>
      <c r="P26" s="14">
        <f>'HIER Rechnung Ausschütter'!P27</f>
        <v>0.04676847398</v>
      </c>
    </row>
    <row r="27" ht="15.75" customHeight="1">
      <c r="A27" s="17" t="s">
        <v>30</v>
      </c>
      <c r="B27" s="29">
        <f>'HIER Einzelaktien'!G36</f>
        <v>0.02424006941</v>
      </c>
      <c r="M27" s="12">
        <v>27.0</v>
      </c>
      <c r="N27" s="13">
        <f>'HIER Rechnung Thesaurierer '!AF28</f>
        <v>-7803.51326</v>
      </c>
      <c r="O27" s="14">
        <f>'HIER Rechnung Thesaurierer '!O28</f>
        <v>0.03922837689</v>
      </c>
      <c r="P27" s="14">
        <f>'HIER Rechnung Ausschütter'!P28</f>
        <v>0.03888900184</v>
      </c>
    </row>
    <row r="28" ht="15.75" customHeight="1">
      <c r="A28" s="17" t="s">
        <v>31</v>
      </c>
      <c r="B28" s="29">
        <f>'HIER Rechnung Ausschütter'!H36</f>
        <v>0.020604059</v>
      </c>
      <c r="M28" s="12">
        <v>28.0</v>
      </c>
      <c r="N28" s="13">
        <f>'HIER Rechnung Thesaurierer '!AF29</f>
        <v>-5374.612965</v>
      </c>
      <c r="O28" s="14">
        <f>'HIER Rechnung Thesaurierer '!O29</f>
        <v>0.03507995537</v>
      </c>
      <c r="P28" s="14">
        <f>'HIER Rechnung Ausschütter'!P29</f>
        <v>0.03424906332</v>
      </c>
    </row>
    <row r="29" ht="15.75" customHeight="1">
      <c r="A29" s="30" t="s">
        <v>32</v>
      </c>
      <c r="B29" s="31">
        <f>'HIER Rechnung Thesaurierer '!H36</f>
        <v>0.02833</v>
      </c>
      <c r="M29" s="12">
        <v>29.0</v>
      </c>
      <c r="N29" s="13">
        <f>'HIER Rechnung Thesaurierer '!AF30</f>
        <v>-4482.747778</v>
      </c>
      <c r="O29" s="14">
        <f>'HIER Rechnung Thesaurierer '!O30</f>
        <v>0.0297537612</v>
      </c>
      <c r="P29" s="14">
        <f>'HIER Rechnung Ausschütter'!P30</f>
        <v>0.02886861461</v>
      </c>
    </row>
    <row r="30" ht="15.75" customHeight="1">
      <c r="A30" s="19"/>
      <c r="M30" s="12">
        <v>30.0</v>
      </c>
      <c r="N30" s="13">
        <f>'HIER Rechnung Thesaurierer '!AF31</f>
        <v>-3499.797941</v>
      </c>
      <c r="O30" s="14">
        <f>'HIER Rechnung Thesaurierer '!O31</f>
        <v>0.03776424714</v>
      </c>
      <c r="P30" s="14">
        <f>'HIER Rechnung Ausschütter'!P31</f>
        <v>0.03632866174</v>
      </c>
    </row>
    <row r="31" ht="15.75" customHeight="1">
      <c r="A31" s="19"/>
      <c r="M31" s="6"/>
    </row>
    <row r="32" ht="15.75" customHeight="1">
      <c r="A32" s="19"/>
    </row>
    <row r="33" ht="15.75" customHeight="1">
      <c r="A33" s="19"/>
    </row>
    <row r="34" ht="15.75" customHeight="1">
      <c r="A34" s="19"/>
    </row>
    <row r="35" ht="15.75" customHeight="1">
      <c r="A35" s="19"/>
    </row>
    <row r="36" ht="15.75" customHeight="1">
      <c r="A36" s="19"/>
    </row>
    <row r="37" ht="15.75" customHeight="1">
      <c r="A37" s="19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conditionalFormatting sqref="N2:N30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dataValidations>
    <dataValidation type="list" allowBlank="1" showErrorMessage="1" sqref="B12">
      <formula1>"Nein,Ja"</formula1>
    </dataValidation>
  </dataValidations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28" width="12.75"/>
    <col customWidth="1" min="29" max="29" width="15.88"/>
    <col customWidth="1" min="30" max="46" width="12.75"/>
  </cols>
  <sheetData>
    <row r="1" ht="48.75" customHeight="1">
      <c r="A1" s="32" t="s">
        <v>33</v>
      </c>
      <c r="B1" s="1"/>
      <c r="C1" s="17" t="s">
        <v>34</v>
      </c>
      <c r="D1" s="33">
        <f>Ergebnis!B2/H1</f>
        <v>0</v>
      </c>
      <c r="E1" s="1" t="s">
        <v>35</v>
      </c>
      <c r="F1" s="1"/>
      <c r="G1" s="34">
        <f>B$4*(1-(7%*30))</f>
        <v>-1.1</v>
      </c>
      <c r="H1" s="35">
        <f>Ergebnis!B1</f>
        <v>1000000</v>
      </c>
      <c r="I1" s="19"/>
      <c r="J1" s="17" t="s">
        <v>36</v>
      </c>
      <c r="K1" s="29">
        <f>Ergebnis!B8</f>
        <v>0</v>
      </c>
      <c r="L1" s="17" t="s">
        <v>37</v>
      </c>
      <c r="M1" s="36">
        <f>Ergebnis!B7</f>
        <v>0.15</v>
      </c>
      <c r="N1" s="17" t="s">
        <v>38</v>
      </c>
      <c r="O1" s="37">
        <f>Ergebnis!B10</f>
        <v>0.185325</v>
      </c>
      <c r="P1" s="37">
        <f>Ergebnis!B11</f>
        <v>0.26375</v>
      </c>
      <c r="Q1" s="38"/>
      <c r="R1" s="17" t="s">
        <v>39</v>
      </c>
      <c r="S1" s="38">
        <f>Ergebnis!B5</f>
        <v>0</v>
      </c>
      <c r="T1" s="17"/>
      <c r="U1" s="39"/>
      <c r="V1" s="17"/>
      <c r="W1" s="17" t="s">
        <v>40</v>
      </c>
      <c r="X1" s="35">
        <f>Ergebnis!B4</f>
        <v>35000</v>
      </c>
      <c r="Y1" s="1"/>
      <c r="Z1" s="1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40">
        <f>(AO33/AO4)^(1/29)-1</f>
        <v>0.07</v>
      </c>
      <c r="AP1" s="19"/>
      <c r="AQ1" s="40">
        <f>(AQ33/AQ4)^(1/29)-1</f>
        <v>0.05</v>
      </c>
      <c r="AR1" s="19"/>
      <c r="AS1" s="19"/>
      <c r="AT1" s="19"/>
    </row>
    <row r="2" ht="96.75" customHeight="1">
      <c r="A2" s="12" t="s">
        <v>3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41" t="s">
        <v>33</v>
      </c>
      <c r="J2" s="6" t="s">
        <v>48</v>
      </c>
      <c r="K2" s="6" t="s">
        <v>49</v>
      </c>
      <c r="L2" s="42" t="s">
        <v>50</v>
      </c>
      <c r="M2" s="6" t="s">
        <v>51</v>
      </c>
      <c r="N2" s="6" t="s">
        <v>52</v>
      </c>
      <c r="O2" s="6" t="s">
        <v>53</v>
      </c>
      <c r="P2" s="6" t="s">
        <v>54</v>
      </c>
      <c r="Q2" s="6" t="s">
        <v>55</v>
      </c>
      <c r="R2" s="6" t="s">
        <v>56</v>
      </c>
      <c r="S2" s="6" t="s">
        <v>57</v>
      </c>
      <c r="T2" s="8" t="s">
        <v>58</v>
      </c>
      <c r="U2" s="6" t="s">
        <v>59</v>
      </c>
      <c r="V2" s="6" t="s">
        <v>60</v>
      </c>
      <c r="W2" s="6" t="s">
        <v>61</v>
      </c>
      <c r="X2" s="43" t="s">
        <v>62</v>
      </c>
      <c r="Y2" s="6"/>
      <c r="Z2" s="6"/>
      <c r="AA2" s="6"/>
      <c r="AB2" s="12" t="s">
        <v>63</v>
      </c>
      <c r="AC2" s="6" t="s">
        <v>64</v>
      </c>
      <c r="AD2" s="6" t="s">
        <v>65</v>
      </c>
      <c r="AE2" s="44" t="s">
        <v>66</v>
      </c>
      <c r="AF2" s="6" t="s">
        <v>67</v>
      </c>
      <c r="AG2" s="6" t="s">
        <v>68</v>
      </c>
      <c r="AH2" s="6" t="s">
        <v>69</v>
      </c>
      <c r="AI2" s="6" t="s">
        <v>70</v>
      </c>
      <c r="AJ2" s="12"/>
      <c r="AK2" s="6" t="s">
        <v>71</v>
      </c>
      <c r="AL2" s="6" t="s">
        <v>72</v>
      </c>
      <c r="AM2" s="6" t="s">
        <v>73</v>
      </c>
      <c r="AN2" s="6"/>
      <c r="AO2" s="45" t="s">
        <v>74</v>
      </c>
      <c r="AP2" s="45" t="s">
        <v>75</v>
      </c>
      <c r="AQ2" s="45" t="s">
        <v>76</v>
      </c>
      <c r="AR2" s="45" t="s">
        <v>75</v>
      </c>
      <c r="AS2" s="45"/>
      <c r="AT2" s="45"/>
    </row>
    <row r="3" ht="12.75" hidden="1" customHeight="1">
      <c r="A3" s="12">
        <v>0.0</v>
      </c>
      <c r="B3" s="46"/>
      <c r="C3" s="47"/>
      <c r="D3" s="13"/>
      <c r="E3" s="48"/>
      <c r="F3" s="49"/>
      <c r="G3" s="13"/>
      <c r="H3" s="18"/>
      <c r="I3" s="50">
        <f>D4</f>
        <v>1000000</v>
      </c>
      <c r="J3" s="51"/>
      <c r="K3" s="51"/>
      <c r="L3" s="13"/>
      <c r="M3" s="13"/>
      <c r="N3" s="13"/>
      <c r="O3" s="12"/>
      <c r="P3" s="18"/>
      <c r="Q3" s="13"/>
      <c r="R3" s="47"/>
      <c r="S3" s="52"/>
      <c r="T3" s="13"/>
      <c r="U3" s="13"/>
      <c r="V3" s="13"/>
      <c r="W3" s="13"/>
      <c r="X3" s="13"/>
      <c r="Y3" s="13"/>
      <c r="Z3" s="18"/>
      <c r="AC3" s="53"/>
      <c r="AD3" s="13"/>
      <c r="AE3" s="13"/>
      <c r="AF3" s="54"/>
      <c r="AG3" s="18"/>
      <c r="AH3" s="13"/>
      <c r="AL3" s="13"/>
      <c r="AN3" s="13"/>
      <c r="AO3" s="13"/>
      <c r="AP3" s="13"/>
      <c r="AQ3" s="13"/>
      <c r="AR3" s="13"/>
      <c r="AS3" s="13"/>
      <c r="AT3" s="13"/>
    </row>
    <row r="4" ht="12.75" customHeight="1">
      <c r="A4" s="12">
        <v>1.0</v>
      </c>
      <c r="B4" s="46">
        <v>1.0</v>
      </c>
      <c r="C4" s="47">
        <f>H1</f>
        <v>1000000</v>
      </c>
      <c r="D4" s="13">
        <f>C4*B4</f>
        <v>1000000</v>
      </c>
      <c r="E4" s="48">
        <f t="shared" ref="E4:E33" si="1">F4-K$1</f>
        <v>0.1870220986</v>
      </c>
      <c r="F4" s="49">
        <v>0.18702209864369</v>
      </c>
      <c r="G4" s="13">
        <f>D4*(1+E4)</f>
        <v>1187022.099</v>
      </c>
      <c r="H4" s="18">
        <f>'HIER Einzelaktien'!G4-('HIER Einzelaktien'!G4*M$1)</f>
        <v>0.02222227355</v>
      </c>
      <c r="I4" s="50">
        <f t="shared" ref="I4:I33" si="2">C5*B5</f>
        <v>1168932.137</v>
      </c>
      <c r="J4" s="55">
        <f t="shared" ref="J4:J33" si="3">I4/D4-1</f>
        <v>0.1689321371</v>
      </c>
      <c r="K4" s="55" t="str">
        <f t="shared" ref="K4:K33" si="4">B5/D$1-1</f>
        <v>#DIV/0!</v>
      </c>
      <c r="L4" s="56">
        <f>AQ33</f>
        <v>1.003935511</v>
      </c>
      <c r="M4" s="57">
        <f t="shared" ref="M4:M33" si="5">G4*H4</f>
        <v>26378.32979</v>
      </c>
      <c r="N4" s="57">
        <f t="shared" ref="N4:N33" si="6">M4*O$1-AL4</f>
        <v>4888.563968</v>
      </c>
      <c r="O4" s="57">
        <f t="shared" ref="O4:O33" si="7">M4-N4</f>
        <v>21489.76582</v>
      </c>
      <c r="P4" s="58">
        <f t="shared" ref="P4:P33" si="8">(S4+M4)/G4</f>
        <v>0.03746205859</v>
      </c>
      <c r="Q4" s="57">
        <f>X1</f>
        <v>35000</v>
      </c>
      <c r="R4" s="59">
        <f t="shared" ref="R4:R33" si="9">S4/B5</f>
        <v>15239.78503</v>
      </c>
      <c r="S4" s="60">
        <f t="shared" ref="S4:S33" si="10">Q4-O4+U4+AF4</f>
        <v>18089.96161</v>
      </c>
      <c r="T4" s="57">
        <f t="shared" ref="T4:T33" si="11">S4-V4</f>
        <v>2790.200292</v>
      </c>
      <c r="U4" s="57">
        <f t="shared" ref="U4:U33" si="12">T4*O$1</f>
        <v>517.093869</v>
      </c>
      <c r="V4" s="57">
        <f t="shared" ref="V4:V33" si="13">R4*L4+AH4</f>
        <v>15299.76137</v>
      </c>
      <c r="W4" s="57">
        <f t="shared" ref="W4:W33" si="14">S4-U4-AF4</f>
        <v>13510.23421</v>
      </c>
      <c r="X4" s="57">
        <f t="shared" ref="X4:X33" si="15">W4+O4</f>
        <v>35000.00003</v>
      </c>
      <c r="Y4" s="13"/>
      <c r="Z4" s="58"/>
      <c r="AA4" s="57"/>
      <c r="AB4" s="58">
        <f>'HIER Rechnung Thesaurierer '!H4</f>
        <v>0.069</v>
      </c>
      <c r="AC4" s="61">
        <f t="shared" ref="AC4:AC33" si="16">(B5*C4)-(B4*C4)</f>
        <v>187022.0986</v>
      </c>
      <c r="AD4" s="57">
        <f>IF(AC4&gt;0,MIN((D4)*AB4*0.7,AC4),0)</f>
        <v>48300</v>
      </c>
      <c r="AE4" s="57">
        <f t="shared" ref="AE4:AE33" si="17">IF(AC4&gt;0,MAX(AD4-(M4),0),0)</f>
        <v>21921.67021</v>
      </c>
      <c r="AF4" s="62">
        <f t="shared" ref="AF4:AF33" si="18">AE4*O$1</f>
        <v>4062.633532</v>
      </c>
      <c r="AG4" s="58">
        <f t="shared" ref="AG4:AG33" si="19">V4/G4</f>
        <v>0.01288919675</v>
      </c>
      <c r="AH4" s="57">
        <f t="shared" ref="AH4:AH33" si="20">IF(AI3&gt;0,(AI3/C4)*S4,0)</f>
        <v>0</v>
      </c>
      <c r="AI4" s="57">
        <f>AE4-AH4</f>
        <v>21921.67021</v>
      </c>
      <c r="AJ4" s="12"/>
      <c r="AK4" s="63">
        <f>S1</f>
        <v>0</v>
      </c>
      <c r="AL4" s="57">
        <f t="shared" ref="AL4:AL33" si="21">IF((M4+N4+S4)&lt;AK4,(M4+N4+S4)*O$1,AK4*O$1)</f>
        <v>0</v>
      </c>
      <c r="AM4" s="57">
        <f t="shared" ref="AM4:AM33" si="22">(M4+T4+AE4)*0.7</f>
        <v>35763.1402</v>
      </c>
      <c r="AN4" s="57"/>
      <c r="AO4" s="56">
        <f>1/7.1</f>
        <v>0.1408450704</v>
      </c>
      <c r="AP4" s="64">
        <v>0.07</v>
      </c>
      <c r="AQ4" s="56">
        <f>1/4.1</f>
        <v>0.243902439</v>
      </c>
      <c r="AR4" s="64">
        <v>0.05</v>
      </c>
      <c r="AS4" s="64"/>
      <c r="AT4" s="64"/>
    </row>
    <row r="5" ht="12.75" customHeight="1">
      <c r="A5" s="12">
        <v>2.0</v>
      </c>
      <c r="B5" s="46">
        <f t="shared" ref="B5:B34" si="23">B4*(1+E4)</f>
        <v>1.187022099</v>
      </c>
      <c r="C5" s="47">
        <f t="shared" ref="C5:C34" si="24">C4-R4</f>
        <v>984760.215</v>
      </c>
      <c r="D5" s="13">
        <f t="shared" ref="D5:D33" si="25">I4</f>
        <v>1168932.137</v>
      </c>
      <c r="E5" s="48">
        <f t="shared" si="1"/>
        <v>0.117233208</v>
      </c>
      <c r="F5" s="49">
        <v>0.117233208040529</v>
      </c>
      <c r="G5" s="13">
        <f t="shared" ref="G5:G33" si="26">D5*(1+E5-K$1)</f>
        <v>1305969.802</v>
      </c>
      <c r="H5" s="18">
        <f>'HIER Einzelaktien'!G5-('HIER Einzelaktien'!G5*M$1)</f>
        <v>0.01931805741</v>
      </c>
      <c r="I5" s="50">
        <f t="shared" si="2"/>
        <v>1283560.365</v>
      </c>
      <c r="J5" s="55">
        <f t="shared" si="3"/>
        <v>0.09806234619</v>
      </c>
      <c r="K5" s="55" t="str">
        <f t="shared" si="4"/>
        <v>#DIV/0!</v>
      </c>
      <c r="L5" s="56">
        <f>AQ32</f>
        <v>0.9561290582</v>
      </c>
      <c r="M5" s="57">
        <f t="shared" si="5"/>
        <v>25228.7996</v>
      </c>
      <c r="N5" s="57">
        <f t="shared" si="6"/>
        <v>4675.527287</v>
      </c>
      <c r="O5" s="57">
        <f t="shared" si="7"/>
        <v>20553.27232</v>
      </c>
      <c r="P5" s="58">
        <f t="shared" si="8"/>
        <v>0.03647728769</v>
      </c>
      <c r="Q5" s="57">
        <f>Q4*(1+'HIER Rechnung Thesaurierer '!I5)</f>
        <v>37170</v>
      </c>
      <c r="R5" s="59">
        <f t="shared" si="9"/>
        <v>16897.72729</v>
      </c>
      <c r="S5" s="60">
        <f t="shared" si="10"/>
        <v>22409.43657</v>
      </c>
      <c r="T5" s="57">
        <f t="shared" si="11"/>
        <v>5754.173806</v>
      </c>
      <c r="U5" s="57">
        <f t="shared" si="12"/>
        <v>1066.392261</v>
      </c>
      <c r="V5" s="57">
        <f t="shared" si="13"/>
        <v>16655.2628</v>
      </c>
      <c r="W5" s="57">
        <f t="shared" si="14"/>
        <v>16616.72768</v>
      </c>
      <c r="X5" s="57">
        <f t="shared" si="15"/>
        <v>37170</v>
      </c>
      <c r="Y5" s="13"/>
      <c r="Z5" s="58"/>
      <c r="AA5" s="57"/>
      <c r="AB5" s="58">
        <f>'HIER Rechnung Thesaurierer '!H5</f>
        <v>0.062</v>
      </c>
      <c r="AC5" s="61">
        <f t="shared" si="16"/>
        <v>137037.6644</v>
      </c>
      <c r="AD5" s="57">
        <f t="shared" ref="AD5:AD33" si="27">IF(AB5&gt;0, IF(AC5&gt;0,MIN((D5)*AB5*0.7,AC5),0),0)</f>
        <v>50731.65475</v>
      </c>
      <c r="AE5" s="57">
        <f t="shared" si="17"/>
        <v>25502.85515</v>
      </c>
      <c r="AF5" s="62">
        <f t="shared" si="18"/>
        <v>4726.31663</v>
      </c>
      <c r="AG5" s="58">
        <f t="shared" si="19"/>
        <v>0.01275317605</v>
      </c>
      <c r="AH5" s="57">
        <f t="shared" si="20"/>
        <v>498.8547168</v>
      </c>
      <c r="AI5" s="57">
        <f t="shared" ref="AI5:AI33" si="28">AI4+AE5-AH5</f>
        <v>46925.67064</v>
      </c>
      <c r="AJ5" s="12"/>
      <c r="AK5" s="63">
        <f>AK4*(1+'HIER Rechnung Thesaurierer '!I4)</f>
        <v>0</v>
      </c>
      <c r="AL5" s="57">
        <f t="shared" si="21"/>
        <v>0</v>
      </c>
      <c r="AM5" s="57">
        <f t="shared" si="22"/>
        <v>39540.07999</v>
      </c>
      <c r="AN5" s="57"/>
      <c r="AO5" s="56">
        <f t="shared" ref="AO5:AO33" si="29">AO4*(1+AP4)</f>
        <v>0.1507042254</v>
      </c>
      <c r="AP5" s="64">
        <v>0.07</v>
      </c>
      <c r="AQ5" s="56">
        <f t="shared" ref="AQ5:AQ33" si="30">AQ4*(1+AR4)</f>
        <v>0.256097561</v>
      </c>
      <c r="AR5" s="64">
        <v>0.05</v>
      </c>
      <c r="AS5" s="64"/>
      <c r="AT5" s="64"/>
    </row>
    <row r="6" ht="12.75" customHeight="1">
      <c r="A6" s="12">
        <v>3.0</v>
      </c>
      <c r="B6" s="46">
        <f t="shared" si="23"/>
        <v>1.326180507</v>
      </c>
      <c r="C6" s="47">
        <f t="shared" si="24"/>
        <v>967862.4877</v>
      </c>
      <c r="D6" s="13">
        <f t="shared" si="25"/>
        <v>1283560.365</v>
      </c>
      <c r="E6" s="48">
        <f t="shared" si="1"/>
        <v>0.1416801363</v>
      </c>
      <c r="F6" s="49">
        <v>0.141680136330059</v>
      </c>
      <c r="G6" s="13">
        <f t="shared" si="26"/>
        <v>1465415.373</v>
      </c>
      <c r="H6" s="18">
        <f>'HIER Einzelaktien'!G6-('HIER Einzelaktien'!G6*M$1)</f>
        <v>0.01750231633</v>
      </c>
      <c r="I6" s="50">
        <f t="shared" si="2"/>
        <v>1440896.473</v>
      </c>
      <c r="J6" s="55">
        <f t="shared" si="3"/>
        <v>0.1225778797</v>
      </c>
      <c r="K6" s="55" t="str">
        <f t="shared" si="4"/>
        <v>#DIV/0!</v>
      </c>
      <c r="L6" s="56">
        <f>AQ31</f>
        <v>0.910599103</v>
      </c>
      <c r="M6" s="57">
        <f t="shared" si="5"/>
        <v>25648.1634</v>
      </c>
      <c r="N6" s="57">
        <f t="shared" si="6"/>
        <v>4753.245882</v>
      </c>
      <c r="O6" s="57">
        <f t="shared" si="7"/>
        <v>20894.91752</v>
      </c>
      <c r="P6" s="58">
        <f t="shared" si="8"/>
        <v>0.03423402251</v>
      </c>
      <c r="Q6" s="57">
        <f>Q5*(1+'HIER Rechnung Thesaurierer '!I6)</f>
        <v>39251.52</v>
      </c>
      <c r="R6" s="59">
        <f t="shared" si="9"/>
        <v>16193.99077</v>
      </c>
      <c r="S6" s="60">
        <f t="shared" si="10"/>
        <v>24518.89947</v>
      </c>
      <c r="T6" s="57">
        <f t="shared" si="11"/>
        <v>8583.896101</v>
      </c>
      <c r="U6" s="57">
        <f t="shared" si="12"/>
        <v>1590.810545</v>
      </c>
      <c r="V6" s="57">
        <f t="shared" si="13"/>
        <v>15935.00338</v>
      </c>
      <c r="W6" s="57">
        <f t="shared" si="14"/>
        <v>18356.60248</v>
      </c>
      <c r="X6" s="57">
        <f t="shared" si="15"/>
        <v>39251.51999</v>
      </c>
      <c r="Y6" s="13"/>
      <c r="Z6" s="58"/>
      <c r="AA6" s="57"/>
      <c r="AB6" s="58">
        <f>'HIER Rechnung Thesaurierer '!H6</f>
        <v>0.056</v>
      </c>
      <c r="AC6" s="61">
        <f t="shared" si="16"/>
        <v>181855.0075</v>
      </c>
      <c r="AD6" s="57">
        <f t="shared" si="27"/>
        <v>50315.56631</v>
      </c>
      <c r="AE6" s="57">
        <f t="shared" si="17"/>
        <v>24667.40291</v>
      </c>
      <c r="AF6" s="62">
        <f t="shared" si="18"/>
        <v>4571.486444</v>
      </c>
      <c r="AG6" s="58">
        <f t="shared" si="19"/>
        <v>0.01087405228</v>
      </c>
      <c r="AH6" s="57">
        <f t="shared" si="20"/>
        <v>1188.769908</v>
      </c>
      <c r="AI6" s="57">
        <f t="shared" si="28"/>
        <v>70404.30364</v>
      </c>
      <c r="AJ6" s="12"/>
      <c r="AK6" s="63">
        <f>AK5*(1+'HIER Rechnung Thesaurierer '!I5)</f>
        <v>0</v>
      </c>
      <c r="AL6" s="57">
        <f t="shared" si="21"/>
        <v>0</v>
      </c>
      <c r="AM6" s="57">
        <f t="shared" si="22"/>
        <v>41229.62369</v>
      </c>
      <c r="AN6" s="57"/>
      <c r="AO6" s="56">
        <f t="shared" si="29"/>
        <v>0.1612535211</v>
      </c>
      <c r="AP6" s="64">
        <v>0.07</v>
      </c>
      <c r="AQ6" s="56">
        <f t="shared" si="30"/>
        <v>0.268902439</v>
      </c>
      <c r="AR6" s="64">
        <v>0.05</v>
      </c>
      <c r="AS6" s="64"/>
      <c r="AT6" s="64"/>
    </row>
    <row r="7" ht="12.75" customHeight="1">
      <c r="A7" s="12">
        <v>4.0</v>
      </c>
      <c r="B7" s="46">
        <f t="shared" si="23"/>
        <v>1.514073942</v>
      </c>
      <c r="C7" s="47">
        <f t="shared" si="24"/>
        <v>951668.4969</v>
      </c>
      <c r="D7" s="13">
        <f t="shared" si="25"/>
        <v>1440896.473</v>
      </c>
      <c r="E7" s="48">
        <f t="shared" si="1"/>
        <v>0.2278059473</v>
      </c>
      <c r="F7" s="49">
        <v>0.227805947313181</v>
      </c>
      <c r="G7" s="13">
        <f t="shared" si="26"/>
        <v>1769141.259</v>
      </c>
      <c r="H7" s="18">
        <f>'HIER Einzelaktien'!G7-('HIER Einzelaktien'!G7*M$1)</f>
        <v>0.01712459737</v>
      </c>
      <c r="I7" s="50">
        <f t="shared" si="2"/>
        <v>1747979.384</v>
      </c>
      <c r="J7" s="55">
        <f t="shared" si="3"/>
        <v>0.213119344</v>
      </c>
      <c r="K7" s="55" t="str">
        <f t="shared" si="4"/>
        <v>#DIV/0!</v>
      </c>
      <c r="L7" s="56">
        <f>AQ30</f>
        <v>0.867237241</v>
      </c>
      <c r="M7" s="57">
        <f t="shared" si="5"/>
        <v>30295.83175</v>
      </c>
      <c r="N7" s="57">
        <f t="shared" si="6"/>
        <v>5614.57502</v>
      </c>
      <c r="O7" s="57">
        <f t="shared" si="7"/>
        <v>24681.25673</v>
      </c>
      <c r="P7" s="58">
        <f t="shared" si="8"/>
        <v>0.02908626228</v>
      </c>
      <c r="Q7" s="57">
        <f>Q6*(1+'HIER Rechnung Thesaurierer '!I7)</f>
        <v>41057.08992</v>
      </c>
      <c r="R7" s="59">
        <f t="shared" si="9"/>
        <v>11383.53967</v>
      </c>
      <c r="S7" s="60">
        <f t="shared" si="10"/>
        <v>21161.87494</v>
      </c>
      <c r="T7" s="57">
        <f t="shared" si="11"/>
        <v>9724.092824</v>
      </c>
      <c r="U7" s="57">
        <f t="shared" si="12"/>
        <v>1802.117503</v>
      </c>
      <c r="V7" s="57">
        <f t="shared" si="13"/>
        <v>11437.78211</v>
      </c>
      <c r="W7" s="57">
        <f t="shared" si="14"/>
        <v>16375.83318</v>
      </c>
      <c r="X7" s="57">
        <f t="shared" si="15"/>
        <v>41057.08991</v>
      </c>
      <c r="Y7" s="13"/>
      <c r="Z7" s="58"/>
      <c r="AA7" s="57"/>
      <c r="AB7" s="58">
        <f>'HIER Rechnung Thesaurierer '!H7</f>
        <v>0.046</v>
      </c>
      <c r="AC7" s="61">
        <f t="shared" si="16"/>
        <v>328244.786</v>
      </c>
      <c r="AD7" s="57">
        <f t="shared" si="27"/>
        <v>46396.86643</v>
      </c>
      <c r="AE7" s="57">
        <f t="shared" si="17"/>
        <v>16101.03468</v>
      </c>
      <c r="AF7" s="62">
        <f t="shared" si="18"/>
        <v>2983.924252</v>
      </c>
      <c r="AG7" s="58">
        <f t="shared" si="19"/>
        <v>0.006465160457</v>
      </c>
      <c r="AH7" s="57">
        <f t="shared" si="20"/>
        <v>1565.552578</v>
      </c>
      <c r="AI7" s="57">
        <f t="shared" si="28"/>
        <v>84939.78574</v>
      </c>
      <c r="AJ7" s="12"/>
      <c r="AK7" s="63">
        <f>AK6*(1+'HIER Rechnung Thesaurierer '!I6)</f>
        <v>0</v>
      </c>
      <c r="AL7" s="57">
        <f t="shared" si="21"/>
        <v>0</v>
      </c>
      <c r="AM7" s="57">
        <f t="shared" si="22"/>
        <v>39284.67148</v>
      </c>
      <c r="AN7" s="57"/>
      <c r="AO7" s="56">
        <f t="shared" si="29"/>
        <v>0.1725412676</v>
      </c>
      <c r="AP7" s="64">
        <v>0.07</v>
      </c>
      <c r="AQ7" s="56">
        <f t="shared" si="30"/>
        <v>0.282347561</v>
      </c>
      <c r="AR7" s="64">
        <v>0.05</v>
      </c>
      <c r="AS7" s="64"/>
      <c r="AT7" s="64"/>
    </row>
    <row r="8" ht="12.75" customHeight="1">
      <c r="A8" s="12">
        <v>5.0</v>
      </c>
      <c r="B8" s="46">
        <f t="shared" si="23"/>
        <v>1.858988991</v>
      </c>
      <c r="C8" s="47">
        <f t="shared" si="24"/>
        <v>940284.9572</v>
      </c>
      <c r="D8" s="13">
        <f t="shared" si="25"/>
        <v>1747979.384</v>
      </c>
      <c r="E8" s="48">
        <f t="shared" si="1"/>
        <v>0.2356037469</v>
      </c>
      <c r="F8" s="49">
        <v>0.235603746939003</v>
      </c>
      <c r="G8" s="13">
        <f t="shared" si="26"/>
        <v>2159809.877</v>
      </c>
      <c r="H8" s="18">
        <f>'HIER Einzelaktien'!G8-('HIER Einzelaktien'!G8*M$1)</f>
        <v>0.01512551027</v>
      </c>
      <c r="I8" s="50">
        <f t="shared" si="2"/>
        <v>2137048.821</v>
      </c>
      <c r="J8" s="55">
        <f t="shared" si="3"/>
        <v>0.2225823943</v>
      </c>
      <c r="K8" s="55" t="str">
        <f t="shared" si="4"/>
        <v>#DIV/0!</v>
      </c>
      <c r="L8" s="56">
        <f>AQ29</f>
        <v>0.8259402295</v>
      </c>
      <c r="M8" s="57">
        <f t="shared" si="5"/>
        <v>32668.22648</v>
      </c>
      <c r="N8" s="57">
        <f t="shared" si="6"/>
        <v>6054.239073</v>
      </c>
      <c r="O8" s="57">
        <f t="shared" si="7"/>
        <v>26613.98741</v>
      </c>
      <c r="P8" s="58">
        <f t="shared" si="8"/>
        <v>0.02566396376</v>
      </c>
      <c r="Q8" s="57">
        <f>Q7*(1+'HIER Rechnung Thesaurierer '!I8)</f>
        <v>42904.65897</v>
      </c>
      <c r="R8" s="59">
        <f t="shared" si="9"/>
        <v>9909.149283</v>
      </c>
      <c r="S8" s="60">
        <f t="shared" si="10"/>
        <v>22761.05592</v>
      </c>
      <c r="T8" s="57">
        <f t="shared" si="11"/>
        <v>12520.59162</v>
      </c>
      <c r="U8" s="57">
        <f t="shared" si="12"/>
        <v>2320.378642</v>
      </c>
      <c r="V8" s="57">
        <f t="shared" si="13"/>
        <v>10240.4643</v>
      </c>
      <c r="W8" s="57">
        <f t="shared" si="14"/>
        <v>16290.67155</v>
      </c>
      <c r="X8" s="57">
        <f t="shared" si="15"/>
        <v>42904.65896</v>
      </c>
      <c r="Y8" s="13"/>
      <c r="Z8" s="58"/>
      <c r="AA8" s="57"/>
      <c r="AB8" s="58">
        <f>'HIER Rechnung Thesaurierer '!H8</f>
        <v>0.045</v>
      </c>
      <c r="AC8" s="61">
        <f t="shared" si="16"/>
        <v>411830.4924</v>
      </c>
      <c r="AD8" s="57">
        <f t="shared" si="27"/>
        <v>55061.3506</v>
      </c>
      <c r="AE8" s="57">
        <f t="shared" si="17"/>
        <v>22393.12412</v>
      </c>
      <c r="AF8" s="62">
        <f t="shared" si="18"/>
        <v>4150.005728</v>
      </c>
      <c r="AG8" s="58">
        <f t="shared" si="19"/>
        <v>0.004741373031</v>
      </c>
      <c r="AH8" s="57">
        <f t="shared" si="20"/>
        <v>2056.099269</v>
      </c>
      <c r="AI8" s="57">
        <f t="shared" si="28"/>
        <v>105276.8106</v>
      </c>
      <c r="AJ8" s="12"/>
      <c r="AK8" s="63">
        <f>AK7*(1+'HIER Rechnung Thesaurierer '!I7)</f>
        <v>0</v>
      </c>
      <c r="AL8" s="57">
        <f t="shared" si="21"/>
        <v>0</v>
      </c>
      <c r="AM8" s="57">
        <f t="shared" si="22"/>
        <v>47307.35956</v>
      </c>
      <c r="AN8" s="57"/>
      <c r="AO8" s="56">
        <f t="shared" si="29"/>
        <v>0.1846191563</v>
      </c>
      <c r="AP8" s="64">
        <v>0.07</v>
      </c>
      <c r="AQ8" s="56">
        <f t="shared" si="30"/>
        <v>0.296464939</v>
      </c>
      <c r="AR8" s="64">
        <v>0.05</v>
      </c>
      <c r="AS8" s="64"/>
      <c r="AT8" s="64"/>
    </row>
    <row r="9" ht="12.75" customHeight="1">
      <c r="A9" s="12">
        <v>6.0</v>
      </c>
      <c r="B9" s="46">
        <f t="shared" si="23"/>
        <v>2.296973763</v>
      </c>
      <c r="C9" s="47">
        <f t="shared" si="24"/>
        <v>930375.808</v>
      </c>
      <c r="D9" s="13">
        <f t="shared" si="25"/>
        <v>2137048.821</v>
      </c>
      <c r="E9" s="48">
        <f t="shared" si="1"/>
        <v>-0.1404983514</v>
      </c>
      <c r="F9" s="49">
        <v>-0.140498351379598</v>
      </c>
      <c r="G9" s="13">
        <f t="shared" si="26"/>
        <v>1836796.985</v>
      </c>
      <c r="H9" s="18">
        <f>'HIER Einzelaktien'!G9-('HIER Einzelaktien'!G9*M$1)</f>
        <v>0.009619867846</v>
      </c>
      <c r="I9" s="50">
        <f t="shared" si="2"/>
        <v>1802949.81</v>
      </c>
      <c r="J9" s="55">
        <f t="shared" si="3"/>
        <v>-0.1563366298</v>
      </c>
      <c r="K9" s="55" t="str">
        <f t="shared" si="4"/>
        <v>#DIV/0!</v>
      </c>
      <c r="L9" s="56">
        <f>AQ28</f>
        <v>0.7866097424</v>
      </c>
      <c r="M9" s="57">
        <f t="shared" si="5"/>
        <v>17669.74425</v>
      </c>
      <c r="N9" s="57">
        <f t="shared" si="6"/>
        <v>3274.645353</v>
      </c>
      <c r="O9" s="57">
        <f t="shared" si="7"/>
        <v>14395.0989</v>
      </c>
      <c r="P9" s="58">
        <f t="shared" si="8"/>
        <v>0.02804714884</v>
      </c>
      <c r="Q9" s="57">
        <f>Q8*(1+'HIER Rechnung Thesaurierer '!I9)</f>
        <v>45178.60589</v>
      </c>
      <c r="R9" s="59">
        <f t="shared" si="9"/>
        <v>17144.29645</v>
      </c>
      <c r="S9" s="60">
        <f t="shared" si="10"/>
        <v>33847.17417</v>
      </c>
      <c r="T9" s="57">
        <f t="shared" si="11"/>
        <v>16531.32161</v>
      </c>
      <c r="U9" s="57">
        <f t="shared" si="12"/>
        <v>3063.667178</v>
      </c>
      <c r="V9" s="57">
        <f t="shared" si="13"/>
        <v>17315.85255</v>
      </c>
      <c r="W9" s="57">
        <f t="shared" si="14"/>
        <v>30783.50699</v>
      </c>
      <c r="X9" s="57">
        <f t="shared" si="15"/>
        <v>45178.60589</v>
      </c>
      <c r="Y9" s="13"/>
      <c r="Z9" s="58"/>
      <c r="AA9" s="57"/>
      <c r="AB9" s="58">
        <f>'HIER Rechnung Thesaurierer '!H9</f>
        <v>0.053</v>
      </c>
      <c r="AC9" s="61">
        <f t="shared" si="16"/>
        <v>-300251.8361</v>
      </c>
      <c r="AD9" s="57">
        <f t="shared" si="27"/>
        <v>0</v>
      </c>
      <c r="AE9" s="57">
        <f t="shared" si="17"/>
        <v>0</v>
      </c>
      <c r="AF9" s="62">
        <f t="shared" si="18"/>
        <v>0</v>
      </c>
      <c r="AG9" s="58">
        <f t="shared" si="19"/>
        <v>0.00942720001</v>
      </c>
      <c r="AH9" s="57">
        <f t="shared" si="20"/>
        <v>3829.981942</v>
      </c>
      <c r="AI9" s="57">
        <f t="shared" si="28"/>
        <v>101446.8287</v>
      </c>
      <c r="AJ9" s="12"/>
      <c r="AK9" s="63">
        <f>AK8*(1+'HIER Rechnung Thesaurierer '!I8)</f>
        <v>0</v>
      </c>
      <c r="AL9" s="57">
        <f t="shared" si="21"/>
        <v>0</v>
      </c>
      <c r="AM9" s="57">
        <f t="shared" si="22"/>
        <v>23940.74611</v>
      </c>
      <c r="AN9" s="57"/>
      <c r="AO9" s="56">
        <f t="shared" si="29"/>
        <v>0.1975424973</v>
      </c>
      <c r="AP9" s="64">
        <v>0.07</v>
      </c>
      <c r="AQ9" s="56">
        <f t="shared" si="30"/>
        <v>0.311288186</v>
      </c>
      <c r="AR9" s="64">
        <v>0.05</v>
      </c>
      <c r="AS9" s="64"/>
      <c r="AT9" s="64"/>
    </row>
    <row r="10" ht="12.75" customHeight="1">
      <c r="A10" s="12">
        <v>7.0</v>
      </c>
      <c r="B10" s="46">
        <f t="shared" si="23"/>
        <v>1.974252736</v>
      </c>
      <c r="C10" s="47">
        <f t="shared" si="24"/>
        <v>913231.5115</v>
      </c>
      <c r="D10" s="13">
        <f t="shared" si="25"/>
        <v>1802949.81</v>
      </c>
      <c r="E10" s="48">
        <f t="shared" si="1"/>
        <v>-0.1782898384</v>
      </c>
      <c r="F10" s="49">
        <v>-0.178289838387296</v>
      </c>
      <c r="G10" s="13">
        <f t="shared" si="26"/>
        <v>1481502.18</v>
      </c>
      <c r="H10" s="18">
        <f>'HIER Einzelaktien'!G10-('HIER Einzelaktien'!G10*M$1)</f>
        <v>0.01111708907</v>
      </c>
      <c r="I10" s="50">
        <f t="shared" si="2"/>
        <v>1444656.102</v>
      </c>
      <c r="J10" s="55">
        <f t="shared" si="3"/>
        <v>-0.1987263905</v>
      </c>
      <c r="K10" s="55" t="str">
        <f t="shared" si="4"/>
        <v>#DIV/0!</v>
      </c>
      <c r="L10" s="56">
        <f>AQ27</f>
        <v>0.7491521356</v>
      </c>
      <c r="M10" s="57">
        <f t="shared" si="5"/>
        <v>16469.9917</v>
      </c>
      <c r="N10" s="57">
        <f t="shared" si="6"/>
        <v>3052.301212</v>
      </c>
      <c r="O10" s="57">
        <f t="shared" si="7"/>
        <v>13417.69049</v>
      </c>
      <c r="P10" s="58">
        <f t="shared" si="8"/>
        <v>0.03598784409</v>
      </c>
      <c r="Q10" s="57">
        <f>Q9*(1+'HIER Rechnung Thesaurierer '!I10)</f>
        <v>47347.17897</v>
      </c>
      <c r="R10" s="59">
        <f t="shared" si="9"/>
        <v>22712.7572</v>
      </c>
      <c r="S10" s="60">
        <f t="shared" si="10"/>
        <v>36846.07778</v>
      </c>
      <c r="T10" s="57">
        <f t="shared" si="11"/>
        <v>15737.70024</v>
      </c>
      <c r="U10" s="57">
        <f t="shared" si="12"/>
        <v>2916.589298</v>
      </c>
      <c r="V10" s="57">
        <f t="shared" si="13"/>
        <v>21108.37753</v>
      </c>
      <c r="W10" s="57">
        <f t="shared" si="14"/>
        <v>33929.48848</v>
      </c>
      <c r="X10" s="57">
        <f t="shared" si="15"/>
        <v>47347.17897</v>
      </c>
      <c r="Y10" s="13"/>
      <c r="Z10" s="58"/>
      <c r="AA10" s="57"/>
      <c r="AB10" s="58">
        <f>'HIER Rechnung Thesaurierer '!H10</f>
        <v>0.048</v>
      </c>
      <c r="AC10" s="61">
        <f t="shared" si="16"/>
        <v>-321447.6303</v>
      </c>
      <c r="AD10" s="57">
        <f t="shared" si="27"/>
        <v>0</v>
      </c>
      <c r="AE10" s="57">
        <f t="shared" si="17"/>
        <v>0</v>
      </c>
      <c r="AF10" s="62">
        <f t="shared" si="18"/>
        <v>0</v>
      </c>
      <c r="AG10" s="58">
        <f t="shared" si="19"/>
        <v>0.01424795577</v>
      </c>
      <c r="AH10" s="57">
        <f t="shared" si="20"/>
        <v>4093.066974</v>
      </c>
      <c r="AI10" s="57">
        <f t="shared" si="28"/>
        <v>97353.76168</v>
      </c>
      <c r="AJ10" s="12"/>
      <c r="AK10" s="63">
        <f>AK9*(1+'HIER Rechnung Thesaurierer '!I9)</f>
        <v>0</v>
      </c>
      <c r="AL10" s="57">
        <f t="shared" si="21"/>
        <v>0</v>
      </c>
      <c r="AM10" s="57">
        <f t="shared" si="22"/>
        <v>22545.38436</v>
      </c>
      <c r="AN10" s="57"/>
      <c r="AO10" s="56">
        <f t="shared" si="29"/>
        <v>0.2113704721</v>
      </c>
      <c r="AP10" s="64">
        <v>0.07</v>
      </c>
      <c r="AQ10" s="56">
        <f t="shared" si="30"/>
        <v>0.3268525953</v>
      </c>
      <c r="AR10" s="64">
        <v>0.05</v>
      </c>
      <c r="AS10" s="64"/>
      <c r="AT10" s="64"/>
    </row>
    <row r="11" ht="12.75" customHeight="1">
      <c r="A11" s="12">
        <v>8.0</v>
      </c>
      <c r="B11" s="46">
        <f t="shared" si="23"/>
        <v>1.622263535</v>
      </c>
      <c r="C11" s="47">
        <f t="shared" si="24"/>
        <v>890518.7543</v>
      </c>
      <c r="D11" s="13">
        <f t="shared" si="25"/>
        <v>1444656.102</v>
      </c>
      <c r="E11" s="48">
        <f t="shared" si="1"/>
        <v>-0.2105606687</v>
      </c>
      <c r="F11" s="49">
        <v>-0.21056066868889</v>
      </c>
      <c r="G11" s="13">
        <f t="shared" si="26"/>
        <v>1140468.347</v>
      </c>
      <c r="H11" s="18">
        <f>'HIER Einzelaktien'!G11-('HIER Einzelaktien'!G11*M$1)</f>
        <v>0.01287571822</v>
      </c>
      <c r="I11" s="50">
        <f t="shared" si="2"/>
        <v>1100330.196</v>
      </c>
      <c r="J11" s="55">
        <f t="shared" si="3"/>
        <v>-0.2383445483</v>
      </c>
      <c r="K11" s="55" t="str">
        <f t="shared" si="4"/>
        <v>#DIV/0!</v>
      </c>
      <c r="L11" s="56">
        <f>AQ26</f>
        <v>0.7134782244</v>
      </c>
      <c r="M11" s="57">
        <f t="shared" si="5"/>
        <v>14684.34908</v>
      </c>
      <c r="N11" s="57">
        <f t="shared" si="6"/>
        <v>2721.376994</v>
      </c>
      <c r="O11" s="57">
        <f t="shared" si="7"/>
        <v>11962.97209</v>
      </c>
      <c r="P11" s="58">
        <f t="shared" si="8"/>
        <v>0.04807016382</v>
      </c>
      <c r="Q11" s="57">
        <f>Q10*(1+'HIER Rechnung Thesaurierer '!I11)</f>
        <v>49619.84357</v>
      </c>
      <c r="R11" s="59">
        <f t="shared" si="9"/>
        <v>31341.31386</v>
      </c>
      <c r="S11" s="60">
        <f t="shared" si="10"/>
        <v>40138.15122</v>
      </c>
      <c r="T11" s="57">
        <f t="shared" si="11"/>
        <v>13388.80209</v>
      </c>
      <c r="U11" s="57">
        <f t="shared" si="12"/>
        <v>2481.279747</v>
      </c>
      <c r="V11" s="57">
        <f t="shared" si="13"/>
        <v>26749.34913</v>
      </c>
      <c r="W11" s="57">
        <f t="shared" si="14"/>
        <v>37656.87147</v>
      </c>
      <c r="X11" s="57">
        <f t="shared" si="15"/>
        <v>49619.84356</v>
      </c>
      <c r="Y11" s="13"/>
      <c r="Z11" s="58"/>
      <c r="AA11" s="57"/>
      <c r="AB11" s="58">
        <f>'HIER Rechnung Thesaurierer '!H11</f>
        <v>0.048</v>
      </c>
      <c r="AC11" s="61">
        <f t="shared" si="16"/>
        <v>-304187.7549</v>
      </c>
      <c r="AD11" s="57">
        <f t="shared" si="27"/>
        <v>0</v>
      </c>
      <c r="AE11" s="57">
        <f t="shared" si="17"/>
        <v>0</v>
      </c>
      <c r="AF11" s="62">
        <f t="shared" si="18"/>
        <v>0</v>
      </c>
      <c r="AG11" s="58">
        <f t="shared" si="19"/>
        <v>0.02345470542</v>
      </c>
      <c r="AH11" s="57">
        <f t="shared" si="20"/>
        <v>4388.004171</v>
      </c>
      <c r="AI11" s="57">
        <f t="shared" si="28"/>
        <v>92965.75751</v>
      </c>
      <c r="AJ11" s="12"/>
      <c r="AK11" s="63">
        <f>AK10*(1+'HIER Rechnung Thesaurierer '!I10)</f>
        <v>0</v>
      </c>
      <c r="AL11" s="57">
        <f t="shared" si="21"/>
        <v>0</v>
      </c>
      <c r="AM11" s="57">
        <f t="shared" si="22"/>
        <v>19651.20582</v>
      </c>
      <c r="AN11" s="57"/>
      <c r="AO11" s="56">
        <f t="shared" si="29"/>
        <v>0.2261664051</v>
      </c>
      <c r="AP11" s="64">
        <v>0.07</v>
      </c>
      <c r="AQ11" s="56">
        <f t="shared" si="30"/>
        <v>0.343195225</v>
      </c>
      <c r="AR11" s="64">
        <v>0.05</v>
      </c>
      <c r="AS11" s="64"/>
      <c r="AT11" s="64"/>
    </row>
    <row r="12" ht="12.75" customHeight="1">
      <c r="A12" s="12">
        <v>9.0</v>
      </c>
      <c r="B12" s="46">
        <f t="shared" si="23"/>
        <v>1.28067864</v>
      </c>
      <c r="C12" s="47">
        <f t="shared" si="24"/>
        <v>859177.4405</v>
      </c>
      <c r="D12" s="13">
        <f t="shared" si="25"/>
        <v>1100330.196</v>
      </c>
      <c r="E12" s="48">
        <f t="shared" si="1"/>
        <v>0.3081272129</v>
      </c>
      <c r="F12" s="49">
        <v>0.308127212940931</v>
      </c>
      <c r="G12" s="13">
        <f t="shared" si="26"/>
        <v>1439371.873</v>
      </c>
      <c r="H12" s="18">
        <f>'HIER Einzelaktien'!G12-('HIER Einzelaktien'!G12*M$1)</f>
        <v>0.02506603249</v>
      </c>
      <c r="I12" s="50">
        <f t="shared" si="2"/>
        <v>1414906.093</v>
      </c>
      <c r="J12" s="55">
        <f t="shared" si="3"/>
        <v>0.2858922693</v>
      </c>
      <c r="K12" s="55" t="str">
        <f t="shared" si="4"/>
        <v>#DIV/0!</v>
      </c>
      <c r="L12" s="56">
        <f>AQ25</f>
        <v>0.6795030708</v>
      </c>
      <c r="M12" s="57">
        <f t="shared" si="5"/>
        <v>36079.34212</v>
      </c>
      <c r="N12" s="57">
        <f t="shared" si="6"/>
        <v>6686.404079</v>
      </c>
      <c r="O12" s="57">
        <f t="shared" si="7"/>
        <v>29392.93805</v>
      </c>
      <c r="P12" s="58">
        <f t="shared" si="8"/>
        <v>0.04206357173</v>
      </c>
      <c r="Q12" s="57">
        <f>Q11*(1+'HIER Rechnung Thesaurierer '!I12)</f>
        <v>51654.25715</v>
      </c>
      <c r="R12" s="59">
        <f t="shared" si="9"/>
        <v>14603.90226</v>
      </c>
      <c r="S12" s="60">
        <f t="shared" si="10"/>
        <v>24465.7799</v>
      </c>
      <c r="T12" s="57">
        <f t="shared" si="11"/>
        <v>11895.10752</v>
      </c>
      <c r="U12" s="57">
        <f t="shared" si="12"/>
        <v>2204.460801</v>
      </c>
      <c r="V12" s="57">
        <f t="shared" si="13"/>
        <v>12570.67237</v>
      </c>
      <c r="W12" s="57">
        <f t="shared" si="14"/>
        <v>22261.3191</v>
      </c>
      <c r="X12" s="57">
        <f t="shared" si="15"/>
        <v>51654.25714</v>
      </c>
      <c r="Y12" s="13"/>
      <c r="Z12" s="58"/>
      <c r="AA12" s="57"/>
      <c r="AB12" s="58">
        <f>'HIER Rechnung Thesaurierer '!H12</f>
        <v>0.041</v>
      </c>
      <c r="AC12" s="61">
        <f t="shared" si="16"/>
        <v>339041.6766</v>
      </c>
      <c r="AD12" s="57">
        <f t="shared" si="27"/>
        <v>31579.47663</v>
      </c>
      <c r="AE12" s="57">
        <f t="shared" si="17"/>
        <v>0</v>
      </c>
      <c r="AF12" s="62">
        <f t="shared" si="18"/>
        <v>0</v>
      </c>
      <c r="AG12" s="58">
        <f t="shared" si="19"/>
        <v>0.008733443112</v>
      </c>
      <c r="AH12" s="57">
        <f t="shared" si="20"/>
        <v>2647.275934</v>
      </c>
      <c r="AI12" s="57">
        <f t="shared" si="28"/>
        <v>90318.48157</v>
      </c>
      <c r="AJ12" s="12"/>
      <c r="AK12" s="63">
        <f>AK11*(1+'HIER Rechnung Thesaurierer '!I11)</f>
        <v>0</v>
      </c>
      <c r="AL12" s="57">
        <f t="shared" si="21"/>
        <v>0</v>
      </c>
      <c r="AM12" s="57">
        <f t="shared" si="22"/>
        <v>33582.11475</v>
      </c>
      <c r="AN12" s="57"/>
      <c r="AO12" s="56">
        <f t="shared" si="29"/>
        <v>0.2419980535</v>
      </c>
      <c r="AP12" s="64">
        <v>0.07</v>
      </c>
      <c r="AQ12" s="56">
        <f t="shared" si="30"/>
        <v>0.3603549863</v>
      </c>
      <c r="AR12" s="64">
        <v>0.05</v>
      </c>
      <c r="AS12" s="64"/>
      <c r="AT12" s="64"/>
    </row>
    <row r="13" ht="12.75" customHeight="1">
      <c r="A13" s="12">
        <v>10.0</v>
      </c>
      <c r="B13" s="46">
        <f t="shared" si="23"/>
        <v>1.67529058</v>
      </c>
      <c r="C13" s="47">
        <f t="shared" si="24"/>
        <v>844573.5382</v>
      </c>
      <c r="D13" s="13">
        <f t="shared" si="25"/>
        <v>1414906.093</v>
      </c>
      <c r="E13" s="48">
        <f t="shared" si="1"/>
        <v>0.1283611787</v>
      </c>
      <c r="F13" s="49">
        <v>0.128361178711554</v>
      </c>
      <c r="G13" s="13">
        <f t="shared" si="26"/>
        <v>1596525.107</v>
      </c>
      <c r="H13" s="18">
        <f>'HIER Einzelaktien'!G13-('HIER Einzelaktien'!G13*M$1)</f>
        <v>0.02048920175</v>
      </c>
      <c r="I13" s="50">
        <f t="shared" si="2"/>
        <v>1564951.69</v>
      </c>
      <c r="J13" s="55">
        <f t="shared" si="3"/>
        <v>0.1060463293</v>
      </c>
      <c r="K13" s="55" t="str">
        <f t="shared" si="4"/>
        <v>#DIV/0!</v>
      </c>
      <c r="L13" s="56">
        <f>AQ24</f>
        <v>0.6471457817</v>
      </c>
      <c r="M13" s="57">
        <f t="shared" si="5"/>
        <v>32711.52502</v>
      </c>
      <c r="N13" s="57">
        <f t="shared" si="6"/>
        <v>6062.263374</v>
      </c>
      <c r="O13" s="57">
        <f t="shared" si="7"/>
        <v>26649.26164</v>
      </c>
      <c r="P13" s="58">
        <f t="shared" si="8"/>
        <v>0.04026553738</v>
      </c>
      <c r="Q13" s="57">
        <f>Q12*(1+'HIER Rechnung Thesaurierer '!I13)</f>
        <v>53720.42744</v>
      </c>
      <c r="R13" s="59">
        <f t="shared" si="9"/>
        <v>16702.56975</v>
      </c>
      <c r="S13" s="60">
        <f t="shared" si="10"/>
        <v>31573.41635</v>
      </c>
      <c r="T13" s="57">
        <f t="shared" si="11"/>
        <v>17387.96558</v>
      </c>
      <c r="U13" s="57">
        <f t="shared" si="12"/>
        <v>3222.424721</v>
      </c>
      <c r="V13" s="57">
        <f t="shared" si="13"/>
        <v>14185.45076</v>
      </c>
      <c r="W13" s="57">
        <f t="shared" si="14"/>
        <v>27071.16579</v>
      </c>
      <c r="X13" s="57">
        <f t="shared" si="15"/>
        <v>53720.42743</v>
      </c>
      <c r="Y13" s="13"/>
      <c r="Z13" s="58"/>
      <c r="AA13" s="57"/>
      <c r="AB13" s="58">
        <f>'HIER Rechnung Thesaurierer '!H13</f>
        <v>0.04</v>
      </c>
      <c r="AC13" s="61">
        <f t="shared" si="16"/>
        <v>181619.0138</v>
      </c>
      <c r="AD13" s="57">
        <f t="shared" si="27"/>
        <v>39617.3706</v>
      </c>
      <c r="AE13" s="57">
        <f t="shared" si="17"/>
        <v>6905.845585</v>
      </c>
      <c r="AF13" s="62">
        <f t="shared" si="18"/>
        <v>1279.825833</v>
      </c>
      <c r="AG13" s="58">
        <f t="shared" si="19"/>
        <v>0.008885203682</v>
      </c>
      <c r="AH13" s="57">
        <f t="shared" si="20"/>
        <v>3376.453196</v>
      </c>
      <c r="AI13" s="57">
        <f t="shared" si="28"/>
        <v>93847.87396</v>
      </c>
      <c r="AJ13" s="12"/>
      <c r="AK13" s="63">
        <f>AK12*(1+'HIER Rechnung Thesaurierer '!I12)</f>
        <v>0</v>
      </c>
      <c r="AL13" s="57">
        <f t="shared" si="21"/>
        <v>0</v>
      </c>
      <c r="AM13" s="57">
        <f t="shared" si="22"/>
        <v>39903.73533</v>
      </c>
      <c r="AN13" s="57"/>
      <c r="AO13" s="56">
        <f t="shared" si="29"/>
        <v>0.2589379172</v>
      </c>
      <c r="AP13" s="64">
        <v>0.07</v>
      </c>
      <c r="AQ13" s="56">
        <f t="shared" si="30"/>
        <v>0.3783727356</v>
      </c>
      <c r="AR13" s="64">
        <v>0.05</v>
      </c>
      <c r="AS13" s="64"/>
      <c r="AT13" s="64"/>
    </row>
    <row r="14" ht="12.75" customHeight="1">
      <c r="A14" s="12">
        <v>11.0</v>
      </c>
      <c r="B14" s="46">
        <f t="shared" si="23"/>
        <v>1.890332854</v>
      </c>
      <c r="C14" s="47">
        <f t="shared" si="24"/>
        <v>827870.9684</v>
      </c>
      <c r="D14" s="13">
        <f t="shared" si="25"/>
        <v>1564951.69</v>
      </c>
      <c r="E14" s="48">
        <f t="shared" si="1"/>
        <v>0.07562721225</v>
      </c>
      <c r="F14" s="49">
        <v>0.075627212250319</v>
      </c>
      <c r="G14" s="13">
        <f t="shared" si="26"/>
        <v>1683304.624</v>
      </c>
      <c r="H14" s="18">
        <f>'HIER Einzelaktien'!G14-('HIER Einzelaktien'!G14*M$1)</f>
        <v>0.02091422686</v>
      </c>
      <c r="I14" s="50">
        <f t="shared" si="2"/>
        <v>1652756.641</v>
      </c>
      <c r="J14" s="55">
        <f t="shared" si="3"/>
        <v>0.05610713144</v>
      </c>
      <c r="K14" s="55" t="str">
        <f t="shared" si="4"/>
        <v>#DIV/0!</v>
      </c>
      <c r="L14" s="56">
        <f>AQ23</f>
        <v>0.6163293159</v>
      </c>
      <c r="M14" s="57">
        <f t="shared" si="5"/>
        <v>35205.01479</v>
      </c>
      <c r="N14" s="57">
        <f t="shared" si="6"/>
        <v>6524.369365</v>
      </c>
      <c r="O14" s="57">
        <f t="shared" si="7"/>
        <v>28680.64542</v>
      </c>
      <c r="P14" s="58">
        <f t="shared" si="8"/>
        <v>0.03906185327</v>
      </c>
      <c r="Q14" s="57">
        <f>Q13*(1+'HIER Rechnung Thesaurierer '!I14)</f>
        <v>55546.92197</v>
      </c>
      <c r="R14" s="59">
        <f t="shared" si="9"/>
        <v>15023.89305</v>
      </c>
      <c r="S14" s="60">
        <f t="shared" si="10"/>
        <v>30547.98344</v>
      </c>
      <c r="T14" s="57">
        <f t="shared" si="11"/>
        <v>17825.38277</v>
      </c>
      <c r="U14" s="57">
        <f t="shared" si="12"/>
        <v>3303.489061</v>
      </c>
      <c r="V14" s="57">
        <f t="shared" si="13"/>
        <v>12722.60066</v>
      </c>
      <c r="W14" s="57">
        <f t="shared" si="14"/>
        <v>26866.27655</v>
      </c>
      <c r="X14" s="57">
        <f t="shared" si="15"/>
        <v>55546.92197</v>
      </c>
      <c r="Y14" s="13"/>
      <c r="Z14" s="58"/>
      <c r="AA14" s="57"/>
      <c r="AB14" s="58">
        <f>'HIER Rechnung Thesaurierer '!H14</f>
        <v>0.034</v>
      </c>
      <c r="AC14" s="61">
        <f t="shared" si="16"/>
        <v>118352.9336</v>
      </c>
      <c r="AD14" s="57">
        <f t="shared" si="27"/>
        <v>37245.85023</v>
      </c>
      <c r="AE14" s="57">
        <f t="shared" si="17"/>
        <v>2040.835445</v>
      </c>
      <c r="AF14" s="62">
        <f t="shared" si="18"/>
        <v>378.2178289</v>
      </c>
      <c r="AG14" s="58">
        <f t="shared" si="19"/>
        <v>0.007558109495</v>
      </c>
      <c r="AH14" s="57">
        <f t="shared" si="20"/>
        <v>3462.934936</v>
      </c>
      <c r="AI14" s="57">
        <f t="shared" si="28"/>
        <v>92425.77447</v>
      </c>
      <c r="AJ14" s="12"/>
      <c r="AK14" s="63">
        <f>AK13*(1+'HIER Rechnung Thesaurierer '!I13)</f>
        <v>0</v>
      </c>
      <c r="AL14" s="57">
        <f t="shared" si="21"/>
        <v>0</v>
      </c>
      <c r="AM14" s="57">
        <f t="shared" si="22"/>
        <v>38549.8631</v>
      </c>
      <c r="AN14" s="57"/>
      <c r="AO14" s="56">
        <f t="shared" si="29"/>
        <v>0.2770635714</v>
      </c>
      <c r="AP14" s="64">
        <v>0.07</v>
      </c>
      <c r="AQ14" s="56">
        <f t="shared" si="30"/>
        <v>0.3972913724</v>
      </c>
      <c r="AR14" s="64">
        <v>0.05</v>
      </c>
      <c r="AS14" s="64"/>
      <c r="AT14" s="64"/>
    </row>
    <row r="15" ht="12.75" customHeight="1">
      <c r="A15" s="12">
        <v>12.0</v>
      </c>
      <c r="B15" s="46">
        <f t="shared" si="23"/>
        <v>2.033293458</v>
      </c>
      <c r="C15" s="47">
        <f t="shared" si="24"/>
        <v>812847.0754</v>
      </c>
      <c r="D15" s="13">
        <f t="shared" si="25"/>
        <v>1652756.641</v>
      </c>
      <c r="E15" s="48">
        <f t="shared" si="1"/>
        <v>0.1795257498</v>
      </c>
      <c r="F15" s="49">
        <v>0.17952574983602</v>
      </c>
      <c r="G15" s="13">
        <f t="shared" si="26"/>
        <v>1949469.016</v>
      </c>
      <c r="H15" s="18">
        <f>'HIER Einzelaktien'!G15-('HIER Einzelaktien'!G15*M$1)</f>
        <v>0.02294701769</v>
      </c>
      <c r="I15" s="50">
        <f t="shared" si="2"/>
        <v>1925392.86</v>
      </c>
      <c r="J15" s="55">
        <f t="shared" si="3"/>
        <v>0.1649584776</v>
      </c>
      <c r="K15" s="55" t="str">
        <f t="shared" si="4"/>
        <v>#DIV/0!</v>
      </c>
      <c r="L15" s="56">
        <f>AQ22</f>
        <v>0.5869803009</v>
      </c>
      <c r="M15" s="57">
        <f t="shared" si="5"/>
        <v>44734.49999</v>
      </c>
      <c r="N15" s="57">
        <f t="shared" si="6"/>
        <v>8290.421211</v>
      </c>
      <c r="O15" s="57">
        <f t="shared" si="7"/>
        <v>36444.07878</v>
      </c>
      <c r="P15" s="58">
        <f t="shared" si="8"/>
        <v>0.03529712721</v>
      </c>
      <c r="Q15" s="57">
        <f>Q14*(1+'HIER Rechnung Thesaurierer '!I15)</f>
        <v>57657.70501</v>
      </c>
      <c r="R15" s="59">
        <f t="shared" si="9"/>
        <v>10038.75041</v>
      </c>
      <c r="S15" s="60">
        <f t="shared" si="10"/>
        <v>24076.15585</v>
      </c>
      <c r="T15" s="57">
        <f t="shared" si="11"/>
        <v>15445.99825</v>
      </c>
      <c r="U15" s="57">
        <f t="shared" si="12"/>
        <v>2862.529626</v>
      </c>
      <c r="V15" s="57">
        <f t="shared" si="13"/>
        <v>8630.157589</v>
      </c>
      <c r="W15" s="57">
        <f t="shared" si="14"/>
        <v>21213.62622</v>
      </c>
      <c r="X15" s="57">
        <f t="shared" si="15"/>
        <v>57657.705</v>
      </c>
      <c r="Y15" s="13"/>
      <c r="Z15" s="58"/>
      <c r="AA15" s="57"/>
      <c r="AB15" s="58">
        <f>'HIER Rechnung Thesaurierer '!H15</f>
        <v>0.038</v>
      </c>
      <c r="AC15" s="61">
        <f t="shared" si="16"/>
        <v>296712.3752</v>
      </c>
      <c r="AD15" s="57">
        <f t="shared" si="27"/>
        <v>43963.32664</v>
      </c>
      <c r="AE15" s="57">
        <f t="shared" si="17"/>
        <v>0</v>
      </c>
      <c r="AF15" s="62">
        <f t="shared" si="18"/>
        <v>0</v>
      </c>
      <c r="AG15" s="58">
        <f t="shared" si="19"/>
        <v>0.004426927291</v>
      </c>
      <c r="AH15" s="57">
        <f t="shared" si="20"/>
        <v>2737.608854</v>
      </c>
      <c r="AI15" s="57">
        <f t="shared" si="28"/>
        <v>89688.16562</v>
      </c>
      <c r="AJ15" s="12"/>
      <c r="AK15" s="63">
        <f>AK14*(1+'HIER Rechnung Thesaurierer '!I14)</f>
        <v>0</v>
      </c>
      <c r="AL15" s="57">
        <f t="shared" si="21"/>
        <v>0</v>
      </c>
      <c r="AM15" s="57">
        <f t="shared" si="22"/>
        <v>42126.34877</v>
      </c>
      <c r="AN15" s="57"/>
      <c r="AO15" s="56">
        <f t="shared" si="29"/>
        <v>0.2964580215</v>
      </c>
      <c r="AP15" s="64">
        <v>0.07</v>
      </c>
      <c r="AQ15" s="56">
        <f t="shared" si="30"/>
        <v>0.417155941</v>
      </c>
      <c r="AR15" s="64">
        <v>0.05</v>
      </c>
      <c r="AS15" s="64"/>
      <c r="AT15" s="64"/>
    </row>
    <row r="16" ht="12.75" customHeight="1">
      <c r="A16" s="12">
        <v>13.0</v>
      </c>
      <c r="B16" s="46">
        <f t="shared" si="23"/>
        <v>2.39832199</v>
      </c>
      <c r="C16" s="47">
        <f t="shared" si="24"/>
        <v>802808.325</v>
      </c>
      <c r="D16" s="13">
        <f t="shared" si="25"/>
        <v>1925392.86</v>
      </c>
      <c r="E16" s="48">
        <f t="shared" si="1"/>
        <v>0.07092650336</v>
      </c>
      <c r="F16" s="49">
        <v>0.0709265033587718</v>
      </c>
      <c r="G16" s="13">
        <f t="shared" si="26"/>
        <v>2061954.243</v>
      </c>
      <c r="H16" s="18">
        <f>'HIER Einzelaktien'!G16-('HIER Einzelaktien'!G16*M$1)</f>
        <v>0.02102326914</v>
      </c>
      <c r="I16" s="50">
        <f t="shared" si="2"/>
        <v>2030870.054</v>
      </c>
      <c r="J16" s="55">
        <f t="shared" si="3"/>
        <v>0.0547821677</v>
      </c>
      <c r="K16" s="55" t="str">
        <f t="shared" si="4"/>
        <v>#DIV/0!</v>
      </c>
      <c r="L16" s="56">
        <f>AQ21</f>
        <v>0.559028858</v>
      </c>
      <c r="M16" s="57">
        <f t="shared" si="5"/>
        <v>43349.01901</v>
      </c>
      <c r="N16" s="57">
        <f t="shared" si="6"/>
        <v>8033.656948</v>
      </c>
      <c r="O16" s="57">
        <f t="shared" si="7"/>
        <v>35315.36206</v>
      </c>
      <c r="P16" s="58">
        <f t="shared" si="8"/>
        <v>0.03609837989</v>
      </c>
      <c r="Q16" s="57">
        <f>Q15*(1+'HIER Rechnung Thesaurierer '!I16)</f>
        <v>60079.32862</v>
      </c>
      <c r="R16" s="59">
        <f t="shared" si="9"/>
        <v>12102.42441</v>
      </c>
      <c r="S16" s="60">
        <f t="shared" si="10"/>
        <v>31084.18857</v>
      </c>
      <c r="T16" s="57">
        <f t="shared" si="11"/>
        <v>20845.91971</v>
      </c>
      <c r="U16" s="57">
        <f t="shared" si="12"/>
        <v>3863.270071</v>
      </c>
      <c r="V16" s="57">
        <f t="shared" si="13"/>
        <v>10238.26885</v>
      </c>
      <c r="W16" s="57">
        <f t="shared" si="14"/>
        <v>24763.96656</v>
      </c>
      <c r="X16" s="57">
        <f t="shared" si="15"/>
        <v>60079.32862</v>
      </c>
      <c r="Y16" s="13"/>
      <c r="Z16" s="58"/>
      <c r="AA16" s="57"/>
      <c r="AB16" s="58">
        <f>'HIER Rechnung Thesaurierer '!H16</f>
        <v>0.042</v>
      </c>
      <c r="AC16" s="61">
        <f t="shared" si="16"/>
        <v>136561.3831</v>
      </c>
      <c r="AD16" s="57">
        <f t="shared" si="27"/>
        <v>56606.55008</v>
      </c>
      <c r="AE16" s="57">
        <f t="shared" si="17"/>
        <v>13257.53107</v>
      </c>
      <c r="AF16" s="62">
        <f t="shared" si="18"/>
        <v>2456.951946</v>
      </c>
      <c r="AG16" s="58">
        <f t="shared" si="19"/>
        <v>0.004965323012</v>
      </c>
      <c r="AH16" s="57">
        <f t="shared" si="20"/>
        <v>3472.664353</v>
      </c>
      <c r="AI16" s="57">
        <f t="shared" si="28"/>
        <v>99473.03234</v>
      </c>
      <c r="AJ16" s="12"/>
      <c r="AK16" s="63">
        <f>AK15*(1+'HIER Rechnung Thesaurierer '!I15)</f>
        <v>0</v>
      </c>
      <c r="AL16" s="57">
        <f t="shared" si="21"/>
        <v>0</v>
      </c>
      <c r="AM16" s="57">
        <f t="shared" si="22"/>
        <v>54216.72886</v>
      </c>
      <c r="AN16" s="57"/>
      <c r="AO16" s="56">
        <f t="shared" si="29"/>
        <v>0.317210083</v>
      </c>
      <c r="AP16" s="64">
        <v>0.07</v>
      </c>
      <c r="AQ16" s="56">
        <f t="shared" si="30"/>
        <v>0.4380137381</v>
      </c>
      <c r="AR16" s="64">
        <v>0.05</v>
      </c>
      <c r="AS16" s="64"/>
      <c r="AT16" s="64"/>
    </row>
    <row r="17" ht="12.75" customHeight="1">
      <c r="A17" s="12">
        <v>14.0</v>
      </c>
      <c r="B17" s="46">
        <f t="shared" si="23"/>
        <v>2.568426583</v>
      </c>
      <c r="C17" s="47">
        <f t="shared" si="24"/>
        <v>790705.9006</v>
      </c>
      <c r="D17" s="13">
        <f t="shared" si="25"/>
        <v>2030870.054</v>
      </c>
      <c r="E17" s="48">
        <f t="shared" si="1"/>
        <v>-0.4208054743</v>
      </c>
      <c r="F17" s="49">
        <v>-0.420805474309905</v>
      </c>
      <c r="G17" s="13">
        <f t="shared" si="26"/>
        <v>1176268.818</v>
      </c>
      <c r="H17" s="18">
        <f>'HIER Einzelaktien'!G17-('HIER Einzelaktien'!G17*M$1)</f>
        <v>0.01484593692</v>
      </c>
      <c r="I17" s="50">
        <f t="shared" si="2"/>
        <v>1122906.954</v>
      </c>
      <c r="J17" s="55">
        <f t="shared" si="3"/>
        <v>-0.4470808454</v>
      </c>
      <c r="K17" s="55" t="str">
        <f t="shared" si="4"/>
        <v>#DIV/0!</v>
      </c>
      <c r="L17" s="56">
        <f>AQ20</f>
        <v>0.5324084362</v>
      </c>
      <c r="M17" s="57">
        <f t="shared" si="5"/>
        <v>17462.81267</v>
      </c>
      <c r="N17" s="57">
        <f t="shared" si="6"/>
        <v>3236.295759</v>
      </c>
      <c r="O17" s="57">
        <f t="shared" si="7"/>
        <v>14226.51691</v>
      </c>
      <c r="P17" s="58">
        <f t="shared" si="8"/>
        <v>0.060211302</v>
      </c>
      <c r="Q17" s="57">
        <f>Q16*(1+'HIER Rechnung Thesaurierer '!I17)</f>
        <v>62482.50176</v>
      </c>
      <c r="R17" s="59">
        <f t="shared" si="9"/>
        <v>35870.66185</v>
      </c>
      <c r="S17" s="60">
        <f t="shared" si="10"/>
        <v>53361.86435</v>
      </c>
      <c r="T17" s="57">
        <f t="shared" si="11"/>
        <v>27550.94833</v>
      </c>
      <c r="U17" s="57">
        <f t="shared" si="12"/>
        <v>5105.879499</v>
      </c>
      <c r="V17" s="57">
        <f t="shared" si="13"/>
        <v>25810.91601</v>
      </c>
      <c r="W17" s="57">
        <f t="shared" si="14"/>
        <v>48255.98485</v>
      </c>
      <c r="X17" s="57">
        <f t="shared" si="15"/>
        <v>62482.50176</v>
      </c>
      <c r="Y17" s="13"/>
      <c r="Z17" s="58"/>
      <c r="AA17" s="57"/>
      <c r="AB17" s="58">
        <f>'HIER Rechnung Thesaurierer '!H17</f>
        <v>0.04</v>
      </c>
      <c r="AC17" s="61">
        <f t="shared" si="16"/>
        <v>-854601.2365</v>
      </c>
      <c r="AD17" s="57">
        <f t="shared" si="27"/>
        <v>0</v>
      </c>
      <c r="AE17" s="57">
        <f t="shared" si="17"/>
        <v>0</v>
      </c>
      <c r="AF17" s="62">
        <f t="shared" si="18"/>
        <v>0</v>
      </c>
      <c r="AG17" s="58">
        <f t="shared" si="19"/>
        <v>0.02194304195</v>
      </c>
      <c r="AH17" s="57">
        <f t="shared" si="20"/>
        <v>6713.073032</v>
      </c>
      <c r="AI17" s="57">
        <f t="shared" si="28"/>
        <v>92759.9593</v>
      </c>
      <c r="AJ17" s="12"/>
      <c r="AK17" s="63">
        <f>AK16*(1+'HIER Rechnung Thesaurierer '!I16)</f>
        <v>0</v>
      </c>
      <c r="AL17" s="57">
        <f t="shared" si="21"/>
        <v>0</v>
      </c>
      <c r="AM17" s="57">
        <f t="shared" si="22"/>
        <v>31509.6327</v>
      </c>
      <c r="AN17" s="57"/>
      <c r="AO17" s="56">
        <f t="shared" si="29"/>
        <v>0.3394147888</v>
      </c>
      <c r="AP17" s="64">
        <v>0.07</v>
      </c>
      <c r="AQ17" s="56">
        <f t="shared" si="30"/>
        <v>0.459914425</v>
      </c>
      <c r="AR17" s="64">
        <v>0.05</v>
      </c>
      <c r="AS17" s="64"/>
      <c r="AT17" s="64"/>
    </row>
    <row r="18" ht="12.75" customHeight="1">
      <c r="A18" s="12">
        <v>15.0</v>
      </c>
      <c r="B18" s="46">
        <f t="shared" si="23"/>
        <v>1.487618617</v>
      </c>
      <c r="C18" s="47">
        <f t="shared" si="24"/>
        <v>754835.2387</v>
      </c>
      <c r="D18" s="13">
        <f t="shared" si="25"/>
        <v>1122906.954</v>
      </c>
      <c r="E18" s="48">
        <f t="shared" si="1"/>
        <v>0.2697619932</v>
      </c>
      <c r="F18" s="49">
        <v>0.269761993249484</v>
      </c>
      <c r="G18" s="13">
        <f t="shared" si="26"/>
        <v>1425824.572</v>
      </c>
      <c r="H18" s="18">
        <f>'HIER Einzelaktien'!G18-('HIER Einzelaktien'!G18*M$1)</f>
        <v>0.03243908549</v>
      </c>
      <c r="I18" s="50">
        <f t="shared" si="2"/>
        <v>1395615.694</v>
      </c>
      <c r="J18" s="55">
        <f t="shared" si="3"/>
        <v>0.2428596058</v>
      </c>
      <c r="K18" s="55" t="str">
        <f t="shared" si="4"/>
        <v>#DIV/0!</v>
      </c>
      <c r="L18" s="56">
        <f>AQ19</f>
        <v>0.5070556535</v>
      </c>
      <c r="M18" s="57">
        <f t="shared" si="5"/>
        <v>46252.44517</v>
      </c>
      <c r="N18" s="57">
        <f t="shared" si="6"/>
        <v>8571.734402</v>
      </c>
      <c r="O18" s="57">
        <f t="shared" si="7"/>
        <v>37680.71077</v>
      </c>
      <c r="P18" s="58">
        <f t="shared" si="8"/>
        <v>0.05362603832</v>
      </c>
      <c r="Q18" s="57">
        <f>Q17*(1+'HIER Rechnung Thesaurierer '!I18)</f>
        <v>64481.94182</v>
      </c>
      <c r="R18" s="59">
        <f t="shared" si="9"/>
        <v>15992.6586</v>
      </c>
      <c r="S18" s="60">
        <f t="shared" si="10"/>
        <v>30208.87794</v>
      </c>
      <c r="T18" s="57">
        <f t="shared" si="11"/>
        <v>18387.41072</v>
      </c>
      <c r="U18" s="57">
        <f t="shared" si="12"/>
        <v>3407.646892</v>
      </c>
      <c r="V18" s="57">
        <f t="shared" si="13"/>
        <v>11821.46721</v>
      </c>
      <c r="W18" s="57">
        <f t="shared" si="14"/>
        <v>26801.23104</v>
      </c>
      <c r="X18" s="57">
        <f t="shared" si="15"/>
        <v>64481.94182</v>
      </c>
      <c r="Y18" s="13"/>
      <c r="Z18" s="58"/>
      <c r="AA18" s="57"/>
      <c r="AB18" s="58">
        <f>'HIER Rechnung Thesaurierer '!H18</f>
        <v>0.032</v>
      </c>
      <c r="AC18" s="61">
        <f t="shared" si="16"/>
        <v>302917.618</v>
      </c>
      <c r="AD18" s="57">
        <f t="shared" si="27"/>
        <v>25153.11576</v>
      </c>
      <c r="AE18" s="57">
        <f t="shared" si="17"/>
        <v>0</v>
      </c>
      <c r="AF18" s="62">
        <f t="shared" si="18"/>
        <v>0</v>
      </c>
      <c r="AG18" s="58">
        <f t="shared" si="19"/>
        <v>0.008290968918</v>
      </c>
      <c r="AH18" s="57">
        <f t="shared" si="20"/>
        <v>3712.299247</v>
      </c>
      <c r="AI18" s="57">
        <f t="shared" si="28"/>
        <v>89047.66006</v>
      </c>
      <c r="AJ18" s="12"/>
      <c r="AK18" s="63">
        <f>AK17*(1+'HIER Rechnung Thesaurierer '!I17)</f>
        <v>0</v>
      </c>
      <c r="AL18" s="57">
        <f t="shared" si="21"/>
        <v>0</v>
      </c>
      <c r="AM18" s="57">
        <f t="shared" si="22"/>
        <v>45247.89913</v>
      </c>
      <c r="AN18" s="57"/>
      <c r="AO18" s="56">
        <f t="shared" si="29"/>
        <v>0.363173824</v>
      </c>
      <c r="AP18" s="64">
        <v>0.07</v>
      </c>
      <c r="AQ18" s="56">
        <f t="shared" si="30"/>
        <v>0.4829101462</v>
      </c>
      <c r="AR18" s="64">
        <v>0.05</v>
      </c>
      <c r="AS18" s="64"/>
      <c r="AT18" s="64"/>
    </row>
    <row r="19" ht="12.75" customHeight="1">
      <c r="A19" s="12">
        <v>16.0</v>
      </c>
      <c r="B19" s="46">
        <f t="shared" si="23"/>
        <v>1.88892158</v>
      </c>
      <c r="C19" s="47">
        <f t="shared" si="24"/>
        <v>738842.5801</v>
      </c>
      <c r="D19" s="13">
        <f t="shared" si="25"/>
        <v>1395615.694</v>
      </c>
      <c r="E19" s="48">
        <f t="shared" si="1"/>
        <v>0.09551224338</v>
      </c>
      <c r="F19" s="49">
        <v>0.0955122433819324</v>
      </c>
      <c r="G19" s="13">
        <f t="shared" si="26"/>
        <v>1528914.079</v>
      </c>
      <c r="H19" s="18">
        <f>'HIER Einzelaktien'!G19-('HIER Einzelaktien'!G19*M$1)</f>
        <v>0.02369097112</v>
      </c>
      <c r="I19" s="50">
        <f t="shared" si="2"/>
        <v>1487205.644</v>
      </c>
      <c r="J19" s="55">
        <f t="shared" si="3"/>
        <v>0.06562691357</v>
      </c>
      <c r="K19" s="55" t="str">
        <f t="shared" si="4"/>
        <v>#DIV/0!</v>
      </c>
      <c r="L19" s="56">
        <f>AQ18</f>
        <v>0.4829101462</v>
      </c>
      <c r="M19" s="57">
        <f t="shared" si="5"/>
        <v>36221.4593</v>
      </c>
      <c r="N19" s="57">
        <f t="shared" si="6"/>
        <v>6712.741946</v>
      </c>
      <c r="O19" s="57">
        <f t="shared" si="7"/>
        <v>29508.71736</v>
      </c>
      <c r="P19" s="58">
        <f t="shared" si="8"/>
        <v>0.05097074822</v>
      </c>
      <c r="Q19" s="57">
        <f>Q18*(1+'HIER Rechnung Thesaurierer '!I19)</f>
        <v>66222.95425</v>
      </c>
      <c r="R19" s="59">
        <f t="shared" si="9"/>
        <v>20155.46089</v>
      </c>
      <c r="S19" s="60">
        <f t="shared" si="10"/>
        <v>41708.43527</v>
      </c>
      <c r="T19" s="57">
        <f t="shared" si="11"/>
        <v>26948.32529</v>
      </c>
      <c r="U19" s="57">
        <f t="shared" si="12"/>
        <v>4994.198385</v>
      </c>
      <c r="V19" s="57">
        <f t="shared" si="13"/>
        <v>14760.10998</v>
      </c>
      <c r="W19" s="57">
        <f t="shared" si="14"/>
        <v>36714.23689</v>
      </c>
      <c r="X19" s="57">
        <f t="shared" si="15"/>
        <v>66222.95425</v>
      </c>
      <c r="Y19" s="13"/>
      <c r="Z19" s="58"/>
      <c r="AA19" s="57"/>
      <c r="AB19" s="58">
        <f>'HIER Rechnung Thesaurierer '!H19</f>
        <v>0.027</v>
      </c>
      <c r="AC19" s="61">
        <f t="shared" si="16"/>
        <v>133298.3858</v>
      </c>
      <c r="AD19" s="57">
        <f t="shared" si="27"/>
        <v>26377.13661</v>
      </c>
      <c r="AE19" s="57">
        <f t="shared" si="17"/>
        <v>0</v>
      </c>
      <c r="AF19" s="62">
        <f t="shared" si="18"/>
        <v>0</v>
      </c>
      <c r="AG19" s="58">
        <f t="shared" si="19"/>
        <v>0.009653982638</v>
      </c>
      <c r="AH19" s="57">
        <f t="shared" si="20"/>
        <v>5026.833409</v>
      </c>
      <c r="AI19" s="57">
        <f t="shared" si="28"/>
        <v>84020.82665</v>
      </c>
      <c r="AJ19" s="12"/>
      <c r="AK19" s="63">
        <f>AK18*(1+'HIER Rechnung Thesaurierer '!I18)</f>
        <v>0</v>
      </c>
      <c r="AL19" s="57">
        <f t="shared" si="21"/>
        <v>0</v>
      </c>
      <c r="AM19" s="57">
        <f t="shared" si="22"/>
        <v>44218.84922</v>
      </c>
      <c r="AN19" s="57"/>
      <c r="AO19" s="56">
        <f t="shared" si="29"/>
        <v>0.3885959917</v>
      </c>
      <c r="AP19" s="64">
        <v>0.07</v>
      </c>
      <c r="AQ19" s="56">
        <f t="shared" si="30"/>
        <v>0.5070556535</v>
      </c>
      <c r="AR19" s="64">
        <v>0.05</v>
      </c>
      <c r="AS19" s="64"/>
      <c r="AT19" s="64"/>
    </row>
    <row r="20" ht="12.75" customHeight="1">
      <c r="A20" s="12">
        <v>17.0</v>
      </c>
      <c r="B20" s="46">
        <f t="shared" si="23"/>
        <v>2.069336717</v>
      </c>
      <c r="C20" s="47">
        <f t="shared" si="24"/>
        <v>718687.1192</v>
      </c>
      <c r="D20" s="13">
        <f t="shared" si="25"/>
        <v>1487205.644</v>
      </c>
      <c r="E20" s="48">
        <f t="shared" si="1"/>
        <v>-0.07614890112</v>
      </c>
      <c r="F20" s="49">
        <v>-0.0761489011156412</v>
      </c>
      <c r="G20" s="13">
        <f t="shared" si="26"/>
        <v>1373956.569</v>
      </c>
      <c r="H20" s="18">
        <f>'HIER Einzelaktien'!G20-('HIER Einzelaktien'!G20*M$1)</f>
        <v>0.0220861391</v>
      </c>
      <c r="I20" s="50">
        <f t="shared" si="2"/>
        <v>1324890.966</v>
      </c>
      <c r="J20" s="55">
        <f t="shared" si="3"/>
        <v>-0.1091407085</v>
      </c>
      <c r="K20" s="55" t="str">
        <f t="shared" si="4"/>
        <v>#DIV/0!</v>
      </c>
      <c r="L20" s="56">
        <f>AQ17</f>
        <v>0.459914425</v>
      </c>
      <c r="M20" s="57">
        <f t="shared" si="5"/>
        <v>30345.39589</v>
      </c>
      <c r="N20" s="57">
        <f t="shared" si="6"/>
        <v>5623.760494</v>
      </c>
      <c r="O20" s="57">
        <f t="shared" si="7"/>
        <v>24721.6354</v>
      </c>
      <c r="P20" s="58">
        <f t="shared" si="8"/>
        <v>0.05779731317</v>
      </c>
      <c r="Q20" s="57">
        <f>Q19*(1+'HIER Rechnung Thesaurierer '!I20)</f>
        <v>67944.75106</v>
      </c>
      <c r="R20" s="59">
        <f t="shared" si="9"/>
        <v>25665.16081</v>
      </c>
      <c r="S20" s="60">
        <f t="shared" si="10"/>
        <v>49065.60217</v>
      </c>
      <c r="T20" s="57">
        <f t="shared" si="11"/>
        <v>31525.62533</v>
      </c>
      <c r="U20" s="57">
        <f t="shared" si="12"/>
        <v>5842.486514</v>
      </c>
      <c r="V20" s="57">
        <f t="shared" si="13"/>
        <v>17539.97685</v>
      </c>
      <c r="W20" s="57">
        <f t="shared" si="14"/>
        <v>43223.11566</v>
      </c>
      <c r="X20" s="57">
        <f t="shared" si="15"/>
        <v>67944.75106</v>
      </c>
      <c r="Y20" s="13"/>
      <c r="Z20" s="58"/>
      <c r="AA20" s="57"/>
      <c r="AB20" s="58">
        <f>'HIER Rechnung Thesaurierer '!H20</f>
        <v>0.026</v>
      </c>
      <c r="AC20" s="61">
        <f t="shared" si="16"/>
        <v>-113249.0755</v>
      </c>
      <c r="AD20" s="57">
        <f t="shared" si="27"/>
        <v>0</v>
      </c>
      <c r="AE20" s="57">
        <f t="shared" si="17"/>
        <v>0</v>
      </c>
      <c r="AF20" s="62">
        <f t="shared" si="18"/>
        <v>0</v>
      </c>
      <c r="AG20" s="58">
        <f t="shared" si="19"/>
        <v>0.01276603442</v>
      </c>
      <c r="AH20" s="57">
        <f t="shared" si="20"/>
        <v>5736.199167</v>
      </c>
      <c r="AI20" s="57">
        <f t="shared" si="28"/>
        <v>78284.62748</v>
      </c>
      <c r="AJ20" s="12"/>
      <c r="AK20" s="63">
        <f>AK19*(1+'HIER Rechnung Thesaurierer '!I19)</f>
        <v>0</v>
      </c>
      <c r="AL20" s="57">
        <f t="shared" si="21"/>
        <v>0</v>
      </c>
      <c r="AM20" s="57">
        <f t="shared" si="22"/>
        <v>43309.71485</v>
      </c>
      <c r="AN20" s="57"/>
      <c r="AO20" s="56">
        <f t="shared" si="29"/>
        <v>0.4157977111</v>
      </c>
      <c r="AP20" s="64">
        <v>0.07</v>
      </c>
      <c r="AQ20" s="56">
        <f t="shared" si="30"/>
        <v>0.5324084362</v>
      </c>
      <c r="AR20" s="64">
        <v>0.05</v>
      </c>
      <c r="AS20" s="64"/>
      <c r="AT20" s="64"/>
    </row>
    <row r="21" ht="12.75" customHeight="1">
      <c r="A21" s="12">
        <v>18.0</v>
      </c>
      <c r="B21" s="46">
        <f t="shared" si="23"/>
        <v>1.911759</v>
      </c>
      <c r="C21" s="47">
        <f t="shared" si="24"/>
        <v>693021.9584</v>
      </c>
      <c r="D21" s="13">
        <f t="shared" si="25"/>
        <v>1324890.966</v>
      </c>
      <c r="E21" s="48">
        <f t="shared" si="1"/>
        <v>0.1318329606</v>
      </c>
      <c r="F21" s="49">
        <v>0.131832960565536</v>
      </c>
      <c r="G21" s="13">
        <f t="shared" si="26"/>
        <v>1499555.265</v>
      </c>
      <c r="H21" s="18">
        <f>'HIER Einzelaktien'!G21-('HIER Einzelaktien'!G21*M$1)</f>
        <v>0.02850850721</v>
      </c>
      <c r="I21" s="50">
        <f t="shared" si="2"/>
        <v>1460458.329</v>
      </c>
      <c r="J21" s="55">
        <f t="shared" si="3"/>
        <v>0.1023234104</v>
      </c>
      <c r="K21" s="55" t="str">
        <f t="shared" si="4"/>
        <v>#DIV/0!</v>
      </c>
      <c r="L21" s="56">
        <f>AQ16</f>
        <v>0.4380137381</v>
      </c>
      <c r="M21" s="57">
        <f t="shared" si="5"/>
        <v>42750.08208</v>
      </c>
      <c r="N21" s="57">
        <f t="shared" si="6"/>
        <v>7922.658962</v>
      </c>
      <c r="O21" s="57">
        <f t="shared" si="7"/>
        <v>34827.42312</v>
      </c>
      <c r="P21" s="58">
        <f t="shared" si="8"/>
        <v>0.05458086169</v>
      </c>
      <c r="Q21" s="57">
        <f>Q20*(1+'HIER Rechnung Thesaurierer '!I21)</f>
        <v>68963.92232</v>
      </c>
      <c r="R21" s="59">
        <f t="shared" si="9"/>
        <v>18068.71416</v>
      </c>
      <c r="S21" s="60">
        <f t="shared" si="10"/>
        <v>39096.93642</v>
      </c>
      <c r="T21" s="57">
        <f t="shared" si="11"/>
        <v>26766.15253</v>
      </c>
      <c r="U21" s="57">
        <f t="shared" si="12"/>
        <v>4960.437218</v>
      </c>
      <c r="V21" s="57">
        <f t="shared" si="13"/>
        <v>12330.78389</v>
      </c>
      <c r="W21" s="57">
        <f t="shared" si="14"/>
        <v>34136.4992</v>
      </c>
      <c r="X21" s="57">
        <f t="shared" si="15"/>
        <v>68963.92232</v>
      </c>
      <c r="Y21" s="13"/>
      <c r="Z21" s="58"/>
      <c r="AA21" s="57"/>
      <c r="AB21" s="58">
        <f>'HIER Rechnung Thesaurierer '!H21</f>
        <v>0.015</v>
      </c>
      <c r="AC21" s="61">
        <f t="shared" si="16"/>
        <v>174664.2985</v>
      </c>
      <c r="AD21" s="57">
        <f t="shared" si="27"/>
        <v>13911.35515</v>
      </c>
      <c r="AE21" s="57">
        <f t="shared" si="17"/>
        <v>0</v>
      </c>
      <c r="AF21" s="62">
        <f t="shared" si="18"/>
        <v>0</v>
      </c>
      <c r="AG21" s="58">
        <f t="shared" si="19"/>
        <v>0.008222960617</v>
      </c>
      <c r="AH21" s="57">
        <f t="shared" si="20"/>
        <v>4416.438853</v>
      </c>
      <c r="AI21" s="57">
        <f t="shared" si="28"/>
        <v>73868.18863</v>
      </c>
      <c r="AJ21" s="12"/>
      <c r="AK21" s="63">
        <f>AK20*(1+'HIER Rechnung Thesaurierer '!I20)</f>
        <v>0</v>
      </c>
      <c r="AL21" s="57">
        <f t="shared" si="21"/>
        <v>0</v>
      </c>
      <c r="AM21" s="57">
        <f t="shared" si="22"/>
        <v>48661.36423</v>
      </c>
      <c r="AN21" s="57"/>
      <c r="AO21" s="56">
        <f t="shared" si="29"/>
        <v>0.4449035508</v>
      </c>
      <c r="AP21" s="64">
        <v>0.07</v>
      </c>
      <c r="AQ21" s="56">
        <f t="shared" si="30"/>
        <v>0.559028858</v>
      </c>
      <c r="AR21" s="64">
        <v>0.05</v>
      </c>
      <c r="AS21" s="64"/>
      <c r="AT21" s="64"/>
    </row>
    <row r="22" ht="12.75" customHeight="1">
      <c r="A22" s="12">
        <v>19.0</v>
      </c>
      <c r="B22" s="46">
        <f t="shared" si="23"/>
        <v>2.163791849</v>
      </c>
      <c r="C22" s="47">
        <f t="shared" si="24"/>
        <v>674953.2443</v>
      </c>
      <c r="D22" s="13">
        <f t="shared" si="25"/>
        <v>1460458.329</v>
      </c>
      <c r="E22" s="48">
        <f t="shared" si="1"/>
        <v>0.2409929025</v>
      </c>
      <c r="F22" s="49">
        <v>0.240992902502802</v>
      </c>
      <c r="G22" s="13">
        <f t="shared" si="26"/>
        <v>1812418.42</v>
      </c>
      <c r="H22" s="18">
        <f>'HIER Einzelaktien'!G22-('HIER Einzelaktien'!G22*M$1)</f>
        <v>0.02775862571</v>
      </c>
      <c r="I22" s="50">
        <f t="shared" si="2"/>
        <v>1778750.202</v>
      </c>
      <c r="J22" s="55">
        <f t="shared" si="3"/>
        <v>0.2179397162</v>
      </c>
      <c r="K22" s="55" t="str">
        <f t="shared" si="4"/>
        <v>#DIV/0!</v>
      </c>
      <c r="L22" s="56">
        <f>AQ15</f>
        <v>0.417155941</v>
      </c>
      <c r="M22" s="57">
        <f t="shared" si="5"/>
        <v>50310.24455</v>
      </c>
      <c r="N22" s="57">
        <f t="shared" si="6"/>
        <v>9323.746072</v>
      </c>
      <c r="O22" s="57">
        <f t="shared" si="7"/>
        <v>40986.49848</v>
      </c>
      <c r="P22" s="58">
        <f t="shared" si="8"/>
        <v>0.04633503033</v>
      </c>
      <c r="Q22" s="57">
        <f>Q21*(1+'HIER Rechnung Thesaurierer '!I22)</f>
        <v>70067.34508</v>
      </c>
      <c r="R22" s="59">
        <f t="shared" si="9"/>
        <v>12538.20457</v>
      </c>
      <c r="S22" s="60">
        <f t="shared" si="10"/>
        <v>33668.21792</v>
      </c>
      <c r="T22" s="57">
        <f t="shared" si="11"/>
        <v>24753.11649</v>
      </c>
      <c r="U22" s="57">
        <f t="shared" si="12"/>
        <v>4587.371314</v>
      </c>
      <c r="V22" s="57">
        <f t="shared" si="13"/>
        <v>8915.10142</v>
      </c>
      <c r="W22" s="57">
        <f t="shared" si="14"/>
        <v>29080.8466</v>
      </c>
      <c r="X22" s="57">
        <f t="shared" si="15"/>
        <v>70067.34508</v>
      </c>
      <c r="Y22" s="13"/>
      <c r="Z22" s="58"/>
      <c r="AA22" s="57"/>
      <c r="AB22" s="58">
        <f>'HIER Rechnung Thesaurierer '!H22</f>
        <v>0.016</v>
      </c>
      <c r="AC22" s="61">
        <f t="shared" si="16"/>
        <v>351960.0916</v>
      </c>
      <c r="AD22" s="57">
        <f t="shared" si="27"/>
        <v>16357.13328</v>
      </c>
      <c r="AE22" s="57">
        <f t="shared" si="17"/>
        <v>0</v>
      </c>
      <c r="AF22" s="62">
        <f t="shared" si="18"/>
        <v>0</v>
      </c>
      <c r="AG22" s="58">
        <f t="shared" si="19"/>
        <v>0.004918898043</v>
      </c>
      <c r="AH22" s="57">
        <f t="shared" si="20"/>
        <v>3684.714894</v>
      </c>
      <c r="AI22" s="57">
        <f t="shared" si="28"/>
        <v>70183.47373</v>
      </c>
      <c r="AJ22" s="12"/>
      <c r="AK22" s="63">
        <f>AK21*(1+'HIER Rechnung Thesaurierer '!I21)</f>
        <v>0</v>
      </c>
      <c r="AL22" s="57">
        <f t="shared" si="21"/>
        <v>0</v>
      </c>
      <c r="AM22" s="57">
        <f t="shared" si="22"/>
        <v>52544.35273</v>
      </c>
      <c r="AN22" s="57"/>
      <c r="AO22" s="56">
        <f t="shared" si="29"/>
        <v>0.4760467994</v>
      </c>
      <c r="AP22" s="64">
        <v>0.07</v>
      </c>
      <c r="AQ22" s="56">
        <f t="shared" si="30"/>
        <v>0.5869803009</v>
      </c>
      <c r="AR22" s="64">
        <v>0.05</v>
      </c>
      <c r="AS22" s="64"/>
      <c r="AT22" s="64"/>
    </row>
    <row r="23" ht="12.75" customHeight="1">
      <c r="A23" s="12">
        <v>20.0</v>
      </c>
      <c r="B23" s="46">
        <f t="shared" si="23"/>
        <v>2.685250327</v>
      </c>
      <c r="C23" s="47">
        <f t="shared" si="24"/>
        <v>662415.0397</v>
      </c>
      <c r="D23" s="13">
        <f t="shared" si="25"/>
        <v>1778750.202</v>
      </c>
      <c r="E23" s="48">
        <f t="shared" si="1"/>
        <v>0.02926007288</v>
      </c>
      <c r="F23" s="49">
        <v>0.0292600728807775</v>
      </c>
      <c r="G23" s="13">
        <f t="shared" si="26"/>
        <v>1830796.563</v>
      </c>
      <c r="H23" s="18">
        <f>'HIER Einzelaktien'!G23-('HIER Einzelaktien'!G23*M$1)</f>
        <v>0.02191028438</v>
      </c>
      <c r="I23" s="50">
        <f t="shared" si="2"/>
        <v>1786393.451</v>
      </c>
      <c r="J23" s="55">
        <f t="shared" si="3"/>
        <v>0.004296976872</v>
      </c>
      <c r="K23" s="55" t="str">
        <f t="shared" si="4"/>
        <v>#DIV/0!</v>
      </c>
      <c r="L23" s="56">
        <f>AQ14</f>
        <v>0.3972913724</v>
      </c>
      <c r="M23" s="57">
        <f t="shared" si="5"/>
        <v>40113.27333</v>
      </c>
      <c r="N23" s="57">
        <f t="shared" si="6"/>
        <v>7433.992379</v>
      </c>
      <c r="O23" s="57">
        <f t="shared" si="7"/>
        <v>32679.28095</v>
      </c>
      <c r="P23" s="58">
        <f t="shared" si="8"/>
        <v>0.046163723</v>
      </c>
      <c r="Q23" s="57">
        <f>Q22*(1+'HIER Rechnung Thesaurierer '!I23)</f>
        <v>70908.15322</v>
      </c>
      <c r="R23" s="59">
        <f t="shared" si="9"/>
        <v>16065.84251</v>
      </c>
      <c r="S23" s="60">
        <f t="shared" si="10"/>
        <v>44403.11207</v>
      </c>
      <c r="T23" s="57">
        <f t="shared" si="11"/>
        <v>33315.74148</v>
      </c>
      <c r="U23" s="57">
        <f t="shared" si="12"/>
        <v>6174.239791</v>
      </c>
      <c r="V23" s="57">
        <f t="shared" si="13"/>
        <v>11087.37058</v>
      </c>
      <c r="W23" s="57">
        <f t="shared" si="14"/>
        <v>38228.87228</v>
      </c>
      <c r="X23" s="57">
        <f t="shared" si="15"/>
        <v>70908.15322</v>
      </c>
      <c r="Y23" s="13"/>
      <c r="Z23" s="58"/>
      <c r="AA23" s="57"/>
      <c r="AB23" s="58">
        <f>'HIER Rechnung Thesaurierer '!H23</f>
        <v>0.012</v>
      </c>
      <c r="AC23" s="61">
        <f t="shared" si="16"/>
        <v>52046.36055</v>
      </c>
      <c r="AD23" s="57">
        <f t="shared" si="27"/>
        <v>14941.5017</v>
      </c>
      <c r="AE23" s="57">
        <f t="shared" si="17"/>
        <v>0</v>
      </c>
      <c r="AF23" s="62">
        <f t="shared" si="18"/>
        <v>0</v>
      </c>
      <c r="AG23" s="58">
        <f t="shared" si="19"/>
        <v>0.006056036376</v>
      </c>
      <c r="AH23" s="57">
        <f t="shared" si="20"/>
        <v>4704.549961</v>
      </c>
      <c r="AI23" s="57">
        <f t="shared" si="28"/>
        <v>65478.92377</v>
      </c>
      <c r="AJ23" s="12"/>
      <c r="AK23" s="63">
        <f>AK22*(1+'HIER Rechnung Thesaurierer '!I22)</f>
        <v>0</v>
      </c>
      <c r="AL23" s="57">
        <f t="shared" si="21"/>
        <v>0</v>
      </c>
      <c r="AM23" s="57">
        <f t="shared" si="22"/>
        <v>51400.31037</v>
      </c>
      <c r="AN23" s="57"/>
      <c r="AO23" s="56">
        <f t="shared" si="29"/>
        <v>0.5093700754</v>
      </c>
      <c r="AP23" s="64">
        <v>0.07</v>
      </c>
      <c r="AQ23" s="56">
        <f t="shared" si="30"/>
        <v>0.6163293159</v>
      </c>
      <c r="AR23" s="64">
        <v>0.05</v>
      </c>
      <c r="AS23" s="64"/>
      <c r="AT23" s="64"/>
    </row>
    <row r="24" ht="12.75" customHeight="1">
      <c r="A24" s="12">
        <v>21.0</v>
      </c>
      <c r="B24" s="46">
        <f t="shared" si="23"/>
        <v>2.763820948</v>
      </c>
      <c r="C24" s="47">
        <f t="shared" si="24"/>
        <v>646349.1972</v>
      </c>
      <c r="D24" s="13">
        <f t="shared" si="25"/>
        <v>1786393.451</v>
      </c>
      <c r="E24" s="48">
        <f t="shared" si="1"/>
        <v>-0.02741929446</v>
      </c>
      <c r="F24" s="49">
        <v>-0.0274192944611598</v>
      </c>
      <c r="G24" s="13">
        <f t="shared" si="26"/>
        <v>1737411.803</v>
      </c>
      <c r="H24" s="18">
        <f>'HIER Einzelaktien'!G24-('HIER Einzelaktien'!G24*M$1)</f>
        <v>0.02057845754</v>
      </c>
      <c r="I24" s="50">
        <f t="shared" si="2"/>
        <v>1688390.698</v>
      </c>
      <c r="J24" s="55">
        <f t="shared" si="3"/>
        <v>-0.05486067594</v>
      </c>
      <c r="K24" s="55" t="str">
        <f t="shared" si="4"/>
        <v>#DIV/0!</v>
      </c>
      <c r="L24" s="56">
        <f>AQ13</f>
        <v>0.3783727356</v>
      </c>
      <c r="M24" s="57">
        <f t="shared" si="5"/>
        <v>35753.25501</v>
      </c>
      <c r="N24" s="57">
        <f t="shared" si="6"/>
        <v>6625.971985</v>
      </c>
      <c r="O24" s="57">
        <f t="shared" si="7"/>
        <v>29127.28303</v>
      </c>
      <c r="P24" s="58">
        <f t="shared" si="8"/>
        <v>0.04879347489</v>
      </c>
      <c r="Q24" s="57">
        <f>Q23*(1+'HIER Rechnung Thesaurierer '!I24)</f>
        <v>71262.69399</v>
      </c>
      <c r="R24" s="59">
        <f t="shared" si="9"/>
        <v>18236.75381</v>
      </c>
      <c r="S24" s="60">
        <f t="shared" si="10"/>
        <v>49021.10415</v>
      </c>
      <c r="T24" s="57">
        <f t="shared" si="11"/>
        <v>37154.69146</v>
      </c>
      <c r="U24" s="57">
        <f t="shared" si="12"/>
        <v>6885.693194</v>
      </c>
      <c r="V24" s="57">
        <f t="shared" si="13"/>
        <v>11866.4127</v>
      </c>
      <c r="W24" s="57">
        <f t="shared" si="14"/>
        <v>42135.41096</v>
      </c>
      <c r="X24" s="57">
        <f t="shared" si="15"/>
        <v>71262.69399</v>
      </c>
      <c r="Y24" s="13"/>
      <c r="Z24" s="58"/>
      <c r="AA24" s="57"/>
      <c r="AB24" s="58">
        <f>'HIER Rechnung Thesaurierer '!H24</f>
        <v>0.005</v>
      </c>
      <c r="AC24" s="61">
        <f t="shared" si="16"/>
        <v>-48981.64805</v>
      </c>
      <c r="AD24" s="57">
        <f t="shared" si="27"/>
        <v>0</v>
      </c>
      <c r="AE24" s="57">
        <f t="shared" si="17"/>
        <v>0</v>
      </c>
      <c r="AF24" s="62">
        <f t="shared" si="18"/>
        <v>0</v>
      </c>
      <c r="AG24" s="58">
        <f t="shared" si="19"/>
        <v>0.006829936738</v>
      </c>
      <c r="AH24" s="57">
        <f t="shared" si="20"/>
        <v>4966.12227</v>
      </c>
      <c r="AI24" s="57">
        <f t="shared" si="28"/>
        <v>60512.8015</v>
      </c>
      <c r="AJ24" s="12"/>
      <c r="AK24" s="63">
        <f>AK23*(1+'HIER Rechnung Thesaurierer '!I23)</f>
        <v>0</v>
      </c>
      <c r="AL24" s="57">
        <f t="shared" si="21"/>
        <v>0</v>
      </c>
      <c r="AM24" s="57">
        <f t="shared" si="22"/>
        <v>51035.56253</v>
      </c>
      <c r="AN24" s="57"/>
      <c r="AO24" s="56">
        <f t="shared" si="29"/>
        <v>0.5450259806</v>
      </c>
      <c r="AP24" s="64">
        <v>0.07</v>
      </c>
      <c r="AQ24" s="56">
        <f t="shared" si="30"/>
        <v>0.6471457817</v>
      </c>
      <c r="AR24" s="64">
        <v>0.05</v>
      </c>
      <c r="AS24" s="64"/>
      <c r="AT24" s="64"/>
    </row>
    <row r="25" ht="12.75" customHeight="1">
      <c r="A25" s="12">
        <v>22.0</v>
      </c>
      <c r="B25" s="46">
        <f t="shared" si="23"/>
        <v>2.688038927</v>
      </c>
      <c r="C25" s="47">
        <f t="shared" si="24"/>
        <v>628112.4434</v>
      </c>
      <c r="D25" s="13">
        <f t="shared" si="25"/>
        <v>1688390.698</v>
      </c>
      <c r="E25" s="48">
        <f t="shared" si="1"/>
        <v>0.05317856572</v>
      </c>
      <c r="F25" s="49">
        <v>0.0531785657152961</v>
      </c>
      <c r="G25" s="13">
        <f t="shared" si="26"/>
        <v>1778176.894</v>
      </c>
      <c r="H25" s="18">
        <f>'HIER Einzelaktien'!G25-('HIER Einzelaktien'!G25*M$1)</f>
        <v>0.02409996466</v>
      </c>
      <c r="I25" s="50">
        <f t="shared" si="2"/>
        <v>1735633.905</v>
      </c>
      <c r="J25" s="55">
        <f t="shared" si="3"/>
        <v>0.02798120498</v>
      </c>
      <c r="K25" s="55" t="str">
        <f t="shared" si="4"/>
        <v>#DIV/0!</v>
      </c>
      <c r="L25" s="56">
        <f>AQ12</f>
        <v>0.3603549863</v>
      </c>
      <c r="M25" s="57">
        <f t="shared" si="5"/>
        <v>42854.00031</v>
      </c>
      <c r="N25" s="57">
        <f t="shared" si="6"/>
        <v>7941.917607</v>
      </c>
      <c r="O25" s="57">
        <f t="shared" si="7"/>
        <v>34912.0827</v>
      </c>
      <c r="P25" s="58">
        <f t="shared" si="8"/>
        <v>0.048025025</v>
      </c>
      <c r="Q25" s="57">
        <f>Q24*(1+'HIER Rechnung Thesaurierer '!I25)</f>
        <v>71333.95668</v>
      </c>
      <c r="R25" s="59">
        <f t="shared" si="9"/>
        <v>15027.62811</v>
      </c>
      <c r="S25" s="60">
        <f t="shared" si="10"/>
        <v>42542.98948</v>
      </c>
      <c r="T25" s="57">
        <f t="shared" si="11"/>
        <v>33029.08677</v>
      </c>
      <c r="U25" s="57">
        <f t="shared" si="12"/>
        <v>6121.115505</v>
      </c>
      <c r="V25" s="57">
        <f t="shared" si="13"/>
        <v>9513.90272</v>
      </c>
      <c r="W25" s="57">
        <f t="shared" si="14"/>
        <v>36421.87398</v>
      </c>
      <c r="X25" s="57">
        <f t="shared" si="15"/>
        <v>71333.95668</v>
      </c>
      <c r="Y25" s="13"/>
      <c r="Z25" s="58"/>
      <c r="AA25" s="57"/>
      <c r="AB25" s="58">
        <f>'HIER Rechnung Thesaurierer '!H25</f>
        <v>0.001</v>
      </c>
      <c r="AC25" s="61">
        <f t="shared" si="16"/>
        <v>89786.19571</v>
      </c>
      <c r="AD25" s="57">
        <f t="shared" si="27"/>
        <v>1181.873489</v>
      </c>
      <c r="AE25" s="57">
        <f t="shared" si="17"/>
        <v>0</v>
      </c>
      <c r="AF25" s="62">
        <f t="shared" si="18"/>
        <v>0</v>
      </c>
      <c r="AG25" s="58">
        <f t="shared" si="19"/>
        <v>0.005350369106</v>
      </c>
      <c r="AH25" s="57">
        <f t="shared" si="20"/>
        <v>4098.621999</v>
      </c>
      <c r="AI25" s="57">
        <f t="shared" si="28"/>
        <v>56414.1795</v>
      </c>
      <c r="AJ25" s="12"/>
      <c r="AK25" s="63">
        <f>AK24*(1+'HIER Rechnung Thesaurierer '!I24)</f>
        <v>0</v>
      </c>
      <c r="AL25" s="57">
        <f t="shared" si="21"/>
        <v>0</v>
      </c>
      <c r="AM25" s="57">
        <f t="shared" si="22"/>
        <v>53118.16095</v>
      </c>
      <c r="AN25" s="57"/>
      <c r="AO25" s="56">
        <f t="shared" si="29"/>
        <v>0.5831777993</v>
      </c>
      <c r="AP25" s="64">
        <v>0.07</v>
      </c>
      <c r="AQ25" s="56">
        <f t="shared" si="30"/>
        <v>0.6795030708</v>
      </c>
      <c r="AR25" s="64">
        <v>0.05</v>
      </c>
      <c r="AS25" s="64"/>
      <c r="AT25" s="64"/>
    </row>
    <row r="26" ht="12.75" customHeight="1">
      <c r="A26" s="12">
        <v>23.0</v>
      </c>
      <c r="B26" s="46">
        <f t="shared" si="23"/>
        <v>2.830984982</v>
      </c>
      <c r="C26" s="47">
        <f t="shared" si="24"/>
        <v>613084.8153</v>
      </c>
      <c r="D26" s="13">
        <f t="shared" si="25"/>
        <v>1735633.905</v>
      </c>
      <c r="E26" s="48">
        <f t="shared" si="1"/>
        <v>0.2011336104</v>
      </c>
      <c r="F26" s="49">
        <v>0.201133610359412</v>
      </c>
      <c r="G26" s="13">
        <f t="shared" si="26"/>
        <v>2084728.218</v>
      </c>
      <c r="H26" s="18">
        <f>'HIER Einzelaktien'!G26-('HIER Einzelaktien'!G26*M$1)</f>
        <v>0.0251512414</v>
      </c>
      <c r="I26" s="50">
        <f t="shared" si="2"/>
        <v>2050825.829</v>
      </c>
      <c r="J26" s="55">
        <f t="shared" si="3"/>
        <v>0.1816004654</v>
      </c>
      <c r="K26" s="55" t="str">
        <f t="shared" si="4"/>
        <v>#DIV/0!</v>
      </c>
      <c r="L26" s="56">
        <f>AQ11</f>
        <v>0.343195225</v>
      </c>
      <c r="M26" s="57">
        <f t="shared" si="5"/>
        <v>52433.50267</v>
      </c>
      <c r="N26" s="57">
        <f t="shared" si="6"/>
        <v>9717.238882</v>
      </c>
      <c r="O26" s="57">
        <f t="shared" si="7"/>
        <v>42716.26379</v>
      </c>
      <c r="P26" s="58">
        <f t="shared" si="8"/>
        <v>0.04141349965</v>
      </c>
      <c r="Q26" s="57">
        <f>Q25*(1+'HIER Rechnung Thesaurierer '!I26)</f>
        <v>71547.95855</v>
      </c>
      <c r="R26" s="59">
        <f t="shared" si="9"/>
        <v>9970.143596</v>
      </c>
      <c r="S26" s="60">
        <f t="shared" si="10"/>
        <v>33902.38866</v>
      </c>
      <c r="T26" s="57">
        <f t="shared" si="11"/>
        <v>27361.08943</v>
      </c>
      <c r="U26" s="57">
        <f t="shared" si="12"/>
        <v>5070.693899</v>
      </c>
      <c r="V26" s="57">
        <f t="shared" si="13"/>
        <v>6541.299233</v>
      </c>
      <c r="W26" s="57">
        <f t="shared" si="14"/>
        <v>28831.69477</v>
      </c>
      <c r="X26" s="57">
        <f t="shared" si="15"/>
        <v>71547.95855</v>
      </c>
      <c r="Y26" s="13"/>
      <c r="Z26" s="58"/>
      <c r="AA26" s="57"/>
      <c r="AB26" s="58">
        <f>'HIER Rechnung Thesaurierer '!H26</f>
        <v>0.003</v>
      </c>
      <c r="AC26" s="61">
        <f t="shared" si="16"/>
        <v>349094.3135</v>
      </c>
      <c r="AD26" s="57">
        <f t="shared" si="27"/>
        <v>3644.8312</v>
      </c>
      <c r="AE26" s="57">
        <f t="shared" si="17"/>
        <v>0</v>
      </c>
      <c r="AF26" s="62">
        <f t="shared" si="18"/>
        <v>0</v>
      </c>
      <c r="AG26" s="58">
        <f t="shared" si="19"/>
        <v>0.003137722786</v>
      </c>
      <c r="AH26" s="57">
        <f t="shared" si="20"/>
        <v>3119.593557</v>
      </c>
      <c r="AI26" s="57">
        <f t="shared" si="28"/>
        <v>53294.58595</v>
      </c>
      <c r="AJ26" s="12"/>
      <c r="AK26" s="63">
        <f>AK25*(1+'HIER Rechnung Thesaurierer '!I25)</f>
        <v>0</v>
      </c>
      <c r="AL26" s="57">
        <f t="shared" si="21"/>
        <v>0</v>
      </c>
      <c r="AM26" s="57">
        <f t="shared" si="22"/>
        <v>55856.21447</v>
      </c>
      <c r="AN26" s="57"/>
      <c r="AO26" s="56">
        <f t="shared" si="29"/>
        <v>0.6240002452</v>
      </c>
      <c r="AP26" s="64">
        <v>0.07</v>
      </c>
      <c r="AQ26" s="56">
        <f t="shared" si="30"/>
        <v>0.7134782244</v>
      </c>
      <c r="AR26" s="64">
        <v>0.05</v>
      </c>
      <c r="AS26" s="64"/>
      <c r="AT26" s="64"/>
    </row>
    <row r="27" ht="12.75" customHeight="1">
      <c r="A27" s="12">
        <v>24.0</v>
      </c>
      <c r="B27" s="46">
        <f t="shared" si="23"/>
        <v>3.400391212</v>
      </c>
      <c r="C27" s="47">
        <f t="shared" si="24"/>
        <v>603114.6717</v>
      </c>
      <c r="D27" s="13">
        <f t="shared" si="25"/>
        <v>2050825.829</v>
      </c>
      <c r="E27" s="48">
        <f t="shared" si="1"/>
        <v>-0.104374817</v>
      </c>
      <c r="F27" s="49">
        <v>-0.104374816967189</v>
      </c>
      <c r="G27" s="13">
        <f t="shared" si="26"/>
        <v>1836771.259</v>
      </c>
      <c r="H27" s="18">
        <f>'HIER Einzelaktien'!G27-('HIER Einzelaktien'!G27*M$1)</f>
        <v>0.01897896652</v>
      </c>
      <c r="I27" s="50">
        <f t="shared" si="2"/>
        <v>1785728.29</v>
      </c>
      <c r="J27" s="55">
        <f t="shared" si="3"/>
        <v>-0.1292637997</v>
      </c>
      <c r="K27" s="55" t="str">
        <f t="shared" si="4"/>
        <v>#DIV/0!</v>
      </c>
      <c r="L27" s="56">
        <f>AQ10</f>
        <v>0.3268525953</v>
      </c>
      <c r="M27" s="57">
        <f t="shared" si="5"/>
        <v>34860.02023</v>
      </c>
      <c r="N27" s="57">
        <f t="shared" si="6"/>
        <v>6460.433248</v>
      </c>
      <c r="O27" s="57">
        <f t="shared" si="7"/>
        <v>28399.58698</v>
      </c>
      <c r="P27" s="58">
        <f t="shared" si="8"/>
        <v>0.04676847398</v>
      </c>
      <c r="Q27" s="57">
        <f>Q26*(1+'HIER Rechnung Thesaurierer '!I27)</f>
        <v>71834.15038</v>
      </c>
      <c r="R27" s="59">
        <f t="shared" si="9"/>
        <v>16760.25967</v>
      </c>
      <c r="S27" s="60">
        <f t="shared" si="10"/>
        <v>51042.96861</v>
      </c>
      <c r="T27" s="57">
        <f t="shared" si="11"/>
        <v>41054.39202</v>
      </c>
      <c r="U27" s="57">
        <f t="shared" si="12"/>
        <v>7608.405201</v>
      </c>
      <c r="V27" s="57">
        <f t="shared" si="13"/>
        <v>9988.576589</v>
      </c>
      <c r="W27" s="57">
        <f t="shared" si="14"/>
        <v>43434.56341</v>
      </c>
      <c r="X27" s="57">
        <f t="shared" si="15"/>
        <v>71834.15039</v>
      </c>
      <c r="Y27" s="13"/>
      <c r="Z27" s="58"/>
      <c r="AA27" s="57"/>
      <c r="AB27" s="58">
        <f>'HIER Rechnung Thesaurierer '!H27</f>
        <v>0.004</v>
      </c>
      <c r="AC27" s="61">
        <f t="shared" si="16"/>
        <v>-214054.5706</v>
      </c>
      <c r="AD27" s="57">
        <f t="shared" si="27"/>
        <v>0</v>
      </c>
      <c r="AE27" s="57">
        <f t="shared" si="17"/>
        <v>0</v>
      </c>
      <c r="AF27" s="62">
        <f t="shared" si="18"/>
        <v>0</v>
      </c>
      <c r="AG27" s="58">
        <f t="shared" si="19"/>
        <v>0.005438116772</v>
      </c>
      <c r="AH27" s="57">
        <f t="shared" si="20"/>
        <v>4510.442218</v>
      </c>
      <c r="AI27" s="57">
        <f t="shared" si="28"/>
        <v>48784.14373</v>
      </c>
      <c r="AJ27" s="12"/>
      <c r="AK27" s="63">
        <f>AK26*(1+'HIER Rechnung Thesaurierer '!I26)</f>
        <v>0</v>
      </c>
      <c r="AL27" s="57">
        <f t="shared" si="21"/>
        <v>0</v>
      </c>
      <c r="AM27" s="57">
        <f t="shared" si="22"/>
        <v>53140.08857</v>
      </c>
      <c r="AN27" s="57"/>
      <c r="AO27" s="56">
        <f t="shared" si="29"/>
        <v>0.6676802624</v>
      </c>
      <c r="AP27" s="64">
        <v>0.07</v>
      </c>
      <c r="AQ27" s="56">
        <f t="shared" si="30"/>
        <v>0.7491521356</v>
      </c>
      <c r="AR27" s="64">
        <v>0.05</v>
      </c>
      <c r="AS27" s="64"/>
      <c r="AT27" s="64"/>
    </row>
    <row r="28" ht="12.75" customHeight="1">
      <c r="A28" s="12">
        <v>25.0</v>
      </c>
      <c r="B28" s="46">
        <f t="shared" si="23"/>
        <v>3.045476002</v>
      </c>
      <c r="C28" s="47">
        <f t="shared" si="24"/>
        <v>586354.412</v>
      </c>
      <c r="D28" s="13">
        <f t="shared" si="25"/>
        <v>1785728.29</v>
      </c>
      <c r="E28" s="48">
        <f t="shared" si="1"/>
        <v>0.2519065492</v>
      </c>
      <c r="F28" s="49">
        <v>0.251906549229498</v>
      </c>
      <c r="G28" s="13">
        <f t="shared" si="26"/>
        <v>2235564.942</v>
      </c>
      <c r="H28" s="18">
        <f>'HIER Einzelaktien'!G28-('HIER Einzelaktien'!G28*M$1)</f>
        <v>0.02729675315</v>
      </c>
      <c r="I28" s="50">
        <f t="shared" si="2"/>
        <v>2209649.717</v>
      </c>
      <c r="J28" s="55">
        <f t="shared" si="3"/>
        <v>0.2373941372</v>
      </c>
      <c r="K28" s="55" t="str">
        <f t="shared" si="4"/>
        <v>#DIV/0!</v>
      </c>
      <c r="L28" s="56">
        <f>AQ9</f>
        <v>0.311288186</v>
      </c>
      <c r="M28" s="57">
        <f t="shared" si="5"/>
        <v>61023.66437</v>
      </c>
      <c r="N28" s="57">
        <f t="shared" si="6"/>
        <v>11309.2106</v>
      </c>
      <c r="O28" s="57">
        <f t="shared" si="7"/>
        <v>49714.45377</v>
      </c>
      <c r="P28" s="58">
        <f t="shared" si="8"/>
        <v>0.03888900184</v>
      </c>
      <c r="Q28" s="57">
        <f>Q27*(1+'HIER Rechnung Thesaurierer '!I28)</f>
        <v>71618.64793</v>
      </c>
      <c r="R28" s="59">
        <f t="shared" si="9"/>
        <v>6797.16616</v>
      </c>
      <c r="S28" s="60">
        <f t="shared" si="10"/>
        <v>25915.22475</v>
      </c>
      <c r="T28" s="57">
        <f t="shared" si="11"/>
        <v>21643.22454</v>
      </c>
      <c r="U28" s="57">
        <f t="shared" si="12"/>
        <v>4011.030588</v>
      </c>
      <c r="V28" s="57">
        <f t="shared" si="13"/>
        <v>4272.000209</v>
      </c>
      <c r="W28" s="57">
        <f t="shared" si="14"/>
        <v>21904.19416</v>
      </c>
      <c r="X28" s="57">
        <f t="shared" si="15"/>
        <v>71618.64793</v>
      </c>
      <c r="Y28" s="13"/>
      <c r="Z28" s="58"/>
      <c r="AA28" s="57"/>
      <c r="AB28" s="58">
        <f>'HIER Rechnung Thesaurierer '!H28</f>
        <v>-0.003</v>
      </c>
      <c r="AC28" s="61">
        <f t="shared" si="16"/>
        <v>449836.6515</v>
      </c>
      <c r="AD28" s="57">
        <f t="shared" si="27"/>
        <v>0</v>
      </c>
      <c r="AE28" s="57">
        <f t="shared" si="17"/>
        <v>0</v>
      </c>
      <c r="AF28" s="62">
        <f t="shared" si="18"/>
        <v>0</v>
      </c>
      <c r="AG28" s="58">
        <f t="shared" si="19"/>
        <v>0.001910926464</v>
      </c>
      <c r="AH28" s="57">
        <f t="shared" si="20"/>
        <v>2156.122685</v>
      </c>
      <c r="AI28" s="57">
        <f t="shared" si="28"/>
        <v>46628.02104</v>
      </c>
      <c r="AJ28" s="12"/>
      <c r="AK28" s="63">
        <f>AK27*(1+'HIER Rechnung Thesaurierer '!I27)</f>
        <v>0</v>
      </c>
      <c r="AL28" s="57">
        <f t="shared" si="21"/>
        <v>0</v>
      </c>
      <c r="AM28" s="57">
        <f t="shared" si="22"/>
        <v>57866.82224</v>
      </c>
      <c r="AN28" s="57"/>
      <c r="AO28" s="56">
        <f t="shared" si="29"/>
        <v>0.7144178808</v>
      </c>
      <c r="AP28" s="64">
        <v>0.07</v>
      </c>
      <c r="AQ28" s="56">
        <f t="shared" si="30"/>
        <v>0.7866097424</v>
      </c>
      <c r="AR28" s="64">
        <v>0.05</v>
      </c>
      <c r="AS28" s="64"/>
      <c r="AT28" s="64"/>
    </row>
    <row r="29" ht="12.75" customHeight="1">
      <c r="A29" s="12">
        <v>26.0</v>
      </c>
      <c r="B29" s="46">
        <f t="shared" si="23"/>
        <v>3.812651352</v>
      </c>
      <c r="C29" s="47">
        <f t="shared" si="24"/>
        <v>579557.2458</v>
      </c>
      <c r="D29" s="13">
        <f t="shared" si="25"/>
        <v>2209649.717</v>
      </c>
      <c r="E29" s="48">
        <f t="shared" si="1"/>
        <v>0.1405895692</v>
      </c>
      <c r="F29" s="49">
        <v>0.140589569160998</v>
      </c>
      <c r="G29" s="13">
        <f t="shared" si="26"/>
        <v>2520303.419</v>
      </c>
      <c r="H29" s="18">
        <f>'HIER Einzelaktien'!G29-('HIER Einzelaktien'!G29*M$1)</f>
        <v>0.02071687228</v>
      </c>
      <c r="I29" s="50">
        <f t="shared" si="2"/>
        <v>2486198.191</v>
      </c>
      <c r="J29" s="55">
        <f t="shared" si="3"/>
        <v>0.1251548932</v>
      </c>
      <c r="K29" s="55" t="str">
        <f t="shared" si="4"/>
        <v>#DIV/0!</v>
      </c>
      <c r="L29" s="56">
        <f>AQ8</f>
        <v>0.296464939</v>
      </c>
      <c r="M29" s="57">
        <f t="shared" si="5"/>
        <v>52212.80404</v>
      </c>
      <c r="N29" s="57">
        <f t="shared" si="6"/>
        <v>9676.33791</v>
      </c>
      <c r="O29" s="57">
        <f t="shared" si="7"/>
        <v>42536.46613</v>
      </c>
      <c r="P29" s="58">
        <f t="shared" si="8"/>
        <v>0.03424906332</v>
      </c>
      <c r="Q29" s="57">
        <f>Q28*(1+'HIER Rechnung Thesaurierer '!I29)</f>
        <v>71260.55469</v>
      </c>
      <c r="R29" s="59">
        <f t="shared" si="9"/>
        <v>7842.679364</v>
      </c>
      <c r="S29" s="60">
        <f t="shared" si="10"/>
        <v>34105.22731</v>
      </c>
      <c r="T29" s="57">
        <f t="shared" si="11"/>
        <v>29036.22693</v>
      </c>
      <c r="U29" s="57">
        <f t="shared" si="12"/>
        <v>5381.138755</v>
      </c>
      <c r="V29" s="57">
        <f t="shared" si="13"/>
        <v>5069.00039</v>
      </c>
      <c r="W29" s="57">
        <f t="shared" si="14"/>
        <v>28724.08856</v>
      </c>
      <c r="X29" s="57">
        <f t="shared" si="15"/>
        <v>71260.55469</v>
      </c>
      <c r="Y29" s="13"/>
      <c r="Z29" s="58"/>
      <c r="AA29" s="57"/>
      <c r="AB29" s="58">
        <f>'HIER Rechnung Thesaurierer '!H29</f>
        <v>-0.005</v>
      </c>
      <c r="AC29" s="61">
        <f t="shared" si="16"/>
        <v>310653.7017</v>
      </c>
      <c r="AD29" s="57">
        <f t="shared" si="27"/>
        <v>0</v>
      </c>
      <c r="AE29" s="57">
        <f t="shared" si="17"/>
        <v>0</v>
      </c>
      <c r="AF29" s="62">
        <f t="shared" si="18"/>
        <v>0</v>
      </c>
      <c r="AG29" s="58">
        <f t="shared" si="19"/>
        <v>0.002011265926</v>
      </c>
      <c r="AH29" s="57">
        <f t="shared" si="20"/>
        <v>2743.92093</v>
      </c>
      <c r="AI29" s="57">
        <f t="shared" si="28"/>
        <v>43884.10011</v>
      </c>
      <c r="AJ29" s="12"/>
      <c r="AK29" s="63">
        <f>AK28*(1+'HIER Rechnung Thesaurierer '!I28)</f>
        <v>0</v>
      </c>
      <c r="AL29" s="57">
        <f t="shared" si="21"/>
        <v>0</v>
      </c>
      <c r="AM29" s="57">
        <f t="shared" si="22"/>
        <v>56874.32168</v>
      </c>
      <c r="AN29" s="57"/>
      <c r="AO29" s="56">
        <f t="shared" si="29"/>
        <v>0.7644271324</v>
      </c>
      <c r="AP29" s="64">
        <v>0.07</v>
      </c>
      <c r="AQ29" s="56">
        <f t="shared" si="30"/>
        <v>0.8259402295</v>
      </c>
      <c r="AR29" s="64">
        <v>0.05</v>
      </c>
      <c r="AS29" s="64"/>
      <c r="AT29" s="64"/>
    </row>
    <row r="30" ht="12.75" customHeight="1">
      <c r="A30" s="12">
        <v>27.0</v>
      </c>
      <c r="B30" s="46">
        <f t="shared" si="23"/>
        <v>4.348670363</v>
      </c>
      <c r="C30" s="47">
        <f t="shared" si="24"/>
        <v>571714.5665</v>
      </c>
      <c r="D30" s="13">
        <f t="shared" si="25"/>
        <v>2486198.191</v>
      </c>
      <c r="E30" s="48">
        <f t="shared" si="1"/>
        <v>0.2013658513</v>
      </c>
      <c r="F30" s="49">
        <v>0.201365851264886</v>
      </c>
      <c r="G30" s="13">
        <f t="shared" si="26"/>
        <v>2986833.607</v>
      </c>
      <c r="H30" s="18">
        <f>'HIER Einzelaktien'!G30-('HIER Einzelaktien'!G30*M$1)</f>
        <v>0.01879253174</v>
      </c>
      <c r="I30" s="50">
        <f t="shared" si="2"/>
        <v>2956738.024</v>
      </c>
      <c r="J30" s="55">
        <f t="shared" si="3"/>
        <v>0.1892607894</v>
      </c>
      <c r="K30" s="55" t="str">
        <f t="shared" si="4"/>
        <v>#DIV/0!</v>
      </c>
      <c r="L30" s="56">
        <f>AQ7</f>
        <v>0.282347561</v>
      </c>
      <c r="M30" s="57">
        <f t="shared" si="5"/>
        <v>56130.16535</v>
      </c>
      <c r="N30" s="57">
        <f t="shared" si="6"/>
        <v>10402.32289</v>
      </c>
      <c r="O30" s="57">
        <f t="shared" si="7"/>
        <v>45727.84245</v>
      </c>
      <c r="P30" s="58">
        <f t="shared" si="8"/>
        <v>0.02886861461</v>
      </c>
      <c r="Q30" s="57">
        <f>Q29*(1+'HIER Rechnung Thesaurierer '!I30)</f>
        <v>70975.51247</v>
      </c>
      <c r="R30" s="59">
        <f t="shared" si="9"/>
        <v>5760.643352</v>
      </c>
      <c r="S30" s="60">
        <f t="shared" si="10"/>
        <v>30095.58295</v>
      </c>
      <c r="T30" s="57">
        <f t="shared" si="11"/>
        <v>26158.97978</v>
      </c>
      <c r="U30" s="57">
        <f t="shared" si="12"/>
        <v>4847.912927</v>
      </c>
      <c r="V30" s="57">
        <f t="shared" si="13"/>
        <v>3936.603172</v>
      </c>
      <c r="W30" s="57">
        <f t="shared" si="14"/>
        <v>25247.67002</v>
      </c>
      <c r="X30" s="57">
        <f t="shared" si="15"/>
        <v>70975.51248</v>
      </c>
      <c r="Y30" s="13"/>
      <c r="Z30" s="58"/>
      <c r="AA30" s="57"/>
      <c r="AB30" s="58">
        <f>'HIER Rechnung Thesaurierer '!H30</f>
        <v>-0.004</v>
      </c>
      <c r="AC30" s="61">
        <f t="shared" si="16"/>
        <v>500635.4152</v>
      </c>
      <c r="AD30" s="57">
        <f t="shared" si="27"/>
        <v>0</v>
      </c>
      <c r="AE30" s="57">
        <f t="shared" si="17"/>
        <v>0</v>
      </c>
      <c r="AF30" s="62">
        <f t="shared" si="18"/>
        <v>0</v>
      </c>
      <c r="AG30" s="58">
        <f t="shared" si="19"/>
        <v>0.001317985429</v>
      </c>
      <c r="AH30" s="57">
        <f t="shared" si="20"/>
        <v>2310.099572</v>
      </c>
      <c r="AI30" s="57">
        <f t="shared" si="28"/>
        <v>41574.00054</v>
      </c>
      <c r="AJ30" s="12"/>
      <c r="AK30" s="63">
        <f>AK29*(1+'HIER Rechnung Thesaurierer '!I29)</f>
        <v>0</v>
      </c>
      <c r="AL30" s="57">
        <f t="shared" si="21"/>
        <v>0</v>
      </c>
      <c r="AM30" s="57">
        <f t="shared" si="22"/>
        <v>57602.40159</v>
      </c>
      <c r="AN30" s="57"/>
      <c r="AO30" s="56">
        <f t="shared" si="29"/>
        <v>0.8179370317</v>
      </c>
      <c r="AP30" s="64">
        <v>0.07</v>
      </c>
      <c r="AQ30" s="56">
        <f t="shared" si="30"/>
        <v>0.867237241</v>
      </c>
      <c r="AR30" s="64">
        <v>0.05</v>
      </c>
      <c r="AS30" s="64"/>
      <c r="AT30" s="64"/>
    </row>
    <row r="31" ht="12.75" customHeight="1">
      <c r="A31" s="12">
        <v>28.0</v>
      </c>
      <c r="B31" s="46">
        <f t="shared" si="23"/>
        <v>5.224344073</v>
      </c>
      <c r="C31" s="47">
        <f t="shared" si="24"/>
        <v>565953.9231</v>
      </c>
      <c r="D31" s="13">
        <f t="shared" si="25"/>
        <v>2956738.024</v>
      </c>
      <c r="E31" s="48">
        <f t="shared" si="1"/>
        <v>-0.194645773</v>
      </c>
      <c r="F31" s="49">
        <v>-0.194645772987632</v>
      </c>
      <c r="G31" s="13">
        <f t="shared" si="26"/>
        <v>2381221.466</v>
      </c>
      <c r="H31" s="18">
        <f>'HIER Einzelaktien'!G31-('HIER Einzelaktien'!G31*M$1)</f>
        <v>0.01472102964</v>
      </c>
      <c r="I31" s="50">
        <f t="shared" si="2"/>
        <v>2329768.908</v>
      </c>
      <c r="J31" s="55">
        <f t="shared" si="3"/>
        <v>-0.2120475708</v>
      </c>
      <c r="K31" s="55" t="str">
        <f t="shared" si="4"/>
        <v>#DIV/0!</v>
      </c>
      <c r="L31" s="56">
        <f>AQ6</f>
        <v>0.268902439</v>
      </c>
      <c r="M31" s="57">
        <f t="shared" si="5"/>
        <v>35054.03177</v>
      </c>
      <c r="N31" s="57">
        <f t="shared" si="6"/>
        <v>6496.388438</v>
      </c>
      <c r="O31" s="57">
        <f t="shared" si="7"/>
        <v>28557.64333</v>
      </c>
      <c r="P31" s="58">
        <f t="shared" si="8"/>
        <v>0.03632866174</v>
      </c>
      <c r="Q31" s="57">
        <f>Q30*(1+'HIER Rechnung Thesaurierer '!I31)</f>
        <v>71784.63332</v>
      </c>
      <c r="R31" s="59">
        <f t="shared" si="9"/>
        <v>12228.92416</v>
      </c>
      <c r="S31" s="60">
        <f t="shared" si="10"/>
        <v>51452.55738</v>
      </c>
      <c r="T31" s="57">
        <f t="shared" si="11"/>
        <v>44384.55359</v>
      </c>
      <c r="U31" s="57">
        <f t="shared" si="12"/>
        <v>8225.567394</v>
      </c>
      <c r="V31" s="57">
        <f t="shared" si="13"/>
        <v>7068.00379</v>
      </c>
      <c r="W31" s="57">
        <f t="shared" si="14"/>
        <v>43226.98999</v>
      </c>
      <c r="X31" s="57">
        <f t="shared" si="15"/>
        <v>71784.63332</v>
      </c>
      <c r="Y31" s="13"/>
      <c r="Z31" s="58"/>
      <c r="AA31" s="57"/>
      <c r="AB31" s="58">
        <f>'HIER Rechnung Thesaurierer '!H31</f>
        <v>0.0114</v>
      </c>
      <c r="AC31" s="61">
        <f t="shared" si="16"/>
        <v>-575516.5581</v>
      </c>
      <c r="AD31" s="57">
        <f t="shared" si="27"/>
        <v>0</v>
      </c>
      <c r="AE31" s="57">
        <f t="shared" si="17"/>
        <v>0</v>
      </c>
      <c r="AF31" s="62">
        <f t="shared" si="18"/>
        <v>0</v>
      </c>
      <c r="AG31" s="58">
        <f t="shared" si="19"/>
        <v>0.002968226136</v>
      </c>
      <c r="AH31" s="57">
        <f t="shared" si="20"/>
        <v>3779.616257</v>
      </c>
      <c r="AI31" s="57">
        <f t="shared" si="28"/>
        <v>37794.38429</v>
      </c>
      <c r="AJ31" s="12"/>
      <c r="AK31" s="63">
        <f>AK30*(1+'HIER Rechnung Thesaurierer '!I30)</f>
        <v>0</v>
      </c>
      <c r="AL31" s="57">
        <f t="shared" si="21"/>
        <v>0</v>
      </c>
      <c r="AM31" s="57">
        <f t="shared" si="22"/>
        <v>55607.00975</v>
      </c>
      <c r="AN31" s="57"/>
      <c r="AO31" s="56">
        <f t="shared" si="29"/>
        <v>0.8751926239</v>
      </c>
      <c r="AP31" s="64">
        <v>0.07</v>
      </c>
      <c r="AQ31" s="56">
        <f t="shared" si="30"/>
        <v>0.910599103</v>
      </c>
      <c r="AR31" s="64">
        <v>0.05</v>
      </c>
      <c r="AS31" s="64"/>
      <c r="AT31" s="64"/>
    </row>
    <row r="32" ht="12.75" customHeight="1">
      <c r="A32" s="12">
        <v>29.0</v>
      </c>
      <c r="B32" s="46">
        <f t="shared" si="23"/>
        <v>4.207447582</v>
      </c>
      <c r="C32" s="47">
        <f t="shared" si="24"/>
        <v>553724.999</v>
      </c>
      <c r="D32" s="13">
        <f t="shared" si="25"/>
        <v>2329768.908</v>
      </c>
      <c r="E32" s="48">
        <f t="shared" si="1"/>
        <v>0.2176579186</v>
      </c>
      <c r="F32" s="49">
        <v>0.217657918649395</v>
      </c>
      <c r="G32" s="13">
        <f t="shared" si="26"/>
        <v>2836861.56</v>
      </c>
      <c r="H32" s="18">
        <f>'HIER Einzelaktien'!G32-('HIER Einzelaktien'!G32*M$1)</f>
        <v>0.02252094266</v>
      </c>
      <c r="I32" s="50">
        <f t="shared" si="2"/>
        <v>2811185.375</v>
      </c>
      <c r="J32" s="55">
        <f t="shared" si="3"/>
        <v>0.2066370038</v>
      </c>
      <c r="K32" s="55" t="str">
        <f t="shared" si="4"/>
        <v>#DIV/0!</v>
      </c>
      <c r="L32" s="56">
        <f>AQ5</f>
        <v>0.256097561</v>
      </c>
      <c r="M32" s="57">
        <f t="shared" si="5"/>
        <v>63888.79651</v>
      </c>
      <c r="N32" s="57">
        <f t="shared" si="6"/>
        <v>11840.19121</v>
      </c>
      <c r="O32" s="57">
        <f t="shared" si="7"/>
        <v>52048.6053</v>
      </c>
      <c r="P32" s="58">
        <f t="shared" si="8"/>
        <v>0.03157185483</v>
      </c>
      <c r="Q32" s="57">
        <f>Q31*(1+'HIER Rechnung Thesaurierer '!I32)</f>
        <v>73528.99991</v>
      </c>
      <c r="R32" s="59">
        <f t="shared" si="9"/>
        <v>5011.716335</v>
      </c>
      <c r="S32" s="60">
        <f t="shared" si="10"/>
        <v>25676.18483</v>
      </c>
      <c r="T32" s="57">
        <f t="shared" si="11"/>
        <v>22640.17386</v>
      </c>
      <c r="U32" s="57">
        <f t="shared" si="12"/>
        <v>4195.79022</v>
      </c>
      <c r="V32" s="57">
        <f t="shared" si="13"/>
        <v>3036.010969</v>
      </c>
      <c r="W32" s="57">
        <f t="shared" si="14"/>
        <v>21480.39461</v>
      </c>
      <c r="X32" s="57">
        <f t="shared" si="15"/>
        <v>73528.99991</v>
      </c>
      <c r="Y32" s="13"/>
      <c r="Z32" s="58"/>
      <c r="AA32" s="57"/>
      <c r="AB32" s="58">
        <f>'HIER Rechnung Thesaurierer '!H32</f>
        <v>0.0243</v>
      </c>
      <c r="AC32" s="61">
        <f t="shared" si="16"/>
        <v>507092.6515</v>
      </c>
      <c r="AD32" s="57">
        <f t="shared" si="27"/>
        <v>39629.36913</v>
      </c>
      <c r="AE32" s="57">
        <f t="shared" si="17"/>
        <v>0</v>
      </c>
      <c r="AF32" s="62">
        <f t="shared" si="18"/>
        <v>0</v>
      </c>
      <c r="AG32" s="58">
        <f t="shared" si="19"/>
        <v>0.001070200609</v>
      </c>
      <c r="AH32" s="57">
        <f t="shared" si="20"/>
        <v>1752.522639</v>
      </c>
      <c r="AI32" s="57">
        <f t="shared" si="28"/>
        <v>36041.86165</v>
      </c>
      <c r="AJ32" s="12"/>
      <c r="AK32" s="63">
        <f>AK31*(1+'HIER Rechnung Thesaurierer '!I31)</f>
        <v>0</v>
      </c>
      <c r="AL32" s="57">
        <f t="shared" si="21"/>
        <v>0</v>
      </c>
      <c r="AM32" s="57">
        <f t="shared" si="22"/>
        <v>60570.27926</v>
      </c>
      <c r="AN32" s="57"/>
      <c r="AO32" s="56">
        <f t="shared" si="29"/>
        <v>0.9364561076</v>
      </c>
      <c r="AP32" s="64">
        <v>0.07</v>
      </c>
      <c r="AQ32" s="56">
        <f t="shared" si="30"/>
        <v>0.9561290582</v>
      </c>
      <c r="AR32" s="64">
        <v>0.05</v>
      </c>
      <c r="AS32" s="64"/>
      <c r="AT32" s="64"/>
    </row>
    <row r="33" ht="12.75" customHeight="1">
      <c r="A33" s="12">
        <v>30.0</v>
      </c>
      <c r="B33" s="46">
        <f t="shared" si="23"/>
        <v>5.123231866</v>
      </c>
      <c r="C33" s="47">
        <f t="shared" si="24"/>
        <v>548713.2826</v>
      </c>
      <c r="D33" s="13">
        <f t="shared" si="25"/>
        <v>2811185.375</v>
      </c>
      <c r="E33" s="48">
        <f t="shared" si="1"/>
        <v>0.1699673102</v>
      </c>
      <c r="F33" s="49">
        <v>0.169967310155939</v>
      </c>
      <c r="G33" s="13">
        <f t="shared" si="26"/>
        <v>3288994.991</v>
      </c>
      <c r="H33" s="18">
        <f>'HIER Einzelaktien'!G33-('HIER Einzelaktien'!G33*M$1)</f>
        <v>0.01868028249</v>
      </c>
      <c r="I33" s="50">
        <f t="shared" si="2"/>
        <v>3258815.105</v>
      </c>
      <c r="J33" s="55">
        <f t="shared" si="3"/>
        <v>0.1592316657</v>
      </c>
      <c r="K33" s="55" t="str">
        <f t="shared" si="4"/>
        <v>#DIV/0!</v>
      </c>
      <c r="L33" s="56">
        <f>AQ4</f>
        <v>0.243902439</v>
      </c>
      <c r="M33" s="57">
        <f t="shared" si="5"/>
        <v>61439.35554</v>
      </c>
      <c r="N33" s="57">
        <f t="shared" si="6"/>
        <v>11386.24857</v>
      </c>
      <c r="O33" s="57">
        <f t="shared" si="7"/>
        <v>50053.10698</v>
      </c>
      <c r="P33" s="58">
        <f t="shared" si="8"/>
        <v>0.02785630337</v>
      </c>
      <c r="Q33" s="57">
        <f>Q32*(1+'HIER Rechnung Thesaurierer '!I33)</f>
        <v>75234.8727</v>
      </c>
      <c r="R33" s="59">
        <f t="shared" si="9"/>
        <v>5035.004538</v>
      </c>
      <c r="S33" s="60">
        <f t="shared" si="10"/>
        <v>30179.88671</v>
      </c>
      <c r="T33" s="57">
        <f t="shared" si="11"/>
        <v>26969.49133</v>
      </c>
      <c r="U33" s="57">
        <f t="shared" si="12"/>
        <v>4998.120981</v>
      </c>
      <c r="V33" s="57">
        <f t="shared" si="13"/>
        <v>3210.395378</v>
      </c>
      <c r="W33" s="57">
        <f t="shared" si="14"/>
        <v>25181.76573</v>
      </c>
      <c r="X33" s="57">
        <f t="shared" si="15"/>
        <v>75234.8727</v>
      </c>
      <c r="Y33" s="13"/>
      <c r="Z33" s="58"/>
      <c r="AA33" s="57"/>
      <c r="AB33" s="58">
        <f>'HIER Rechnung Thesaurierer '!H33</f>
        <v>0.0232</v>
      </c>
      <c r="AC33" s="61">
        <f t="shared" si="16"/>
        <v>477809.6165</v>
      </c>
      <c r="AD33" s="57">
        <f t="shared" si="27"/>
        <v>45653.65049</v>
      </c>
      <c r="AE33" s="57">
        <f t="shared" si="17"/>
        <v>0</v>
      </c>
      <c r="AF33" s="62">
        <f t="shared" si="18"/>
        <v>0</v>
      </c>
      <c r="AG33" s="58">
        <f t="shared" si="19"/>
        <v>0.0009761022399</v>
      </c>
      <c r="AH33" s="57">
        <f t="shared" si="20"/>
        <v>1982.34549</v>
      </c>
      <c r="AI33" s="57">
        <f t="shared" si="28"/>
        <v>34059.51616</v>
      </c>
      <c r="AJ33" s="12"/>
      <c r="AK33" s="63">
        <f>AK32*(1+'HIER Rechnung Thesaurierer '!I32)</f>
        <v>0</v>
      </c>
      <c r="AL33" s="57">
        <f t="shared" si="21"/>
        <v>0</v>
      </c>
      <c r="AM33" s="57">
        <f t="shared" si="22"/>
        <v>61886.19281</v>
      </c>
      <c r="AN33" s="57"/>
      <c r="AO33" s="56">
        <f t="shared" si="29"/>
        <v>1.002008035</v>
      </c>
      <c r="AP33" s="64">
        <v>0.07</v>
      </c>
      <c r="AQ33" s="56">
        <f t="shared" si="30"/>
        <v>1.003935511</v>
      </c>
      <c r="AR33" s="64">
        <v>0.05</v>
      </c>
      <c r="AS33" s="64"/>
      <c r="AT33" s="64"/>
    </row>
    <row r="34" ht="12.75" customHeight="1">
      <c r="B34" s="46">
        <f t="shared" si="23"/>
        <v>5.994013806</v>
      </c>
      <c r="C34" s="47">
        <f t="shared" si="24"/>
        <v>543678.2781</v>
      </c>
      <c r="E34" s="48"/>
      <c r="Y34" s="18"/>
    </row>
    <row r="35" ht="12.75" customHeight="1">
      <c r="E35" s="18"/>
      <c r="L35" s="13"/>
      <c r="M35" s="13">
        <f t="shared" ref="M35:N35" si="31">SUM(M2:M34)</f>
        <v>1140228.146</v>
      </c>
      <c r="N35" s="13">
        <f t="shared" si="31"/>
        <v>211312.7811</v>
      </c>
      <c r="O35" s="13">
        <f>SUM(O4:O34)</f>
        <v>928915.3647</v>
      </c>
      <c r="P35" s="27">
        <f>AVERAGE(P4:P34)</f>
        <v>0.0406754737</v>
      </c>
      <c r="Q35" s="13">
        <f>SUM(Q4:Q34)</f>
        <v>1807641.088</v>
      </c>
      <c r="S35" s="52">
        <f>SUM(S4:S34)</f>
        <v>1026967.317</v>
      </c>
      <c r="W35" s="13">
        <f t="shared" ref="W35:X35" si="32">SUM(W4:W34)</f>
        <v>878725.723</v>
      </c>
      <c r="X35" s="50">
        <f t="shared" si="32"/>
        <v>1807641.088</v>
      </c>
      <c r="AE35" s="13">
        <f>SUM(AE4:AE34)</f>
        <v>132790.2992</v>
      </c>
      <c r="AM35" s="13">
        <f>SUM(AM4:AM34)</f>
        <v>1358090.179</v>
      </c>
    </row>
    <row r="36" ht="12.75" customHeight="1">
      <c r="A36" s="19"/>
      <c r="B36" s="1" t="s">
        <v>77</v>
      </c>
      <c r="C36" s="19"/>
      <c r="D36" s="29">
        <f>I33/D4-1</f>
        <v>2.258815105</v>
      </c>
      <c r="E36" s="29"/>
      <c r="F36" s="19"/>
      <c r="G36" s="19"/>
      <c r="H36" s="29">
        <f>AVERAGE(H4:H33)</f>
        <v>0.020604059</v>
      </c>
      <c r="I36" s="19"/>
      <c r="J36" s="19"/>
      <c r="K36" s="29"/>
      <c r="L36" s="1"/>
      <c r="M36" s="19"/>
      <c r="N36" s="19"/>
      <c r="O36" s="65"/>
      <c r="P36" s="65"/>
      <c r="Q36" s="35"/>
      <c r="R36" s="35"/>
      <c r="S36" s="35"/>
      <c r="T36" s="19"/>
      <c r="U36" s="38"/>
      <c r="V36" s="38"/>
      <c r="W36" s="19"/>
      <c r="X36" s="19"/>
      <c r="Y36" s="2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</row>
    <row r="37" ht="12.75" customHeight="1">
      <c r="A37" s="19"/>
      <c r="B37" s="1" t="s">
        <v>78</v>
      </c>
      <c r="C37" s="19"/>
      <c r="D37" s="29">
        <f>(I33/C4)^(1/29)-1</f>
        <v>0.04157779917</v>
      </c>
      <c r="E37" s="29"/>
      <c r="F37" s="1"/>
      <c r="G37" s="19"/>
      <c r="H37" s="19"/>
      <c r="I37" s="19"/>
      <c r="J37" s="19"/>
      <c r="K37" s="29"/>
      <c r="L37" s="19"/>
      <c r="M37" s="19"/>
      <c r="N37" s="19"/>
      <c r="O37" s="65"/>
      <c r="P37" s="65"/>
      <c r="Q37" s="35"/>
      <c r="R37" s="35"/>
      <c r="S37" s="19"/>
      <c r="T37" s="19"/>
      <c r="U37" s="38"/>
      <c r="V37" s="38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</row>
    <row r="38" ht="12.75" customHeight="1">
      <c r="A38" s="19"/>
      <c r="B38" s="19"/>
      <c r="C38" s="19"/>
      <c r="D38" s="19"/>
      <c r="E38" s="2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35"/>
      <c r="R38" s="35"/>
      <c r="S38" s="19"/>
      <c r="T38" s="19"/>
      <c r="U38" s="38"/>
      <c r="V38" s="38"/>
      <c r="W38" s="29"/>
      <c r="X38" s="29"/>
      <c r="Y38" s="19"/>
      <c r="Z38" s="19"/>
      <c r="AA38" s="66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</row>
    <row r="39" ht="12.75" customHeight="1">
      <c r="A39" s="19"/>
      <c r="B39" s="30" t="s">
        <v>79</v>
      </c>
      <c r="C39" s="31">
        <f>D37-'HIER Rechnung Thesaurierer '!D37</f>
        <v>0.002717123402</v>
      </c>
      <c r="D39" s="25" t="s">
        <v>18</v>
      </c>
      <c r="E39" s="29"/>
      <c r="F39" s="19"/>
      <c r="G39" s="19"/>
      <c r="H39" s="19"/>
      <c r="I39" s="19"/>
      <c r="J39" s="19"/>
      <c r="K39" s="19"/>
      <c r="L39" s="19"/>
      <c r="M39" s="19"/>
      <c r="N39" s="19"/>
      <c r="O39" s="29"/>
      <c r="P39" s="29"/>
      <c r="Q39" s="1"/>
      <c r="R39" s="1"/>
      <c r="S39" s="19"/>
      <c r="T39" s="19"/>
      <c r="U39" s="38"/>
      <c r="V39" s="38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</row>
    <row r="40" ht="12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35"/>
      <c r="R40" s="35"/>
      <c r="S40" s="65"/>
      <c r="T40" s="19"/>
      <c r="U40" s="38"/>
      <c r="V40" s="38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</row>
    <row r="41" ht="12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"/>
      <c r="R41" s="1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</row>
    <row r="42" ht="12.75" customHeight="1">
      <c r="A42" s="19"/>
      <c r="B42" s="67" t="s">
        <v>80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</row>
    <row r="43" ht="12.75" customHeight="1">
      <c r="A43" s="19"/>
      <c r="B43" s="17" t="s">
        <v>81</v>
      </c>
      <c r="C43" s="35">
        <f>(B34-D1)*C34-AI33</f>
        <v>3224755.588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29"/>
      <c r="R43" s="2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</row>
    <row r="44" ht="12.75" customHeight="1">
      <c r="A44" s="19"/>
      <c r="B44" s="17" t="s">
        <v>82</v>
      </c>
      <c r="C44" s="35">
        <f>C43*O1</f>
        <v>597627.8294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</row>
    <row r="45" ht="12.75" customHeight="1">
      <c r="A45" s="19"/>
      <c r="B45" s="17" t="s">
        <v>83</v>
      </c>
      <c r="C45" s="35">
        <f>I33-C44</f>
        <v>2661187.275</v>
      </c>
      <c r="D45" s="19"/>
      <c r="E45" s="19"/>
      <c r="F45" s="19"/>
      <c r="G45" s="19"/>
      <c r="H45" s="68"/>
      <c r="I45" s="19"/>
      <c r="J45" s="19"/>
      <c r="K45" s="19"/>
      <c r="L45" s="19"/>
      <c r="M45" s="19"/>
      <c r="N45" s="19"/>
      <c r="O45" s="19"/>
      <c r="P45" s="19"/>
      <c r="Q45" s="38"/>
      <c r="R45" s="38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</row>
    <row r="46" ht="12.75" customHeight="1">
      <c r="A46" s="19"/>
      <c r="B46" s="1" t="s">
        <v>78</v>
      </c>
      <c r="C46" s="29">
        <f>(C45/C4)^(1/29)-1</f>
        <v>0.03432679066</v>
      </c>
      <c r="D46" s="1" t="s">
        <v>18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38"/>
      <c r="R46" s="38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</row>
    <row r="47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</row>
    <row r="48" ht="12.75" customHeight="1">
      <c r="A48" s="19"/>
      <c r="B48" s="25" t="s">
        <v>84</v>
      </c>
      <c r="C48" s="31">
        <f>C46-'HIER Rechnung Thesaurierer '!C46</f>
        <v>0.001990822837</v>
      </c>
      <c r="D48" s="25" t="s">
        <v>18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</row>
    <row r="49" ht="12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29"/>
      <c r="R49" s="2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</row>
    <row r="50" ht="1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</row>
    <row r="51" ht="12.75" customHeight="1">
      <c r="Q51" s="69"/>
      <c r="R51" s="69"/>
    </row>
    <row r="52" ht="12.75" customHeight="1">
      <c r="Q52" s="70"/>
      <c r="R52" s="70"/>
    </row>
    <row r="53" ht="12.75" customHeight="1">
      <c r="Q53" s="70"/>
      <c r="R53" s="70"/>
    </row>
    <row r="54" ht="12.75" customHeight="1">
      <c r="Q54" s="70"/>
      <c r="R54" s="70"/>
    </row>
    <row r="55" ht="12.75" customHeight="1">
      <c r="Q55" s="70"/>
      <c r="R55" s="70"/>
    </row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>
      <c r="B69" s="12" t="s">
        <v>85</v>
      </c>
    </row>
    <row r="70" ht="12.75" customHeight="1">
      <c r="B70" s="49">
        <v>0.07</v>
      </c>
    </row>
    <row r="71" ht="12.75" customHeight="1">
      <c r="B71" s="49">
        <v>0.08</v>
      </c>
    </row>
    <row r="72" ht="12.75" customHeight="1">
      <c r="B72" s="49">
        <v>0.147463331364728</v>
      </c>
    </row>
    <row r="73" ht="12.75" customHeight="1">
      <c r="B73" s="49">
        <v>-0.186504341327392</v>
      </c>
    </row>
    <row r="74" ht="12.75" customHeight="1">
      <c r="B74" s="49">
        <v>0.159984139606134</v>
      </c>
    </row>
    <row r="75" ht="12.75" customHeight="1">
      <c r="B75" s="49">
        <v>-0.0714130946421501</v>
      </c>
    </row>
    <row r="76" ht="12.75" customHeight="1">
      <c r="B76" s="49">
        <v>0.08</v>
      </c>
    </row>
    <row r="77" ht="12.75" customHeight="1">
      <c r="B77" s="49">
        <v>0.0335741592257928</v>
      </c>
    </row>
    <row r="78" ht="12.75" customHeight="1">
      <c r="B78" s="49">
        <v>0.18702209864369</v>
      </c>
    </row>
    <row r="79" ht="12.75" customHeight="1">
      <c r="B79" s="49">
        <v>0.117233208040529</v>
      </c>
    </row>
    <row r="80" ht="12.75" customHeight="1">
      <c r="B80" s="49">
        <v>0.141680136330059</v>
      </c>
    </row>
    <row r="81" ht="12.75" customHeight="1">
      <c r="B81" s="49">
        <v>0.08</v>
      </c>
    </row>
    <row r="82" ht="12.75" customHeight="1">
      <c r="B82" s="49">
        <v>0.08</v>
      </c>
    </row>
    <row r="83" ht="12.75" customHeight="1">
      <c r="B83" s="49">
        <v>-0.140498351379598</v>
      </c>
    </row>
    <row r="84" ht="12.75" customHeight="1">
      <c r="B84" s="49">
        <v>-0.178289838387296</v>
      </c>
    </row>
    <row r="85" ht="12.75" customHeight="1">
      <c r="B85" s="49">
        <v>-0.21056066868889</v>
      </c>
    </row>
    <row r="86" ht="12.75" customHeight="1">
      <c r="B86" s="49">
        <v>0.08</v>
      </c>
    </row>
    <row r="87" ht="12.75" customHeight="1">
      <c r="B87" s="49">
        <v>0.128361178711554</v>
      </c>
    </row>
    <row r="88" ht="12.75" customHeight="1">
      <c r="B88" s="49">
        <v>0.075627212250319</v>
      </c>
    </row>
    <row r="89" ht="12.75" customHeight="1">
      <c r="B89" s="49">
        <v>0.17952574983602</v>
      </c>
    </row>
    <row r="90" ht="12.75" customHeight="1">
      <c r="B90" s="49">
        <v>0.0709265033587718</v>
      </c>
    </row>
    <row r="91" ht="12.75" customHeight="1">
      <c r="B91" s="49">
        <v>-0.420805474309905</v>
      </c>
    </row>
    <row r="92" ht="12.75" customHeight="1">
      <c r="B92" s="49">
        <v>0.269761993249484</v>
      </c>
    </row>
    <row r="93" ht="12.75" customHeight="1">
      <c r="B93" s="49">
        <v>0.0955122433819324</v>
      </c>
    </row>
    <row r="94" ht="12.75" customHeight="1">
      <c r="B94" s="49">
        <v>-0.0761489011156412</v>
      </c>
    </row>
    <row r="95" ht="12.75" customHeight="1">
      <c r="B95" s="49">
        <v>0.131832960565536</v>
      </c>
    </row>
    <row r="96" ht="12.75" customHeight="1">
      <c r="B96" s="49">
        <v>0.08</v>
      </c>
    </row>
    <row r="97" ht="12.75" customHeight="1">
      <c r="B97" s="49">
        <v>0.0292600728807775</v>
      </c>
    </row>
    <row r="98" ht="12.75" customHeight="1">
      <c r="B98" s="49">
        <v>-0.0274192944611598</v>
      </c>
    </row>
    <row r="99" ht="12.75" customHeight="1">
      <c r="B99" s="49">
        <v>0.0531785657152961</v>
      </c>
    </row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53" width="12.75"/>
  </cols>
  <sheetData>
    <row r="1" ht="12.75" customHeight="1">
      <c r="A1" s="25" t="s">
        <v>86</v>
      </c>
      <c r="B1" s="35"/>
      <c r="C1" s="17" t="s">
        <v>34</v>
      </c>
      <c r="D1" s="33">
        <f>'HIER Rechnung Ausschütter'!D1</f>
        <v>0</v>
      </c>
      <c r="E1" s="1" t="s">
        <v>35</v>
      </c>
      <c r="F1" s="1"/>
      <c r="G1" s="35">
        <f>'HIER Rechnung Ausschütter'!H1</f>
        <v>1000000</v>
      </c>
      <c r="H1" s="40">
        <f>(F4-D4)/D4</f>
        <v>0.2134004284</v>
      </c>
      <c r="I1" s="17"/>
      <c r="J1" s="71" t="s">
        <v>87</v>
      </c>
      <c r="K1" s="17" t="str">
        <f>Ergebnis!B12</f>
        <v>Nein</v>
      </c>
      <c r="L1" s="29">
        <f>E4+G4</f>
        <v>0.2092443722</v>
      </c>
      <c r="M1" s="35"/>
      <c r="N1" s="29"/>
      <c r="O1" s="29"/>
      <c r="P1" s="1"/>
      <c r="Q1" s="29"/>
      <c r="R1" s="17"/>
      <c r="S1" s="17"/>
      <c r="T1" s="17"/>
      <c r="U1" s="17" t="s">
        <v>12</v>
      </c>
      <c r="V1" s="37">
        <f>'HIER Rechnung Ausschütter'!O1</f>
        <v>0.185325</v>
      </c>
      <c r="W1" s="19"/>
      <c r="X1" s="36"/>
      <c r="Y1" s="17"/>
      <c r="Z1" s="17" t="s">
        <v>40</v>
      </c>
      <c r="AA1" s="35">
        <f>'HIER Rechnung Ausschütter'!X1</f>
        <v>35000</v>
      </c>
      <c r="AB1" s="1"/>
      <c r="AC1" s="36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</row>
    <row r="2" ht="92.25" customHeight="1">
      <c r="A2" s="1" t="s">
        <v>3</v>
      </c>
      <c r="B2" s="17" t="s">
        <v>41</v>
      </c>
      <c r="C2" s="17" t="s">
        <v>42</v>
      </c>
      <c r="D2" s="17" t="s">
        <v>43</v>
      </c>
      <c r="E2" s="1" t="s">
        <v>88</v>
      </c>
      <c r="F2" s="17" t="s">
        <v>89</v>
      </c>
      <c r="G2" s="17" t="s">
        <v>90</v>
      </c>
      <c r="H2" s="17" t="s">
        <v>63</v>
      </c>
      <c r="I2" s="17" t="s">
        <v>91</v>
      </c>
      <c r="J2" s="30" t="s">
        <v>86</v>
      </c>
      <c r="K2" s="17" t="s">
        <v>48</v>
      </c>
      <c r="L2" s="17" t="s">
        <v>92</v>
      </c>
      <c r="M2" s="17" t="s">
        <v>93</v>
      </c>
      <c r="N2" s="17" t="s">
        <v>49</v>
      </c>
      <c r="O2" s="17" t="s">
        <v>94</v>
      </c>
      <c r="P2" s="17" t="s">
        <v>64</v>
      </c>
      <c r="Q2" s="17" t="s">
        <v>95</v>
      </c>
      <c r="R2" s="17" t="s">
        <v>66</v>
      </c>
      <c r="S2" s="17" t="s">
        <v>96</v>
      </c>
      <c r="T2" s="17" t="s">
        <v>70</v>
      </c>
      <c r="U2" s="17" t="s">
        <v>97</v>
      </c>
      <c r="V2" s="17" t="s">
        <v>98</v>
      </c>
      <c r="W2" s="17" t="s">
        <v>56</v>
      </c>
      <c r="X2" s="72" t="s">
        <v>99</v>
      </c>
      <c r="Y2" s="42" t="s">
        <v>50</v>
      </c>
      <c r="Z2" s="17" t="s">
        <v>100</v>
      </c>
      <c r="AA2" s="17" t="s">
        <v>58</v>
      </c>
      <c r="AB2" s="17" t="s">
        <v>59</v>
      </c>
      <c r="AC2" s="6" t="s">
        <v>69</v>
      </c>
      <c r="AD2" s="1" t="s">
        <v>71</v>
      </c>
      <c r="AE2" s="17" t="s">
        <v>72</v>
      </c>
      <c r="AF2" s="17" t="s">
        <v>101</v>
      </c>
      <c r="AG2" s="17" t="s">
        <v>73</v>
      </c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</row>
    <row r="3" ht="12.75" hidden="1" customHeight="1">
      <c r="A3" s="12">
        <v>0.0</v>
      </c>
      <c r="B3" s="46"/>
      <c r="C3" s="47"/>
      <c r="D3" s="13"/>
      <c r="E3" s="18"/>
      <c r="F3" s="13"/>
      <c r="G3" s="18"/>
      <c r="H3" s="7"/>
      <c r="I3" s="73"/>
      <c r="J3" s="50">
        <f>D4</f>
        <v>1000000</v>
      </c>
      <c r="K3" s="18"/>
      <c r="L3" s="18"/>
      <c r="M3" s="13"/>
      <c r="N3" s="18"/>
      <c r="O3" s="18"/>
      <c r="P3" s="69"/>
      <c r="Q3" s="69"/>
      <c r="R3" s="74"/>
      <c r="S3" s="13"/>
      <c r="T3" s="12"/>
      <c r="V3" s="12"/>
      <c r="W3" s="52"/>
      <c r="X3" s="13"/>
      <c r="Y3" s="13"/>
      <c r="Z3" s="13"/>
      <c r="AA3" s="13"/>
      <c r="AC3" s="75"/>
      <c r="AD3" s="76"/>
      <c r="AE3" s="13"/>
      <c r="AH3" s="13"/>
      <c r="AI3" s="13"/>
    </row>
    <row r="4" ht="12.75" customHeight="1">
      <c r="A4" s="12">
        <v>1.0</v>
      </c>
      <c r="B4" s="46">
        <v>1.0</v>
      </c>
      <c r="C4" s="47">
        <f>G1</f>
        <v>1000000</v>
      </c>
      <c r="D4" s="13">
        <f>B4*C4</f>
        <v>1000000</v>
      </c>
      <c r="E4" s="18">
        <f>'HIER Rechnung Ausschütter'!E4</f>
        <v>0.1870220986</v>
      </c>
      <c r="F4" s="13">
        <f t="shared" ref="F4:F33" si="1">D4*(1+E4)*(1+G4)</f>
        <v>1213400.428</v>
      </c>
      <c r="G4" s="18">
        <f>'HIER Rechnung Ausschütter'!H4</f>
        <v>0.02222227355</v>
      </c>
      <c r="H4" s="58">
        <f t="shared" ref="H4:H33" si="2">IF(K$1="Ja",(IF(E4&gt;0,I4+(E4*0.3),I4)),I4)</f>
        <v>0.069</v>
      </c>
      <c r="I4" s="73">
        <v>0.069</v>
      </c>
      <c r="J4" s="50">
        <f t="shared" ref="J4:J33" si="3">B5*C5</f>
        <v>1167982.863</v>
      </c>
      <c r="K4" s="58">
        <f t="shared" ref="K4:K33" si="4">J4/D4-1</f>
        <v>0.1679828626</v>
      </c>
      <c r="L4" s="58">
        <f>K4-'HIER Rechnung Ausschütter'!J4</f>
        <v>-0.0009492745088</v>
      </c>
      <c r="M4" s="57">
        <f>J4-'HIER Rechnung Ausschütter'!I4</f>
        <v>-949.2745088</v>
      </c>
      <c r="N4" s="58" t="str">
        <f t="shared" ref="N4:N33" si="5">B5/D$1-1</f>
        <v>#DIV/0!</v>
      </c>
      <c r="O4" s="58">
        <f t="shared" ref="O4:O33" si="6">U4/F4</f>
        <v>0.03742998995</v>
      </c>
      <c r="P4" s="63">
        <f t="shared" ref="P4:P33" si="7">(B5*C4)-(B4*C4)</f>
        <v>213400.4284</v>
      </c>
      <c r="Q4" s="63">
        <f t="shared" ref="Q4:Q33" si="8">IF(H4&gt;0, IF(P4&gt;0,D4*H4*0.7,0),0)</f>
        <v>48300</v>
      </c>
      <c r="R4" s="77">
        <f t="shared" ref="R4:R33" si="9">IF(P4&gt;0,MIN(P4,Q4),0)</f>
        <v>48300</v>
      </c>
      <c r="S4" s="57">
        <f t="shared" ref="S4:S33" si="10">R4*V$1</f>
        <v>8951.1975</v>
      </c>
      <c r="T4" s="57">
        <f>R4-AC4</f>
        <v>48300</v>
      </c>
      <c r="U4" s="57">
        <f t="shared" ref="U4:U33" si="11">V4+AB4+S4-AE4</f>
        <v>45417.56584</v>
      </c>
      <c r="V4" s="57">
        <f>AA1</f>
        <v>35000</v>
      </c>
      <c r="W4" s="78">
        <f t="shared" ref="W4:W33" si="12">U4/B5</f>
        <v>37429.98995</v>
      </c>
      <c r="X4" s="57">
        <f t="shared" ref="X4:X33" si="13">U4-S4-AB4+AE4</f>
        <v>35000</v>
      </c>
      <c r="Y4" s="56">
        <f>'HIER Rechnung Ausschütter'!AO33</f>
        <v>1.002008035</v>
      </c>
      <c r="Z4" s="57">
        <f t="shared" ref="Z4:Z33" si="14">W4*Y4+AC4</f>
        <v>37505.15068</v>
      </c>
      <c r="AA4" s="57">
        <f t="shared" ref="AA4:AA33" si="15">U4-Z4</f>
        <v>7912.415158</v>
      </c>
      <c r="AB4" s="57">
        <f t="shared" ref="AB4:AB33" si="16">AA4*V$1</f>
        <v>1466.368339</v>
      </c>
      <c r="AC4" s="79">
        <f t="shared" ref="AC4:AC33" si="17">IF(T3&gt;0,(T3/C4)*W4,0)</f>
        <v>0</v>
      </c>
      <c r="AD4" s="80">
        <f>'HIER Rechnung Ausschütter'!S1</f>
        <v>0</v>
      </c>
      <c r="AE4" s="57">
        <f>IF((R4+U4)&lt;AD4,(R4+U4)*'HIER Rechnung Ausschütter'!O$1,AD4*'HIER Rechnung Ausschütter'!O$1)</f>
        <v>0</v>
      </c>
      <c r="AF4" s="81">
        <f>AG4-'HIER Rechnung Ausschütter'!AM4</f>
        <v>3585.550406</v>
      </c>
      <c r="AG4" s="57">
        <f t="shared" ref="AG4:AG33" si="18">(AA4+R4)*0.7</f>
        <v>39348.69061</v>
      </c>
      <c r="AH4" s="13"/>
      <c r="AI4" s="13"/>
    </row>
    <row r="5" ht="12.75" customHeight="1">
      <c r="A5" s="12">
        <v>2.0</v>
      </c>
      <c r="B5" s="46">
        <f t="shared" ref="B5:B34" si="19">B4*(1+E4)*(1+G4)</f>
        <v>1.213400428</v>
      </c>
      <c r="C5" s="47">
        <f t="shared" ref="C5:C34" si="20">C4-W4</f>
        <v>962570.0101</v>
      </c>
      <c r="D5" s="13">
        <f t="shared" ref="D5:D34" si="21">J4</f>
        <v>1167982.863</v>
      </c>
      <c r="E5" s="18">
        <f>'HIER Rechnung Ausschütter'!E5</f>
        <v>0.117233208</v>
      </c>
      <c r="F5" s="13">
        <f t="shared" si="1"/>
        <v>1330117.552</v>
      </c>
      <c r="G5" s="18">
        <f>'HIER Rechnung Ausschütter'!H5</f>
        <v>0.01931805741</v>
      </c>
      <c r="H5" s="58">
        <f t="shared" si="2"/>
        <v>0.062</v>
      </c>
      <c r="I5" s="73">
        <v>0.062</v>
      </c>
      <c r="J5" s="50">
        <f t="shared" si="3"/>
        <v>1280947.172</v>
      </c>
      <c r="K5" s="58">
        <f t="shared" si="4"/>
        <v>0.09671743783</v>
      </c>
      <c r="L5" s="58">
        <f>K5-'HIER Rechnung Ausschütter'!J5</f>
        <v>-0.001344908357</v>
      </c>
      <c r="M5" s="57">
        <f>J5-'HIER Rechnung Ausschütter'!I5</f>
        <v>-2613.192507</v>
      </c>
      <c r="N5" s="58" t="str">
        <f t="shared" si="5"/>
        <v>#DIV/0!</v>
      </c>
      <c r="O5" s="58">
        <f t="shared" si="6"/>
        <v>0.03696694293</v>
      </c>
      <c r="P5" s="63">
        <f t="shared" si="7"/>
        <v>162134.6895</v>
      </c>
      <c r="Q5" s="63">
        <f t="shared" si="8"/>
        <v>50690.45624</v>
      </c>
      <c r="R5" s="77">
        <f t="shared" si="9"/>
        <v>50690.45624</v>
      </c>
      <c r="S5" s="57">
        <f t="shared" si="10"/>
        <v>9394.208802</v>
      </c>
      <c r="T5" s="57">
        <f t="shared" ref="T5:T33" si="22">T4+R5-AC5</f>
        <v>97204.95289</v>
      </c>
      <c r="U5" s="57">
        <f t="shared" si="11"/>
        <v>49170.37964</v>
      </c>
      <c r="V5" s="57">
        <f t="shared" ref="V5:V33" si="23">V4*(1+I5)</f>
        <v>37170</v>
      </c>
      <c r="W5" s="78">
        <f t="shared" si="12"/>
        <v>35583.27063</v>
      </c>
      <c r="X5" s="57">
        <f t="shared" si="13"/>
        <v>37170</v>
      </c>
      <c r="Y5" s="56">
        <f>'HIER Rechnung Ausschütter'!AO32</f>
        <v>0.9364561076</v>
      </c>
      <c r="Z5" s="57">
        <f t="shared" si="14"/>
        <v>35107.67445</v>
      </c>
      <c r="AA5" s="57">
        <f t="shared" si="15"/>
        <v>14062.70519</v>
      </c>
      <c r="AB5" s="57">
        <f t="shared" si="16"/>
        <v>2606.170839</v>
      </c>
      <c r="AC5" s="79">
        <f t="shared" si="17"/>
        <v>1785.503344</v>
      </c>
      <c r="AD5" s="80">
        <f t="shared" ref="AD5:AD33" si="24">AD4*(1+I5)</f>
        <v>0</v>
      </c>
      <c r="AE5" s="57">
        <f>IF((R5+U5)&lt;AD5,(R5+U5)*'HIER Rechnung Ausschütter'!O$1,AD5*'HIER Rechnung Ausschütter'!O$1)</f>
        <v>0</v>
      </c>
      <c r="AF5" s="82">
        <f>AG5-'HIER Rechnung Ausschütter'!AM5</f>
        <v>5787.13301</v>
      </c>
      <c r="AG5" s="57">
        <f t="shared" si="18"/>
        <v>45327.213</v>
      </c>
      <c r="AH5" s="13"/>
      <c r="AI5" s="13"/>
    </row>
    <row r="6" ht="12.75" customHeight="1">
      <c r="A6" s="12">
        <v>3.0</v>
      </c>
      <c r="B6" s="46">
        <f t="shared" si="19"/>
        <v>1.381839802</v>
      </c>
      <c r="C6" s="47">
        <f t="shared" si="20"/>
        <v>926986.7394</v>
      </c>
      <c r="D6" s="13">
        <f t="shared" si="21"/>
        <v>1280947.172</v>
      </c>
      <c r="E6" s="18">
        <f>'HIER Rechnung Ausschütter'!E6</f>
        <v>0.1416801363</v>
      </c>
      <c r="F6" s="13">
        <f t="shared" si="1"/>
        <v>1488027.889</v>
      </c>
      <c r="G6" s="18">
        <f>'HIER Rechnung Ausschütter'!H6</f>
        <v>0.01750231633</v>
      </c>
      <c r="H6" s="58">
        <f t="shared" si="2"/>
        <v>0.056</v>
      </c>
      <c r="I6" s="73">
        <v>0.056</v>
      </c>
      <c r="J6" s="50">
        <f t="shared" si="3"/>
        <v>1435693.257</v>
      </c>
      <c r="K6" s="58">
        <f t="shared" si="4"/>
        <v>0.120805985</v>
      </c>
      <c r="L6" s="58">
        <f>K6-'HIER Rechnung Ausschütter'!J6</f>
        <v>-0.001771894708</v>
      </c>
      <c r="M6" s="57">
        <f>J6-'HIER Rechnung Ausschütter'!I6</f>
        <v>-5203.215619</v>
      </c>
      <c r="N6" s="58" t="str">
        <f t="shared" si="5"/>
        <v>#DIV/0!</v>
      </c>
      <c r="O6" s="58">
        <f t="shared" si="6"/>
        <v>0.03517046416</v>
      </c>
      <c r="P6" s="63">
        <f t="shared" si="7"/>
        <v>207080.7165</v>
      </c>
      <c r="Q6" s="63">
        <f t="shared" si="8"/>
        <v>50213.12916</v>
      </c>
      <c r="R6" s="77">
        <f t="shared" si="9"/>
        <v>50213.12916</v>
      </c>
      <c r="S6" s="57">
        <f t="shared" si="10"/>
        <v>9305.748162</v>
      </c>
      <c r="T6" s="57">
        <f t="shared" si="22"/>
        <v>143999.3387</v>
      </c>
      <c r="U6" s="57">
        <f t="shared" si="11"/>
        <v>52334.63154</v>
      </c>
      <c r="V6" s="57">
        <f t="shared" si="23"/>
        <v>39251.52</v>
      </c>
      <c r="W6" s="78">
        <f t="shared" si="12"/>
        <v>32602.55389</v>
      </c>
      <c r="X6" s="57">
        <f t="shared" si="13"/>
        <v>39251.52</v>
      </c>
      <c r="Y6" s="56">
        <f>'HIER Rechnung Ausschütter'!AO31</f>
        <v>0.8751926239</v>
      </c>
      <c r="Z6" s="57">
        <f t="shared" si="14"/>
        <v>31952.258</v>
      </c>
      <c r="AA6" s="57">
        <f t="shared" si="15"/>
        <v>20382.37354</v>
      </c>
      <c r="AB6" s="57">
        <f t="shared" si="16"/>
        <v>3777.363376</v>
      </c>
      <c r="AC6" s="79">
        <f t="shared" si="17"/>
        <v>3418.743312</v>
      </c>
      <c r="AD6" s="80">
        <f t="shared" si="24"/>
        <v>0</v>
      </c>
      <c r="AE6" s="57">
        <f>IF((R6+U6)&lt;AD6,(R6+U6)*'HIER Rechnung Ausschütter'!O$1,AD6*'HIER Rechnung Ausschütter'!O$1)</f>
        <v>0</v>
      </c>
      <c r="AF6" s="83">
        <f>AG6-'HIER Rechnung Ausschütter'!AM6</f>
        <v>8187.228203</v>
      </c>
      <c r="AG6" s="57">
        <f t="shared" si="18"/>
        <v>49416.85189</v>
      </c>
      <c r="AH6" s="13"/>
      <c r="AI6" s="13"/>
    </row>
    <row r="7" ht="12.75" customHeight="1">
      <c r="A7" s="12">
        <v>4.0</v>
      </c>
      <c r="B7" s="46">
        <f t="shared" si="19"/>
        <v>1.605231041</v>
      </c>
      <c r="C7" s="47">
        <f t="shared" si="20"/>
        <v>894384.1855</v>
      </c>
      <c r="D7" s="13">
        <f t="shared" si="21"/>
        <v>1435693.257</v>
      </c>
      <c r="E7" s="18">
        <f>'HIER Rechnung Ausschütter'!E7</f>
        <v>0.2278059473</v>
      </c>
      <c r="F7" s="13">
        <f t="shared" si="1"/>
        <v>1792939.151</v>
      </c>
      <c r="G7" s="18">
        <f>'HIER Rechnung Ausschütter'!H7</f>
        <v>0.01712459737</v>
      </c>
      <c r="H7" s="58">
        <f t="shared" si="2"/>
        <v>0.046</v>
      </c>
      <c r="I7" s="73">
        <v>0.046</v>
      </c>
      <c r="J7" s="50">
        <f t="shared" si="3"/>
        <v>1738116.013</v>
      </c>
      <c r="K7" s="58">
        <f t="shared" si="4"/>
        <v>0.2106458004</v>
      </c>
      <c r="L7" s="58">
        <f>K7-'HIER Rechnung Ausschütter'!J7</f>
        <v>-0.002473543571</v>
      </c>
      <c r="M7" s="57">
        <f>J7-'HIER Rechnung Ausschütter'!I7</f>
        <v>-9863.371346</v>
      </c>
      <c r="N7" s="58" t="str">
        <f t="shared" si="5"/>
        <v>#DIV/0!</v>
      </c>
      <c r="O7" s="58">
        <f t="shared" si="6"/>
        <v>0.03057724394</v>
      </c>
      <c r="P7" s="63">
        <f t="shared" si="7"/>
        <v>357245.8932</v>
      </c>
      <c r="Q7" s="63">
        <f t="shared" si="8"/>
        <v>46229.32289</v>
      </c>
      <c r="R7" s="77">
        <f t="shared" si="9"/>
        <v>46229.32289</v>
      </c>
      <c r="S7" s="57">
        <f t="shared" si="10"/>
        <v>8567.449265</v>
      </c>
      <c r="T7" s="57">
        <f t="shared" si="22"/>
        <v>185825.5587</v>
      </c>
      <c r="U7" s="57">
        <f t="shared" si="11"/>
        <v>54823.13778</v>
      </c>
      <c r="V7" s="57">
        <f t="shared" si="23"/>
        <v>41057.08992</v>
      </c>
      <c r="W7" s="78">
        <f t="shared" si="12"/>
        <v>27347.80342</v>
      </c>
      <c r="X7" s="57">
        <f t="shared" si="13"/>
        <v>41057.08992</v>
      </c>
      <c r="Y7" s="56">
        <f>'HIER Rechnung Ausschütter'!AO30</f>
        <v>0.8179370317</v>
      </c>
      <c r="Z7" s="57">
        <f t="shared" si="14"/>
        <v>26771.88406</v>
      </c>
      <c r="AA7" s="57">
        <f t="shared" si="15"/>
        <v>28051.25372</v>
      </c>
      <c r="AB7" s="57">
        <f t="shared" si="16"/>
        <v>5198.598596</v>
      </c>
      <c r="AC7" s="79">
        <f t="shared" si="17"/>
        <v>4403.102908</v>
      </c>
      <c r="AD7" s="80">
        <f t="shared" si="24"/>
        <v>0</v>
      </c>
      <c r="AE7" s="57">
        <f>IF((R7+U7)&lt;AD7,(R7+U7)*'HIER Rechnung Ausschütter'!O$1,AD7*'HIER Rechnung Ausschütter'!O$1)</f>
        <v>0</v>
      </c>
      <c r="AF7" s="84">
        <f>AG7-'HIER Rechnung Ausschütter'!AM7</f>
        <v>12711.73215</v>
      </c>
      <c r="AG7" s="57">
        <f t="shared" si="18"/>
        <v>51996.40363</v>
      </c>
      <c r="AH7" s="13"/>
      <c r="AI7" s="13"/>
    </row>
    <row r="8" ht="12.75" customHeight="1">
      <c r="A8" s="12">
        <v>5.0</v>
      </c>
      <c r="B8" s="46">
        <f t="shared" si="19"/>
        <v>2.004663298</v>
      </c>
      <c r="C8" s="47">
        <f t="shared" si="20"/>
        <v>867036.3821</v>
      </c>
      <c r="D8" s="13">
        <f t="shared" si="21"/>
        <v>1738116.013</v>
      </c>
      <c r="E8" s="18">
        <f>'HIER Rechnung Ausschütter'!E8</f>
        <v>0.2356037469</v>
      </c>
      <c r="F8" s="13">
        <f t="shared" si="1"/>
        <v>2180106.547</v>
      </c>
      <c r="G8" s="18">
        <f>'HIER Rechnung Ausschütter'!H8</f>
        <v>0.01512551027</v>
      </c>
      <c r="H8" s="58">
        <f t="shared" si="2"/>
        <v>0.045</v>
      </c>
      <c r="I8" s="73">
        <v>0.045</v>
      </c>
      <c r="J8" s="50">
        <f t="shared" si="3"/>
        <v>2120284.113</v>
      </c>
      <c r="K8" s="58">
        <f t="shared" si="4"/>
        <v>0.2198749089</v>
      </c>
      <c r="L8" s="58">
        <f>K8-'HIER Rechnung Ausschütter'!J8</f>
        <v>-0.002707485431</v>
      </c>
      <c r="M8" s="57">
        <f>J8-'HIER Rechnung Ausschütter'!I8</f>
        <v>-16764.70794</v>
      </c>
      <c r="N8" s="58" t="str">
        <f t="shared" si="5"/>
        <v>#DIV/0!</v>
      </c>
      <c r="O8" s="58">
        <f t="shared" si="6"/>
        <v>0.02744014229</v>
      </c>
      <c r="P8" s="63">
        <f t="shared" si="7"/>
        <v>441990.5338</v>
      </c>
      <c r="Q8" s="63">
        <f t="shared" si="8"/>
        <v>54750.6544</v>
      </c>
      <c r="R8" s="77">
        <f t="shared" si="9"/>
        <v>54750.6544</v>
      </c>
      <c r="S8" s="57">
        <f t="shared" si="10"/>
        <v>10146.66503</v>
      </c>
      <c r="T8" s="57">
        <f t="shared" si="22"/>
        <v>235477.1334</v>
      </c>
      <c r="U8" s="57">
        <f t="shared" si="11"/>
        <v>59822.43385</v>
      </c>
      <c r="V8" s="57">
        <f t="shared" si="23"/>
        <v>42904.65897</v>
      </c>
      <c r="W8" s="78">
        <f t="shared" si="12"/>
        <v>23791.6017</v>
      </c>
      <c r="X8" s="57">
        <f t="shared" si="13"/>
        <v>42904.65897</v>
      </c>
      <c r="Y8" s="56">
        <f>'HIER Rechnung Ausschütter'!AO29</f>
        <v>0.7644271324</v>
      </c>
      <c r="Z8" s="57">
        <f t="shared" si="14"/>
        <v>23286.02563</v>
      </c>
      <c r="AA8" s="57">
        <f t="shared" si="15"/>
        <v>36536.40821</v>
      </c>
      <c r="AB8" s="57">
        <f t="shared" si="16"/>
        <v>6771.109852</v>
      </c>
      <c r="AC8" s="79">
        <f t="shared" si="17"/>
        <v>5099.079772</v>
      </c>
      <c r="AD8" s="80">
        <f t="shared" si="24"/>
        <v>0</v>
      </c>
      <c r="AE8" s="57">
        <f>IF((R8+U8)&lt;AD8,(R8+U8)*'HIER Rechnung Ausschütter'!O$1,AD8*'HIER Rechnung Ausschütter'!O$1)</f>
        <v>0</v>
      </c>
      <c r="AF8" s="85">
        <f>AG8-'HIER Rechnung Ausschütter'!AM8</f>
        <v>16593.58428</v>
      </c>
      <c r="AG8" s="57">
        <f t="shared" si="18"/>
        <v>63900.94383</v>
      </c>
      <c r="AH8" s="13"/>
      <c r="AI8" s="13"/>
    </row>
    <row r="9" ht="12.75" customHeight="1">
      <c r="A9" s="12">
        <v>6.0</v>
      </c>
      <c r="B9" s="46">
        <f t="shared" si="19"/>
        <v>2.514434909</v>
      </c>
      <c r="C9" s="47">
        <f t="shared" si="20"/>
        <v>843244.7804</v>
      </c>
      <c r="D9" s="13">
        <f t="shared" si="21"/>
        <v>2120284.113</v>
      </c>
      <c r="E9" s="18">
        <f>'HIER Rechnung Ausschütter'!E9</f>
        <v>-0.1404983514</v>
      </c>
      <c r="F9" s="13">
        <f t="shared" si="1"/>
        <v>1839918.819</v>
      </c>
      <c r="G9" s="18">
        <f>'HIER Rechnung Ausschütter'!H9</f>
        <v>0.009619867846</v>
      </c>
      <c r="H9" s="58">
        <f t="shared" si="2"/>
        <v>0.053</v>
      </c>
      <c r="I9" s="73">
        <v>0.053</v>
      </c>
      <c r="J9" s="50">
        <f t="shared" si="3"/>
        <v>1789668.596</v>
      </c>
      <c r="K9" s="58">
        <f t="shared" si="4"/>
        <v>-0.1559298186</v>
      </c>
      <c r="L9" s="58">
        <f>K9-'HIER Rechnung Ausschütter'!J9</f>
        <v>0.0004068111958</v>
      </c>
      <c r="M9" s="57">
        <f>J9-'HIER Rechnung Ausschütter'!I9</f>
        <v>-13281.21468</v>
      </c>
      <c r="N9" s="58" t="str">
        <f t="shared" si="5"/>
        <v>#DIV/0!</v>
      </c>
      <c r="O9" s="58">
        <f t="shared" si="6"/>
        <v>0.02731110904</v>
      </c>
      <c r="P9" s="63">
        <f t="shared" si="7"/>
        <v>-280365.2936</v>
      </c>
      <c r="Q9" s="63">
        <f t="shared" si="8"/>
        <v>0</v>
      </c>
      <c r="R9" s="77">
        <f t="shared" si="9"/>
        <v>0</v>
      </c>
      <c r="S9" s="57">
        <f t="shared" si="10"/>
        <v>0</v>
      </c>
      <c r="T9" s="57">
        <f t="shared" si="22"/>
        <v>229045.9917</v>
      </c>
      <c r="U9" s="57">
        <f t="shared" si="11"/>
        <v>50250.22349</v>
      </c>
      <c r="V9" s="57">
        <f t="shared" si="23"/>
        <v>45178.60589</v>
      </c>
      <c r="W9" s="78">
        <f t="shared" si="12"/>
        <v>23029.95014</v>
      </c>
      <c r="X9" s="57">
        <f t="shared" si="13"/>
        <v>45178.60589</v>
      </c>
      <c r="Y9" s="56">
        <f>'HIER Rechnung Ausschütter'!AO28</f>
        <v>0.7144178808</v>
      </c>
      <c r="Z9" s="57">
        <f t="shared" si="14"/>
        <v>22884.14984</v>
      </c>
      <c r="AA9" s="57">
        <f t="shared" si="15"/>
        <v>27366.07365</v>
      </c>
      <c r="AB9" s="57">
        <f t="shared" si="16"/>
        <v>5071.617599</v>
      </c>
      <c r="AC9" s="79">
        <f t="shared" si="17"/>
        <v>6431.141665</v>
      </c>
      <c r="AD9" s="80">
        <f t="shared" si="24"/>
        <v>0</v>
      </c>
      <c r="AE9" s="57">
        <f>IF((R9+U9)&lt;AD9,(R9+U9)*'HIER Rechnung Ausschütter'!O$1,AD9*'HIER Rechnung Ausschütter'!O$1)</f>
        <v>0</v>
      </c>
      <c r="AF9" s="86">
        <f>AG9-'HIER Rechnung Ausschütter'!AM9</f>
        <v>-4784.49455</v>
      </c>
      <c r="AG9" s="57">
        <f t="shared" si="18"/>
        <v>19156.25156</v>
      </c>
      <c r="AH9" s="13"/>
      <c r="AI9" s="13"/>
    </row>
    <row r="10" ht="12.75" customHeight="1">
      <c r="A10" s="12">
        <v>7.0</v>
      </c>
      <c r="B10" s="46">
        <f t="shared" si="19"/>
        <v>2.181951032</v>
      </c>
      <c r="C10" s="47">
        <f t="shared" si="20"/>
        <v>820214.8303</v>
      </c>
      <c r="D10" s="13">
        <f t="shared" si="21"/>
        <v>1789668.596</v>
      </c>
      <c r="E10" s="18">
        <f>'HIER Rechnung Ausschütter'!E10</f>
        <v>-0.1782898384</v>
      </c>
      <c r="F10" s="13">
        <f t="shared" si="1"/>
        <v>1486937.539</v>
      </c>
      <c r="G10" s="18">
        <f>'HIER Rechnung Ausschütter'!H10</f>
        <v>0.01111708907</v>
      </c>
      <c r="H10" s="58">
        <f t="shared" si="2"/>
        <v>0.048</v>
      </c>
      <c r="I10" s="73">
        <v>0.048</v>
      </c>
      <c r="J10" s="50">
        <f t="shared" si="3"/>
        <v>1434992.023</v>
      </c>
      <c r="K10" s="58">
        <f t="shared" si="4"/>
        <v>-0.1981800283</v>
      </c>
      <c r="L10" s="58">
        <f>K10-'HIER Rechnung Ausschütter'!J10</f>
        <v>0.000546362246</v>
      </c>
      <c r="M10" s="57">
        <f>J10-'HIER Rechnung Ausschütter'!I10</f>
        <v>-9664.079475</v>
      </c>
      <c r="N10" s="58" t="str">
        <f t="shared" si="5"/>
        <v>#DIV/0!</v>
      </c>
      <c r="O10" s="58">
        <f t="shared" si="6"/>
        <v>0.03493456471</v>
      </c>
      <c r="P10" s="63">
        <f t="shared" si="7"/>
        <v>-302731.0572</v>
      </c>
      <c r="Q10" s="63">
        <f t="shared" si="8"/>
        <v>0</v>
      </c>
      <c r="R10" s="77">
        <f t="shared" si="9"/>
        <v>0</v>
      </c>
      <c r="S10" s="57">
        <f t="shared" si="10"/>
        <v>0</v>
      </c>
      <c r="T10" s="57">
        <f t="shared" si="22"/>
        <v>221044.3697</v>
      </c>
      <c r="U10" s="57">
        <f t="shared" si="11"/>
        <v>51945.51566</v>
      </c>
      <c r="V10" s="57">
        <f t="shared" si="23"/>
        <v>47347.17897</v>
      </c>
      <c r="W10" s="78">
        <f t="shared" si="12"/>
        <v>28653.84807</v>
      </c>
      <c r="X10" s="57">
        <f t="shared" si="13"/>
        <v>47347.17897</v>
      </c>
      <c r="Y10" s="56">
        <f>'HIER Rechnung Ausschütter'!AO27</f>
        <v>0.6676802624</v>
      </c>
      <c r="Z10" s="57">
        <f t="shared" si="14"/>
        <v>27133.23081</v>
      </c>
      <c r="AA10" s="57">
        <f t="shared" si="15"/>
        <v>24812.28485</v>
      </c>
      <c r="AB10" s="57">
        <f t="shared" si="16"/>
        <v>4598.33669</v>
      </c>
      <c r="AC10" s="79">
        <f t="shared" si="17"/>
        <v>8001.622019</v>
      </c>
      <c r="AD10" s="80">
        <f t="shared" si="24"/>
        <v>0</v>
      </c>
      <c r="AE10" s="57">
        <f>IF((R10+U10)&lt;AD10,(R10+U10)*'HIER Rechnung Ausschütter'!O$1,AD10*'HIER Rechnung Ausschütter'!O$1)</f>
        <v>0</v>
      </c>
      <c r="AF10" s="87">
        <f>AG10-'HIER Rechnung Ausschütter'!AM10</f>
        <v>-5176.784966</v>
      </c>
      <c r="AG10" s="57">
        <f t="shared" si="18"/>
        <v>17368.59939</v>
      </c>
      <c r="AH10" s="13"/>
      <c r="AI10" s="13"/>
    </row>
    <row r="11" ht="12.75" customHeight="1">
      <c r="A11" s="12">
        <v>8.0</v>
      </c>
      <c r="B11" s="46">
        <f t="shared" si="19"/>
        <v>1.812863513</v>
      </c>
      <c r="C11" s="47">
        <f t="shared" si="20"/>
        <v>791560.9822</v>
      </c>
      <c r="D11" s="13">
        <f t="shared" si="21"/>
        <v>1434992.023</v>
      </c>
      <c r="E11" s="18">
        <f>'HIER Rechnung Ausschütter'!E11</f>
        <v>-0.2105606687</v>
      </c>
      <c r="F11" s="13">
        <f t="shared" si="1"/>
        <v>1147425.261</v>
      </c>
      <c r="G11" s="18">
        <f>'HIER Rechnung Ausschütter'!H11</f>
        <v>0.01287571822</v>
      </c>
      <c r="H11" s="58">
        <f t="shared" si="2"/>
        <v>0.048</v>
      </c>
      <c r="I11" s="73">
        <v>0.048</v>
      </c>
      <c r="J11" s="50">
        <f t="shared" si="3"/>
        <v>1094079.418</v>
      </c>
      <c r="K11" s="58">
        <f t="shared" si="4"/>
        <v>-0.23757108</v>
      </c>
      <c r="L11" s="58">
        <f>K11-'HIER Rechnung Ausschütter'!J11</f>
        <v>0.0007734682897</v>
      </c>
      <c r="M11" s="57">
        <f>J11-'HIER Rechnung Ausschütter'!I11</f>
        <v>-6250.777992</v>
      </c>
      <c r="N11" s="58" t="str">
        <f t="shared" si="5"/>
        <v>#DIV/0!</v>
      </c>
      <c r="O11" s="58">
        <f t="shared" si="6"/>
        <v>0.04649177964</v>
      </c>
      <c r="P11" s="63">
        <f t="shared" si="7"/>
        <v>-287566.7623</v>
      </c>
      <c r="Q11" s="63">
        <f t="shared" si="8"/>
        <v>0</v>
      </c>
      <c r="R11" s="77">
        <f t="shared" si="9"/>
        <v>0</v>
      </c>
      <c r="S11" s="57">
        <f t="shared" si="10"/>
        <v>0</v>
      </c>
      <c r="T11" s="57">
        <f t="shared" si="22"/>
        <v>210767.6235</v>
      </c>
      <c r="U11" s="57">
        <f t="shared" si="11"/>
        <v>53345.84236</v>
      </c>
      <c r="V11" s="57">
        <f t="shared" si="23"/>
        <v>49619.84357</v>
      </c>
      <c r="W11" s="78">
        <f t="shared" si="12"/>
        <v>36801.07875</v>
      </c>
      <c r="X11" s="57">
        <f t="shared" si="13"/>
        <v>49619.84357</v>
      </c>
      <c r="Y11" s="56">
        <f>'HIER Rechnung Ausschütter'!AO26</f>
        <v>0.6240002452</v>
      </c>
      <c r="Z11" s="57">
        <f t="shared" si="14"/>
        <v>33240.62829</v>
      </c>
      <c r="AA11" s="57">
        <f t="shared" si="15"/>
        <v>20105.21407</v>
      </c>
      <c r="AB11" s="57">
        <f t="shared" si="16"/>
        <v>3725.998798</v>
      </c>
      <c r="AC11" s="79">
        <f t="shared" si="17"/>
        <v>10276.74612</v>
      </c>
      <c r="AD11" s="80">
        <f t="shared" si="24"/>
        <v>0</v>
      </c>
      <c r="AE11" s="57">
        <f>IF((R11+U11)&lt;AD11,(R11+U11)*'HIER Rechnung Ausschütter'!O$1,AD11*'HIER Rechnung Ausschütter'!O$1)</f>
        <v>0</v>
      </c>
      <c r="AF11" s="88">
        <f>AG11-'HIER Rechnung Ausschütter'!AM11</f>
        <v>-5577.555969</v>
      </c>
      <c r="AG11" s="57">
        <f t="shared" si="18"/>
        <v>14073.64985</v>
      </c>
      <c r="AH11" s="13"/>
      <c r="AI11" s="13"/>
    </row>
    <row r="12" ht="12.75" customHeight="1">
      <c r="A12" s="12">
        <v>9.0</v>
      </c>
      <c r="B12" s="46">
        <f t="shared" si="19"/>
        <v>1.449572789</v>
      </c>
      <c r="C12" s="47">
        <f t="shared" si="20"/>
        <v>754759.9035</v>
      </c>
      <c r="D12" s="13">
        <f t="shared" si="21"/>
        <v>1094079.418</v>
      </c>
      <c r="E12" s="18">
        <f>'HIER Rechnung Ausschütter'!E12</f>
        <v>0.3081272129</v>
      </c>
      <c r="F12" s="13">
        <f t="shared" si="1"/>
        <v>1449622.724</v>
      </c>
      <c r="G12" s="18">
        <f>G11</f>
        <v>0.01287571822</v>
      </c>
      <c r="H12" s="58">
        <f t="shared" si="2"/>
        <v>0.041</v>
      </c>
      <c r="I12" s="73">
        <v>0.041</v>
      </c>
      <c r="J12" s="50">
        <f t="shared" si="3"/>
        <v>1385613.37</v>
      </c>
      <c r="K12" s="58">
        <f t="shared" si="4"/>
        <v>0.2664650727</v>
      </c>
      <c r="L12" s="58">
        <f>K12-'HIER Rechnung Ausschütter'!J12</f>
        <v>-0.01942719659</v>
      </c>
      <c r="M12" s="57">
        <f>J12-'HIER Rechnung Ausschütter'!I12</f>
        <v>-29292.72304</v>
      </c>
      <c r="N12" s="58" t="str">
        <f t="shared" si="5"/>
        <v>#DIV/0!</v>
      </c>
      <c r="O12" s="58">
        <f t="shared" si="6"/>
        <v>0.04415587132</v>
      </c>
      <c r="P12" s="63">
        <f t="shared" si="7"/>
        <v>355543.3062</v>
      </c>
      <c r="Q12" s="63">
        <f t="shared" si="8"/>
        <v>31400.0793</v>
      </c>
      <c r="R12" s="77">
        <f t="shared" si="9"/>
        <v>31400.0793</v>
      </c>
      <c r="S12" s="57">
        <f t="shared" si="10"/>
        <v>5819.219697</v>
      </c>
      <c r="T12" s="57">
        <f t="shared" si="22"/>
        <v>232861.0748</v>
      </c>
      <c r="U12" s="57">
        <f t="shared" si="11"/>
        <v>64009.35448</v>
      </c>
      <c r="V12" s="57">
        <f t="shared" si="23"/>
        <v>51654.25715</v>
      </c>
      <c r="W12" s="78">
        <f t="shared" si="12"/>
        <v>33327.08118</v>
      </c>
      <c r="X12" s="57">
        <f t="shared" si="13"/>
        <v>51654.25715</v>
      </c>
      <c r="Y12" s="56">
        <f>'HIER Rechnung Ausschütter'!AO25</f>
        <v>0.5831777993</v>
      </c>
      <c r="Z12" s="57">
        <f t="shared" si="14"/>
        <v>28742.24192</v>
      </c>
      <c r="AA12" s="57">
        <f t="shared" si="15"/>
        <v>35267.11256</v>
      </c>
      <c r="AB12" s="57">
        <f t="shared" si="16"/>
        <v>6535.877636</v>
      </c>
      <c r="AC12" s="79">
        <f t="shared" si="17"/>
        <v>9306.628064</v>
      </c>
      <c r="AD12" s="80">
        <f t="shared" si="24"/>
        <v>0</v>
      </c>
      <c r="AE12" s="57">
        <f>IF((R12+U12)&lt;AD12,(R12+U12)*'HIER Rechnung Ausschütter'!O$1,AD12*'HIER Rechnung Ausschütter'!O$1)</f>
        <v>0</v>
      </c>
      <c r="AF12" s="89">
        <f>AG12-'HIER Rechnung Ausschütter'!AM12</f>
        <v>13084.91956</v>
      </c>
      <c r="AG12" s="57">
        <f t="shared" si="18"/>
        <v>46667.03431</v>
      </c>
      <c r="AH12" s="13"/>
      <c r="AI12" s="13"/>
    </row>
    <row r="13" ht="12.75" customHeight="1">
      <c r="A13" s="12">
        <v>10.0</v>
      </c>
      <c r="B13" s="46">
        <f t="shared" si="19"/>
        <v>1.920640879</v>
      </c>
      <c r="C13" s="47">
        <f t="shared" si="20"/>
        <v>721432.8223</v>
      </c>
      <c r="D13" s="13">
        <f t="shared" si="21"/>
        <v>1385613.37</v>
      </c>
      <c r="E13" s="18">
        <f>'HIER Rechnung Ausschütter'!E13</f>
        <v>0.1283611787</v>
      </c>
      <c r="F13" s="13">
        <f t="shared" si="1"/>
        <v>1595506.635</v>
      </c>
      <c r="G13" s="18">
        <f>'HIER Rechnung Ausschütter'!H13</f>
        <v>0.02048920175</v>
      </c>
      <c r="H13" s="58">
        <f t="shared" si="2"/>
        <v>0.04</v>
      </c>
      <c r="I13" s="73">
        <v>0.04</v>
      </c>
      <c r="J13" s="50">
        <f t="shared" si="3"/>
        <v>1526866.924</v>
      </c>
      <c r="K13" s="58">
        <f t="shared" si="4"/>
        <v>0.1019429783</v>
      </c>
      <c r="L13" s="58">
        <f>K13-'HIER Rechnung Ausschütter'!J13</f>
        <v>-0.004103351048</v>
      </c>
      <c r="M13" s="57">
        <f>J13-'HIER Rechnung Ausschütter'!I13</f>
        <v>-38084.76687</v>
      </c>
      <c r="N13" s="58" t="str">
        <f t="shared" si="5"/>
        <v>#DIV/0!</v>
      </c>
      <c r="O13" s="58">
        <f t="shared" si="6"/>
        <v>0.04302063704</v>
      </c>
      <c r="P13" s="63">
        <f t="shared" si="7"/>
        <v>209893.2655</v>
      </c>
      <c r="Q13" s="63">
        <f t="shared" si="8"/>
        <v>38797.17436</v>
      </c>
      <c r="R13" s="77">
        <f t="shared" si="9"/>
        <v>38797.17436</v>
      </c>
      <c r="S13" s="57">
        <f t="shared" si="10"/>
        <v>7190.086338</v>
      </c>
      <c r="T13" s="57">
        <f t="shared" si="22"/>
        <v>261640.4174</v>
      </c>
      <c r="U13" s="57">
        <f t="shared" si="11"/>
        <v>68639.71185</v>
      </c>
      <c r="V13" s="57">
        <f t="shared" si="23"/>
        <v>53720.42744</v>
      </c>
      <c r="W13" s="78">
        <f t="shared" si="12"/>
        <v>31036.49959</v>
      </c>
      <c r="X13" s="57">
        <f t="shared" si="13"/>
        <v>53720.42744</v>
      </c>
      <c r="Y13" s="56">
        <f>'HIER Rechnung Ausschütter'!AO24</f>
        <v>0.5450259806</v>
      </c>
      <c r="Z13" s="57">
        <f t="shared" si="14"/>
        <v>26933.5304</v>
      </c>
      <c r="AA13" s="57">
        <f t="shared" si="15"/>
        <v>41706.18145</v>
      </c>
      <c r="AB13" s="57">
        <f t="shared" si="16"/>
        <v>7729.198077</v>
      </c>
      <c r="AC13" s="79">
        <f t="shared" si="17"/>
        <v>10017.83178</v>
      </c>
      <c r="AD13" s="80">
        <f t="shared" si="24"/>
        <v>0</v>
      </c>
      <c r="AE13" s="57">
        <f>IF((R13+U13)&lt;AD13,(R13+U13)*'HIER Rechnung Ausschütter'!O$1,AD13*'HIER Rechnung Ausschütter'!O$1)</f>
        <v>0</v>
      </c>
      <c r="AF13" s="90">
        <f>AG13-'HIER Rechnung Ausschütter'!AM13</f>
        <v>16448.61374</v>
      </c>
      <c r="AG13" s="57">
        <f t="shared" si="18"/>
        <v>56352.34906</v>
      </c>
      <c r="AH13" s="13"/>
      <c r="AI13" s="13"/>
    </row>
    <row r="14" ht="12.75" customHeight="1">
      <c r="A14" s="12">
        <v>11.0</v>
      </c>
      <c r="B14" s="46">
        <f t="shared" si="19"/>
        <v>2.211580325</v>
      </c>
      <c r="C14" s="47">
        <f t="shared" si="20"/>
        <v>690396.3227</v>
      </c>
      <c r="D14" s="13">
        <f t="shared" si="21"/>
        <v>1526866.924</v>
      </c>
      <c r="E14" s="18">
        <f>'HIER Rechnung Ausschütter'!E14</f>
        <v>0.07562721225</v>
      </c>
      <c r="F14" s="13">
        <f t="shared" si="1"/>
        <v>1676687.876</v>
      </c>
      <c r="G14" s="18">
        <f>'HIER Rechnung Ausschütter'!H14</f>
        <v>0.02091422686</v>
      </c>
      <c r="H14" s="58">
        <f t="shared" si="2"/>
        <v>0.034</v>
      </c>
      <c r="I14" s="73">
        <v>0.034</v>
      </c>
      <c r="J14" s="50">
        <f t="shared" si="3"/>
        <v>1606111.04</v>
      </c>
      <c r="K14" s="58">
        <f t="shared" si="4"/>
        <v>0.05189981843</v>
      </c>
      <c r="L14" s="58">
        <f>K14-'HIER Rechnung Ausschütter'!J14</f>
        <v>-0.004207313009</v>
      </c>
      <c r="M14" s="57">
        <f>J14-'HIER Rechnung Ausschütter'!I14</f>
        <v>-46645.60096</v>
      </c>
      <c r="N14" s="58" t="str">
        <f t="shared" si="5"/>
        <v>#DIV/0!</v>
      </c>
      <c r="O14" s="58">
        <f t="shared" si="6"/>
        <v>0.04209300793</v>
      </c>
      <c r="P14" s="63">
        <f t="shared" si="7"/>
        <v>149820.9521</v>
      </c>
      <c r="Q14" s="63">
        <f t="shared" si="8"/>
        <v>36339.43278</v>
      </c>
      <c r="R14" s="77">
        <f t="shared" si="9"/>
        <v>36339.43278</v>
      </c>
      <c r="S14" s="57">
        <f t="shared" si="10"/>
        <v>6734.60538</v>
      </c>
      <c r="T14" s="57">
        <f t="shared" si="22"/>
        <v>286966.618</v>
      </c>
      <c r="U14" s="57">
        <f t="shared" si="11"/>
        <v>70576.83605</v>
      </c>
      <c r="V14" s="57">
        <f t="shared" si="23"/>
        <v>55546.92197</v>
      </c>
      <c r="W14" s="78">
        <f t="shared" si="12"/>
        <v>29060.85789</v>
      </c>
      <c r="X14" s="57">
        <f t="shared" si="13"/>
        <v>55546.92197</v>
      </c>
      <c r="Y14" s="56">
        <f>'HIER Rechnung Ausschütter'!AO23</f>
        <v>0.5093700754</v>
      </c>
      <c r="Z14" s="57">
        <f t="shared" si="14"/>
        <v>25815.96353</v>
      </c>
      <c r="AA14" s="57">
        <f t="shared" si="15"/>
        <v>44760.87251</v>
      </c>
      <c r="AB14" s="57">
        <f t="shared" si="16"/>
        <v>8295.308699</v>
      </c>
      <c r="AC14" s="79">
        <f t="shared" si="17"/>
        <v>11013.23216</v>
      </c>
      <c r="AD14" s="80">
        <f t="shared" si="24"/>
        <v>0</v>
      </c>
      <c r="AE14" s="57">
        <f>IF((R14+U14)&lt;AD14,(R14+U14)*'HIER Rechnung Ausschütter'!O$1,AD14*'HIER Rechnung Ausschütter'!O$1)</f>
        <v>0</v>
      </c>
      <c r="AF14" s="91">
        <f>AG14-'HIER Rechnung Ausschütter'!AM14</f>
        <v>18220.35061</v>
      </c>
      <c r="AG14" s="57">
        <f t="shared" si="18"/>
        <v>56770.21371</v>
      </c>
      <c r="AH14" s="13"/>
      <c r="AI14" s="13"/>
    </row>
    <row r="15" ht="12.75" customHeight="1">
      <c r="A15" s="12">
        <v>12.0</v>
      </c>
      <c r="B15" s="46">
        <f t="shared" si="19"/>
        <v>2.428587495</v>
      </c>
      <c r="C15" s="47">
        <f t="shared" si="20"/>
        <v>661335.4648</v>
      </c>
      <c r="D15" s="13">
        <f t="shared" si="21"/>
        <v>1606111.04</v>
      </c>
      <c r="E15" s="18">
        <f>'HIER Rechnung Ausschütter'!E15</f>
        <v>0.1795257498</v>
      </c>
      <c r="F15" s="13">
        <f t="shared" si="1"/>
        <v>1937921.291</v>
      </c>
      <c r="G15" s="18">
        <f>'HIER Rechnung Ausschütter'!H15</f>
        <v>0.02294701769</v>
      </c>
      <c r="H15" s="58">
        <f t="shared" si="2"/>
        <v>0.038</v>
      </c>
      <c r="I15" s="73">
        <v>0.038</v>
      </c>
      <c r="J15" s="50">
        <f t="shared" si="3"/>
        <v>1862739.699</v>
      </c>
      <c r="K15" s="58">
        <f t="shared" si="4"/>
        <v>0.1597826384</v>
      </c>
      <c r="L15" s="58">
        <f>K15-'HIER Rechnung Ausschütter'!J15</f>
        <v>-0.005175839253</v>
      </c>
      <c r="M15" s="57">
        <f>J15-'HIER Rechnung Ausschütter'!I15</f>
        <v>-62653.16084</v>
      </c>
      <c r="N15" s="58" t="str">
        <f t="shared" si="5"/>
        <v>#DIV/0!</v>
      </c>
      <c r="O15" s="58">
        <f t="shared" si="6"/>
        <v>0.03879496649</v>
      </c>
      <c r="P15" s="63">
        <f t="shared" si="7"/>
        <v>331810.251</v>
      </c>
      <c r="Q15" s="63">
        <f t="shared" si="8"/>
        <v>42722.55365</v>
      </c>
      <c r="R15" s="77">
        <f t="shared" si="9"/>
        <v>42722.55365</v>
      </c>
      <c r="S15" s="57">
        <f t="shared" si="10"/>
        <v>7917.557256</v>
      </c>
      <c r="T15" s="57">
        <f t="shared" si="22"/>
        <v>318556.3113</v>
      </c>
      <c r="U15" s="57">
        <f t="shared" si="11"/>
        <v>75181.59153</v>
      </c>
      <c r="V15" s="57">
        <f t="shared" si="23"/>
        <v>57657.70501</v>
      </c>
      <c r="W15" s="78">
        <f t="shared" si="12"/>
        <v>25656.4872</v>
      </c>
      <c r="X15" s="57">
        <f t="shared" si="13"/>
        <v>57657.70501</v>
      </c>
      <c r="Y15" s="56">
        <f>'HIER Rechnung Ausschütter'!AO22</f>
        <v>0.4760467994</v>
      </c>
      <c r="Z15" s="57">
        <f t="shared" si="14"/>
        <v>23346.54894</v>
      </c>
      <c r="AA15" s="57">
        <f t="shared" si="15"/>
        <v>51835.04259</v>
      </c>
      <c r="AB15" s="57">
        <f t="shared" si="16"/>
        <v>9606.329268</v>
      </c>
      <c r="AC15" s="79">
        <f t="shared" si="17"/>
        <v>11132.86033</v>
      </c>
      <c r="AD15" s="80">
        <f t="shared" si="24"/>
        <v>0</v>
      </c>
      <c r="AE15" s="57">
        <f>IF((R15+U15)&lt;AD15,(R15+U15)*'HIER Rechnung Ausschütter'!O$1,AD15*'HIER Rechnung Ausschütter'!O$1)</f>
        <v>0</v>
      </c>
      <c r="AF15" s="92">
        <f>AG15-'HIER Rechnung Ausschütter'!AM15</f>
        <v>24063.9686</v>
      </c>
      <c r="AG15" s="57">
        <f t="shared" si="18"/>
        <v>66190.31737</v>
      </c>
      <c r="AH15" s="13"/>
      <c r="AI15" s="13"/>
    </row>
    <row r="16" ht="12.75" customHeight="1">
      <c r="A16" s="12">
        <v>13.0</v>
      </c>
      <c r="B16" s="46">
        <f t="shared" si="19"/>
        <v>2.930315088</v>
      </c>
      <c r="C16" s="47">
        <f t="shared" si="20"/>
        <v>635678.9776</v>
      </c>
      <c r="D16" s="13">
        <f t="shared" si="21"/>
        <v>1862739.699</v>
      </c>
      <c r="E16" s="18">
        <f>'HIER Rechnung Ausschütter'!E16</f>
        <v>0.07092650336</v>
      </c>
      <c r="F16" s="13">
        <f t="shared" si="1"/>
        <v>2036795.735</v>
      </c>
      <c r="G16" s="18">
        <f>'HIER Rechnung Ausschütter'!H16</f>
        <v>0.02102326914</v>
      </c>
      <c r="H16" s="58">
        <f t="shared" si="2"/>
        <v>0.042</v>
      </c>
      <c r="I16" s="73">
        <v>0.042</v>
      </c>
      <c r="J16" s="50">
        <f t="shared" si="3"/>
        <v>1956016.879</v>
      </c>
      <c r="K16" s="58">
        <f t="shared" si="4"/>
        <v>0.05007526256</v>
      </c>
      <c r="L16" s="58">
        <f>K16-'HIER Rechnung Ausschütter'!J16</f>
        <v>-0.00470690515</v>
      </c>
      <c r="M16" s="57">
        <f>J16-'HIER Rechnung Ausschütter'!I16</f>
        <v>-74853.17589</v>
      </c>
      <c r="N16" s="58" t="str">
        <f t="shared" si="5"/>
        <v>#DIV/0!</v>
      </c>
      <c r="O16" s="58">
        <f t="shared" si="6"/>
        <v>0.03965977286</v>
      </c>
      <c r="P16" s="63">
        <f t="shared" si="7"/>
        <v>174056.0357</v>
      </c>
      <c r="Q16" s="63">
        <f t="shared" si="8"/>
        <v>54764.54715</v>
      </c>
      <c r="R16" s="77">
        <f t="shared" si="9"/>
        <v>54764.54715</v>
      </c>
      <c r="S16" s="57">
        <f t="shared" si="10"/>
        <v>10149.2397</v>
      </c>
      <c r="T16" s="57">
        <f t="shared" si="22"/>
        <v>360686.9875</v>
      </c>
      <c r="U16" s="57">
        <f t="shared" si="11"/>
        <v>80778.8562</v>
      </c>
      <c r="V16" s="57">
        <f t="shared" si="23"/>
        <v>60079.32862</v>
      </c>
      <c r="W16" s="78">
        <f t="shared" si="12"/>
        <v>25210.88386</v>
      </c>
      <c r="X16" s="57">
        <f t="shared" si="13"/>
        <v>60079.32862</v>
      </c>
      <c r="Y16" s="56">
        <f>'HIER Rechnung Ausschütter'!AO21</f>
        <v>0.4449035508</v>
      </c>
      <c r="Z16" s="57">
        <f t="shared" si="14"/>
        <v>23850.2827</v>
      </c>
      <c r="AA16" s="57">
        <f t="shared" si="15"/>
        <v>56928.5735</v>
      </c>
      <c r="AB16" s="57">
        <f t="shared" si="16"/>
        <v>10550.28788</v>
      </c>
      <c r="AC16" s="79">
        <f t="shared" si="17"/>
        <v>12633.87095</v>
      </c>
      <c r="AD16" s="80">
        <f t="shared" si="24"/>
        <v>0</v>
      </c>
      <c r="AE16" s="57">
        <f>IF((R16+U16)&lt;AD16,(R16+U16)*'HIER Rechnung Ausschütter'!O$1,AD16*'HIER Rechnung Ausschütter'!O$1)</f>
        <v>0</v>
      </c>
      <c r="AF16" s="93">
        <f>AG16-'HIER Rechnung Ausschütter'!AM16</f>
        <v>23968.4556</v>
      </c>
      <c r="AG16" s="57">
        <f t="shared" si="18"/>
        <v>78185.18446</v>
      </c>
      <c r="AH16" s="13"/>
      <c r="AI16" s="13"/>
    </row>
    <row r="17" ht="12.75" customHeight="1">
      <c r="A17" s="12">
        <v>14.0</v>
      </c>
      <c r="B17" s="46">
        <f t="shared" si="19"/>
        <v>3.204126307</v>
      </c>
      <c r="C17" s="47">
        <f t="shared" si="20"/>
        <v>610468.0937</v>
      </c>
      <c r="D17" s="13">
        <f t="shared" si="21"/>
        <v>1956016.879</v>
      </c>
      <c r="E17" s="18">
        <f>'HIER Rechnung Ausschütter'!E17</f>
        <v>-0.4208054743</v>
      </c>
      <c r="F17" s="13">
        <f t="shared" si="1"/>
        <v>1149733.442</v>
      </c>
      <c r="G17" s="18">
        <f>'HIER Rechnung Ausschütter'!H17</f>
        <v>0.01484593692</v>
      </c>
      <c r="H17" s="58">
        <f t="shared" si="2"/>
        <v>0.04</v>
      </c>
      <c r="I17" s="73">
        <v>0.04</v>
      </c>
      <c r="J17" s="50">
        <f t="shared" si="3"/>
        <v>1081351.561</v>
      </c>
      <c r="K17" s="58">
        <f t="shared" si="4"/>
        <v>-0.4471665493</v>
      </c>
      <c r="L17" s="58">
        <f>K17-'HIER Rechnung Ausschütter'!J17</f>
        <v>-0.0000857038807</v>
      </c>
      <c r="M17" s="57">
        <f>J17-'HIER Rechnung Ausschütter'!I17</f>
        <v>-41555.39297</v>
      </c>
      <c r="N17" s="58" t="str">
        <f t="shared" si="5"/>
        <v>#DIV/0!</v>
      </c>
      <c r="O17" s="58">
        <f t="shared" si="6"/>
        <v>0.05947629154</v>
      </c>
      <c r="P17" s="63">
        <f t="shared" si="7"/>
        <v>-806283.4366</v>
      </c>
      <c r="Q17" s="63">
        <f t="shared" si="8"/>
        <v>0</v>
      </c>
      <c r="R17" s="77">
        <f t="shared" si="9"/>
        <v>0</v>
      </c>
      <c r="S17" s="57">
        <f t="shared" si="10"/>
        <v>0</v>
      </c>
      <c r="T17" s="57">
        <f t="shared" si="22"/>
        <v>339234.6631</v>
      </c>
      <c r="U17" s="57">
        <f t="shared" si="11"/>
        <v>68381.88139</v>
      </c>
      <c r="V17" s="57">
        <f t="shared" si="23"/>
        <v>62482.50176</v>
      </c>
      <c r="W17" s="78">
        <f t="shared" si="12"/>
        <v>36308.37832</v>
      </c>
      <c r="X17" s="57">
        <f t="shared" si="13"/>
        <v>62482.50176</v>
      </c>
      <c r="Y17" s="56">
        <f>'HIER Rechnung Ausschütter'!AO20</f>
        <v>0.4157977111</v>
      </c>
      <c r="Z17" s="57">
        <f t="shared" si="14"/>
        <v>36549.26502</v>
      </c>
      <c r="AA17" s="57">
        <f t="shared" si="15"/>
        <v>31832.61637</v>
      </c>
      <c r="AB17" s="57">
        <f t="shared" si="16"/>
        <v>5899.379628</v>
      </c>
      <c r="AC17" s="79">
        <f t="shared" si="17"/>
        <v>21452.32442</v>
      </c>
      <c r="AD17" s="80">
        <f t="shared" si="24"/>
        <v>0</v>
      </c>
      <c r="AE17" s="57">
        <f>IF((R17+U17)&lt;AD17,(R17+U17)*'HIER Rechnung Ausschütter'!O$1,AD17*'HIER Rechnung Ausschütter'!O$1)</f>
        <v>0</v>
      </c>
      <c r="AF17" s="94">
        <f>AG17-'HIER Rechnung Ausschütter'!AM17</f>
        <v>-9226.801243</v>
      </c>
      <c r="AG17" s="57">
        <f t="shared" si="18"/>
        <v>22282.83146</v>
      </c>
      <c r="AH17" s="13"/>
      <c r="AI17" s="13"/>
    </row>
    <row r="18" ht="12.75" customHeight="1">
      <c r="A18" s="12">
        <v>15.0</v>
      </c>
      <c r="B18" s="46">
        <f t="shared" si="19"/>
        <v>1.883363691</v>
      </c>
      <c r="C18" s="47">
        <f t="shared" si="20"/>
        <v>574159.7154</v>
      </c>
      <c r="D18" s="13">
        <f t="shared" si="21"/>
        <v>1081351.561</v>
      </c>
      <c r="E18" s="18">
        <f>'HIER Rechnung Ausschütter'!E18</f>
        <v>0.2697619932</v>
      </c>
      <c r="F18" s="13">
        <f t="shared" si="1"/>
        <v>1417599.895</v>
      </c>
      <c r="G18" s="18">
        <f>'HIER Rechnung Ausschütter'!H18</f>
        <v>0.03243908549</v>
      </c>
      <c r="H18" s="58">
        <f t="shared" si="2"/>
        <v>0.032</v>
      </c>
      <c r="I18" s="73">
        <v>0.032</v>
      </c>
      <c r="J18" s="50">
        <f t="shared" si="3"/>
        <v>1339946.712</v>
      </c>
      <c r="K18" s="58">
        <f t="shared" si="4"/>
        <v>0.2391406832</v>
      </c>
      <c r="L18" s="58">
        <f>K18-'HIER Rechnung Ausschütter'!J18</f>
        <v>-0.003718922595</v>
      </c>
      <c r="M18" s="57">
        <f>J18-'HIER Rechnung Ausschütter'!I18</f>
        <v>-55668.98207</v>
      </c>
      <c r="N18" s="58" t="str">
        <f t="shared" si="5"/>
        <v>#DIV/0!</v>
      </c>
      <c r="O18" s="58">
        <f t="shared" si="6"/>
        <v>0.05477792688</v>
      </c>
      <c r="P18" s="63">
        <f t="shared" si="7"/>
        <v>336248.3343</v>
      </c>
      <c r="Q18" s="63">
        <f t="shared" si="8"/>
        <v>24222.27496</v>
      </c>
      <c r="R18" s="77">
        <f t="shared" si="9"/>
        <v>24222.27496</v>
      </c>
      <c r="S18" s="57">
        <f t="shared" si="10"/>
        <v>4488.993107</v>
      </c>
      <c r="T18" s="57">
        <f t="shared" si="22"/>
        <v>344874.3665</v>
      </c>
      <c r="U18" s="57">
        <f t="shared" si="11"/>
        <v>77653.18339</v>
      </c>
      <c r="V18" s="57">
        <f t="shared" si="23"/>
        <v>64481.94182</v>
      </c>
      <c r="W18" s="78">
        <f t="shared" si="12"/>
        <v>31451.27891</v>
      </c>
      <c r="X18" s="57">
        <f t="shared" si="13"/>
        <v>64481.94182</v>
      </c>
      <c r="Y18" s="56">
        <f>'HIER Rechnung Ausschütter'!AO19</f>
        <v>0.3885959917</v>
      </c>
      <c r="Z18" s="57">
        <f t="shared" si="14"/>
        <v>30804.41249</v>
      </c>
      <c r="AA18" s="57">
        <f t="shared" si="15"/>
        <v>46848.7709</v>
      </c>
      <c r="AB18" s="57">
        <f t="shared" si="16"/>
        <v>8682.248468</v>
      </c>
      <c r="AC18" s="79">
        <f t="shared" si="17"/>
        <v>18582.57157</v>
      </c>
      <c r="AD18" s="80">
        <f t="shared" si="24"/>
        <v>0</v>
      </c>
      <c r="AE18" s="57">
        <f>IF((R18+U18)&lt;AD18,(R18+U18)*'HIER Rechnung Ausschütter'!O$1,AD18*'HIER Rechnung Ausschütter'!O$1)</f>
        <v>0</v>
      </c>
      <c r="AF18" s="95">
        <f>AG18-'HIER Rechnung Ausschütter'!AM18</f>
        <v>4501.832976</v>
      </c>
      <c r="AG18" s="57">
        <f t="shared" si="18"/>
        <v>49749.7321</v>
      </c>
      <c r="AH18" s="13"/>
      <c r="AI18" s="13"/>
    </row>
    <row r="19" ht="12.75" customHeight="1">
      <c r="A19" s="12">
        <v>16.0</v>
      </c>
      <c r="B19" s="46">
        <f t="shared" si="19"/>
        <v>2.468999229</v>
      </c>
      <c r="C19" s="47">
        <f t="shared" si="20"/>
        <v>542708.4365</v>
      </c>
      <c r="D19" s="13">
        <f t="shared" si="21"/>
        <v>1339946.712</v>
      </c>
      <c r="E19" s="18">
        <f>'HIER Rechnung Ausschütter'!E19</f>
        <v>0.09551224338</v>
      </c>
      <c r="F19" s="13">
        <f t="shared" si="1"/>
        <v>1502704.669</v>
      </c>
      <c r="G19" s="18">
        <f>'HIER Rechnung Ausschütter'!H19</f>
        <v>0.02369097112</v>
      </c>
      <c r="H19" s="58">
        <f t="shared" si="2"/>
        <v>0.027</v>
      </c>
      <c r="I19" s="73">
        <v>0.027</v>
      </c>
      <c r="J19" s="50">
        <f t="shared" si="3"/>
        <v>1422256.463</v>
      </c>
      <c r="K19" s="58">
        <f t="shared" si="4"/>
        <v>0.06142763019</v>
      </c>
      <c r="L19" s="58">
        <f>K19-'HIER Rechnung Ausschütter'!J19</f>
        <v>-0.004199283378</v>
      </c>
      <c r="M19" s="57">
        <f>J19-'HIER Rechnung Ausschütter'!I19</f>
        <v>-64949.1815</v>
      </c>
      <c r="N19" s="58" t="str">
        <f t="shared" si="5"/>
        <v>#DIV/0!</v>
      </c>
      <c r="O19" s="58">
        <f t="shared" si="6"/>
        <v>0.05353560654</v>
      </c>
      <c r="P19" s="63">
        <f t="shared" si="7"/>
        <v>162757.957</v>
      </c>
      <c r="Q19" s="63">
        <f t="shared" si="8"/>
        <v>25324.99285</v>
      </c>
      <c r="R19" s="77">
        <f t="shared" si="9"/>
        <v>25324.99285</v>
      </c>
      <c r="S19" s="57">
        <f t="shared" si="10"/>
        <v>4693.3543</v>
      </c>
      <c r="T19" s="57">
        <f t="shared" si="22"/>
        <v>351736.3009</v>
      </c>
      <c r="U19" s="57">
        <f t="shared" si="11"/>
        <v>80448.20588</v>
      </c>
      <c r="V19" s="57">
        <f t="shared" si="23"/>
        <v>66222.95425</v>
      </c>
      <c r="W19" s="78">
        <f t="shared" si="12"/>
        <v>29054.22532</v>
      </c>
      <c r="X19" s="57">
        <f t="shared" si="13"/>
        <v>66222.95425</v>
      </c>
      <c r="Y19" s="56">
        <f>'HIER Rechnung Ausschütter'!AO18</f>
        <v>0.363173824</v>
      </c>
      <c r="Z19" s="57">
        <f t="shared" si="14"/>
        <v>29014.7925</v>
      </c>
      <c r="AA19" s="57">
        <f t="shared" si="15"/>
        <v>51433.41338</v>
      </c>
      <c r="AB19" s="57">
        <f t="shared" si="16"/>
        <v>9531.897334</v>
      </c>
      <c r="AC19" s="79">
        <f t="shared" si="17"/>
        <v>18463.05839</v>
      </c>
      <c r="AD19" s="80">
        <f t="shared" si="24"/>
        <v>0</v>
      </c>
      <c r="AE19" s="57">
        <f>IF((R19+U19)&lt;AD19,(R19+U19)*'HIER Rechnung Ausschütter'!O$1,AD19*'HIER Rechnung Ausschütter'!O$1)</f>
        <v>0</v>
      </c>
      <c r="AF19" s="96">
        <f>AG19-'HIER Rechnung Ausschütter'!AM19</f>
        <v>9512.03514</v>
      </c>
      <c r="AG19" s="57">
        <f t="shared" si="18"/>
        <v>53730.88436</v>
      </c>
      <c r="AH19" s="13"/>
      <c r="AI19" s="13"/>
    </row>
    <row r="20" ht="12.75" customHeight="1">
      <c r="A20" s="12">
        <v>17.0</v>
      </c>
      <c r="B20" s="46">
        <f t="shared" si="19"/>
        <v>2.768898671</v>
      </c>
      <c r="C20" s="47">
        <f t="shared" si="20"/>
        <v>513654.2112</v>
      </c>
      <c r="D20" s="13">
        <f t="shared" si="21"/>
        <v>1422256.463</v>
      </c>
      <c r="E20" s="18">
        <f>'HIER Rechnung Ausschütter'!E20</f>
        <v>-0.07614890112</v>
      </c>
      <c r="F20" s="13">
        <f t="shared" si="1"/>
        <v>1342973.349</v>
      </c>
      <c r="G20" s="18">
        <f>'HIER Rechnung Ausschütter'!H20</f>
        <v>0.0220861391</v>
      </c>
      <c r="H20" s="58">
        <f t="shared" si="2"/>
        <v>0.026</v>
      </c>
      <c r="I20" s="73">
        <v>0.026</v>
      </c>
      <c r="J20" s="50">
        <f t="shared" si="3"/>
        <v>1266396.184</v>
      </c>
      <c r="K20" s="58">
        <f t="shared" si="4"/>
        <v>-0.10958662</v>
      </c>
      <c r="L20" s="58">
        <f>K20-'HIER Rechnung Ausschütter'!J20</f>
        <v>-0.0004459114631</v>
      </c>
      <c r="M20" s="57">
        <f>J20-'HIER Rechnung Ausschütter'!I20</f>
        <v>-58494.78228</v>
      </c>
      <c r="N20" s="58" t="str">
        <f t="shared" si="5"/>
        <v>#DIV/0!</v>
      </c>
      <c r="O20" s="58">
        <f t="shared" si="6"/>
        <v>0.05702061391</v>
      </c>
      <c r="P20" s="63">
        <f t="shared" si="7"/>
        <v>-79283.11368</v>
      </c>
      <c r="Q20" s="63">
        <f t="shared" si="8"/>
        <v>0</v>
      </c>
      <c r="R20" s="77">
        <f t="shared" si="9"/>
        <v>0</v>
      </c>
      <c r="S20" s="57">
        <f t="shared" si="10"/>
        <v>0</v>
      </c>
      <c r="T20" s="57">
        <f t="shared" si="22"/>
        <v>331680.0811</v>
      </c>
      <c r="U20" s="57">
        <f t="shared" si="11"/>
        <v>76577.16482</v>
      </c>
      <c r="V20" s="57">
        <f t="shared" si="23"/>
        <v>67944.75106</v>
      </c>
      <c r="W20" s="78">
        <f t="shared" si="12"/>
        <v>29288.87846</v>
      </c>
      <c r="X20" s="57">
        <f t="shared" si="13"/>
        <v>67944.75106</v>
      </c>
      <c r="Y20" s="56">
        <f>'HIER Rechnung Ausschütter'!AO17</f>
        <v>0.3394147888</v>
      </c>
      <c r="Z20" s="57">
        <f t="shared" si="14"/>
        <v>29997.29831</v>
      </c>
      <c r="AA20" s="57">
        <f t="shared" si="15"/>
        <v>46579.86651</v>
      </c>
      <c r="AB20" s="57">
        <f t="shared" si="16"/>
        <v>8632.413761</v>
      </c>
      <c r="AC20" s="79">
        <f t="shared" si="17"/>
        <v>20056.21981</v>
      </c>
      <c r="AD20" s="80">
        <f t="shared" si="24"/>
        <v>0</v>
      </c>
      <c r="AE20" s="57">
        <f>IF((R20+U20)&lt;AD20,(R20+U20)*'HIER Rechnung Ausschütter'!O$1,AD20*'HIER Rechnung Ausschütter'!O$1)</f>
        <v>0</v>
      </c>
      <c r="AF20" s="97">
        <f>AG20-'HIER Rechnung Ausschütter'!AM20</f>
        <v>-10703.8083</v>
      </c>
      <c r="AG20" s="57">
        <f t="shared" si="18"/>
        <v>32605.90656</v>
      </c>
      <c r="AH20" s="13"/>
      <c r="AI20" s="13"/>
    </row>
    <row r="21" ht="12.75" customHeight="1">
      <c r="A21" s="12">
        <v>18.0</v>
      </c>
      <c r="B21" s="46">
        <f t="shared" si="19"/>
        <v>2.61454753</v>
      </c>
      <c r="C21" s="47">
        <f t="shared" si="20"/>
        <v>484365.3327</v>
      </c>
      <c r="D21" s="13">
        <f t="shared" si="21"/>
        <v>1266396.184</v>
      </c>
      <c r="E21" s="18">
        <f>'HIER Rechnung Ausschütter'!E21</f>
        <v>0.1318329606</v>
      </c>
      <c r="F21" s="13">
        <f t="shared" si="1"/>
        <v>1474211.581</v>
      </c>
      <c r="G21" s="18">
        <f>'HIER Rechnung Ausschütter'!H21</f>
        <v>0.02850850721</v>
      </c>
      <c r="H21" s="58">
        <f t="shared" si="2"/>
        <v>0.015</v>
      </c>
      <c r="I21" s="73">
        <v>0.015</v>
      </c>
      <c r="J21" s="50">
        <f t="shared" si="3"/>
        <v>1392643.272</v>
      </c>
      <c r="K21" s="58">
        <f t="shared" si="4"/>
        <v>0.09969004093</v>
      </c>
      <c r="L21" s="58">
        <f>K21-'HIER Rechnung Ausschütter'!J21</f>
        <v>-0.002633369475</v>
      </c>
      <c r="M21" s="57">
        <f>J21-'HIER Rechnung Ausschütter'!I21</f>
        <v>-67815.05694</v>
      </c>
      <c r="N21" s="58" t="str">
        <f t="shared" si="5"/>
        <v>#DIV/0!</v>
      </c>
      <c r="O21" s="58">
        <f t="shared" si="6"/>
        <v>0.0553301239</v>
      </c>
      <c r="P21" s="63">
        <f t="shared" si="7"/>
        <v>207815.3969</v>
      </c>
      <c r="Q21" s="63">
        <f t="shared" si="8"/>
        <v>13297.15993</v>
      </c>
      <c r="R21" s="77">
        <f t="shared" si="9"/>
        <v>13297.15993</v>
      </c>
      <c r="S21" s="57">
        <f t="shared" si="10"/>
        <v>2464.296165</v>
      </c>
      <c r="T21" s="57">
        <f t="shared" si="22"/>
        <v>326625.3411</v>
      </c>
      <c r="U21" s="57">
        <f t="shared" si="11"/>
        <v>81568.30944</v>
      </c>
      <c r="V21" s="57">
        <f t="shared" si="23"/>
        <v>68963.92232</v>
      </c>
      <c r="W21" s="78">
        <f t="shared" si="12"/>
        <v>26799.99387</v>
      </c>
      <c r="X21" s="57">
        <f t="shared" si="13"/>
        <v>68963.92232</v>
      </c>
      <c r="Y21" s="56">
        <f>'HIER Rechnung Ausschütter'!AO16</f>
        <v>0.317210083</v>
      </c>
      <c r="Z21" s="57">
        <f t="shared" si="14"/>
        <v>26853.12826</v>
      </c>
      <c r="AA21" s="57">
        <f t="shared" si="15"/>
        <v>54715.18117</v>
      </c>
      <c r="AB21" s="57">
        <f t="shared" si="16"/>
        <v>10140.09095</v>
      </c>
      <c r="AC21" s="79">
        <f t="shared" si="17"/>
        <v>18351.89998</v>
      </c>
      <c r="AD21" s="80">
        <f t="shared" si="24"/>
        <v>0</v>
      </c>
      <c r="AE21" s="57">
        <f>IF((R21+U21)&lt;AD21,(R21+U21)*'HIER Rechnung Ausschütter'!O$1,AD21*'HIER Rechnung Ausschütter'!O$1)</f>
        <v>0</v>
      </c>
      <c r="AF21" s="98">
        <f>AG21-'HIER Rechnung Ausschütter'!AM21</f>
        <v>-1052.725458</v>
      </c>
      <c r="AG21" s="57">
        <f t="shared" si="18"/>
        <v>47608.63877</v>
      </c>
      <c r="AH21" s="13"/>
      <c r="AI21" s="13"/>
    </row>
    <row r="22" ht="12.75" customHeight="1">
      <c r="A22" s="12">
        <v>19.0</v>
      </c>
      <c r="B22" s="46">
        <f t="shared" si="19"/>
        <v>3.043594331</v>
      </c>
      <c r="C22" s="47">
        <f t="shared" si="20"/>
        <v>457565.3389</v>
      </c>
      <c r="D22" s="13">
        <f t="shared" si="21"/>
        <v>1392643.272</v>
      </c>
      <c r="E22" s="18">
        <f>'HIER Rechnung Ausschütter'!E22</f>
        <v>0.2409929025</v>
      </c>
      <c r="F22" s="13">
        <f t="shared" si="1"/>
        <v>1776234.55</v>
      </c>
      <c r="G22" s="18">
        <f>'HIER Rechnung Ausschütter'!H22</f>
        <v>0.02775862571</v>
      </c>
      <c r="H22" s="58">
        <f t="shared" si="2"/>
        <v>0.016</v>
      </c>
      <c r="I22" s="73">
        <v>0.016</v>
      </c>
      <c r="J22" s="50">
        <f t="shared" si="3"/>
        <v>1691685.475</v>
      </c>
      <c r="K22" s="58">
        <f t="shared" si="4"/>
        <v>0.2147299378</v>
      </c>
      <c r="L22" s="58">
        <f>K22-'HIER Rechnung Ausschütter'!J22</f>
        <v>-0.003209778362</v>
      </c>
      <c r="M22" s="57">
        <f>J22-'HIER Rechnung Ausschütter'!I22</f>
        <v>-87064.72745</v>
      </c>
      <c r="N22" s="58" t="str">
        <f t="shared" si="5"/>
        <v>#DIV/0!</v>
      </c>
      <c r="O22" s="58">
        <f t="shared" si="6"/>
        <v>0.04760017479</v>
      </c>
      <c r="P22" s="63">
        <f t="shared" si="7"/>
        <v>383591.2782</v>
      </c>
      <c r="Q22" s="63">
        <f t="shared" si="8"/>
        <v>15597.60464</v>
      </c>
      <c r="R22" s="77">
        <f t="shared" si="9"/>
        <v>15597.60464</v>
      </c>
      <c r="S22" s="57">
        <f t="shared" si="10"/>
        <v>2890.62608</v>
      </c>
      <c r="T22" s="57">
        <f t="shared" si="22"/>
        <v>326675.5224</v>
      </c>
      <c r="U22" s="57">
        <f t="shared" si="11"/>
        <v>84549.07503</v>
      </c>
      <c r="V22" s="57">
        <f t="shared" si="23"/>
        <v>70067.34508</v>
      </c>
      <c r="W22" s="78">
        <f t="shared" si="12"/>
        <v>21780.19011</v>
      </c>
      <c r="X22" s="57">
        <f t="shared" si="13"/>
        <v>70067.34508</v>
      </c>
      <c r="Y22" s="56">
        <f>'HIER Rechnung Ausschütter'!AO15</f>
        <v>0.2964580215</v>
      </c>
      <c r="Z22" s="57">
        <f t="shared" si="14"/>
        <v>22004.33539</v>
      </c>
      <c r="AA22" s="57">
        <f t="shared" si="15"/>
        <v>62544.73964</v>
      </c>
      <c r="AB22" s="57">
        <f t="shared" si="16"/>
        <v>11591.10387</v>
      </c>
      <c r="AC22" s="79">
        <f t="shared" si="17"/>
        <v>15547.42333</v>
      </c>
      <c r="AD22" s="80">
        <f t="shared" si="24"/>
        <v>0</v>
      </c>
      <c r="AE22" s="57">
        <f>IF((R22+U22)&lt;AD22,(R22+U22)*'HIER Rechnung Ausschütter'!O$1,AD22*'HIER Rechnung Ausschütter'!O$1)</f>
        <v>0</v>
      </c>
      <c r="AF22" s="99">
        <f>AG22-'HIER Rechnung Ausschütter'!AM22</f>
        <v>2155.288266</v>
      </c>
      <c r="AG22" s="57">
        <f t="shared" si="18"/>
        <v>54699.641</v>
      </c>
      <c r="AH22" s="13"/>
      <c r="AI22" s="13"/>
    </row>
    <row r="23" ht="12.75" customHeight="1">
      <c r="A23" s="12">
        <v>20.0</v>
      </c>
      <c r="B23" s="46">
        <f t="shared" si="19"/>
        <v>3.881925485</v>
      </c>
      <c r="C23" s="47">
        <f t="shared" si="20"/>
        <v>435785.1488</v>
      </c>
      <c r="D23" s="13">
        <f t="shared" si="21"/>
        <v>1691685.475</v>
      </c>
      <c r="E23" s="18">
        <f>'HIER Rechnung Ausschütter'!E23</f>
        <v>0.02926007288</v>
      </c>
      <c r="F23" s="13">
        <f t="shared" si="1"/>
        <v>1779334.158</v>
      </c>
      <c r="G23" s="18">
        <f>'HIER Rechnung Ausschütter'!H23</f>
        <v>0.02191028438</v>
      </c>
      <c r="H23" s="58">
        <f t="shared" si="2"/>
        <v>0.012</v>
      </c>
      <c r="I23" s="73">
        <v>0.012</v>
      </c>
      <c r="J23" s="50">
        <f t="shared" si="3"/>
        <v>1693947.221</v>
      </c>
      <c r="K23" s="58">
        <f t="shared" si="4"/>
        <v>0.001336978286</v>
      </c>
      <c r="L23" s="58">
        <f>K23-'HIER Rechnung Ausschütter'!J23</f>
        <v>-0.002959998586</v>
      </c>
      <c r="M23" s="57">
        <f>J23-'HIER Rechnung Ausschütter'!I23</f>
        <v>-92446.22918</v>
      </c>
      <c r="N23" s="58" t="str">
        <f t="shared" si="5"/>
        <v>#DIV/0!</v>
      </c>
      <c r="O23" s="58">
        <f t="shared" si="6"/>
        <v>0.04798814018</v>
      </c>
      <c r="P23" s="63">
        <f t="shared" si="7"/>
        <v>87648.68378</v>
      </c>
      <c r="Q23" s="63">
        <f t="shared" si="8"/>
        <v>14210.15799</v>
      </c>
      <c r="R23" s="77">
        <f t="shared" si="9"/>
        <v>14210.15799</v>
      </c>
      <c r="S23" s="57">
        <f t="shared" si="10"/>
        <v>2633.497529</v>
      </c>
      <c r="T23" s="57">
        <f t="shared" si="22"/>
        <v>325209.1296</v>
      </c>
      <c r="U23" s="57">
        <f t="shared" si="11"/>
        <v>85386.93703</v>
      </c>
      <c r="V23" s="57">
        <f t="shared" si="23"/>
        <v>70908.15322</v>
      </c>
      <c r="W23" s="78">
        <f t="shared" si="12"/>
        <v>20912.51881</v>
      </c>
      <c r="X23" s="57">
        <f t="shared" si="13"/>
        <v>70908.15322</v>
      </c>
      <c r="Y23" s="56">
        <f>'HIER Rechnung Ausschütter'!AO14</f>
        <v>0.2770635714</v>
      </c>
      <c r="Z23" s="57">
        <f t="shared" si="14"/>
        <v>21470.64791</v>
      </c>
      <c r="AA23" s="57">
        <f t="shared" si="15"/>
        <v>63916.28912</v>
      </c>
      <c r="AB23" s="57">
        <f t="shared" si="16"/>
        <v>11845.28628</v>
      </c>
      <c r="AC23" s="79">
        <f t="shared" si="17"/>
        <v>15676.55076</v>
      </c>
      <c r="AD23" s="80">
        <f t="shared" si="24"/>
        <v>0</v>
      </c>
      <c r="AE23" s="57">
        <f>IF((R23+U23)&lt;AD23,(R23+U23)*'HIER Rechnung Ausschütter'!O$1,AD23*'HIER Rechnung Ausschütter'!O$1)</f>
        <v>0</v>
      </c>
      <c r="AF23" s="100">
        <f>AG23-'HIER Rechnung Ausschütter'!AM23</f>
        <v>3288.202607</v>
      </c>
      <c r="AG23" s="57">
        <f t="shared" si="18"/>
        <v>54688.51297</v>
      </c>
      <c r="AH23" s="13"/>
      <c r="AI23" s="13"/>
    </row>
    <row r="24" ht="12.75" customHeight="1">
      <c r="A24" s="12">
        <v>21.0</v>
      </c>
      <c r="B24" s="46">
        <f t="shared" si="19"/>
        <v>4.083053687</v>
      </c>
      <c r="C24" s="47">
        <f t="shared" si="20"/>
        <v>414872.6299</v>
      </c>
      <c r="D24" s="13">
        <f t="shared" si="21"/>
        <v>1693947.221</v>
      </c>
      <c r="E24" s="18">
        <f>'HIER Rechnung Ausschütter'!E24</f>
        <v>-0.02741929446</v>
      </c>
      <c r="F24" s="13">
        <f t="shared" si="1"/>
        <v>1681403.4</v>
      </c>
      <c r="G24" s="18">
        <f>'HIER Rechnung Ausschütter'!H24</f>
        <v>0.02057845754</v>
      </c>
      <c r="H24" s="58">
        <f t="shared" si="2"/>
        <v>0.005</v>
      </c>
      <c r="I24" s="73">
        <v>0.005</v>
      </c>
      <c r="J24" s="50">
        <f t="shared" si="3"/>
        <v>1598766.598</v>
      </c>
      <c r="K24" s="58">
        <f t="shared" si="4"/>
        <v>-0.05618865925</v>
      </c>
      <c r="L24" s="58">
        <f>K24-'HIER Rechnung Ausschütter'!J24</f>
        <v>-0.001327983303</v>
      </c>
      <c r="M24" s="57">
        <f>J24-'HIER Rechnung Ausschütter'!I24</f>
        <v>-89624.10019</v>
      </c>
      <c r="N24" s="58" t="str">
        <f t="shared" si="5"/>
        <v>#DIV/0!</v>
      </c>
      <c r="O24" s="58">
        <f t="shared" si="6"/>
        <v>0.04914751702</v>
      </c>
      <c r="P24" s="63">
        <f t="shared" si="7"/>
        <v>-12543.82097</v>
      </c>
      <c r="Q24" s="63">
        <f t="shared" si="8"/>
        <v>0</v>
      </c>
      <c r="R24" s="77">
        <f t="shared" si="9"/>
        <v>0</v>
      </c>
      <c r="S24" s="57">
        <f t="shared" si="10"/>
        <v>0</v>
      </c>
      <c r="T24" s="57">
        <f t="shared" si="22"/>
        <v>309225.9084</v>
      </c>
      <c r="U24" s="57">
        <f t="shared" si="11"/>
        <v>82636.80224</v>
      </c>
      <c r="V24" s="57">
        <f t="shared" si="23"/>
        <v>71262.69399</v>
      </c>
      <c r="W24" s="78">
        <f t="shared" si="12"/>
        <v>20389.95964</v>
      </c>
      <c r="X24" s="57">
        <f t="shared" si="13"/>
        <v>71262.69399</v>
      </c>
      <c r="Y24" s="56">
        <f>'HIER Rechnung Ausschütter'!AO13</f>
        <v>0.2589379172</v>
      </c>
      <c r="Z24" s="57">
        <f t="shared" si="14"/>
        <v>21262.95491</v>
      </c>
      <c r="AA24" s="57">
        <f t="shared" si="15"/>
        <v>61373.84733</v>
      </c>
      <c r="AB24" s="57">
        <f t="shared" si="16"/>
        <v>11374.10826</v>
      </c>
      <c r="AC24" s="79">
        <f t="shared" si="17"/>
        <v>15983.22123</v>
      </c>
      <c r="AD24" s="80">
        <f t="shared" si="24"/>
        <v>0</v>
      </c>
      <c r="AE24" s="57">
        <f>IF((R24+U24)&lt;AD24,(R24+U24)*'HIER Rechnung Ausschütter'!O$1,AD24*'HIER Rechnung Ausschütter'!O$1)</f>
        <v>0</v>
      </c>
      <c r="AF24" s="101">
        <f>AG24-'HIER Rechnung Ausschütter'!AM24</f>
        <v>-8073.869399</v>
      </c>
      <c r="AG24" s="57">
        <f t="shared" si="18"/>
        <v>42961.69313</v>
      </c>
      <c r="AH24" s="13"/>
      <c r="AI24" s="13"/>
    </row>
    <row r="25" ht="12.75" customHeight="1">
      <c r="A25" s="12">
        <v>22.0</v>
      </c>
      <c r="B25" s="46">
        <f t="shared" si="19"/>
        <v>4.052818333</v>
      </c>
      <c r="C25" s="47">
        <f t="shared" si="20"/>
        <v>394482.6703</v>
      </c>
      <c r="D25" s="13">
        <f t="shared" si="21"/>
        <v>1598766.598</v>
      </c>
      <c r="E25" s="18">
        <f>'HIER Rechnung Ausschütter'!E25</f>
        <v>0.05317856572</v>
      </c>
      <c r="F25" s="13">
        <f t="shared" si="1"/>
        <v>1724365.913</v>
      </c>
      <c r="G25" s="18">
        <f>'HIER Rechnung Ausschütter'!H25</f>
        <v>0.02409996466</v>
      </c>
      <c r="H25" s="58">
        <f t="shared" si="2"/>
        <v>0.001</v>
      </c>
      <c r="I25" s="73">
        <v>0.001</v>
      </c>
      <c r="J25" s="50">
        <f t="shared" si="3"/>
        <v>1641000.771</v>
      </c>
      <c r="K25" s="58">
        <f t="shared" si="4"/>
        <v>0.02641672223</v>
      </c>
      <c r="L25" s="58">
        <f>K25-'HIER Rechnung Ausschütter'!J25</f>
        <v>-0.001564482755</v>
      </c>
      <c r="M25" s="57">
        <f>J25-'HIER Rechnung Ausschütter'!I25</f>
        <v>-94633.13328</v>
      </c>
      <c r="N25" s="58" t="str">
        <f t="shared" si="5"/>
        <v>#DIV/0!</v>
      </c>
      <c r="O25" s="58">
        <f t="shared" si="6"/>
        <v>0.04834538952</v>
      </c>
      <c r="P25" s="63">
        <f t="shared" si="7"/>
        <v>125599.3149</v>
      </c>
      <c r="Q25" s="63">
        <f t="shared" si="8"/>
        <v>1119.136619</v>
      </c>
      <c r="R25" s="77">
        <f t="shared" si="9"/>
        <v>1119.136619</v>
      </c>
      <c r="S25" s="57">
        <f t="shared" si="10"/>
        <v>207.4039939</v>
      </c>
      <c r="T25" s="57">
        <f t="shared" si="22"/>
        <v>295395.398</v>
      </c>
      <c r="U25" s="57">
        <f t="shared" si="11"/>
        <v>83365.14175</v>
      </c>
      <c r="V25" s="57">
        <f t="shared" si="23"/>
        <v>71333.95668</v>
      </c>
      <c r="W25" s="78">
        <f t="shared" si="12"/>
        <v>19071.41836</v>
      </c>
      <c r="X25" s="57">
        <f t="shared" si="13"/>
        <v>71333.95668</v>
      </c>
      <c r="Y25" s="56">
        <f>'HIER Rechnung Ausschütter'!AO12</f>
        <v>0.2419980535</v>
      </c>
      <c r="Z25" s="57">
        <f t="shared" si="14"/>
        <v>19564.89311</v>
      </c>
      <c r="AA25" s="57">
        <f t="shared" si="15"/>
        <v>63800.24864</v>
      </c>
      <c r="AB25" s="57">
        <f t="shared" si="16"/>
        <v>11823.78108</v>
      </c>
      <c r="AC25" s="79">
        <f t="shared" si="17"/>
        <v>14949.64699</v>
      </c>
      <c r="AD25" s="80">
        <f t="shared" si="24"/>
        <v>0</v>
      </c>
      <c r="AE25" s="57">
        <f>IF((R25+U25)&lt;AD25,(R25+U25)*'HIER Rechnung Ausschütter'!O$1,AD25*'HIER Rechnung Ausschütter'!O$1)</f>
        <v>0</v>
      </c>
      <c r="AF25" s="102">
        <f>AG25-'HIER Rechnung Ausschütter'!AM25</f>
        <v>-7674.591269</v>
      </c>
      <c r="AG25" s="57">
        <f t="shared" si="18"/>
        <v>45443.56968</v>
      </c>
      <c r="AH25" s="13"/>
      <c r="AI25" s="13"/>
    </row>
    <row r="26" ht="12.75" customHeight="1">
      <c r="A26" s="12">
        <v>23.0</v>
      </c>
      <c r="B26" s="46">
        <f t="shared" si="19"/>
        <v>4.371208276</v>
      </c>
      <c r="C26" s="47">
        <f t="shared" si="20"/>
        <v>375411.2519</v>
      </c>
      <c r="D26" s="13">
        <f t="shared" si="21"/>
        <v>1641000.771</v>
      </c>
      <c r="E26" s="18">
        <f>'HIER Rechnung Ausschütter'!E26</f>
        <v>0.2011336104</v>
      </c>
      <c r="F26" s="13">
        <f t="shared" si="1"/>
        <v>2020635.817</v>
      </c>
      <c r="G26" s="18">
        <f>'HIER Rechnung Ausschütter'!H26</f>
        <v>0.0251512414</v>
      </c>
      <c r="H26" s="58">
        <f t="shared" si="2"/>
        <v>0.003</v>
      </c>
      <c r="I26" s="73">
        <v>0.003</v>
      </c>
      <c r="J26" s="50">
        <f t="shared" si="3"/>
        <v>1935665.886</v>
      </c>
      <c r="K26" s="58">
        <f t="shared" si="4"/>
        <v>0.1795642754</v>
      </c>
      <c r="L26" s="58">
        <f>K26-'HIER Rechnung Ausschütter'!J26</f>
        <v>-0.002036189965</v>
      </c>
      <c r="M26" s="57">
        <f>J26-'HIER Rechnung Ausschütter'!I26</f>
        <v>-115159.9436</v>
      </c>
      <c r="N26" s="58" t="str">
        <f t="shared" si="5"/>
        <v>#DIV/0!</v>
      </c>
      <c r="O26" s="58">
        <f t="shared" si="6"/>
        <v>0.04205108617</v>
      </c>
      <c r="P26" s="63">
        <f t="shared" si="7"/>
        <v>379635.0453</v>
      </c>
      <c r="Q26" s="63">
        <f t="shared" si="8"/>
        <v>3446.10162</v>
      </c>
      <c r="R26" s="77">
        <f t="shared" si="9"/>
        <v>3446.10162</v>
      </c>
      <c r="S26" s="57">
        <f t="shared" si="10"/>
        <v>638.6487827</v>
      </c>
      <c r="T26" s="57">
        <f t="shared" si="22"/>
        <v>286419.8023</v>
      </c>
      <c r="U26" s="57">
        <f t="shared" si="11"/>
        <v>84969.93084</v>
      </c>
      <c r="V26" s="57">
        <f t="shared" si="23"/>
        <v>71547.95855</v>
      </c>
      <c r="W26" s="78">
        <f t="shared" si="12"/>
        <v>15786.4509</v>
      </c>
      <c r="X26" s="57">
        <f t="shared" si="13"/>
        <v>71547.95855</v>
      </c>
      <c r="Y26" s="56">
        <f>'HIER Rechnung Ausschütter'!AO11</f>
        <v>0.2261664051</v>
      </c>
      <c r="Z26" s="57">
        <f t="shared" si="14"/>
        <v>15992.06219</v>
      </c>
      <c r="AA26" s="57">
        <f t="shared" si="15"/>
        <v>68977.86866</v>
      </c>
      <c r="AB26" s="57">
        <f t="shared" si="16"/>
        <v>12783.32351</v>
      </c>
      <c r="AC26" s="79">
        <f t="shared" si="17"/>
        <v>12421.69734</v>
      </c>
      <c r="AD26" s="80">
        <f t="shared" si="24"/>
        <v>0</v>
      </c>
      <c r="AE26" s="57">
        <f>IF((R26+U26)&lt;AD26,(R26+U26)*'HIER Rechnung Ausschütter'!O$1,AD26*'HIER Rechnung Ausschütter'!O$1)</f>
        <v>0</v>
      </c>
      <c r="AF26" s="103">
        <f>AG26-'HIER Rechnung Ausschütter'!AM26</f>
        <v>-5159.435277</v>
      </c>
      <c r="AG26" s="57">
        <f t="shared" si="18"/>
        <v>50696.77919</v>
      </c>
      <c r="AH26" s="13"/>
      <c r="AI26" s="13"/>
    </row>
    <row r="27" ht="12.75" customHeight="1">
      <c r="A27" s="12">
        <v>24.0</v>
      </c>
      <c r="B27" s="46">
        <f t="shared" si="19"/>
        <v>5.382459386</v>
      </c>
      <c r="C27" s="47">
        <f t="shared" si="20"/>
        <v>359624.801</v>
      </c>
      <c r="D27" s="13">
        <f t="shared" si="21"/>
        <v>1935665.886</v>
      </c>
      <c r="E27" s="18">
        <f>'HIER Rechnung Ausschütter'!E27</f>
        <v>-0.104374817</v>
      </c>
      <c r="F27" s="13">
        <f t="shared" si="1"/>
        <v>1766533.64</v>
      </c>
      <c r="G27" s="18">
        <f>'HIER Rechnung Ausschütter'!H27</f>
        <v>0.01897896652</v>
      </c>
      <c r="H27" s="58">
        <f t="shared" si="2"/>
        <v>0.004</v>
      </c>
      <c r="I27" s="73">
        <v>0.004</v>
      </c>
      <c r="J27" s="50">
        <f t="shared" si="3"/>
        <v>1682290.226</v>
      </c>
      <c r="K27" s="58">
        <f t="shared" si="4"/>
        <v>-0.1308984479</v>
      </c>
      <c r="L27" s="58">
        <f>K27-'HIER Rechnung Ausschütter'!J27</f>
        <v>-0.001634648247</v>
      </c>
      <c r="M27" s="57">
        <f>J27-'HIER Rechnung Ausschütter'!I27</f>
        <v>-103438.0646</v>
      </c>
      <c r="N27" s="58" t="str">
        <f t="shared" si="5"/>
        <v>#DIV/0!</v>
      </c>
      <c r="O27" s="58">
        <f t="shared" si="6"/>
        <v>0.04768854244</v>
      </c>
      <c r="P27" s="63">
        <f t="shared" si="7"/>
        <v>-169132.2457</v>
      </c>
      <c r="Q27" s="63">
        <f t="shared" si="8"/>
        <v>0</v>
      </c>
      <c r="R27" s="77">
        <f t="shared" si="9"/>
        <v>0</v>
      </c>
      <c r="S27" s="57">
        <f t="shared" si="10"/>
        <v>0</v>
      </c>
      <c r="T27" s="57">
        <f t="shared" si="22"/>
        <v>272760.8594</v>
      </c>
      <c r="U27" s="57">
        <f t="shared" si="11"/>
        <v>84243.41447</v>
      </c>
      <c r="V27" s="57">
        <f t="shared" si="23"/>
        <v>71834.15038</v>
      </c>
      <c r="W27" s="78">
        <f t="shared" si="12"/>
        <v>17149.98259</v>
      </c>
      <c r="X27" s="57">
        <f t="shared" si="13"/>
        <v>71834.15038</v>
      </c>
      <c r="Y27" s="56">
        <f>'HIER Rechnung Ausschütter'!AO10</f>
        <v>0.2113704721</v>
      </c>
      <c r="Z27" s="57">
        <f t="shared" si="14"/>
        <v>17283.94281</v>
      </c>
      <c r="AA27" s="57">
        <f t="shared" si="15"/>
        <v>66959.47166</v>
      </c>
      <c r="AB27" s="57">
        <f t="shared" si="16"/>
        <v>12409.26408</v>
      </c>
      <c r="AC27" s="79">
        <f t="shared" si="17"/>
        <v>13658.9429</v>
      </c>
      <c r="AD27" s="80">
        <f t="shared" si="24"/>
        <v>0</v>
      </c>
      <c r="AE27" s="57">
        <f>IF((R27+U27)&lt;AD27,(R27+U27)*'HIER Rechnung Ausschütter'!O$1,AD27*'HIER Rechnung Ausschütter'!O$1)</f>
        <v>0</v>
      </c>
      <c r="AF27" s="104">
        <f>AG27-'HIER Rechnung Ausschütter'!AM27</f>
        <v>-6268.458413</v>
      </c>
      <c r="AG27" s="57">
        <f t="shared" si="18"/>
        <v>46871.63016</v>
      </c>
      <c r="AH27" s="13"/>
      <c r="AI27" s="13"/>
    </row>
    <row r="28" ht="12.75" customHeight="1">
      <c r="A28" s="12">
        <v>25.0</v>
      </c>
      <c r="B28" s="46">
        <f t="shared" si="19"/>
        <v>4.912157435</v>
      </c>
      <c r="C28" s="47">
        <f t="shared" si="20"/>
        <v>342474.8185</v>
      </c>
      <c r="D28" s="13">
        <f t="shared" si="21"/>
        <v>1682290.226</v>
      </c>
      <c r="E28" s="18">
        <f>'HIER Rechnung Ausschütter'!E28</f>
        <v>0.2519065492</v>
      </c>
      <c r="F28" s="13">
        <f t="shared" si="1"/>
        <v>2163559.028</v>
      </c>
      <c r="G28" s="18">
        <f>'HIER Rechnung Ausschütter'!H28</f>
        <v>0.02729675315</v>
      </c>
      <c r="H28" s="58">
        <f t="shared" si="2"/>
        <v>-0.003</v>
      </c>
      <c r="I28" s="73">
        <v>-0.003</v>
      </c>
      <c r="J28" s="50">
        <f t="shared" si="3"/>
        <v>2078686.119</v>
      </c>
      <c r="K28" s="58">
        <f t="shared" si="4"/>
        <v>0.2356287206</v>
      </c>
      <c r="L28" s="58">
        <f>K28-'HIER Rechnung Ausschütter'!J28</f>
        <v>-0.001765416549</v>
      </c>
      <c r="M28" s="57">
        <f>J28-'HIER Rechnung Ausschütter'!I28</f>
        <v>-130963.5977</v>
      </c>
      <c r="N28" s="58" t="str">
        <f t="shared" si="5"/>
        <v>#DIV/0!</v>
      </c>
      <c r="O28" s="58">
        <f t="shared" si="6"/>
        <v>0.03922837689</v>
      </c>
      <c r="P28" s="63">
        <f t="shared" si="7"/>
        <v>481268.8026</v>
      </c>
      <c r="Q28" s="63">
        <f t="shared" si="8"/>
        <v>0</v>
      </c>
      <c r="R28" s="77">
        <f t="shared" si="9"/>
        <v>0</v>
      </c>
      <c r="S28" s="57">
        <f t="shared" si="10"/>
        <v>0</v>
      </c>
      <c r="T28" s="57">
        <f t="shared" si="22"/>
        <v>262060.8936</v>
      </c>
      <c r="U28" s="57">
        <f t="shared" si="11"/>
        <v>84872.90899</v>
      </c>
      <c r="V28" s="57">
        <f t="shared" si="23"/>
        <v>71618.64793</v>
      </c>
      <c r="W28" s="78">
        <f t="shared" si="12"/>
        <v>13434.73125</v>
      </c>
      <c r="X28" s="57">
        <f t="shared" si="13"/>
        <v>71618.64793</v>
      </c>
      <c r="Y28" s="56">
        <f>'HIER Rechnung Ausschütter'!AO9</f>
        <v>0.1975424973</v>
      </c>
      <c r="Z28" s="57">
        <f t="shared" si="14"/>
        <v>13353.89616</v>
      </c>
      <c r="AA28" s="57">
        <f t="shared" si="15"/>
        <v>71519.01283</v>
      </c>
      <c r="AB28" s="57">
        <f t="shared" si="16"/>
        <v>13254.26105</v>
      </c>
      <c r="AC28" s="79">
        <f t="shared" si="17"/>
        <v>10699.96579</v>
      </c>
      <c r="AD28" s="80">
        <f t="shared" si="24"/>
        <v>0</v>
      </c>
      <c r="AE28" s="57">
        <f>IF((R28+U28)&lt;AD28,(R28+U28)*'HIER Rechnung Ausschütter'!O$1,AD28*'HIER Rechnung Ausschütter'!O$1)</f>
        <v>0</v>
      </c>
      <c r="AF28" s="105">
        <f>AG28-'HIER Rechnung Ausschütter'!AM28</f>
        <v>-7803.513258</v>
      </c>
      <c r="AG28" s="57">
        <f t="shared" si="18"/>
        <v>50063.30898</v>
      </c>
      <c r="AH28" s="13"/>
      <c r="AI28" s="13"/>
    </row>
    <row r="29" ht="12.75" customHeight="1">
      <c r="A29" s="12">
        <v>26.0</v>
      </c>
      <c r="B29" s="46">
        <f t="shared" si="19"/>
        <v>6.317425141</v>
      </c>
      <c r="C29" s="47">
        <f t="shared" si="20"/>
        <v>329040.0872</v>
      </c>
      <c r="D29" s="13">
        <f t="shared" si="21"/>
        <v>2078686.119</v>
      </c>
      <c r="E29" s="18">
        <f>'HIER Rechnung Ausschütter'!E29</f>
        <v>0.1405895692</v>
      </c>
      <c r="F29" s="13">
        <f t="shared" si="1"/>
        <v>2420045.912</v>
      </c>
      <c r="G29" s="18">
        <f>'HIER Rechnung Ausschütter'!H29</f>
        <v>0.02071687228</v>
      </c>
      <c r="H29" s="58">
        <f t="shared" si="2"/>
        <v>-0.005</v>
      </c>
      <c r="I29" s="73">
        <v>-0.005</v>
      </c>
      <c r="J29" s="50">
        <f t="shared" si="3"/>
        <v>2335150.809</v>
      </c>
      <c r="K29" s="58">
        <f t="shared" si="4"/>
        <v>0.1233782664</v>
      </c>
      <c r="L29" s="58">
        <f>K29-'HIER Rechnung Ausschütter'!J29</f>
        <v>-0.001776626807</v>
      </c>
      <c r="M29" s="57">
        <f>J29-'HIER Rechnung Ausschütter'!I29</f>
        <v>-151047.3823</v>
      </c>
      <c r="N29" s="58" t="str">
        <f t="shared" si="5"/>
        <v>#DIV/0!</v>
      </c>
      <c r="O29" s="58">
        <f t="shared" si="6"/>
        <v>0.03507995537</v>
      </c>
      <c r="P29" s="63">
        <f t="shared" si="7"/>
        <v>341359.7924</v>
      </c>
      <c r="Q29" s="63">
        <f t="shared" si="8"/>
        <v>0</v>
      </c>
      <c r="R29" s="77">
        <f t="shared" si="9"/>
        <v>0</v>
      </c>
      <c r="S29" s="57">
        <f t="shared" si="10"/>
        <v>0</v>
      </c>
      <c r="T29" s="57">
        <f t="shared" si="22"/>
        <v>252867.8092</v>
      </c>
      <c r="U29" s="57">
        <f t="shared" si="11"/>
        <v>84895.10258</v>
      </c>
      <c r="V29" s="57">
        <f t="shared" si="23"/>
        <v>71260.55469</v>
      </c>
      <c r="W29" s="78">
        <f t="shared" si="12"/>
        <v>11542.71157</v>
      </c>
      <c r="X29" s="57">
        <f t="shared" si="13"/>
        <v>71260.55469</v>
      </c>
      <c r="Y29" s="56">
        <f>'HIER Rechnung Ausschütter'!AO8</f>
        <v>0.1846191563</v>
      </c>
      <c r="Z29" s="57">
        <f t="shared" si="14"/>
        <v>11324.09012</v>
      </c>
      <c r="AA29" s="57">
        <f t="shared" si="15"/>
        <v>73571.01245</v>
      </c>
      <c r="AB29" s="57">
        <f t="shared" si="16"/>
        <v>13634.54788</v>
      </c>
      <c r="AC29" s="79">
        <f t="shared" si="17"/>
        <v>9193.084452</v>
      </c>
      <c r="AD29" s="80">
        <f t="shared" si="24"/>
        <v>0</v>
      </c>
      <c r="AE29" s="57">
        <f>IF((R29+U29)&lt;AD29,(R29+U29)*'HIER Rechnung Ausschütter'!O$1,AD29*'HIER Rechnung Ausschütter'!O$1)</f>
        <v>0</v>
      </c>
      <c r="AF29" s="106">
        <f>AG29-'HIER Rechnung Ausschütter'!AM29</f>
        <v>-5374.612963</v>
      </c>
      <c r="AG29" s="57">
        <f t="shared" si="18"/>
        <v>51499.70872</v>
      </c>
      <c r="AH29" s="13"/>
      <c r="AI29" s="13"/>
    </row>
    <row r="30" ht="12.75" customHeight="1">
      <c r="A30" s="12">
        <v>27.0</v>
      </c>
      <c r="B30" s="46">
        <f t="shared" si="19"/>
        <v>7.354866492</v>
      </c>
      <c r="C30" s="47">
        <f t="shared" si="20"/>
        <v>317497.3756</v>
      </c>
      <c r="D30" s="13">
        <f t="shared" si="21"/>
        <v>2335150.809</v>
      </c>
      <c r="E30" s="18">
        <f>'HIER Rechnung Ausschütter'!E30</f>
        <v>0.2013658513</v>
      </c>
      <c r="F30" s="13">
        <f t="shared" si="1"/>
        <v>2858090.453</v>
      </c>
      <c r="G30" s="18">
        <f>'HIER Rechnung Ausschütter'!H30</f>
        <v>0.01879253174</v>
      </c>
      <c r="H30" s="58">
        <f t="shared" si="2"/>
        <v>-0.004</v>
      </c>
      <c r="I30" s="73">
        <v>-0.004</v>
      </c>
      <c r="J30" s="50">
        <f t="shared" si="3"/>
        <v>2773051.512</v>
      </c>
      <c r="K30" s="58">
        <f t="shared" si="4"/>
        <v>0.1875256626</v>
      </c>
      <c r="L30" s="58">
        <f>K30-'HIER Rechnung Ausschütter'!J30</f>
        <v>-0.001735126802</v>
      </c>
      <c r="M30" s="57">
        <f>J30-'HIER Rechnung Ausschütter'!I30</f>
        <v>-183686.5118</v>
      </c>
      <c r="N30" s="58" t="str">
        <f t="shared" si="5"/>
        <v>#DIV/0!</v>
      </c>
      <c r="O30" s="58">
        <f t="shared" si="6"/>
        <v>0.0297537612</v>
      </c>
      <c r="P30" s="63">
        <f t="shared" si="7"/>
        <v>522939.6435</v>
      </c>
      <c r="Q30" s="63">
        <f t="shared" si="8"/>
        <v>0</v>
      </c>
      <c r="R30" s="77">
        <f t="shared" si="9"/>
        <v>0</v>
      </c>
      <c r="S30" s="57">
        <f t="shared" si="10"/>
        <v>0</v>
      </c>
      <c r="T30" s="57">
        <f t="shared" si="22"/>
        <v>245344.0407</v>
      </c>
      <c r="U30" s="57">
        <f t="shared" si="11"/>
        <v>85038.94082</v>
      </c>
      <c r="V30" s="57">
        <f t="shared" si="23"/>
        <v>70975.51247</v>
      </c>
      <c r="W30" s="78">
        <f t="shared" si="12"/>
        <v>9446.741096</v>
      </c>
      <c r="X30" s="57">
        <f t="shared" si="13"/>
        <v>70975.51247</v>
      </c>
      <c r="Y30" s="56">
        <f>'HIER Rechnung Ausschütter'!AO7</f>
        <v>0.1725412676</v>
      </c>
      <c r="Z30" s="57">
        <f t="shared" si="14"/>
        <v>9153.721092</v>
      </c>
      <c r="AA30" s="57">
        <f t="shared" si="15"/>
        <v>75885.21973</v>
      </c>
      <c r="AB30" s="57">
        <f t="shared" si="16"/>
        <v>14063.42835</v>
      </c>
      <c r="AC30" s="79">
        <f t="shared" si="17"/>
        <v>7523.768409</v>
      </c>
      <c r="AD30" s="80">
        <f t="shared" si="24"/>
        <v>0</v>
      </c>
      <c r="AE30" s="57">
        <f>IF((R30+U30)&lt;AD30,(R30+U30)*'HIER Rechnung Ausschütter'!O$1,AD30*'HIER Rechnung Ausschütter'!O$1)</f>
        <v>0</v>
      </c>
      <c r="AF30" s="106">
        <f>AG30-'HIER Rechnung Ausschütter'!AM30</f>
        <v>-4482.747777</v>
      </c>
      <c r="AG30" s="57">
        <f t="shared" si="18"/>
        <v>53119.65381</v>
      </c>
      <c r="AH30" s="13"/>
      <c r="AI30" s="13"/>
    </row>
    <row r="31" ht="12.75" customHeight="1">
      <c r="A31" s="12">
        <v>28.0</v>
      </c>
      <c r="B31" s="46">
        <f t="shared" si="19"/>
        <v>9.001934101</v>
      </c>
      <c r="C31" s="47">
        <f t="shared" si="20"/>
        <v>308050.6345</v>
      </c>
      <c r="D31" s="13">
        <f t="shared" si="21"/>
        <v>2773051.512</v>
      </c>
      <c r="E31" s="18">
        <f>'HIER Rechnung Ausschütter'!E31</f>
        <v>-0.194645773</v>
      </c>
      <c r="F31" s="13">
        <f t="shared" si="1"/>
        <v>2266165.067</v>
      </c>
      <c r="G31" s="18">
        <f>'HIER Rechnung Ausschütter'!H31</f>
        <v>0.01472102964</v>
      </c>
      <c r="H31" s="58">
        <f t="shared" si="2"/>
        <v>0.0114</v>
      </c>
      <c r="I31" s="73">
        <v>0.0114</v>
      </c>
      <c r="J31" s="50">
        <f t="shared" si="3"/>
        <v>2180585.049</v>
      </c>
      <c r="K31" s="58">
        <f t="shared" si="4"/>
        <v>-0.2136514451</v>
      </c>
      <c r="L31" s="58">
        <f>K31-'HIER Rechnung Ausschütter'!J31</f>
        <v>-0.00160387422</v>
      </c>
      <c r="M31" s="57">
        <f>J31-'HIER Rechnung Ausschütter'!I31</f>
        <v>-149183.859</v>
      </c>
      <c r="N31" s="58" t="str">
        <f t="shared" si="5"/>
        <v>#DIV/0!</v>
      </c>
      <c r="O31" s="58">
        <f t="shared" si="6"/>
        <v>0.03776424714</v>
      </c>
      <c r="P31" s="63">
        <f t="shared" si="7"/>
        <v>-506886.4451</v>
      </c>
      <c r="Q31" s="63">
        <f t="shared" si="8"/>
        <v>0</v>
      </c>
      <c r="R31" s="77">
        <f t="shared" si="9"/>
        <v>0</v>
      </c>
      <c r="S31" s="57">
        <f t="shared" si="10"/>
        <v>0</v>
      </c>
      <c r="T31" s="57">
        <f t="shared" si="22"/>
        <v>236078.8078</v>
      </c>
      <c r="U31" s="57">
        <f t="shared" si="11"/>
        <v>85580.01764</v>
      </c>
      <c r="V31" s="57">
        <f t="shared" si="23"/>
        <v>71784.63332</v>
      </c>
      <c r="W31" s="78">
        <f t="shared" si="12"/>
        <v>11633.30029</v>
      </c>
      <c r="X31" s="57">
        <f t="shared" si="13"/>
        <v>71784.63332</v>
      </c>
      <c r="Y31" s="56">
        <f>'HIER Rechnung Ausschütter'!AO6</f>
        <v>0.1612535211</v>
      </c>
      <c r="Z31" s="57">
        <f t="shared" si="14"/>
        <v>11141.14362</v>
      </c>
      <c r="AA31" s="57">
        <f t="shared" si="15"/>
        <v>74438.87402</v>
      </c>
      <c r="AB31" s="57">
        <f t="shared" si="16"/>
        <v>13795.38433</v>
      </c>
      <c r="AC31" s="79">
        <f t="shared" si="17"/>
        <v>9265.232989</v>
      </c>
      <c r="AD31" s="80">
        <f t="shared" si="24"/>
        <v>0</v>
      </c>
      <c r="AE31" s="57">
        <f>IF((R31+U31)&lt;AD31,(R31+U31)*'HIER Rechnung Ausschütter'!O$1,AD31*'HIER Rechnung Ausschütter'!O$1)</f>
        <v>0</v>
      </c>
      <c r="AF31" s="106">
        <f>AG31-'HIER Rechnung Ausschütter'!AM31</f>
        <v>-3499.797938</v>
      </c>
      <c r="AG31" s="57">
        <f t="shared" si="18"/>
        <v>52107.21181</v>
      </c>
      <c r="AH31" s="13"/>
      <c r="AI31" s="13"/>
    </row>
    <row r="32" ht="12.75" customHeight="1">
      <c r="A32" s="12">
        <v>29.0</v>
      </c>
      <c r="B32" s="46">
        <f t="shared" si="19"/>
        <v>7.356469401</v>
      </c>
      <c r="C32" s="47">
        <f t="shared" si="20"/>
        <v>296417.3342</v>
      </c>
      <c r="D32" s="13">
        <f t="shared" si="21"/>
        <v>2180585.049</v>
      </c>
      <c r="E32" s="18">
        <f>'HIER Rechnung Ausschütter'!E32</f>
        <v>0.2176579186</v>
      </c>
      <c r="F32" s="13">
        <f t="shared" si="1"/>
        <v>2715004.409</v>
      </c>
      <c r="G32" s="18">
        <f>'HIER Rechnung Ausschütter'!H32</f>
        <v>0.02252094266</v>
      </c>
      <c r="H32" s="58">
        <f t="shared" si="2"/>
        <v>0.0243</v>
      </c>
      <c r="I32" s="73">
        <v>0.0243</v>
      </c>
      <c r="J32" s="50">
        <f t="shared" si="3"/>
        <v>2618579.272</v>
      </c>
      <c r="K32" s="58">
        <f t="shared" si="4"/>
        <v>0.2008608757</v>
      </c>
      <c r="L32" s="58">
        <f>K32-'HIER Rechnung Ausschütter'!J32</f>
        <v>-0.00577612808</v>
      </c>
      <c r="M32" s="57">
        <f>J32-'HIER Rechnung Ausschütter'!I32</f>
        <v>-192606.1032</v>
      </c>
      <c r="N32" s="58" t="str">
        <f t="shared" si="5"/>
        <v>#DIV/0!</v>
      </c>
      <c r="O32" s="58">
        <f t="shared" si="6"/>
        <v>0.03551564675</v>
      </c>
      <c r="P32" s="63">
        <f t="shared" si="7"/>
        <v>534419.36</v>
      </c>
      <c r="Q32" s="63">
        <f t="shared" si="8"/>
        <v>37091.75169</v>
      </c>
      <c r="R32" s="77">
        <f t="shared" si="9"/>
        <v>37091.75169</v>
      </c>
      <c r="S32" s="57">
        <f t="shared" si="10"/>
        <v>6874.028881</v>
      </c>
      <c r="T32" s="57">
        <f t="shared" si="22"/>
        <v>264786.0679</v>
      </c>
      <c r="U32" s="57">
        <f t="shared" si="11"/>
        <v>96425.13752</v>
      </c>
      <c r="V32" s="57">
        <f t="shared" si="23"/>
        <v>73528.99991</v>
      </c>
      <c r="W32" s="78">
        <f t="shared" si="12"/>
        <v>10527.45333</v>
      </c>
      <c r="X32" s="57">
        <f t="shared" si="13"/>
        <v>73528.99991</v>
      </c>
      <c r="Y32" s="56">
        <f>'HIER Rechnung Ausschütter'!AO5</f>
        <v>0.1507042254</v>
      </c>
      <c r="Z32" s="57">
        <f t="shared" si="14"/>
        <v>9971.02324</v>
      </c>
      <c r="AA32" s="57">
        <f t="shared" si="15"/>
        <v>86454.11427</v>
      </c>
      <c r="AB32" s="57">
        <f t="shared" si="16"/>
        <v>16022.10873</v>
      </c>
      <c r="AC32" s="79">
        <f t="shared" si="17"/>
        <v>8384.491541</v>
      </c>
      <c r="AD32" s="80">
        <f t="shared" si="24"/>
        <v>0</v>
      </c>
      <c r="AE32" s="57">
        <f>IF((R32+U32)&lt;AD32,(R32+U32)*'HIER Rechnung Ausschütter'!O$1,AD32*'HIER Rechnung Ausschütter'!O$1)</f>
        <v>0</v>
      </c>
      <c r="AF32" s="106">
        <f>AG32-'HIER Rechnung Ausschütter'!AM32</f>
        <v>25911.82691</v>
      </c>
      <c r="AG32" s="57">
        <f t="shared" si="18"/>
        <v>86482.10617</v>
      </c>
      <c r="AH32" s="13"/>
      <c r="AI32" s="13"/>
    </row>
    <row r="33" ht="12.75" customHeight="1">
      <c r="A33" s="12">
        <v>30.0</v>
      </c>
      <c r="B33" s="46">
        <f t="shared" si="19"/>
        <v>9.159398239</v>
      </c>
      <c r="C33" s="47">
        <f t="shared" si="20"/>
        <v>285889.8809</v>
      </c>
      <c r="D33" s="13">
        <f t="shared" si="21"/>
        <v>2618579.272</v>
      </c>
      <c r="E33" s="18">
        <f>'HIER Rechnung Ausschütter'!E33</f>
        <v>0.1699673102</v>
      </c>
      <c r="F33" s="13">
        <f t="shared" si="1"/>
        <v>3120882.034</v>
      </c>
      <c r="G33" s="18">
        <f>'HIER Rechnung Ausschütter'!H33</f>
        <v>0.01868028249</v>
      </c>
      <c r="H33" s="58">
        <f t="shared" si="2"/>
        <v>0.0232</v>
      </c>
      <c r="I33" s="73">
        <v>0.0232</v>
      </c>
      <c r="J33" s="50">
        <f t="shared" si="3"/>
        <v>3021077.781</v>
      </c>
      <c r="K33" s="58">
        <f t="shared" si="4"/>
        <v>0.1537087358</v>
      </c>
      <c r="L33" s="58">
        <f>K33-'HIER Rechnung Ausschütter'!J33</f>
        <v>-0.005522929894</v>
      </c>
      <c r="M33" s="57">
        <f>J33-'HIER Rechnung Ausschütter'!I33</f>
        <v>-237737.3236</v>
      </c>
      <c r="N33" s="58" t="str">
        <f t="shared" si="5"/>
        <v>#DIV/0!</v>
      </c>
      <c r="O33" s="58">
        <f t="shared" si="6"/>
        <v>0.03197950203</v>
      </c>
      <c r="P33" s="63">
        <f t="shared" si="7"/>
        <v>502302.7628</v>
      </c>
      <c r="Q33" s="63">
        <f t="shared" si="8"/>
        <v>42525.72737</v>
      </c>
      <c r="R33" s="77">
        <f t="shared" si="9"/>
        <v>42525.72737</v>
      </c>
      <c r="S33" s="57">
        <f t="shared" si="10"/>
        <v>7881.080425</v>
      </c>
      <c r="T33" s="57">
        <f t="shared" si="22"/>
        <v>298844.0687</v>
      </c>
      <c r="U33" s="57">
        <f t="shared" si="11"/>
        <v>99804.25336</v>
      </c>
      <c r="V33" s="57">
        <f t="shared" si="23"/>
        <v>75234.8727</v>
      </c>
      <c r="W33" s="78">
        <f t="shared" si="12"/>
        <v>9142.616027</v>
      </c>
      <c r="X33" s="57">
        <f t="shared" si="13"/>
        <v>75234.8727</v>
      </c>
      <c r="Y33" s="56">
        <f>'HIER Rechnung Ausschütter'!AO4</f>
        <v>0.1408450704</v>
      </c>
      <c r="Z33" s="57">
        <f t="shared" si="14"/>
        <v>9755.418994</v>
      </c>
      <c r="AA33" s="57">
        <f t="shared" si="15"/>
        <v>90048.83436</v>
      </c>
      <c r="AB33" s="57">
        <f t="shared" si="16"/>
        <v>16688.30023</v>
      </c>
      <c r="AC33" s="79">
        <f t="shared" si="17"/>
        <v>8467.726596</v>
      </c>
      <c r="AD33" s="80">
        <f t="shared" si="24"/>
        <v>0</v>
      </c>
      <c r="AE33" s="57">
        <f>IF((R33+U33)&lt;AD33,(R33+U33)*'HIER Rechnung Ausschütter'!O$1,AD33*'HIER Rechnung Ausschütter'!O$1)</f>
        <v>0</v>
      </c>
      <c r="AF33" s="106">
        <f>AG33-'HIER Rechnung Ausschütter'!AM33</f>
        <v>30916.0004</v>
      </c>
      <c r="AG33" s="57">
        <f t="shared" si="18"/>
        <v>92802.19321</v>
      </c>
      <c r="AH33" s="13"/>
      <c r="AI33" s="13"/>
    </row>
    <row r="34" ht="12.75" customHeight="1">
      <c r="B34" s="46">
        <f t="shared" si="19"/>
        <v>10.9163781</v>
      </c>
      <c r="C34" s="47">
        <f t="shared" si="20"/>
        <v>276747.2649</v>
      </c>
      <c r="D34" s="13">
        <f t="shared" si="21"/>
        <v>3021077.781</v>
      </c>
      <c r="E34" s="18" t="str">
        <f>'HIER Rechnung Ausschütter'!E34</f>
        <v/>
      </c>
      <c r="F34" s="13"/>
      <c r="H34" s="58"/>
      <c r="I34" s="58"/>
      <c r="J34" s="13"/>
    </row>
    <row r="35" ht="12.75" customHeight="1">
      <c r="A35" s="19"/>
      <c r="B35" s="19"/>
      <c r="C35" s="19"/>
      <c r="D35" s="19"/>
      <c r="E35" s="19"/>
      <c r="F35" s="19"/>
      <c r="G35" s="19"/>
      <c r="H35" s="29"/>
      <c r="I35" s="2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35">
        <f t="shared" ref="U35:V35" si="25">SUM(U4:U34)</f>
        <v>2202692.487</v>
      </c>
      <c r="V35" s="35">
        <f t="shared" si="25"/>
        <v>1807641.088</v>
      </c>
      <c r="W35" s="19"/>
      <c r="X35" s="107">
        <f>SUM(X4:X34)</f>
        <v>1807641.088</v>
      </c>
      <c r="Y35" s="19"/>
      <c r="Z35" s="19"/>
      <c r="AA35" s="35"/>
      <c r="AB35" s="19"/>
      <c r="AC35" s="19"/>
      <c r="AD35" s="19"/>
      <c r="AE35" s="19"/>
      <c r="AF35" s="19"/>
      <c r="AG35" s="35">
        <f>SUM(AG4:AG34)</f>
        <v>1492167.705</v>
      </c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</row>
    <row r="36" ht="12.75" customHeight="1">
      <c r="A36" s="19"/>
      <c r="B36" s="1" t="s">
        <v>77</v>
      </c>
      <c r="C36" s="19"/>
      <c r="D36" s="29">
        <f>J33/D4-1</f>
        <v>2.021077781</v>
      </c>
      <c r="E36" s="19"/>
      <c r="F36" s="19"/>
      <c r="G36" s="19"/>
      <c r="H36" s="29">
        <f>AVERAGE(H3:H34)</f>
        <v>0.02833</v>
      </c>
      <c r="I36" s="29"/>
      <c r="J36" s="19"/>
      <c r="K36" s="19"/>
      <c r="L36" s="19"/>
      <c r="M36" s="19"/>
      <c r="N36" s="29" t="str">
        <f>(N33+1)^(1/30)-1</f>
        <v>#DIV/0!</v>
      </c>
      <c r="O36" s="29">
        <f>AVERAGE(O4:O34)</f>
        <v>0.04187764649</v>
      </c>
      <c r="P36" s="19"/>
      <c r="Q36" s="19"/>
      <c r="R36" s="35">
        <f>SUM(R4:R33)</f>
        <v>631042.2576</v>
      </c>
      <c r="S36" s="35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</row>
    <row r="37" ht="12.75" customHeight="1">
      <c r="A37" s="19"/>
      <c r="B37" s="1" t="s">
        <v>78</v>
      </c>
      <c r="C37" s="19"/>
      <c r="D37" s="29">
        <f>(J33/C4)^(1/29)-1</f>
        <v>0.03886067577</v>
      </c>
      <c r="E37" s="19"/>
      <c r="F37" s="19"/>
      <c r="G37" s="19"/>
      <c r="H37" s="29"/>
      <c r="I37" s="2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65"/>
      <c r="Y37" s="65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</row>
    <row r="38" ht="12.75" customHeight="1">
      <c r="A38" s="19"/>
      <c r="B38" s="19"/>
      <c r="C38" s="19"/>
      <c r="D38" s="19"/>
      <c r="E38" s="19"/>
      <c r="F38" s="19"/>
      <c r="G38" s="19"/>
      <c r="H38" s="29"/>
      <c r="I38" s="2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08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</row>
    <row r="39" ht="12.75" customHeight="1">
      <c r="A39" s="19"/>
      <c r="B39" s="30" t="s">
        <v>79</v>
      </c>
      <c r="C39" s="25"/>
      <c r="D39" s="31">
        <f>'HIER Rechnung Ausschütter'!D37-D37</f>
        <v>0.002717123402</v>
      </c>
      <c r="E39" s="25" t="s">
        <v>18</v>
      </c>
      <c r="F39" s="19"/>
      <c r="G39" s="19"/>
      <c r="H39" s="29"/>
      <c r="I39" s="2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</row>
    <row r="40" ht="15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</row>
    <row r="41" ht="15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</row>
    <row r="42" ht="12.75" customHeight="1">
      <c r="A42" s="19"/>
      <c r="B42" s="67" t="s">
        <v>80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</row>
    <row r="43" ht="12.75" customHeight="1">
      <c r="A43" s="19"/>
      <c r="B43" s="17" t="s">
        <v>81</v>
      </c>
      <c r="C43" s="35">
        <f>((B34-D1)*C34)-T33</f>
        <v>2722233.712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</row>
    <row r="44" ht="12.75" customHeight="1">
      <c r="A44" s="19"/>
      <c r="B44" s="17" t="s">
        <v>82</v>
      </c>
      <c r="C44" s="35">
        <f>C43*V1</f>
        <v>504497.9627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</row>
    <row r="45" ht="12.75" customHeight="1">
      <c r="A45" s="19"/>
      <c r="B45" s="17" t="s">
        <v>83</v>
      </c>
      <c r="C45" s="35">
        <f>J33-C44</f>
        <v>2516579.818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</row>
    <row r="46" ht="12.75" customHeight="1">
      <c r="A46" s="19"/>
      <c r="B46" s="1" t="s">
        <v>78</v>
      </c>
      <c r="C46" s="29">
        <f>(C45/C4)^(1/29)-1</f>
        <v>0.03233596783</v>
      </c>
      <c r="D46" s="1" t="s">
        <v>18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</row>
    <row r="47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</row>
    <row r="48" ht="12.75" customHeight="1">
      <c r="A48" s="19"/>
      <c r="B48" s="25" t="s">
        <v>84</v>
      </c>
      <c r="C48" s="31">
        <f>'HIER Rechnung Ausschütter'!C46-C46</f>
        <v>0.001990822837</v>
      </c>
      <c r="D48" s="25" t="s">
        <v>18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</row>
    <row r="49" ht="15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</row>
    <row r="50" ht="1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</row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AF3:AF33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dataValidations>
    <dataValidation type="list" allowBlank="1" showErrorMessage="1" sqref="K1">
      <formula1>"Nein,Ja"</formula1>
    </dataValidation>
  </dataValidations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2" width="12.75"/>
    <col customWidth="1" min="23" max="23" width="15.5"/>
    <col customWidth="1" min="24" max="53" width="12.75"/>
  </cols>
  <sheetData>
    <row r="1" ht="12.75" customHeight="1">
      <c r="A1" s="32" t="s">
        <v>102</v>
      </c>
      <c r="B1" s="1"/>
      <c r="C1" s="17" t="s">
        <v>34</v>
      </c>
      <c r="D1" s="33">
        <f>'HIER Rechnung Ausschütter'!D1</f>
        <v>0</v>
      </c>
      <c r="E1" s="1" t="s">
        <v>35</v>
      </c>
      <c r="F1" s="1"/>
      <c r="G1" s="35">
        <f>'HIER Rechnung Ausschütter'!H1</f>
        <v>1000000</v>
      </c>
      <c r="H1" s="19"/>
      <c r="I1" s="19"/>
      <c r="J1" s="19"/>
      <c r="K1" s="1"/>
      <c r="L1" s="19"/>
      <c r="M1" s="19"/>
      <c r="N1" s="19"/>
      <c r="O1" s="17" t="s">
        <v>103</v>
      </c>
      <c r="P1" s="37">
        <f>'HIER Rechnung Ausschütter'!P1</f>
        <v>0.26375</v>
      </c>
      <c r="Q1" s="37"/>
      <c r="R1" s="37"/>
      <c r="S1" s="19"/>
      <c r="T1" s="36"/>
      <c r="U1" s="37"/>
      <c r="V1" s="17"/>
      <c r="W1" s="17"/>
      <c r="X1" s="17" t="s">
        <v>40</v>
      </c>
      <c r="Y1" s="35">
        <f>'HIER Rechnung Ausschütter'!X1</f>
        <v>35000</v>
      </c>
      <c r="Z1" s="1"/>
      <c r="AA1" s="36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</row>
    <row r="2" ht="12.75" customHeight="1">
      <c r="A2" s="1" t="s">
        <v>3</v>
      </c>
      <c r="B2" s="17" t="s">
        <v>104</v>
      </c>
      <c r="C2" s="17" t="s">
        <v>42</v>
      </c>
      <c r="D2" s="17" t="s">
        <v>43</v>
      </c>
      <c r="E2" s="1" t="s">
        <v>88</v>
      </c>
      <c r="F2" s="17" t="s">
        <v>46</v>
      </c>
      <c r="G2" s="17" t="s">
        <v>105</v>
      </c>
      <c r="H2" s="30" t="s">
        <v>106</v>
      </c>
      <c r="I2" s="17" t="s">
        <v>48</v>
      </c>
      <c r="J2" s="17" t="s">
        <v>49</v>
      </c>
      <c r="K2" s="17" t="s">
        <v>107</v>
      </c>
      <c r="L2" s="42" t="s">
        <v>50</v>
      </c>
      <c r="M2" s="17" t="s">
        <v>108</v>
      </c>
      <c r="N2" s="17" t="s">
        <v>109</v>
      </c>
      <c r="O2" s="17" t="s">
        <v>110</v>
      </c>
      <c r="P2" s="17" t="s">
        <v>54</v>
      </c>
      <c r="Q2" s="17" t="s">
        <v>111</v>
      </c>
      <c r="R2" s="17" t="s">
        <v>112</v>
      </c>
      <c r="S2" s="17"/>
      <c r="T2" s="17" t="s">
        <v>56</v>
      </c>
      <c r="U2" s="17" t="s">
        <v>113</v>
      </c>
      <c r="V2" s="17" t="s">
        <v>114</v>
      </c>
      <c r="W2" s="17" t="s">
        <v>59</v>
      </c>
      <c r="X2" s="17" t="s">
        <v>115</v>
      </c>
      <c r="Y2" s="17" t="s">
        <v>61</v>
      </c>
      <c r="Z2" s="17"/>
      <c r="AA2" s="17"/>
      <c r="AB2" s="1"/>
      <c r="AC2" s="1" t="s">
        <v>116</v>
      </c>
      <c r="AD2" s="17" t="s">
        <v>72</v>
      </c>
      <c r="AE2" s="17" t="s">
        <v>117</v>
      </c>
      <c r="AF2" s="17" t="s">
        <v>71</v>
      </c>
      <c r="AG2" s="17" t="s">
        <v>73</v>
      </c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</row>
    <row r="3" ht="12.75" hidden="1" customHeight="1">
      <c r="A3" s="12">
        <v>0.0</v>
      </c>
      <c r="B3" s="46"/>
      <c r="C3" s="47"/>
      <c r="D3" s="13"/>
      <c r="E3" s="109"/>
      <c r="F3" s="13"/>
      <c r="G3" s="110"/>
      <c r="H3" s="50">
        <f t="shared" ref="H3:H33" si="1">C4*B4</f>
        <v>1000000</v>
      </c>
      <c r="I3" s="51"/>
      <c r="J3" s="51"/>
      <c r="K3" s="57"/>
      <c r="L3" s="13"/>
      <c r="M3" s="13"/>
      <c r="N3" s="13"/>
      <c r="O3" s="13"/>
      <c r="P3" s="18"/>
      <c r="R3" s="13"/>
      <c r="S3" s="18"/>
      <c r="T3" s="47"/>
      <c r="U3" s="52"/>
      <c r="V3" s="13"/>
      <c r="W3" s="13"/>
      <c r="X3" s="13"/>
      <c r="Y3" s="13"/>
      <c r="Z3" s="13"/>
      <c r="AA3" s="18"/>
      <c r="AC3" s="13"/>
      <c r="AE3" s="13"/>
    </row>
    <row r="4" ht="12.75" customHeight="1">
      <c r="A4" s="12">
        <v>1.0</v>
      </c>
      <c r="B4" s="46">
        <v>1.0</v>
      </c>
      <c r="C4" s="47">
        <f>G1</f>
        <v>1000000</v>
      </c>
      <c r="D4" s="13">
        <f>C4*B4</f>
        <v>1000000</v>
      </c>
      <c r="E4" s="109">
        <f>'HIER Rechnung Ausschütter'!E4+'HIER Rechnung Ausschütter'!K$1</f>
        <v>0.1870220986</v>
      </c>
      <c r="F4" s="13">
        <f t="shared" ref="F4:F33" si="2">D4*(1+E4)</f>
        <v>1187022.099</v>
      </c>
      <c r="G4" s="110">
        <v>0.026143851239646</v>
      </c>
      <c r="H4" s="50">
        <f t="shared" si="1"/>
        <v>1171986.071</v>
      </c>
      <c r="I4" s="55">
        <f t="shared" ref="I4:I33" si="3">H4/D4-1</f>
        <v>0.1719860711</v>
      </c>
      <c r="J4" s="55">
        <f t="shared" ref="J4:J33" si="4">B5/B$4-1</f>
        <v>0.1870220986</v>
      </c>
      <c r="K4" s="57">
        <f>H4-'HIER Rechnung Thesaurierer '!J4</f>
        <v>4003.208495</v>
      </c>
      <c r="L4" s="56">
        <f>'HIER Rechnung Ausschütter'!AQ33</f>
        <v>1.003935511</v>
      </c>
      <c r="M4" s="57">
        <f t="shared" ref="M4:M33" si="5">F4*G4</f>
        <v>31033.32917</v>
      </c>
      <c r="N4" s="57">
        <f t="shared" ref="N4:N33" si="6">M4-O4</f>
        <v>22848.2886</v>
      </c>
      <c r="O4" s="57">
        <f t="shared" ref="O4:O33" si="7">M4*P$1-AD4</f>
        <v>8185.040567</v>
      </c>
      <c r="P4" s="58">
        <f>(M4+U4)/H4</f>
        <v>0.03728742682</v>
      </c>
      <c r="Q4" s="57">
        <f>Y1</f>
        <v>35000</v>
      </c>
      <c r="R4" s="57">
        <f t="shared" ref="R4:R33" si="8">N4+Y4</f>
        <v>34999.99707</v>
      </c>
      <c r="S4" s="18"/>
      <c r="T4" s="59">
        <f t="shared" ref="T4:T33" si="9">U4/B5</f>
        <v>10671.25516</v>
      </c>
      <c r="U4" s="60">
        <f t="shared" ref="U4:U33" si="10">Q4-N4+W4</f>
        <v>12667.01863</v>
      </c>
      <c r="V4" s="57">
        <f t="shared" ref="V4:V33" si="11">U4-X4</f>
        <v>1953.771363</v>
      </c>
      <c r="W4" s="57">
        <f t="shared" ref="W4:W33" si="12">V4*P$1</f>
        <v>515.3071971</v>
      </c>
      <c r="X4" s="57">
        <f t="shared" ref="X4:X33" si="13">T4*L4</f>
        <v>10713.252</v>
      </c>
      <c r="Y4" s="57">
        <f t="shared" ref="Y4:Y33" si="14">U4-W4</f>
        <v>12151.71143</v>
      </c>
      <c r="Z4" s="13"/>
      <c r="AA4" s="58"/>
      <c r="AB4" s="12"/>
      <c r="AC4" s="57">
        <f>'HIER Rechnung Ausschütter'!S1</f>
        <v>0</v>
      </c>
      <c r="AD4" s="57">
        <f>IF((M4+U4)&lt;AC4,(M4+U4)*'HIER Rechnung Ausschütter'!O$1,AC4*'HIER Rechnung Ausschütter'!O$1)</f>
        <v>0</v>
      </c>
      <c r="AE4" s="13">
        <f>'HIER Rechnung Ausschütter'!AM4-AG4</f>
        <v>2776.039676</v>
      </c>
      <c r="AF4" s="69">
        <f>'HIER Rechnung Ausschütter'!S1</f>
        <v>0</v>
      </c>
      <c r="AG4" s="13">
        <f t="shared" ref="AG4:AG33" si="15">M4+V4</f>
        <v>32987.10053</v>
      </c>
    </row>
    <row r="5" ht="12.75" customHeight="1">
      <c r="A5" s="12">
        <v>2.0</v>
      </c>
      <c r="B5" s="46">
        <f t="shared" ref="B5:B34" si="16">B4*(1+E4)</f>
        <v>1.187022099</v>
      </c>
      <c r="C5" s="47">
        <f>C4-U4</f>
        <v>987332.9814</v>
      </c>
      <c r="D5" s="13">
        <f t="shared" ref="D5:D33" si="17">H4</f>
        <v>1171986.071</v>
      </c>
      <c r="E5" s="18">
        <f>'HIER Rechnung Ausschütter'!E5+'HIER Rechnung Ausschütter'!K$1</f>
        <v>0.117233208</v>
      </c>
      <c r="F5" s="13">
        <f t="shared" si="2"/>
        <v>1309381.758</v>
      </c>
      <c r="G5" s="110">
        <v>0.022727126367845</v>
      </c>
      <c r="H5" s="50">
        <f t="shared" si="1"/>
        <v>1292909.132</v>
      </c>
      <c r="I5" s="55">
        <f t="shared" si="3"/>
        <v>0.1031778998</v>
      </c>
      <c r="J5" s="55">
        <f t="shared" si="4"/>
        <v>0.3261805073</v>
      </c>
      <c r="K5" s="57">
        <f>H5-'HIER Rechnung Thesaurierer '!J5</f>
        <v>11961.95995</v>
      </c>
      <c r="L5" s="56">
        <f>'HIER Rechnung Ausschütter'!AQ32</f>
        <v>0.9561290582</v>
      </c>
      <c r="M5" s="57">
        <f t="shared" si="5"/>
        <v>29758.48468</v>
      </c>
      <c r="N5" s="57">
        <f t="shared" si="6"/>
        <v>21909.6843</v>
      </c>
      <c r="O5" s="57">
        <f t="shared" si="7"/>
        <v>7848.800334</v>
      </c>
      <c r="P5" s="58">
        <f t="shared" ref="P5:P33" si="18">R5/H5</f>
        <v>0.02874911874</v>
      </c>
      <c r="Q5" s="57">
        <f>Q4*(1+'HIER Rechnung Thesaurierer '!I5)</f>
        <v>37170</v>
      </c>
      <c r="R5" s="57">
        <f t="shared" si="8"/>
        <v>37169.9983</v>
      </c>
      <c r="S5" s="18"/>
      <c r="T5" s="59">
        <f t="shared" si="9"/>
        <v>12421.10503</v>
      </c>
      <c r="U5" s="60">
        <f t="shared" si="10"/>
        <v>16472.62907</v>
      </c>
      <c r="V5" s="57">
        <f t="shared" si="11"/>
        <v>4596.450941</v>
      </c>
      <c r="W5" s="57">
        <f t="shared" si="12"/>
        <v>1212.313936</v>
      </c>
      <c r="X5" s="57">
        <f t="shared" si="13"/>
        <v>11876.17945</v>
      </c>
      <c r="Y5" s="57">
        <f t="shared" si="14"/>
        <v>15260.31514</v>
      </c>
      <c r="Z5" s="13"/>
      <c r="AA5" s="58"/>
      <c r="AB5" s="12"/>
      <c r="AC5" s="57">
        <f>AC4*(1+'HIER Rechnung Thesaurierer '!I5)</f>
        <v>0</v>
      </c>
      <c r="AD5" s="57">
        <f>IF((M5+U5)&lt;AC5,(M5+U5)*'HIER Rechnung Ausschütter'!O$1,AC5*'HIER Rechnung Ausschütter'!O$1)</f>
        <v>0</v>
      </c>
      <c r="AE5" s="13">
        <f>'HIER Rechnung Ausschütter'!AM5-AG5</f>
        <v>5185.146346</v>
      </c>
      <c r="AF5" s="69">
        <f>AF4*(1+'HIER Rechnung Thesaurierer '!I4)</f>
        <v>0</v>
      </c>
      <c r="AG5" s="13">
        <f t="shared" si="15"/>
        <v>34354.93562</v>
      </c>
    </row>
    <row r="6" ht="12.75" customHeight="1">
      <c r="A6" s="12">
        <v>3.0</v>
      </c>
      <c r="B6" s="46">
        <f t="shared" si="16"/>
        <v>1.326180507</v>
      </c>
      <c r="C6" s="47">
        <f t="shared" ref="C6:C34" si="19">C5-T5</f>
        <v>974911.8763</v>
      </c>
      <c r="D6" s="13">
        <f t="shared" si="17"/>
        <v>1292909.132</v>
      </c>
      <c r="E6" s="18">
        <f>'HIER Rechnung Ausschütter'!E6+'HIER Rechnung Ausschütter'!K$1</f>
        <v>0.1416801363</v>
      </c>
      <c r="F6" s="13">
        <f t="shared" si="2"/>
        <v>1476088.675</v>
      </c>
      <c r="G6" s="110">
        <v>0.020590960383848</v>
      </c>
      <c r="H6" s="50">
        <f t="shared" si="1"/>
        <v>1457232.557</v>
      </c>
      <c r="I6" s="55">
        <f t="shared" si="3"/>
        <v>0.1270958803</v>
      </c>
      <c r="J6" s="55">
        <f t="shared" si="4"/>
        <v>0.5140739424</v>
      </c>
      <c r="K6" s="57">
        <f>H6-'HIER Rechnung Thesaurierer '!J6</f>
        <v>21539.29933</v>
      </c>
      <c r="L6" s="56">
        <f>'HIER Rechnung Ausschütter'!AQ31</f>
        <v>0.910599103</v>
      </c>
      <c r="M6" s="57">
        <f t="shared" si="5"/>
        <v>30394.08342</v>
      </c>
      <c r="N6" s="57">
        <f t="shared" si="6"/>
        <v>22377.64388</v>
      </c>
      <c r="O6" s="57">
        <f t="shared" si="7"/>
        <v>8016.439502</v>
      </c>
      <c r="P6" s="58">
        <f t="shared" si="18"/>
        <v>0.02693565948</v>
      </c>
      <c r="Q6" s="57">
        <f>Q5*(1+'HIER Rechnung Thesaurierer '!I6)</f>
        <v>39251.52</v>
      </c>
      <c r="R6" s="57">
        <f t="shared" si="8"/>
        <v>39251.51927</v>
      </c>
      <c r="S6" s="18"/>
      <c r="T6" s="59">
        <f t="shared" si="9"/>
        <v>12453.89498</v>
      </c>
      <c r="U6" s="60">
        <f t="shared" si="10"/>
        <v>18856.11861</v>
      </c>
      <c r="V6" s="57">
        <f t="shared" si="11"/>
        <v>7515.61305</v>
      </c>
      <c r="W6" s="57">
        <f t="shared" si="12"/>
        <v>1982.242942</v>
      </c>
      <c r="X6" s="57">
        <f t="shared" si="13"/>
        <v>11340.5056</v>
      </c>
      <c r="Y6" s="57">
        <f t="shared" si="14"/>
        <v>16873.87567</v>
      </c>
      <c r="Z6" s="13"/>
      <c r="AA6" s="58"/>
      <c r="AB6" s="12"/>
      <c r="AC6" s="57">
        <f>AC5*(1+'HIER Rechnung Thesaurierer '!I6)</f>
        <v>0</v>
      </c>
      <c r="AD6" s="57">
        <f>IF((M6+U6)&lt;AC6,(M6+U6)*'HIER Rechnung Ausschütter'!O$1,AC6*'HIER Rechnung Ausschütter'!O$1)</f>
        <v>0</v>
      </c>
      <c r="AE6" s="13">
        <f>'HIER Rechnung Ausschütter'!AM6-AG6</f>
        <v>3319.928776</v>
      </c>
      <c r="AF6" s="69">
        <f>AF5*(1+'HIER Rechnung Thesaurierer '!I5)</f>
        <v>0</v>
      </c>
      <c r="AG6" s="13">
        <f t="shared" si="15"/>
        <v>37909.69647</v>
      </c>
    </row>
    <row r="7" ht="12.75" customHeight="1">
      <c r="A7" s="12">
        <v>4.0</v>
      </c>
      <c r="B7" s="46">
        <f t="shared" si="16"/>
        <v>1.514073942</v>
      </c>
      <c r="C7" s="47">
        <f t="shared" si="19"/>
        <v>962457.9814</v>
      </c>
      <c r="D7" s="13">
        <f t="shared" si="17"/>
        <v>1457232.557</v>
      </c>
      <c r="E7" s="18">
        <f>'HIER Rechnung Ausschütter'!E7+'HIER Rechnung Ausschütter'!K$1</f>
        <v>0.2278059473</v>
      </c>
      <c r="F7" s="13">
        <f t="shared" si="2"/>
        <v>1789198.8</v>
      </c>
      <c r="G7" s="110">
        <v>0.020146585141558</v>
      </c>
      <c r="H7" s="50">
        <f t="shared" si="1"/>
        <v>1772303.449</v>
      </c>
      <c r="I7" s="55">
        <f t="shared" si="3"/>
        <v>0.2162118121</v>
      </c>
      <c r="J7" s="55">
        <f t="shared" si="4"/>
        <v>0.8589889911</v>
      </c>
      <c r="K7" s="57">
        <f>H7-'HIER Rechnung Thesaurierer '!J7</f>
        <v>34187.43578</v>
      </c>
      <c r="L7" s="56">
        <f>'HIER Rechnung Ausschütter'!AQ30</f>
        <v>0.867237241</v>
      </c>
      <c r="M7" s="57">
        <f t="shared" si="5"/>
        <v>36046.24596</v>
      </c>
      <c r="N7" s="57">
        <f t="shared" si="6"/>
        <v>26539.04855</v>
      </c>
      <c r="O7" s="57">
        <f t="shared" si="7"/>
        <v>9507.197371</v>
      </c>
      <c r="P7" s="58">
        <f t="shared" si="18"/>
        <v>0.02316594838</v>
      </c>
      <c r="Q7" s="57">
        <f>Q6*(1+'HIER Rechnung Thesaurierer '!I7)</f>
        <v>41057.08992</v>
      </c>
      <c r="R7" s="57">
        <f t="shared" si="8"/>
        <v>41057.08956</v>
      </c>
      <c r="S7" s="18"/>
      <c r="T7" s="59">
        <f t="shared" si="9"/>
        <v>9088.462074</v>
      </c>
      <c r="U7" s="60">
        <f t="shared" si="10"/>
        <v>16895.3513</v>
      </c>
      <c r="V7" s="57">
        <f t="shared" si="11"/>
        <v>9013.498391</v>
      </c>
      <c r="W7" s="57">
        <f t="shared" si="12"/>
        <v>2377.310201</v>
      </c>
      <c r="X7" s="57">
        <f t="shared" si="13"/>
        <v>7881.852774</v>
      </c>
      <c r="Y7" s="57">
        <f t="shared" si="14"/>
        <v>14518.0411</v>
      </c>
      <c r="Z7" s="13"/>
      <c r="AA7" s="58"/>
      <c r="AB7" s="12"/>
      <c r="AC7" s="57">
        <f>AC6*(1+'HIER Rechnung Thesaurierer '!I7)</f>
        <v>0</v>
      </c>
      <c r="AD7" s="57">
        <f>IF((M7+U7)&lt;AC7,(M7+U7)*'HIER Rechnung Ausschütter'!O$1,AC7*'HIER Rechnung Ausschütter'!O$1)</f>
        <v>0</v>
      </c>
      <c r="AE7" s="13">
        <f>'HIER Rechnung Ausschütter'!AM7-AG7</f>
        <v>-5775.072</v>
      </c>
      <c r="AF7" s="69">
        <f>AF6*(1+'HIER Rechnung Thesaurierer '!I6)</f>
        <v>0</v>
      </c>
      <c r="AG7" s="13">
        <f t="shared" si="15"/>
        <v>45059.74435</v>
      </c>
    </row>
    <row r="8" ht="12.75" customHeight="1">
      <c r="A8" s="12">
        <v>5.0</v>
      </c>
      <c r="B8" s="46">
        <f t="shared" si="16"/>
        <v>1.858988991</v>
      </c>
      <c r="C8" s="47">
        <f t="shared" si="19"/>
        <v>953369.5193</v>
      </c>
      <c r="D8" s="13">
        <f t="shared" si="17"/>
        <v>1772303.449</v>
      </c>
      <c r="E8" s="18">
        <f>'HIER Rechnung Ausschütter'!E8+'HIER Rechnung Ausschütter'!K$1</f>
        <v>0.2356037469</v>
      </c>
      <c r="F8" s="13">
        <f t="shared" si="2"/>
        <v>2189864.782</v>
      </c>
      <c r="G8" s="110">
        <v>0.017794717970258</v>
      </c>
      <c r="H8" s="50">
        <f t="shared" si="1"/>
        <v>2172761.371</v>
      </c>
      <c r="I8" s="55">
        <f t="shared" si="3"/>
        <v>0.2259533617</v>
      </c>
      <c r="J8" s="55">
        <f t="shared" si="4"/>
        <v>1.296973763</v>
      </c>
      <c r="K8" s="57">
        <f>H8-'HIER Rechnung Thesaurierer '!J8</f>
        <v>52477.25799</v>
      </c>
      <c r="L8" s="56">
        <f>'HIER Rechnung Ausschütter'!AQ29</f>
        <v>0.8259402295</v>
      </c>
      <c r="M8" s="57">
        <f t="shared" si="5"/>
        <v>38968.02619</v>
      </c>
      <c r="N8" s="57">
        <f t="shared" si="6"/>
        <v>28690.20924</v>
      </c>
      <c r="O8" s="57">
        <f t="shared" si="7"/>
        <v>10277.81691</v>
      </c>
      <c r="P8" s="58">
        <f t="shared" si="18"/>
        <v>0.01974660442</v>
      </c>
      <c r="Q8" s="57">
        <f>Q7*(1+'HIER Rechnung Thesaurierer '!I8)</f>
        <v>42904.65897</v>
      </c>
      <c r="R8" s="57">
        <f t="shared" si="8"/>
        <v>42904.65873</v>
      </c>
      <c r="S8" s="18"/>
      <c r="T8" s="59">
        <f t="shared" si="9"/>
        <v>7446.062715</v>
      </c>
      <c r="U8" s="60">
        <f t="shared" si="10"/>
        <v>17103.41092</v>
      </c>
      <c r="V8" s="57">
        <f t="shared" si="11"/>
        <v>10953.40806</v>
      </c>
      <c r="W8" s="57">
        <f t="shared" si="12"/>
        <v>2888.961376</v>
      </c>
      <c r="X8" s="57">
        <f t="shared" si="13"/>
        <v>6150.002747</v>
      </c>
      <c r="Y8" s="57">
        <f t="shared" si="14"/>
        <v>14214.44955</v>
      </c>
      <c r="Z8" s="13"/>
      <c r="AA8" s="58"/>
      <c r="AB8" s="12"/>
      <c r="AC8" s="57">
        <f>AC7*(1+'HIER Rechnung Thesaurierer '!I8)</f>
        <v>0</v>
      </c>
      <c r="AD8" s="57">
        <f>IF((M8+U8)&lt;AC8,(M8+U8)*'HIER Rechnung Ausschütter'!O$1,AC8*'HIER Rechnung Ausschütter'!O$1)</f>
        <v>0</v>
      </c>
      <c r="AE8" s="13">
        <f>'HIER Rechnung Ausschütter'!AM8-AG8</f>
        <v>-2614.074175</v>
      </c>
      <c r="AF8" s="69">
        <f>AF7*(1+'HIER Rechnung Thesaurierer '!I7)</f>
        <v>0</v>
      </c>
      <c r="AG8" s="13">
        <f t="shared" si="15"/>
        <v>49921.43425</v>
      </c>
    </row>
    <row r="9" ht="12.75" customHeight="1">
      <c r="A9" s="12">
        <v>6.0</v>
      </c>
      <c r="B9" s="46">
        <f t="shared" si="16"/>
        <v>2.296973763</v>
      </c>
      <c r="C9" s="47">
        <f t="shared" si="19"/>
        <v>945923.4566</v>
      </c>
      <c r="D9" s="13">
        <f t="shared" si="17"/>
        <v>2172761.371</v>
      </c>
      <c r="E9" s="18">
        <f>'HIER Rechnung Ausschütter'!E9+'HIER Rechnung Ausschütter'!K$1</f>
        <v>-0.1404983514</v>
      </c>
      <c r="F9" s="13">
        <f t="shared" si="2"/>
        <v>1867491.98</v>
      </c>
      <c r="G9" s="110">
        <v>0.011317491583464</v>
      </c>
      <c r="H9" s="50">
        <f t="shared" si="1"/>
        <v>1832288.818</v>
      </c>
      <c r="I9" s="55">
        <f t="shared" si="3"/>
        <v>-0.1567003892</v>
      </c>
      <c r="J9" s="55">
        <f t="shared" si="4"/>
        <v>0.9742527361</v>
      </c>
      <c r="K9" s="57">
        <f>H9-'HIER Rechnung Thesaurierer '!J9</f>
        <v>42620.2226</v>
      </c>
      <c r="L9" s="56">
        <f>'HIER Rechnung Ausschütter'!AQ28</f>
        <v>0.7866097424</v>
      </c>
      <c r="M9" s="57">
        <f t="shared" si="5"/>
        <v>21135.32477</v>
      </c>
      <c r="N9" s="57">
        <f t="shared" si="6"/>
        <v>15560.88284</v>
      </c>
      <c r="O9" s="57">
        <f t="shared" si="7"/>
        <v>5574.441908</v>
      </c>
      <c r="P9" s="58">
        <f t="shared" si="18"/>
        <v>0.02465692399</v>
      </c>
      <c r="Q9" s="57">
        <f>Q8*(1+'HIER Rechnung Thesaurierer '!I9)</f>
        <v>45178.60589</v>
      </c>
      <c r="R9" s="57">
        <f t="shared" si="8"/>
        <v>45178.60578</v>
      </c>
      <c r="S9" s="18"/>
      <c r="T9" s="59">
        <f t="shared" si="9"/>
        <v>17831.13227</v>
      </c>
      <c r="U9" s="60">
        <f t="shared" si="10"/>
        <v>35203.16179</v>
      </c>
      <c r="V9" s="57">
        <f t="shared" si="11"/>
        <v>21177.01934</v>
      </c>
      <c r="W9" s="57">
        <f t="shared" si="12"/>
        <v>5585.43885</v>
      </c>
      <c r="X9" s="57">
        <f t="shared" si="13"/>
        <v>14026.14236</v>
      </c>
      <c r="Y9" s="57">
        <f t="shared" si="14"/>
        <v>29617.72294</v>
      </c>
      <c r="Z9" s="13"/>
      <c r="AA9" s="58"/>
      <c r="AB9" s="12"/>
      <c r="AC9" s="57">
        <f>AC8*(1+'HIER Rechnung Thesaurierer '!I9)</f>
        <v>0</v>
      </c>
      <c r="AD9" s="57">
        <f>IF((M9+U9)&lt;AC9,(M9+U9)*'HIER Rechnung Ausschütter'!O$1,AC9*'HIER Rechnung Ausschütter'!O$1)</f>
        <v>0</v>
      </c>
      <c r="AE9" s="13">
        <f>'HIER Rechnung Ausschütter'!AM9-AG9</f>
        <v>-18371.59767</v>
      </c>
      <c r="AF9" s="69">
        <f>AF8*(1+'HIER Rechnung Thesaurierer '!I8)</f>
        <v>0</v>
      </c>
      <c r="AG9" s="13">
        <f t="shared" si="15"/>
        <v>42312.34411</v>
      </c>
    </row>
    <row r="10" ht="12.75" customHeight="1">
      <c r="A10" s="12">
        <v>7.0</v>
      </c>
      <c r="B10" s="46">
        <f t="shared" si="16"/>
        <v>1.974252736</v>
      </c>
      <c r="C10" s="47">
        <f t="shared" si="19"/>
        <v>928092.3243</v>
      </c>
      <c r="D10" s="13">
        <f t="shared" si="17"/>
        <v>1832288.818</v>
      </c>
      <c r="E10" s="18">
        <f>'HIER Rechnung Ausschütter'!E10+'HIER Rechnung Ausschütter'!K$1</f>
        <v>-0.1782898384</v>
      </c>
      <c r="F10" s="13">
        <f t="shared" si="2"/>
        <v>1505610.341</v>
      </c>
      <c r="G10" s="110">
        <v>0.013078928321695</v>
      </c>
      <c r="H10" s="50">
        <f t="shared" si="1"/>
        <v>1467326.814</v>
      </c>
      <c r="I10" s="55">
        <f t="shared" si="3"/>
        <v>-0.199183666</v>
      </c>
      <c r="J10" s="55">
        <f t="shared" si="4"/>
        <v>0.6222635348</v>
      </c>
      <c r="K10" s="57">
        <f>H10-'HIER Rechnung Thesaurierer '!J10</f>
        <v>32334.79144</v>
      </c>
      <c r="L10" s="56">
        <f>'HIER Rechnung Ausschütter'!AQ27</f>
        <v>0.7491521356</v>
      </c>
      <c r="M10" s="57">
        <f t="shared" si="5"/>
        <v>19691.76973</v>
      </c>
      <c r="N10" s="57">
        <f t="shared" si="6"/>
        <v>14498.06545</v>
      </c>
      <c r="O10" s="57">
        <f t="shared" si="7"/>
        <v>5193.704267</v>
      </c>
      <c r="P10" s="58">
        <f t="shared" si="18"/>
        <v>0.03226764399</v>
      </c>
      <c r="Q10" s="57">
        <f>Q9*(1+'HIER Rechnung Thesaurierer '!I10)</f>
        <v>47347.17897</v>
      </c>
      <c r="R10" s="57">
        <f t="shared" si="8"/>
        <v>47347.17886</v>
      </c>
      <c r="S10" s="18"/>
      <c r="T10" s="59">
        <f t="shared" si="9"/>
        <v>23598.83314</v>
      </c>
      <c r="U10" s="60">
        <f t="shared" si="10"/>
        <v>38283.52658</v>
      </c>
      <c r="V10" s="57">
        <f t="shared" si="11"/>
        <v>20604.41021</v>
      </c>
      <c r="W10" s="57">
        <f t="shared" si="12"/>
        <v>5434.413192</v>
      </c>
      <c r="X10" s="57">
        <f t="shared" si="13"/>
        <v>17679.11624</v>
      </c>
      <c r="Y10" s="57">
        <f t="shared" si="14"/>
        <v>32849.11339</v>
      </c>
      <c r="Z10" s="13"/>
      <c r="AA10" s="58"/>
      <c r="AB10" s="12"/>
      <c r="AC10" s="57">
        <f>AC9*(1+'HIER Rechnung Thesaurierer '!I10)</f>
        <v>0</v>
      </c>
      <c r="AD10" s="57">
        <f>IF((M10+U10)&lt;AC10,(M10+U10)*'HIER Rechnung Ausschütter'!O$1,AC10*'HIER Rechnung Ausschütter'!O$1)</f>
        <v>0</v>
      </c>
      <c r="AE10" s="13">
        <f>'HIER Rechnung Ausschütter'!AM10-AG10</f>
        <v>-17750.79514</v>
      </c>
      <c r="AF10" s="69">
        <f>AF9*(1+'HIER Rechnung Thesaurierer '!I9)</f>
        <v>0</v>
      </c>
      <c r="AG10" s="13">
        <f t="shared" si="15"/>
        <v>40296.17994</v>
      </c>
    </row>
    <row r="11" ht="12.75" customHeight="1">
      <c r="A11" s="12">
        <v>8.0</v>
      </c>
      <c r="B11" s="46">
        <f t="shared" si="16"/>
        <v>1.622263535</v>
      </c>
      <c r="C11" s="47">
        <f t="shared" si="19"/>
        <v>904493.4912</v>
      </c>
      <c r="D11" s="13">
        <f t="shared" si="17"/>
        <v>1467326.814</v>
      </c>
      <c r="E11" s="18">
        <f>'HIER Rechnung Ausschütter'!E11+'HIER Rechnung Ausschütter'!K$1</f>
        <v>-0.2105606687</v>
      </c>
      <c r="F11" s="13">
        <f t="shared" si="2"/>
        <v>1158365.499</v>
      </c>
      <c r="G11" s="110">
        <v>0.015147903791878</v>
      </c>
      <c r="H11" s="50">
        <f t="shared" si="1"/>
        <v>1116810.337</v>
      </c>
      <c r="I11" s="55">
        <f t="shared" si="3"/>
        <v>-0.2388809869</v>
      </c>
      <c r="J11" s="55">
        <f t="shared" si="4"/>
        <v>0.2806786401</v>
      </c>
      <c r="K11" s="57">
        <f>H11-'HIER Rechnung Thesaurierer '!J11</f>
        <v>22730.91855</v>
      </c>
      <c r="L11" s="56">
        <f>'HIER Rechnung Ausschütter'!AQ26</f>
        <v>0.7134782244</v>
      </c>
      <c r="M11" s="57">
        <f t="shared" si="5"/>
        <v>17546.80914</v>
      </c>
      <c r="N11" s="57">
        <f t="shared" si="6"/>
        <v>12918.83822</v>
      </c>
      <c r="O11" s="57">
        <f t="shared" si="7"/>
        <v>4627.97091</v>
      </c>
      <c r="P11" s="58">
        <f t="shared" si="18"/>
        <v>0.04442996478</v>
      </c>
      <c r="Q11" s="57">
        <f>Q10*(1+'HIER Rechnung Thesaurierer '!I11)</f>
        <v>49619.84357</v>
      </c>
      <c r="R11" s="57">
        <f t="shared" si="8"/>
        <v>49619.84339</v>
      </c>
      <c r="S11" s="18"/>
      <c r="T11" s="59">
        <f t="shared" si="9"/>
        <v>32447.76689</v>
      </c>
      <c r="U11" s="60">
        <f t="shared" si="10"/>
        <v>41555.16216</v>
      </c>
      <c r="V11" s="57">
        <f t="shared" si="11"/>
        <v>18404.38685</v>
      </c>
      <c r="W11" s="57">
        <f t="shared" si="12"/>
        <v>4854.157031</v>
      </c>
      <c r="X11" s="57">
        <f t="shared" si="13"/>
        <v>23150.77511</v>
      </c>
      <c r="Y11" s="57">
        <f t="shared" si="14"/>
        <v>36701.00513</v>
      </c>
      <c r="Z11" s="13"/>
      <c r="AA11" s="58"/>
      <c r="AB11" s="12"/>
      <c r="AC11" s="57">
        <f>AC10*(1+'HIER Rechnung Thesaurierer '!I11)</f>
        <v>0</v>
      </c>
      <c r="AD11" s="57">
        <f>IF((M11+U11)&lt;AC11,(M11+U11)*'HIER Rechnung Ausschütter'!O$1,AC11*'HIER Rechnung Ausschütter'!O$1)</f>
        <v>0</v>
      </c>
      <c r="AE11" s="13">
        <f>'HIER Rechnung Ausschütter'!AM11-AG11</f>
        <v>-16299.98938</v>
      </c>
      <c r="AF11" s="69">
        <f>AF10*(1+'HIER Rechnung Thesaurierer '!I10)</f>
        <v>0</v>
      </c>
      <c r="AG11" s="13">
        <f t="shared" si="15"/>
        <v>35951.19598</v>
      </c>
    </row>
    <row r="12" ht="12.75" customHeight="1">
      <c r="A12" s="12">
        <v>9.0</v>
      </c>
      <c r="B12" s="46">
        <f t="shared" si="16"/>
        <v>1.28067864</v>
      </c>
      <c r="C12" s="47">
        <f t="shared" si="19"/>
        <v>872045.7243</v>
      </c>
      <c r="D12" s="13">
        <f t="shared" si="17"/>
        <v>1116810.337</v>
      </c>
      <c r="E12" s="18">
        <f>'HIER Rechnung Ausschütter'!E12+'HIER Rechnung Ausschütter'!K$1</f>
        <v>0.3081272129</v>
      </c>
      <c r="F12" s="13">
        <f t="shared" si="2"/>
        <v>1460929.993</v>
      </c>
      <c r="G12" s="110">
        <v>0.029489449983969</v>
      </c>
      <c r="H12" s="50">
        <f t="shared" si="1"/>
        <v>1437288.554</v>
      </c>
      <c r="I12" s="55">
        <f t="shared" si="3"/>
        <v>0.2869584989</v>
      </c>
      <c r="J12" s="55">
        <f t="shared" si="4"/>
        <v>0.6752905802</v>
      </c>
      <c r="K12" s="57">
        <f>H12-'HIER Rechnung Thesaurierer '!J12</f>
        <v>51675.1846</v>
      </c>
      <c r="L12" s="56">
        <f>'HIER Rechnung Ausschütter'!AQ25</f>
        <v>0.6795030708</v>
      </c>
      <c r="M12" s="57">
        <f t="shared" si="5"/>
        <v>43082.02196</v>
      </c>
      <c r="N12" s="57">
        <f t="shared" si="6"/>
        <v>31719.13866</v>
      </c>
      <c r="O12" s="57">
        <f t="shared" si="7"/>
        <v>11362.88329</v>
      </c>
      <c r="P12" s="58">
        <f t="shared" si="18"/>
        <v>0.03593868313</v>
      </c>
      <c r="Q12" s="57">
        <f>Q11*(1+'HIER Rechnung Thesaurierer '!I12)</f>
        <v>51654.25715</v>
      </c>
      <c r="R12" s="57">
        <f t="shared" si="8"/>
        <v>51654.25709</v>
      </c>
      <c r="S12" s="18"/>
      <c r="T12" s="59">
        <f t="shared" si="9"/>
        <v>14111.84317</v>
      </c>
      <c r="U12" s="60">
        <f t="shared" si="10"/>
        <v>23641.43799</v>
      </c>
      <c r="V12" s="57">
        <f t="shared" si="11"/>
        <v>14052.39691</v>
      </c>
      <c r="W12" s="57">
        <f t="shared" si="12"/>
        <v>3706.319685</v>
      </c>
      <c r="X12" s="57">
        <f t="shared" si="13"/>
        <v>9589.040768</v>
      </c>
      <c r="Y12" s="57">
        <f t="shared" si="14"/>
        <v>19935.1183</v>
      </c>
      <c r="Z12" s="13"/>
      <c r="AA12" s="58"/>
      <c r="AB12" s="12"/>
      <c r="AC12" s="57">
        <f>AC11*(1+'HIER Rechnung Thesaurierer '!I12)</f>
        <v>0</v>
      </c>
      <c r="AD12" s="57">
        <f>IF((M12+U12)&lt;AC12,(M12+U12)*'HIER Rechnung Ausschütter'!O$1,AC12*'HIER Rechnung Ausschütter'!O$1)</f>
        <v>0</v>
      </c>
      <c r="AE12" s="13">
        <f>'HIER Rechnung Ausschütter'!AM12-AG12</f>
        <v>-23552.30348</v>
      </c>
      <c r="AF12" s="69">
        <f>AF11*(1+'HIER Rechnung Thesaurierer '!I11)</f>
        <v>0</v>
      </c>
      <c r="AG12" s="13">
        <f t="shared" si="15"/>
        <v>57134.41887</v>
      </c>
    </row>
    <row r="13" ht="12.75" customHeight="1">
      <c r="A13" s="12">
        <v>10.0</v>
      </c>
      <c r="B13" s="46">
        <f t="shared" si="16"/>
        <v>1.67529058</v>
      </c>
      <c r="C13" s="47">
        <f t="shared" si="19"/>
        <v>857933.8811</v>
      </c>
      <c r="D13" s="13">
        <f t="shared" si="17"/>
        <v>1437288.554</v>
      </c>
      <c r="E13" s="18">
        <f>'HIER Rechnung Ausschütter'!E13+'HIER Rechnung Ausschütter'!K$1</f>
        <v>0.1283611787</v>
      </c>
      <c r="F13" s="13">
        <f t="shared" si="2"/>
        <v>1621780.608</v>
      </c>
      <c r="G13" s="110">
        <v>0.024104943239148</v>
      </c>
      <c r="H13" s="50">
        <f t="shared" si="1"/>
        <v>1591608.863</v>
      </c>
      <c r="I13" s="55">
        <f t="shared" si="3"/>
        <v>0.107369051</v>
      </c>
      <c r="J13" s="55">
        <f t="shared" si="4"/>
        <v>0.8903328537</v>
      </c>
      <c r="K13" s="57">
        <f>H13-'HIER Rechnung Thesaurierer '!J13</f>
        <v>64741.93907</v>
      </c>
      <c r="L13" s="56">
        <f>'HIER Rechnung Ausschütter'!AQ24</f>
        <v>0.6471457817</v>
      </c>
      <c r="M13" s="57">
        <f t="shared" si="5"/>
        <v>39092.92949</v>
      </c>
      <c r="N13" s="57">
        <f t="shared" si="6"/>
        <v>28782.16934</v>
      </c>
      <c r="O13" s="57">
        <f t="shared" si="7"/>
        <v>10310.76015</v>
      </c>
      <c r="P13" s="58">
        <f t="shared" si="18"/>
        <v>0.03375228006</v>
      </c>
      <c r="Q13" s="57">
        <f>Q12*(1+'HIER Rechnung Thesaurierer '!I13)</f>
        <v>53720.42744</v>
      </c>
      <c r="R13" s="57">
        <f t="shared" si="8"/>
        <v>53720.42747</v>
      </c>
      <c r="S13" s="18"/>
      <c r="T13" s="59">
        <f t="shared" si="9"/>
        <v>15961.07488</v>
      </c>
      <c r="U13" s="60">
        <f t="shared" si="10"/>
        <v>30171.7442</v>
      </c>
      <c r="V13" s="57">
        <f t="shared" si="11"/>
        <v>19842.6017</v>
      </c>
      <c r="W13" s="57">
        <f t="shared" si="12"/>
        <v>5233.486198</v>
      </c>
      <c r="X13" s="57">
        <f t="shared" si="13"/>
        <v>10329.14228</v>
      </c>
      <c r="Y13" s="57">
        <f t="shared" si="14"/>
        <v>24938.258</v>
      </c>
      <c r="Z13" s="13"/>
      <c r="AA13" s="58"/>
      <c r="AB13" s="12"/>
      <c r="AC13" s="57">
        <f>AC12*(1+'HIER Rechnung Thesaurierer '!I13)</f>
        <v>0</v>
      </c>
      <c r="AD13" s="57">
        <f>IF((M13+U13)&lt;AC13,(M13+U13)*'HIER Rechnung Ausschütter'!O$1,AC13*'HIER Rechnung Ausschütter'!O$1)</f>
        <v>0</v>
      </c>
      <c r="AE13" s="13">
        <f>'HIER Rechnung Ausschütter'!AM13-AG13</f>
        <v>-19031.79551</v>
      </c>
      <c r="AF13" s="69">
        <f>AF12*(1+'HIER Rechnung Thesaurierer '!I12)</f>
        <v>0</v>
      </c>
      <c r="AG13" s="13">
        <f t="shared" si="15"/>
        <v>58935.53119</v>
      </c>
    </row>
    <row r="14" ht="12.75" customHeight="1">
      <c r="A14" s="12">
        <v>11.0</v>
      </c>
      <c r="B14" s="46">
        <f t="shared" si="16"/>
        <v>1.890332854</v>
      </c>
      <c r="C14" s="47">
        <f t="shared" si="19"/>
        <v>841972.8062</v>
      </c>
      <c r="D14" s="13">
        <f t="shared" si="17"/>
        <v>1591608.863</v>
      </c>
      <c r="E14" s="18">
        <f>'HIER Rechnung Ausschütter'!E14+'HIER Rechnung Ausschütter'!K$1</f>
        <v>0.07562721225</v>
      </c>
      <c r="F14" s="13">
        <f t="shared" si="2"/>
        <v>1711977.804</v>
      </c>
      <c r="G14" s="110">
        <v>0.024604972779632</v>
      </c>
      <c r="H14" s="50">
        <f t="shared" si="1"/>
        <v>1681919.223</v>
      </c>
      <c r="I14" s="55">
        <f t="shared" si="3"/>
        <v>0.05674155405</v>
      </c>
      <c r="J14" s="55">
        <f t="shared" si="4"/>
        <v>1.033293458</v>
      </c>
      <c r="K14" s="57">
        <f>H14-'HIER Rechnung Thesaurierer '!J14</f>
        <v>75808.18327</v>
      </c>
      <c r="L14" s="56">
        <f>'HIER Rechnung Ausschütter'!AQ23</f>
        <v>0.6163293159</v>
      </c>
      <c r="M14" s="57">
        <f t="shared" si="5"/>
        <v>42123.16726</v>
      </c>
      <c r="N14" s="57">
        <f t="shared" si="6"/>
        <v>31013.18191</v>
      </c>
      <c r="O14" s="57">
        <f t="shared" si="7"/>
        <v>11109.98537</v>
      </c>
      <c r="P14" s="58">
        <f t="shared" si="18"/>
        <v>0.0330259158</v>
      </c>
      <c r="Q14" s="57">
        <f>Q13*(1+'HIER Rechnung Thesaurierer '!I14)</f>
        <v>55546.92197</v>
      </c>
      <c r="R14" s="57">
        <f t="shared" si="8"/>
        <v>55546.92205</v>
      </c>
      <c r="S14" s="18"/>
      <c r="T14" s="59">
        <f t="shared" si="9"/>
        <v>14783.19826</v>
      </c>
      <c r="U14" s="60">
        <f t="shared" si="10"/>
        <v>30058.58024</v>
      </c>
      <c r="V14" s="57">
        <f t="shared" si="11"/>
        <v>20947.26156</v>
      </c>
      <c r="W14" s="57">
        <f t="shared" si="12"/>
        <v>5524.840237</v>
      </c>
      <c r="X14" s="57">
        <f t="shared" si="13"/>
        <v>9111.318473</v>
      </c>
      <c r="Y14" s="57">
        <f t="shared" si="14"/>
        <v>24533.74</v>
      </c>
      <c r="Z14" s="13"/>
      <c r="AA14" s="58"/>
      <c r="AB14" s="12"/>
      <c r="AC14" s="57">
        <f>AC13*(1+'HIER Rechnung Thesaurierer '!I14)</f>
        <v>0</v>
      </c>
      <c r="AD14" s="57">
        <f>IF((M14+U14)&lt;AC14,(M14+U14)*'HIER Rechnung Ausschütter'!O$1,AC14*'HIER Rechnung Ausschütter'!O$1)</f>
        <v>0</v>
      </c>
      <c r="AE14" s="13">
        <f>'HIER Rechnung Ausschütter'!AM14-AG14</f>
        <v>-24520.56546</v>
      </c>
      <c r="AF14" s="69">
        <f>AF13*(1+'HIER Rechnung Thesaurierer '!I13)</f>
        <v>0</v>
      </c>
      <c r="AG14" s="13">
        <f t="shared" si="15"/>
        <v>63070.42883</v>
      </c>
    </row>
    <row r="15" ht="12.75" customHeight="1">
      <c r="A15" s="12">
        <v>12.0</v>
      </c>
      <c r="B15" s="46">
        <f t="shared" si="16"/>
        <v>2.033293458</v>
      </c>
      <c r="C15" s="47">
        <f t="shared" si="19"/>
        <v>827189.608</v>
      </c>
      <c r="D15" s="13">
        <f t="shared" si="17"/>
        <v>1681919.223</v>
      </c>
      <c r="E15" s="18">
        <f>'HIER Rechnung Ausschütter'!E15+'HIER Rechnung Ausschütter'!K$1</f>
        <v>0.1795257498</v>
      </c>
      <c r="F15" s="13">
        <f t="shared" si="2"/>
        <v>1983867.033</v>
      </c>
      <c r="G15" s="110">
        <v>0.026996491401001</v>
      </c>
      <c r="H15" s="50">
        <f t="shared" si="1"/>
        <v>1961107.302</v>
      </c>
      <c r="I15" s="55">
        <f t="shared" si="3"/>
        <v>0.1659937502</v>
      </c>
      <c r="J15" s="55">
        <f t="shared" si="4"/>
        <v>1.39832199</v>
      </c>
      <c r="K15" s="57">
        <f>H15-'HIER Rechnung Thesaurierer '!J15</f>
        <v>98367.60311</v>
      </c>
      <c r="L15" s="56">
        <f>'HIER Rechnung Ausschütter'!AQ22</f>
        <v>0.5869803009</v>
      </c>
      <c r="M15" s="57">
        <f t="shared" si="5"/>
        <v>53557.44929</v>
      </c>
      <c r="N15" s="57">
        <f t="shared" si="6"/>
        <v>39431.67206</v>
      </c>
      <c r="O15" s="57">
        <f t="shared" si="7"/>
        <v>14125.77725</v>
      </c>
      <c r="P15" s="58">
        <f t="shared" si="18"/>
        <v>0.02940058696</v>
      </c>
      <c r="Q15" s="57">
        <f>Q14*(1+'HIER Rechnung Thesaurierer '!I15)</f>
        <v>57657.70501</v>
      </c>
      <c r="R15" s="57">
        <f t="shared" si="8"/>
        <v>57657.70513</v>
      </c>
      <c r="S15" s="18"/>
      <c r="T15" s="59">
        <f t="shared" si="9"/>
        <v>9489.855706</v>
      </c>
      <c r="U15" s="60">
        <f t="shared" si="10"/>
        <v>22759.7295</v>
      </c>
      <c r="V15" s="57">
        <f t="shared" si="11"/>
        <v>17189.37095</v>
      </c>
      <c r="W15" s="57">
        <f t="shared" si="12"/>
        <v>4533.696589</v>
      </c>
      <c r="X15" s="57">
        <f t="shared" si="13"/>
        <v>5570.358358</v>
      </c>
      <c r="Y15" s="57">
        <f t="shared" si="14"/>
        <v>18226.03291</v>
      </c>
      <c r="Z15" s="13"/>
      <c r="AA15" s="58"/>
      <c r="AB15" s="12"/>
      <c r="AC15" s="57">
        <f>AC14*(1+'HIER Rechnung Thesaurierer '!I15)</f>
        <v>0</v>
      </c>
      <c r="AD15" s="57">
        <f>IF((M15+U15)&lt;AC15,(M15+U15)*'HIER Rechnung Ausschütter'!O$1,AC15*'HIER Rechnung Ausschütter'!O$1)</f>
        <v>0</v>
      </c>
      <c r="AE15" s="13">
        <f>'HIER Rechnung Ausschütter'!AM15-AG15</f>
        <v>-28620.47125</v>
      </c>
      <c r="AF15" s="69">
        <f>AF14*(1+'HIER Rechnung Thesaurierer '!I14)</f>
        <v>0</v>
      </c>
      <c r="AG15" s="13">
        <f t="shared" si="15"/>
        <v>70746.82024</v>
      </c>
    </row>
    <row r="16" ht="12.75" customHeight="1">
      <c r="A16" s="12">
        <v>13.0</v>
      </c>
      <c r="B16" s="46">
        <f t="shared" si="16"/>
        <v>2.39832199</v>
      </c>
      <c r="C16" s="47">
        <f t="shared" si="19"/>
        <v>817699.7522</v>
      </c>
      <c r="D16" s="13">
        <f t="shared" si="17"/>
        <v>1961107.302</v>
      </c>
      <c r="E16" s="18">
        <f>'HIER Rechnung Ausschütter'!E16+'HIER Rechnung Ausschütter'!K$1</f>
        <v>0.07092650336</v>
      </c>
      <c r="F16" s="13">
        <f t="shared" si="2"/>
        <v>2100201.786</v>
      </c>
      <c r="G16" s="110">
        <v>0.0247332578125608</v>
      </c>
      <c r="H16" s="50">
        <f t="shared" si="1"/>
        <v>2072689.944</v>
      </c>
      <c r="I16" s="55">
        <f t="shared" si="3"/>
        <v>0.05689777492</v>
      </c>
      <c r="J16" s="55">
        <f t="shared" si="4"/>
        <v>1.568426583</v>
      </c>
      <c r="K16" s="57">
        <f>H16-'HIER Rechnung Thesaurierer '!J16</f>
        <v>116673.0655</v>
      </c>
      <c r="L16" s="56">
        <f>'HIER Rechnung Ausschütter'!AQ21</f>
        <v>0.559028858</v>
      </c>
      <c r="M16" s="57">
        <f t="shared" si="5"/>
        <v>51944.83223</v>
      </c>
      <c r="N16" s="57">
        <f t="shared" si="6"/>
        <v>38244.38275</v>
      </c>
      <c r="O16" s="57">
        <f t="shared" si="7"/>
        <v>13700.4495</v>
      </c>
      <c r="P16" s="58">
        <f t="shared" si="18"/>
        <v>0.02898616337</v>
      </c>
      <c r="Q16" s="57">
        <f>Q15*(1+'HIER Rechnung Thesaurierer '!I16)</f>
        <v>60079.32862</v>
      </c>
      <c r="R16" s="57">
        <f t="shared" si="8"/>
        <v>60079.32877</v>
      </c>
      <c r="S16" s="18"/>
      <c r="T16" s="59">
        <f t="shared" si="9"/>
        <v>10711.5544</v>
      </c>
      <c r="U16" s="60">
        <f t="shared" si="10"/>
        <v>27511.8409</v>
      </c>
      <c r="V16" s="57">
        <f t="shared" si="11"/>
        <v>21523.77273</v>
      </c>
      <c r="W16" s="57">
        <f t="shared" si="12"/>
        <v>5676.895057</v>
      </c>
      <c r="X16" s="57">
        <f t="shared" si="13"/>
        <v>5988.068022</v>
      </c>
      <c r="Y16" s="57">
        <f t="shared" si="14"/>
        <v>21834.94585</v>
      </c>
      <c r="Z16" s="13"/>
      <c r="AA16" s="58"/>
      <c r="AB16" s="12"/>
      <c r="AC16" s="57">
        <f>AC15*(1+'HIER Rechnung Thesaurierer '!I16)</f>
        <v>0</v>
      </c>
      <c r="AD16" s="57">
        <f>IF((M16+U16)&lt;AC16,(M16+U16)*'HIER Rechnung Ausschütter'!O$1,AC16*'HIER Rechnung Ausschütter'!O$1)</f>
        <v>0</v>
      </c>
      <c r="AE16" s="13">
        <f>'HIER Rechnung Ausschütter'!AM16-AG16</f>
        <v>-19251.87595</v>
      </c>
      <c r="AF16" s="69">
        <f>AF15*(1+'HIER Rechnung Thesaurierer '!I15)</f>
        <v>0</v>
      </c>
      <c r="AG16" s="13">
        <f t="shared" si="15"/>
        <v>73468.60495</v>
      </c>
    </row>
    <row r="17" ht="12.75" customHeight="1">
      <c r="A17" s="12">
        <v>14.0</v>
      </c>
      <c r="B17" s="46">
        <f t="shared" si="16"/>
        <v>2.568426583</v>
      </c>
      <c r="C17" s="47">
        <f t="shared" si="19"/>
        <v>806988.1978</v>
      </c>
      <c r="D17" s="13">
        <f t="shared" si="17"/>
        <v>2072689.944</v>
      </c>
      <c r="E17" s="18">
        <f>'HIER Rechnung Ausschütter'!E17+'HIER Rechnung Ausschütter'!K$1</f>
        <v>-0.4208054743</v>
      </c>
      <c r="F17" s="13">
        <f t="shared" si="2"/>
        <v>1200490.669</v>
      </c>
      <c r="G17" s="110">
        <v>0.01746580814165</v>
      </c>
      <c r="H17" s="50">
        <f t="shared" si="1"/>
        <v>1143853.73</v>
      </c>
      <c r="I17" s="55">
        <f t="shared" si="3"/>
        <v>-0.4481308055</v>
      </c>
      <c r="J17" s="55">
        <f t="shared" si="4"/>
        <v>0.4876186165</v>
      </c>
      <c r="K17" s="57">
        <f>H17-'HIER Rechnung Thesaurierer '!J17</f>
        <v>62502.16922</v>
      </c>
      <c r="L17" s="56">
        <f>'HIER Rechnung Ausschütter'!AQ20</f>
        <v>0.5324084362</v>
      </c>
      <c r="M17" s="57">
        <f t="shared" si="5"/>
        <v>20967.5397</v>
      </c>
      <c r="N17" s="57">
        <f t="shared" si="6"/>
        <v>15437.35112</v>
      </c>
      <c r="O17" s="57">
        <f t="shared" si="7"/>
        <v>5530.188596</v>
      </c>
      <c r="P17" s="58">
        <f t="shared" si="18"/>
        <v>0.05462455603</v>
      </c>
      <c r="Q17" s="57">
        <f>Q16*(1+'HIER Rechnung Thesaurierer '!I17)</f>
        <v>62482.50176</v>
      </c>
      <c r="R17" s="57">
        <f t="shared" si="8"/>
        <v>62482.50187</v>
      </c>
      <c r="S17" s="18"/>
      <c r="T17" s="59">
        <f t="shared" si="9"/>
        <v>38072.21703</v>
      </c>
      <c r="U17" s="60">
        <f t="shared" si="10"/>
        <v>56636.93871</v>
      </c>
      <c r="V17" s="57">
        <f t="shared" si="11"/>
        <v>36366.96904</v>
      </c>
      <c r="W17" s="57">
        <f t="shared" si="12"/>
        <v>9591.788084</v>
      </c>
      <c r="X17" s="57">
        <f t="shared" si="13"/>
        <v>20269.96953</v>
      </c>
      <c r="Y17" s="57">
        <f t="shared" si="14"/>
        <v>47045.15063</v>
      </c>
      <c r="Z17" s="13"/>
      <c r="AA17" s="58"/>
      <c r="AB17" s="12"/>
      <c r="AC17" s="57">
        <f>AC16*(1+'HIER Rechnung Thesaurierer '!I17)</f>
        <v>0</v>
      </c>
      <c r="AD17" s="57">
        <f>IF((M17+U17)&lt;AC17,(M17+U17)*'HIER Rechnung Ausschütter'!O$1,AC17*'HIER Rechnung Ausschütter'!O$1)</f>
        <v>0</v>
      </c>
      <c r="AE17" s="13">
        <f>'HIER Rechnung Ausschütter'!AM17-AG17</f>
        <v>-25824.87593</v>
      </c>
      <c r="AF17" s="69">
        <f>AF16*(1+'HIER Rechnung Thesaurierer '!I16)</f>
        <v>0</v>
      </c>
      <c r="AG17" s="13">
        <f t="shared" si="15"/>
        <v>57334.50874</v>
      </c>
    </row>
    <row r="18" ht="12.75" customHeight="1">
      <c r="A18" s="12">
        <v>15.0</v>
      </c>
      <c r="B18" s="46">
        <f t="shared" si="16"/>
        <v>1.487618617</v>
      </c>
      <c r="C18" s="47">
        <f t="shared" si="19"/>
        <v>768915.9808</v>
      </c>
      <c r="D18" s="13">
        <f t="shared" si="17"/>
        <v>1143853.73</v>
      </c>
      <c r="E18" s="18">
        <f>'HIER Rechnung Ausschütter'!E18+'HIER Rechnung Ausschütter'!K$1</f>
        <v>0.2697619932</v>
      </c>
      <c r="F18" s="13">
        <f t="shared" si="2"/>
        <v>1452421.992</v>
      </c>
      <c r="G18" s="110">
        <v>0.038163629990325</v>
      </c>
      <c r="H18" s="50">
        <f t="shared" si="1"/>
        <v>1423090.693</v>
      </c>
      <c r="I18" s="55">
        <f t="shared" si="3"/>
        <v>0.2441194671</v>
      </c>
      <c r="J18" s="55">
        <f t="shared" si="4"/>
        <v>0.8889215797</v>
      </c>
      <c r="K18" s="57">
        <f>H18-'HIER Rechnung Thesaurierer '!J18</f>
        <v>83143.98129</v>
      </c>
      <c r="L18" s="56">
        <f>'HIER Rechnung Ausschütter'!AQ19</f>
        <v>0.5070556535</v>
      </c>
      <c r="M18" s="57">
        <f t="shared" si="5"/>
        <v>55429.69549</v>
      </c>
      <c r="N18" s="57">
        <f t="shared" si="6"/>
        <v>40810.11335</v>
      </c>
      <c r="O18" s="57">
        <f t="shared" si="7"/>
        <v>14619.58219</v>
      </c>
      <c r="P18" s="58">
        <f t="shared" si="18"/>
        <v>0.04531119697</v>
      </c>
      <c r="Q18" s="57">
        <f>Q17*(1+'HIER Rechnung Thesaurierer '!I18)</f>
        <v>64481.94182</v>
      </c>
      <c r="R18" s="57">
        <f t="shared" si="8"/>
        <v>64481.94209</v>
      </c>
      <c r="S18" s="18"/>
      <c r="T18" s="59">
        <f t="shared" si="9"/>
        <v>15528.06562</v>
      </c>
      <c r="U18" s="60">
        <f t="shared" si="10"/>
        <v>29331.29798</v>
      </c>
      <c r="V18" s="57">
        <f t="shared" si="11"/>
        <v>21457.70428</v>
      </c>
      <c r="W18" s="57">
        <f t="shared" si="12"/>
        <v>5659.469503</v>
      </c>
      <c r="X18" s="57">
        <f t="shared" si="13"/>
        <v>7873.593463</v>
      </c>
      <c r="Y18" s="57">
        <f t="shared" si="14"/>
        <v>23671.82847</v>
      </c>
      <c r="Z18" s="13"/>
      <c r="AA18" s="58"/>
      <c r="AB18" s="12"/>
      <c r="AC18" s="57">
        <f>AC17*(1+'HIER Rechnung Thesaurierer '!I18)</f>
        <v>0</v>
      </c>
      <c r="AD18" s="57">
        <f>IF((M18+U18)&lt;AC18,(M18+U18)*'HIER Rechnung Ausschütter'!O$1,AC18*'HIER Rechnung Ausschütter'!O$1)</f>
        <v>0</v>
      </c>
      <c r="AE18" s="13">
        <f>'HIER Rechnung Ausschütter'!AM18-AG18</f>
        <v>-31639.5005</v>
      </c>
      <c r="AF18" s="69">
        <f>AF17*(1+'HIER Rechnung Thesaurierer '!I17)</f>
        <v>0</v>
      </c>
      <c r="AG18" s="13">
        <f t="shared" si="15"/>
        <v>76887.39977</v>
      </c>
    </row>
    <row r="19" ht="12.75" customHeight="1">
      <c r="A19" s="12">
        <v>16.0</v>
      </c>
      <c r="B19" s="46">
        <f t="shared" si="16"/>
        <v>1.88892158</v>
      </c>
      <c r="C19" s="47">
        <f t="shared" si="19"/>
        <v>753387.9152</v>
      </c>
      <c r="D19" s="13">
        <f t="shared" si="17"/>
        <v>1423090.693</v>
      </c>
      <c r="E19" s="18">
        <f>'HIER Rechnung Ausschütter'!E19+'HIER Rechnung Ausschütter'!K$1</f>
        <v>0.09551224338</v>
      </c>
      <c r="F19" s="13">
        <f t="shared" si="2"/>
        <v>1559013.277</v>
      </c>
      <c r="G19" s="110">
        <v>0.0278717307318016</v>
      </c>
      <c r="H19" s="50">
        <f t="shared" si="1"/>
        <v>1516106.372</v>
      </c>
      <c r="I19" s="55">
        <f t="shared" si="3"/>
        <v>0.06536173666</v>
      </c>
      <c r="J19" s="55">
        <f t="shared" si="4"/>
        <v>1.069336717</v>
      </c>
      <c r="K19" s="57">
        <f>H19-'HIER Rechnung Thesaurierer '!J19</f>
        <v>93849.90932</v>
      </c>
      <c r="L19" s="56">
        <f>'HIER Rechnung Ausschütter'!AQ18</f>
        <v>0.4829101462</v>
      </c>
      <c r="M19" s="57">
        <f t="shared" si="5"/>
        <v>43452.39828</v>
      </c>
      <c r="N19" s="57">
        <f t="shared" si="6"/>
        <v>31991.82827</v>
      </c>
      <c r="O19" s="57">
        <f t="shared" si="7"/>
        <v>11460.57005</v>
      </c>
      <c r="P19" s="58">
        <f t="shared" si="18"/>
        <v>0.04367962308</v>
      </c>
      <c r="Q19" s="57">
        <f>Q18*(1+'HIER Rechnung Thesaurierer '!I19)</f>
        <v>66222.95425</v>
      </c>
      <c r="R19" s="57">
        <f t="shared" si="8"/>
        <v>66222.95448</v>
      </c>
      <c r="S19" s="18"/>
      <c r="T19" s="59">
        <f t="shared" si="9"/>
        <v>20734.61729</v>
      </c>
      <c r="U19" s="60">
        <f t="shared" si="10"/>
        <v>42906.90463</v>
      </c>
      <c r="V19" s="57">
        <f t="shared" si="11"/>
        <v>32893.94742</v>
      </c>
      <c r="W19" s="57">
        <f t="shared" si="12"/>
        <v>8675.778632</v>
      </c>
      <c r="X19" s="57">
        <f t="shared" si="13"/>
        <v>10012.95707</v>
      </c>
      <c r="Y19" s="57">
        <f t="shared" si="14"/>
        <v>34231.126</v>
      </c>
      <c r="Z19" s="13"/>
      <c r="AA19" s="58"/>
      <c r="AB19" s="12"/>
      <c r="AC19" s="57">
        <f>AC18*(1+'HIER Rechnung Thesaurierer '!I19)</f>
        <v>0</v>
      </c>
      <c r="AD19" s="57">
        <f>IF((M19+U19)&lt;AC19,(M19+U19)*'HIER Rechnung Ausschütter'!O$1,AC19*'HIER Rechnung Ausschütter'!O$1)</f>
        <v>0</v>
      </c>
      <c r="AE19" s="13">
        <f>'HIER Rechnung Ausschütter'!AM19-AG19</f>
        <v>-32127.49642</v>
      </c>
      <c r="AF19" s="69">
        <f>AF18*(1+'HIER Rechnung Thesaurierer '!I18)</f>
        <v>0</v>
      </c>
      <c r="AG19" s="13">
        <f t="shared" si="15"/>
        <v>76346.3457</v>
      </c>
    </row>
    <row r="20" ht="12.75" customHeight="1">
      <c r="A20" s="12">
        <v>17.0</v>
      </c>
      <c r="B20" s="46">
        <f t="shared" si="16"/>
        <v>2.069336717</v>
      </c>
      <c r="C20" s="47">
        <f t="shared" si="19"/>
        <v>732653.2979</v>
      </c>
      <c r="D20" s="13">
        <f t="shared" si="17"/>
        <v>1516106.372</v>
      </c>
      <c r="E20" s="18">
        <f>'HIER Rechnung Ausschütter'!E20+'HIER Rechnung Ausschütter'!K$1</f>
        <v>-0.07614890112</v>
      </c>
      <c r="F20" s="13">
        <f t="shared" si="2"/>
        <v>1400656.538</v>
      </c>
      <c r="G20" s="110">
        <v>0.025983693058383</v>
      </c>
      <c r="H20" s="50">
        <f t="shared" si="1"/>
        <v>1349200.411</v>
      </c>
      <c r="I20" s="55">
        <f t="shared" si="3"/>
        <v>-0.1100885558</v>
      </c>
      <c r="J20" s="55">
        <f t="shared" si="4"/>
        <v>0.9117590003</v>
      </c>
      <c r="K20" s="57">
        <f>H20-'HIER Rechnung Thesaurierer '!J20</f>
        <v>82804.2269</v>
      </c>
      <c r="L20" s="56">
        <f>'HIER Rechnung Ausschütter'!AQ17</f>
        <v>0.459914425</v>
      </c>
      <c r="M20" s="57">
        <f t="shared" si="5"/>
        <v>36394.22956</v>
      </c>
      <c r="N20" s="57">
        <f t="shared" si="6"/>
        <v>26795.25155</v>
      </c>
      <c r="O20" s="57">
        <f t="shared" si="7"/>
        <v>9598.978046</v>
      </c>
      <c r="P20" s="58">
        <f t="shared" si="18"/>
        <v>0.05035927282</v>
      </c>
      <c r="Q20" s="57">
        <f>Q19*(1+'HIER Rechnung Thesaurierer '!I20)</f>
        <v>67944.75106</v>
      </c>
      <c r="R20" s="57">
        <f t="shared" si="8"/>
        <v>67944.75128</v>
      </c>
      <c r="S20" s="18"/>
      <c r="T20" s="59">
        <f t="shared" si="9"/>
        <v>26915.59249</v>
      </c>
      <c r="U20" s="60">
        <f t="shared" si="10"/>
        <v>51456.12597</v>
      </c>
      <c r="V20" s="57">
        <f t="shared" si="11"/>
        <v>39077.2566</v>
      </c>
      <c r="W20" s="57">
        <f t="shared" si="12"/>
        <v>10306.62643</v>
      </c>
      <c r="X20" s="57">
        <f t="shared" si="13"/>
        <v>12378.86924</v>
      </c>
      <c r="Y20" s="57">
        <f t="shared" si="14"/>
        <v>41149.49954</v>
      </c>
      <c r="Z20" s="13"/>
      <c r="AA20" s="58"/>
      <c r="AB20" s="12"/>
      <c r="AC20" s="57">
        <f>AC19*(1+'HIER Rechnung Thesaurierer '!I20)</f>
        <v>0</v>
      </c>
      <c r="AD20" s="57">
        <f>IF((M20+U20)&lt;AC20,(M20+U20)*'HIER Rechnung Ausschütter'!O$1,AC20*'HIER Rechnung Ausschütter'!O$1)</f>
        <v>0</v>
      </c>
      <c r="AE20" s="13">
        <f>'HIER Rechnung Ausschütter'!AM20-AG20</f>
        <v>-32161.77127</v>
      </c>
      <c r="AF20" s="69">
        <f>AF19*(1+'HIER Rechnung Thesaurierer '!I19)</f>
        <v>0</v>
      </c>
      <c r="AG20" s="13">
        <f t="shared" si="15"/>
        <v>75471.48615</v>
      </c>
    </row>
    <row r="21" ht="12.75" customHeight="1">
      <c r="A21" s="12">
        <v>18.0</v>
      </c>
      <c r="B21" s="46">
        <f t="shared" si="16"/>
        <v>1.911759</v>
      </c>
      <c r="C21" s="47">
        <f t="shared" si="19"/>
        <v>705737.7054</v>
      </c>
      <c r="D21" s="13">
        <f t="shared" si="17"/>
        <v>1349200.411</v>
      </c>
      <c r="E21" s="18">
        <f>'HIER Rechnung Ausschütter'!E21+'HIER Rechnung Ausschütter'!K$1</f>
        <v>0.1318329606</v>
      </c>
      <c r="F21" s="13">
        <f t="shared" si="2"/>
        <v>1527069.496</v>
      </c>
      <c r="G21" s="110">
        <v>0.033539420248014</v>
      </c>
      <c r="H21" s="50">
        <f t="shared" si="1"/>
        <v>1487487.706</v>
      </c>
      <c r="I21" s="55">
        <f t="shared" si="3"/>
        <v>0.10249574</v>
      </c>
      <c r="J21" s="55">
        <f t="shared" si="4"/>
        <v>1.163791849</v>
      </c>
      <c r="K21" s="57">
        <f>H21-'HIER Rechnung Thesaurierer '!J21</f>
        <v>94844.43407</v>
      </c>
      <c r="L21" s="56">
        <f>'HIER Rechnung Ausschütter'!AQ16</f>
        <v>0.4380137381</v>
      </c>
      <c r="M21" s="57">
        <f t="shared" si="5"/>
        <v>51217.02556</v>
      </c>
      <c r="N21" s="57">
        <f t="shared" si="6"/>
        <v>37708.53513</v>
      </c>
      <c r="O21" s="57">
        <f t="shared" si="7"/>
        <v>13508.49049</v>
      </c>
      <c r="P21" s="58">
        <f t="shared" si="18"/>
        <v>0.04636268438</v>
      </c>
      <c r="Q21" s="57">
        <f>Q20*(1+'HIER Rechnung Thesaurierer '!I21)</f>
        <v>68963.92232</v>
      </c>
      <c r="R21" s="57">
        <f t="shared" si="8"/>
        <v>68963.92265</v>
      </c>
      <c r="S21" s="18"/>
      <c r="T21" s="59">
        <f t="shared" si="9"/>
        <v>18292.78972</v>
      </c>
      <c r="U21" s="60">
        <f t="shared" si="10"/>
        <v>39581.78897</v>
      </c>
      <c r="V21" s="57">
        <f t="shared" si="11"/>
        <v>31569.29563</v>
      </c>
      <c r="W21" s="57">
        <f t="shared" si="12"/>
        <v>8326.401722</v>
      </c>
      <c r="X21" s="57">
        <f t="shared" si="13"/>
        <v>8012.493205</v>
      </c>
      <c r="Y21" s="57">
        <f t="shared" si="14"/>
        <v>31255.38725</v>
      </c>
      <c r="Z21" s="13"/>
      <c r="AA21" s="58"/>
      <c r="AB21" s="12"/>
      <c r="AC21" s="57">
        <f>AC20*(1+'HIER Rechnung Thesaurierer '!I21)</f>
        <v>0</v>
      </c>
      <c r="AD21" s="57">
        <f>IF((M21+U21)&lt;AC21,(M21+U21)*'HIER Rechnung Ausschütter'!O$1,AC21*'HIER Rechnung Ausschütter'!O$1)</f>
        <v>0</v>
      </c>
      <c r="AE21" s="13">
        <f>'HIER Rechnung Ausschütter'!AM21-AG21</f>
        <v>-34124.95695</v>
      </c>
      <c r="AF21" s="69">
        <f>AF20*(1+'HIER Rechnung Thesaurierer '!I20)</f>
        <v>0</v>
      </c>
      <c r="AG21" s="13">
        <f t="shared" si="15"/>
        <v>82786.32119</v>
      </c>
    </row>
    <row r="22" ht="12.75" customHeight="1">
      <c r="A22" s="12">
        <v>19.0</v>
      </c>
      <c r="B22" s="46">
        <f t="shared" si="16"/>
        <v>2.163791849</v>
      </c>
      <c r="C22" s="47">
        <f t="shared" si="19"/>
        <v>687444.9157</v>
      </c>
      <c r="D22" s="13">
        <f t="shared" si="17"/>
        <v>1487487.706</v>
      </c>
      <c r="E22" s="18">
        <f>'HIER Rechnung Ausschütter'!E22+'HIER Rechnung Ausschütter'!K$1</f>
        <v>0.2409929025</v>
      </c>
      <c r="F22" s="13">
        <f t="shared" si="2"/>
        <v>1845961.685</v>
      </c>
      <c r="G22" s="110">
        <v>0.032657206716586</v>
      </c>
      <c r="H22" s="50">
        <f t="shared" si="1"/>
        <v>1812916.781</v>
      </c>
      <c r="I22" s="55">
        <f t="shared" si="3"/>
        <v>0.2187776569</v>
      </c>
      <c r="J22" s="55">
        <f t="shared" si="4"/>
        <v>1.685250327</v>
      </c>
      <c r="K22" s="57">
        <f>H22-'HIER Rechnung Thesaurierer '!J22</f>
        <v>121231.3059</v>
      </c>
      <c r="L22" s="56">
        <f>'HIER Rechnung Ausschütter'!AQ15</f>
        <v>0.417155941</v>
      </c>
      <c r="M22" s="57">
        <f t="shared" si="5"/>
        <v>60283.95235</v>
      </c>
      <c r="N22" s="57">
        <f t="shared" si="6"/>
        <v>44384.06</v>
      </c>
      <c r="O22" s="57">
        <f t="shared" si="7"/>
        <v>15899.89243</v>
      </c>
      <c r="P22" s="58">
        <f t="shared" si="18"/>
        <v>0.03864895872</v>
      </c>
      <c r="Q22" s="57">
        <f>Q21*(1+'HIER Rechnung Thesaurierer '!I22)</f>
        <v>70067.34508</v>
      </c>
      <c r="R22" s="57">
        <f t="shared" si="8"/>
        <v>70067.34546</v>
      </c>
      <c r="S22" s="18"/>
      <c r="T22" s="59">
        <f t="shared" si="9"/>
        <v>12306.07947</v>
      </c>
      <c r="U22" s="60">
        <f t="shared" si="10"/>
        <v>33044.90354</v>
      </c>
      <c r="V22" s="57">
        <f t="shared" si="11"/>
        <v>27911.34926</v>
      </c>
      <c r="W22" s="57">
        <f t="shared" si="12"/>
        <v>7361.618368</v>
      </c>
      <c r="X22" s="57">
        <f t="shared" si="13"/>
        <v>5133.55416</v>
      </c>
      <c r="Y22" s="57">
        <f t="shared" si="14"/>
        <v>25683.28517</v>
      </c>
      <c r="Z22" s="13"/>
      <c r="AA22" s="58"/>
      <c r="AB22" s="12"/>
      <c r="AC22" s="57">
        <f>AC21*(1+'HIER Rechnung Thesaurierer '!I22)</f>
        <v>0</v>
      </c>
      <c r="AD22" s="57">
        <f>IF((M22+U22)&lt;AC22,(M22+U22)*'HIER Rechnung Ausschütter'!O$1,AC22*'HIER Rechnung Ausschütter'!O$1)</f>
        <v>0</v>
      </c>
      <c r="AE22" s="13">
        <f>'HIER Rechnung Ausschütter'!AM22-AG22</f>
        <v>-35650.94889</v>
      </c>
      <c r="AF22" s="69">
        <f>AF21*(1+'HIER Rechnung Thesaurierer '!I21)</f>
        <v>0</v>
      </c>
      <c r="AG22" s="13">
        <f t="shared" si="15"/>
        <v>88195.30161</v>
      </c>
    </row>
    <row r="23" ht="12.75" customHeight="1">
      <c r="A23" s="12">
        <v>20.0</v>
      </c>
      <c r="B23" s="46">
        <f t="shared" si="16"/>
        <v>2.685250327</v>
      </c>
      <c r="C23" s="47">
        <f t="shared" si="19"/>
        <v>675138.8362</v>
      </c>
      <c r="D23" s="13">
        <f t="shared" si="17"/>
        <v>1812916.781</v>
      </c>
      <c r="E23" s="18">
        <f>'HIER Rechnung Ausschütter'!E23+'HIER Rechnung Ausschütter'!K$1</f>
        <v>0.02926007288</v>
      </c>
      <c r="F23" s="13">
        <f t="shared" si="2"/>
        <v>1865962.858</v>
      </c>
      <c r="G23" s="110">
        <v>0.0257768051491625</v>
      </c>
      <c r="H23" s="50">
        <f t="shared" si="1"/>
        <v>1820112.599</v>
      </c>
      <c r="I23" s="55">
        <f t="shared" si="3"/>
        <v>0.003969193796</v>
      </c>
      <c r="J23" s="55">
        <f t="shared" si="4"/>
        <v>1.763820948</v>
      </c>
      <c r="K23" s="57">
        <f>H23-'HIER Rechnung Thesaurierer '!J23</f>
        <v>126165.3772</v>
      </c>
      <c r="L23" s="56">
        <f>'HIER Rechnung Ausschütter'!AQ14</f>
        <v>0.3972913724</v>
      </c>
      <c r="M23" s="57">
        <f t="shared" si="5"/>
        <v>48098.561</v>
      </c>
      <c r="N23" s="57">
        <f t="shared" si="6"/>
        <v>35412.5656</v>
      </c>
      <c r="O23" s="57">
        <f t="shared" si="7"/>
        <v>12685.99546</v>
      </c>
      <c r="P23" s="58">
        <f t="shared" si="18"/>
        <v>0.03895811381</v>
      </c>
      <c r="Q23" s="57">
        <f>Q22*(1+'HIER Rechnung Thesaurierer '!I23)</f>
        <v>70908.15322</v>
      </c>
      <c r="R23" s="57">
        <f t="shared" si="8"/>
        <v>70908.15353</v>
      </c>
      <c r="S23" s="18"/>
      <c r="T23" s="59">
        <f t="shared" si="9"/>
        <v>16589.44606</v>
      </c>
      <c r="U23" s="60">
        <f t="shared" si="10"/>
        <v>45850.25823</v>
      </c>
      <c r="V23" s="57">
        <f t="shared" si="11"/>
        <v>39259.41435</v>
      </c>
      <c r="W23" s="57">
        <f t="shared" si="12"/>
        <v>10354.67054</v>
      </c>
      <c r="X23" s="57">
        <f t="shared" si="13"/>
        <v>6590.843794</v>
      </c>
      <c r="Y23" s="57">
        <f t="shared" si="14"/>
        <v>35495.58769</v>
      </c>
      <c r="Z23" s="13"/>
      <c r="AA23" s="58"/>
      <c r="AB23" s="12"/>
      <c r="AC23" s="57">
        <f>AC22*(1+'HIER Rechnung Thesaurierer '!I23)</f>
        <v>0</v>
      </c>
      <c r="AD23" s="57">
        <f>IF((M23+U23)&lt;AC23,(M23+U23)*'HIER Rechnung Ausschütter'!O$1,AC23*'HIER Rechnung Ausschütter'!O$1)</f>
        <v>0</v>
      </c>
      <c r="AE23" s="13">
        <f>'HIER Rechnung Ausschütter'!AM23-AG23</f>
        <v>-35957.66501</v>
      </c>
      <c r="AF23" s="69">
        <f>AF22*(1+'HIER Rechnung Thesaurierer '!I22)</f>
        <v>0</v>
      </c>
      <c r="AG23" s="13">
        <f t="shared" si="15"/>
        <v>87357.97535</v>
      </c>
    </row>
    <row r="24" ht="12.75" customHeight="1">
      <c r="A24" s="12">
        <v>21.0</v>
      </c>
      <c r="B24" s="46">
        <f t="shared" si="16"/>
        <v>2.763820948</v>
      </c>
      <c r="C24" s="47">
        <f t="shared" si="19"/>
        <v>658549.3902</v>
      </c>
      <c r="D24" s="13">
        <f t="shared" si="17"/>
        <v>1820112.599</v>
      </c>
      <c r="E24" s="18">
        <f>'HIER Rechnung Ausschütter'!E24+'HIER Rechnung Ausschütter'!K$1</f>
        <v>-0.02741929446</v>
      </c>
      <c r="F24" s="13">
        <f t="shared" si="2"/>
        <v>1770206.395</v>
      </c>
      <c r="G24" s="110">
        <v>0.0242099500487789</v>
      </c>
      <c r="H24" s="50">
        <f t="shared" si="1"/>
        <v>1718860.707</v>
      </c>
      <c r="I24" s="55">
        <f t="shared" si="3"/>
        <v>-0.05562946566</v>
      </c>
      <c r="J24" s="55">
        <f t="shared" si="4"/>
        <v>1.688038927</v>
      </c>
      <c r="K24" s="57">
        <f>H24-'HIER Rechnung Thesaurierer '!J24</f>
        <v>120094.1091</v>
      </c>
      <c r="L24" s="56">
        <f>'HIER Rechnung Ausschütter'!AQ13</f>
        <v>0.3783727356</v>
      </c>
      <c r="M24" s="57">
        <f t="shared" si="5"/>
        <v>42856.60841</v>
      </c>
      <c r="N24" s="57">
        <f t="shared" si="6"/>
        <v>31553.178</v>
      </c>
      <c r="O24" s="57">
        <f t="shared" si="7"/>
        <v>11303.43047</v>
      </c>
      <c r="P24" s="58">
        <f t="shared" si="18"/>
        <v>0.04145926087</v>
      </c>
      <c r="Q24" s="57">
        <f>Q23*(1+'HIER Rechnung Thesaurierer '!I24)</f>
        <v>71262.69399</v>
      </c>
      <c r="R24" s="57">
        <f t="shared" si="8"/>
        <v>71262.69428</v>
      </c>
      <c r="S24" s="18"/>
      <c r="T24" s="59">
        <f t="shared" si="9"/>
        <v>19101.54165</v>
      </c>
      <c r="U24" s="60">
        <f t="shared" si="10"/>
        <v>51345.68724</v>
      </c>
      <c r="V24" s="57">
        <f t="shared" si="11"/>
        <v>44118.18461</v>
      </c>
      <c r="W24" s="57">
        <f t="shared" si="12"/>
        <v>11636.17119</v>
      </c>
      <c r="X24" s="57">
        <f t="shared" si="13"/>
        <v>7227.50257</v>
      </c>
      <c r="Y24" s="57">
        <f t="shared" si="14"/>
        <v>39709.51605</v>
      </c>
      <c r="Z24" s="13"/>
      <c r="AA24" s="58"/>
      <c r="AB24" s="12"/>
      <c r="AC24" s="57">
        <f>AC23*(1+'HIER Rechnung Thesaurierer '!I24)</f>
        <v>0</v>
      </c>
      <c r="AD24" s="57">
        <f>IF((M24+U24)&lt;AC24,(M24+U24)*'HIER Rechnung Ausschütter'!O$1,AC24*'HIER Rechnung Ausschütter'!O$1)</f>
        <v>0</v>
      </c>
      <c r="AE24" s="13">
        <f>'HIER Rechnung Ausschütter'!AM24-AG24</f>
        <v>-35939.23052</v>
      </c>
      <c r="AF24" s="69">
        <f>AF23*(1+'HIER Rechnung Thesaurierer '!I23)</f>
        <v>0</v>
      </c>
      <c r="AG24" s="13">
        <f t="shared" si="15"/>
        <v>86974.79302</v>
      </c>
    </row>
    <row r="25" ht="12.75" customHeight="1">
      <c r="A25" s="12">
        <v>22.0</v>
      </c>
      <c r="B25" s="46">
        <f t="shared" si="16"/>
        <v>2.688038927</v>
      </c>
      <c r="C25" s="47">
        <f t="shared" si="19"/>
        <v>639447.8485</v>
      </c>
      <c r="D25" s="13">
        <f t="shared" si="17"/>
        <v>1718860.707</v>
      </c>
      <c r="E25" s="18">
        <f>'HIER Rechnung Ausschütter'!E25+'HIER Rechnung Ausschütter'!K$1</f>
        <v>0.05317856572</v>
      </c>
      <c r="F25" s="13">
        <f t="shared" si="2"/>
        <v>1810267.254</v>
      </c>
      <c r="G25" s="110">
        <v>0.0283528996003397</v>
      </c>
      <c r="H25" s="50">
        <f t="shared" si="1"/>
        <v>1766692.347</v>
      </c>
      <c r="I25" s="55">
        <f t="shared" si="3"/>
        <v>0.02782752524</v>
      </c>
      <c r="J25" s="55">
        <f t="shared" si="4"/>
        <v>1.830984982</v>
      </c>
      <c r="K25" s="57">
        <f>H25-'HIER Rechnung Thesaurierer '!J25</f>
        <v>125691.5757</v>
      </c>
      <c r="L25" s="56">
        <f>'HIER Rechnung Ausschütter'!AQ12</f>
        <v>0.3603549863</v>
      </c>
      <c r="M25" s="57">
        <f t="shared" si="5"/>
        <v>51326.32571</v>
      </c>
      <c r="N25" s="57">
        <f t="shared" si="6"/>
        <v>37789.00739</v>
      </c>
      <c r="O25" s="57">
        <f t="shared" si="7"/>
        <v>13537.31841</v>
      </c>
      <c r="P25" s="58">
        <f t="shared" si="18"/>
        <v>0.04037712471</v>
      </c>
      <c r="Q25" s="57">
        <f>Q24*(1+'HIER Rechnung Thesaurierer '!I25)</f>
        <v>71333.95668</v>
      </c>
      <c r="R25" s="57">
        <f t="shared" si="8"/>
        <v>71333.95704</v>
      </c>
      <c r="S25" s="18"/>
      <c r="T25" s="59">
        <f t="shared" si="9"/>
        <v>15392.13634</v>
      </c>
      <c r="U25" s="60">
        <f t="shared" si="10"/>
        <v>43574.90647</v>
      </c>
      <c r="V25" s="57">
        <f t="shared" si="11"/>
        <v>38028.27332</v>
      </c>
      <c r="W25" s="57">
        <f t="shared" si="12"/>
        <v>10029.95709</v>
      </c>
      <c r="X25" s="57">
        <f t="shared" si="13"/>
        <v>5546.633081</v>
      </c>
      <c r="Y25" s="57">
        <f t="shared" si="14"/>
        <v>33544.94938</v>
      </c>
      <c r="Z25" s="13"/>
      <c r="AA25" s="58"/>
      <c r="AB25" s="12"/>
      <c r="AC25" s="57">
        <f>AC24*(1+'HIER Rechnung Thesaurierer '!I25)</f>
        <v>0</v>
      </c>
      <c r="AD25" s="57">
        <f>IF((M25+U25)&lt;AC25,(M25+U25)*'HIER Rechnung Ausschütter'!O$1,AC25*'HIER Rechnung Ausschütter'!O$1)</f>
        <v>0</v>
      </c>
      <c r="AE25" s="13">
        <f>'HIER Rechnung Ausschütter'!AM25-AG25</f>
        <v>-36236.43812</v>
      </c>
      <c r="AF25" s="69">
        <f>AF24*(1+'HIER Rechnung Thesaurierer '!I24)</f>
        <v>0</v>
      </c>
      <c r="AG25" s="13">
        <f t="shared" si="15"/>
        <v>89354.59904</v>
      </c>
    </row>
    <row r="26" ht="12.75" customHeight="1">
      <c r="A26" s="12">
        <v>23.0</v>
      </c>
      <c r="B26" s="46">
        <f t="shared" si="16"/>
        <v>2.830984982</v>
      </c>
      <c r="C26" s="47">
        <f t="shared" si="19"/>
        <v>624055.7122</v>
      </c>
      <c r="D26" s="13">
        <f t="shared" si="17"/>
        <v>1766692.347</v>
      </c>
      <c r="E26" s="18">
        <f>'HIER Rechnung Ausschütter'!E26+'HIER Rechnung Ausschütter'!K$1</f>
        <v>0.2011336104</v>
      </c>
      <c r="F26" s="13">
        <f t="shared" si="2"/>
        <v>2122033.557</v>
      </c>
      <c r="G26" s="110">
        <v>0.029589695764212</v>
      </c>
      <c r="H26" s="50">
        <f t="shared" si="1"/>
        <v>2088844.957</v>
      </c>
      <c r="I26" s="55">
        <f t="shared" si="3"/>
        <v>0.1823478834</v>
      </c>
      <c r="J26" s="55">
        <f t="shared" si="4"/>
        <v>2.400391212</v>
      </c>
      <c r="K26" s="57">
        <f>H26-'HIER Rechnung Thesaurierer '!J26</f>
        <v>153179.0712</v>
      </c>
      <c r="L26" s="56">
        <f>'HIER Rechnung Ausschütter'!AQ11</f>
        <v>0.343195225</v>
      </c>
      <c r="M26" s="57">
        <f t="shared" si="5"/>
        <v>62790.32736</v>
      </c>
      <c r="N26" s="57">
        <f t="shared" si="6"/>
        <v>46229.37862</v>
      </c>
      <c r="O26" s="57">
        <f t="shared" si="7"/>
        <v>16560.94884</v>
      </c>
      <c r="P26" s="58">
        <f t="shared" si="18"/>
        <v>0.03425240295</v>
      </c>
      <c r="Q26" s="57">
        <f>Q25*(1+'HIER Rechnung Thesaurierer '!I26)</f>
        <v>71547.95855</v>
      </c>
      <c r="R26" s="57">
        <f t="shared" si="8"/>
        <v>71547.95898</v>
      </c>
      <c r="S26" s="18"/>
      <c r="T26" s="59">
        <f t="shared" si="9"/>
        <v>9760.229766</v>
      </c>
      <c r="U26" s="60">
        <f t="shared" si="10"/>
        <v>33188.59909</v>
      </c>
      <c r="V26" s="57">
        <f t="shared" si="11"/>
        <v>29838.93478</v>
      </c>
      <c r="W26" s="57">
        <f t="shared" si="12"/>
        <v>7870.019048</v>
      </c>
      <c r="X26" s="57">
        <f t="shared" si="13"/>
        <v>3349.664251</v>
      </c>
      <c r="Y26" s="57">
        <f t="shared" si="14"/>
        <v>25318.58004</v>
      </c>
      <c r="Z26" s="13"/>
      <c r="AA26" s="58"/>
      <c r="AB26" s="12"/>
      <c r="AC26" s="57">
        <f>AC25*(1+'HIER Rechnung Thesaurierer '!I26)</f>
        <v>0</v>
      </c>
      <c r="AD26" s="57">
        <f>IF((M26+U26)&lt;AC26,(M26+U26)*'HIER Rechnung Ausschütter'!O$1,AC26*'HIER Rechnung Ausschütter'!O$1)</f>
        <v>0</v>
      </c>
      <c r="AE26" s="13">
        <f>'HIER Rechnung Ausschütter'!AM26-AG26</f>
        <v>-36773.04772</v>
      </c>
      <c r="AF26" s="69">
        <f>AF25*(1+'HIER Rechnung Thesaurierer '!I25)</f>
        <v>0</v>
      </c>
      <c r="AG26" s="13">
        <f t="shared" si="15"/>
        <v>92629.26214</v>
      </c>
    </row>
    <row r="27" ht="12.75" customHeight="1">
      <c r="A27" s="12">
        <v>24.0</v>
      </c>
      <c r="B27" s="46">
        <f t="shared" si="16"/>
        <v>3.400391212</v>
      </c>
      <c r="C27" s="47">
        <f t="shared" si="19"/>
        <v>614295.4824</v>
      </c>
      <c r="D27" s="13">
        <f t="shared" si="17"/>
        <v>2088844.957</v>
      </c>
      <c r="E27" s="18">
        <f>'HIER Rechnung Ausschütter'!E27+'HIER Rechnung Ausschütter'!K$1</f>
        <v>-0.104374817</v>
      </c>
      <c r="F27" s="13">
        <f t="shared" si="2"/>
        <v>1870822.147</v>
      </c>
      <c r="G27" s="110">
        <v>0.0223281959046172</v>
      </c>
      <c r="H27" s="50">
        <f t="shared" si="1"/>
        <v>1817092.378</v>
      </c>
      <c r="I27" s="55">
        <f t="shared" si="3"/>
        <v>-0.1300970557</v>
      </c>
      <c r="J27" s="55">
        <f t="shared" si="4"/>
        <v>2.045476002</v>
      </c>
      <c r="K27" s="57">
        <f>H27-'HIER Rechnung Thesaurierer '!J27</f>
        <v>134802.1527</v>
      </c>
      <c r="L27" s="56">
        <f>'HIER Rechnung Ausschütter'!AQ10</f>
        <v>0.3268525953</v>
      </c>
      <c r="M27" s="57">
        <f t="shared" si="5"/>
        <v>41772.0834</v>
      </c>
      <c r="N27" s="57">
        <f t="shared" si="6"/>
        <v>30754.69647</v>
      </c>
      <c r="O27" s="57">
        <f t="shared" si="7"/>
        <v>11017.387</v>
      </c>
      <c r="P27" s="58">
        <f t="shared" si="18"/>
        <v>0.03953247046</v>
      </c>
      <c r="Q27" s="57">
        <f>Q26*(1+'HIER Rechnung Thesaurierer '!I27)</f>
        <v>71834.15038</v>
      </c>
      <c r="R27" s="57">
        <f t="shared" si="8"/>
        <v>71834.15068</v>
      </c>
      <c r="S27" s="18"/>
      <c r="T27" s="59">
        <f t="shared" si="9"/>
        <v>17642.48615</v>
      </c>
      <c r="U27" s="60">
        <f t="shared" si="10"/>
        <v>53729.7679</v>
      </c>
      <c r="V27" s="57">
        <f t="shared" si="11"/>
        <v>47963.27547</v>
      </c>
      <c r="W27" s="57">
        <f t="shared" si="12"/>
        <v>12650.3139</v>
      </c>
      <c r="X27" s="57">
        <f t="shared" si="13"/>
        <v>5766.492386</v>
      </c>
      <c r="Y27" s="57">
        <f t="shared" si="14"/>
        <v>41079.45399</v>
      </c>
      <c r="Z27" s="13"/>
      <c r="AA27" s="58"/>
      <c r="AB27" s="12"/>
      <c r="AC27" s="57">
        <f>AC26*(1+'HIER Rechnung Thesaurierer '!I27)</f>
        <v>0</v>
      </c>
      <c r="AD27" s="57">
        <f>IF((M27+U27)&lt;AC27,(M27+U27)*'HIER Rechnung Ausschütter'!O$1,AC27*'HIER Rechnung Ausschütter'!O$1)</f>
        <v>0</v>
      </c>
      <c r="AE27" s="13">
        <f>'HIER Rechnung Ausschütter'!AM27-AG27</f>
        <v>-36595.27033</v>
      </c>
      <c r="AF27" s="69">
        <f>AF26*(1+'HIER Rechnung Thesaurierer '!I26)</f>
        <v>0</v>
      </c>
      <c r="AG27" s="13">
        <f t="shared" si="15"/>
        <v>89735.35887</v>
      </c>
    </row>
    <row r="28" ht="12.75" customHeight="1">
      <c r="A28" s="12">
        <v>25.0</v>
      </c>
      <c r="B28" s="46">
        <f t="shared" si="16"/>
        <v>3.045476002</v>
      </c>
      <c r="C28" s="47">
        <f t="shared" si="19"/>
        <v>596652.9962</v>
      </c>
      <c r="D28" s="13">
        <f t="shared" si="17"/>
        <v>1817092.378</v>
      </c>
      <c r="E28" s="18">
        <f>'HIER Rechnung Ausschütter'!E28+'HIER Rechnung Ausschütter'!K$1</f>
        <v>0.2519065492</v>
      </c>
      <c r="F28" s="13">
        <f t="shared" si="2"/>
        <v>2274829.849</v>
      </c>
      <c r="G28" s="110">
        <v>0.032113827238486</v>
      </c>
      <c r="H28" s="50">
        <f t="shared" si="1"/>
        <v>2251296.744</v>
      </c>
      <c r="I28" s="55">
        <f t="shared" si="3"/>
        <v>0.238955581</v>
      </c>
      <c r="J28" s="55">
        <f t="shared" si="4"/>
        <v>2.812651352</v>
      </c>
      <c r="K28" s="57">
        <f>H28-'HIER Rechnung Thesaurierer '!J28</f>
        <v>172610.6242</v>
      </c>
      <c r="L28" s="56">
        <f>'HIER Rechnung Ausschütter'!AQ9</f>
        <v>0.311288186</v>
      </c>
      <c r="M28" s="57">
        <f t="shared" si="5"/>
        <v>73053.49277</v>
      </c>
      <c r="N28" s="57">
        <f t="shared" si="6"/>
        <v>53785.63418</v>
      </c>
      <c r="O28" s="57">
        <f t="shared" si="7"/>
        <v>19267.85872</v>
      </c>
      <c r="P28" s="58">
        <f t="shared" si="18"/>
        <v>0.03181217615</v>
      </c>
      <c r="Q28" s="57">
        <f>Q27*(1+'HIER Rechnung Thesaurierer '!I28)</f>
        <v>71618.64793</v>
      </c>
      <c r="R28" s="57">
        <f t="shared" si="8"/>
        <v>71618.64845</v>
      </c>
      <c r="S28" s="18"/>
      <c r="T28" s="59">
        <f t="shared" si="9"/>
        <v>6172.372655</v>
      </c>
      <c r="U28" s="60">
        <f t="shared" si="10"/>
        <v>23533.10444</v>
      </c>
      <c r="V28" s="57">
        <f t="shared" si="11"/>
        <v>21611.7177</v>
      </c>
      <c r="W28" s="57">
        <f t="shared" si="12"/>
        <v>5700.090543</v>
      </c>
      <c r="X28" s="57">
        <f t="shared" si="13"/>
        <v>1921.386687</v>
      </c>
      <c r="Y28" s="57">
        <f t="shared" si="14"/>
        <v>17833.0139</v>
      </c>
      <c r="Z28" s="13"/>
      <c r="AA28" s="58"/>
      <c r="AB28" s="12"/>
      <c r="AC28" s="57">
        <f>AC27*(1+'HIER Rechnung Thesaurierer '!I28)</f>
        <v>0</v>
      </c>
      <c r="AD28" s="57">
        <f>IF((M28+U28)&lt;AC28,(M28+U28)*'HIER Rechnung Ausschütter'!O$1,AC28*'HIER Rechnung Ausschütter'!O$1)</f>
        <v>0</v>
      </c>
      <c r="AE28" s="13">
        <f>'HIER Rechnung Ausschütter'!AM28-AG28</f>
        <v>-36798.38829</v>
      </c>
      <c r="AF28" s="69">
        <f>AF27*(1+'HIER Rechnung Thesaurierer '!I27)</f>
        <v>0</v>
      </c>
      <c r="AG28" s="13">
        <f t="shared" si="15"/>
        <v>94665.21047</v>
      </c>
    </row>
    <row r="29" ht="12.75" customHeight="1">
      <c r="A29" s="12">
        <v>26.0</v>
      </c>
      <c r="B29" s="46">
        <f t="shared" si="16"/>
        <v>3.812651352</v>
      </c>
      <c r="C29" s="47">
        <f t="shared" si="19"/>
        <v>590480.6236</v>
      </c>
      <c r="D29" s="13">
        <f t="shared" si="17"/>
        <v>2251296.744</v>
      </c>
      <c r="E29" s="18">
        <f>'HIER Rechnung Ausschütter'!E29+'HIER Rechnung Ausschütter'!K$1</f>
        <v>0.1405895692</v>
      </c>
      <c r="F29" s="13">
        <f t="shared" si="2"/>
        <v>2567805.583</v>
      </c>
      <c r="G29" s="110">
        <v>0.024372790923155</v>
      </c>
      <c r="H29" s="50">
        <f t="shared" si="1"/>
        <v>2534417.061</v>
      </c>
      <c r="I29" s="55">
        <f t="shared" si="3"/>
        <v>0.1257587735</v>
      </c>
      <c r="J29" s="55">
        <f t="shared" si="4"/>
        <v>3.348670363</v>
      </c>
      <c r="K29" s="57">
        <f>H29-'HIER Rechnung Thesaurierer '!J29</f>
        <v>199266.2517</v>
      </c>
      <c r="L29" s="56">
        <f>'HIER Rechnung Ausschütter'!AQ8</f>
        <v>0.296464939</v>
      </c>
      <c r="M29" s="57">
        <f t="shared" si="5"/>
        <v>62584.5886</v>
      </c>
      <c r="N29" s="57">
        <f t="shared" si="6"/>
        <v>46077.90346</v>
      </c>
      <c r="O29" s="57">
        <f t="shared" si="7"/>
        <v>16506.68524</v>
      </c>
      <c r="P29" s="58">
        <f t="shared" si="18"/>
        <v>0.02811713837</v>
      </c>
      <c r="Q29" s="57">
        <f>Q28*(1+'HIER Rechnung Thesaurierer '!I29)</f>
        <v>71260.55469</v>
      </c>
      <c r="R29" s="57">
        <f t="shared" si="8"/>
        <v>71260.55513</v>
      </c>
      <c r="S29" s="18"/>
      <c r="T29" s="59">
        <f t="shared" si="9"/>
        <v>7677.869014</v>
      </c>
      <c r="U29" s="60">
        <f t="shared" si="10"/>
        <v>33388.521</v>
      </c>
      <c r="V29" s="57">
        <f t="shared" si="11"/>
        <v>31112.302</v>
      </c>
      <c r="W29" s="57">
        <f t="shared" si="12"/>
        <v>8205.869652</v>
      </c>
      <c r="X29" s="57">
        <f t="shared" si="13"/>
        <v>2276.218969</v>
      </c>
      <c r="Y29" s="57">
        <f t="shared" si="14"/>
        <v>25182.65135</v>
      </c>
      <c r="Z29" s="13"/>
      <c r="AA29" s="58"/>
      <c r="AB29" s="12"/>
      <c r="AC29" s="57">
        <f>AC28*(1+'HIER Rechnung Thesaurierer '!I29)</f>
        <v>0</v>
      </c>
      <c r="AD29" s="57">
        <f>IF((M29+U29)&lt;AC29,(M29+U29)*'HIER Rechnung Ausschütter'!O$1,AC29*'HIER Rechnung Ausschütter'!O$1)</f>
        <v>0</v>
      </c>
      <c r="AE29" s="13">
        <f>'HIER Rechnung Ausschütter'!AM29-AG29</f>
        <v>-36822.56897</v>
      </c>
      <c r="AF29" s="69">
        <f>AF28*(1+'HIER Rechnung Thesaurierer '!I28)</f>
        <v>0</v>
      </c>
      <c r="AG29" s="13">
        <f t="shared" si="15"/>
        <v>93696.8906</v>
      </c>
    </row>
    <row r="30" ht="12.75" customHeight="1">
      <c r="A30" s="12">
        <v>27.0</v>
      </c>
      <c r="B30" s="46">
        <f t="shared" si="16"/>
        <v>4.348670363</v>
      </c>
      <c r="C30" s="47">
        <f t="shared" si="19"/>
        <v>582802.7546</v>
      </c>
      <c r="D30" s="13">
        <f t="shared" si="17"/>
        <v>2534417.061</v>
      </c>
      <c r="E30" s="18">
        <f>'HIER Rechnung Ausschütter'!E30+'HIER Rechnung Ausschütter'!K$1</f>
        <v>0.2013658513</v>
      </c>
      <c r="F30" s="13">
        <f t="shared" si="2"/>
        <v>3044762.11</v>
      </c>
      <c r="G30" s="110">
        <v>0.022108860866923</v>
      </c>
      <c r="H30" s="50">
        <f t="shared" si="1"/>
        <v>3016229.367</v>
      </c>
      <c r="I30" s="55">
        <f t="shared" si="3"/>
        <v>0.1901077427</v>
      </c>
      <c r="J30" s="55">
        <f t="shared" si="4"/>
        <v>4.224344073</v>
      </c>
      <c r="K30" s="57">
        <f>H30-'HIER Rechnung Thesaurierer '!J30</f>
        <v>243177.8554</v>
      </c>
      <c r="L30" s="56">
        <f>'HIER Rechnung Ausschütter'!AQ7</f>
        <v>0.282347561</v>
      </c>
      <c r="M30" s="57">
        <f t="shared" si="5"/>
        <v>67316.22186</v>
      </c>
      <c r="N30" s="57">
        <f t="shared" si="6"/>
        <v>49561.56846</v>
      </c>
      <c r="O30" s="57">
        <f t="shared" si="7"/>
        <v>17754.65351</v>
      </c>
      <c r="P30" s="58">
        <f t="shared" si="18"/>
        <v>0.02353120546</v>
      </c>
      <c r="Q30" s="57">
        <f>Q29*(1+'HIER Rechnung Thesaurierer '!I30)</f>
        <v>70975.51247</v>
      </c>
      <c r="R30" s="57">
        <f t="shared" si="8"/>
        <v>70975.51293</v>
      </c>
      <c r="S30" s="18"/>
      <c r="T30" s="59">
        <f t="shared" si="9"/>
        <v>5461.497481</v>
      </c>
      <c r="U30" s="60">
        <f t="shared" si="10"/>
        <v>28532.74154</v>
      </c>
      <c r="V30" s="57">
        <f t="shared" si="11"/>
        <v>26990.70102</v>
      </c>
      <c r="W30" s="57">
        <f t="shared" si="12"/>
        <v>7118.797393</v>
      </c>
      <c r="X30" s="57">
        <f t="shared" si="13"/>
        <v>1542.040493</v>
      </c>
      <c r="Y30" s="57">
        <f t="shared" si="14"/>
        <v>21413.94414</v>
      </c>
      <c r="Z30" s="13"/>
      <c r="AA30" s="58"/>
      <c r="AB30" s="12"/>
      <c r="AC30" s="57">
        <f>AC29*(1+'HIER Rechnung Thesaurierer '!I30)</f>
        <v>0</v>
      </c>
      <c r="AD30" s="57">
        <f>IF((M30+U30)&lt;AC30,(M30+U30)*'HIER Rechnung Ausschütter'!O$1,AC30*'HIER Rechnung Ausschütter'!O$1)</f>
        <v>0</v>
      </c>
      <c r="AE30" s="13">
        <f>'HIER Rechnung Ausschütter'!AM30-AG30</f>
        <v>-36704.52133</v>
      </c>
      <c r="AF30" s="69">
        <f>AF29*(1+'HIER Rechnung Thesaurierer '!I29)</f>
        <v>0</v>
      </c>
      <c r="AG30" s="13">
        <f t="shared" si="15"/>
        <v>94306.92287</v>
      </c>
    </row>
    <row r="31" ht="12.75" customHeight="1">
      <c r="A31" s="12">
        <v>28.0</v>
      </c>
      <c r="B31" s="46">
        <f t="shared" si="16"/>
        <v>5.224344073</v>
      </c>
      <c r="C31" s="47">
        <f t="shared" si="19"/>
        <v>577341.2571</v>
      </c>
      <c r="D31" s="13">
        <f t="shared" si="17"/>
        <v>3016229.367</v>
      </c>
      <c r="E31" s="18">
        <f>'HIER Rechnung Ausschütter'!E31+'HIER Rechnung Ausschütter'!K$1</f>
        <v>-0.194645773</v>
      </c>
      <c r="F31" s="13">
        <f t="shared" si="2"/>
        <v>2429133.071</v>
      </c>
      <c r="G31" s="110">
        <v>0.0173188583976927</v>
      </c>
      <c r="H31" s="50">
        <f t="shared" si="1"/>
        <v>2374943.215</v>
      </c>
      <c r="I31" s="55">
        <f t="shared" si="3"/>
        <v>-0.2126118655</v>
      </c>
      <c r="J31" s="55">
        <f t="shared" si="4"/>
        <v>3.207447582</v>
      </c>
      <c r="K31" s="57">
        <f>H31-'HIER Rechnung Thesaurierer '!J31</f>
        <v>194358.1657</v>
      </c>
      <c r="L31" s="56">
        <f>'HIER Rechnung Ausschütter'!AQ6</f>
        <v>0.268902439</v>
      </c>
      <c r="M31" s="57">
        <f t="shared" si="5"/>
        <v>42069.81168</v>
      </c>
      <c r="N31" s="57">
        <f t="shared" si="6"/>
        <v>30973.89892</v>
      </c>
      <c r="O31" s="57">
        <f t="shared" si="7"/>
        <v>11095.91283</v>
      </c>
      <c r="P31" s="58">
        <f t="shared" si="18"/>
        <v>0.03022583157</v>
      </c>
      <c r="Q31" s="57">
        <f>Q30*(1+'HIER Rechnung Thesaurierer '!I31)</f>
        <v>71784.63332</v>
      </c>
      <c r="R31" s="57">
        <f t="shared" si="8"/>
        <v>71784.6336</v>
      </c>
      <c r="S31" s="18"/>
      <c r="T31" s="59">
        <f t="shared" si="9"/>
        <v>12879.50816</v>
      </c>
      <c r="U31" s="60">
        <f t="shared" si="10"/>
        <v>54189.85518</v>
      </c>
      <c r="V31" s="57">
        <f t="shared" si="11"/>
        <v>50726.52401</v>
      </c>
      <c r="W31" s="57">
        <f t="shared" si="12"/>
        <v>13379.12071</v>
      </c>
      <c r="X31" s="57">
        <f t="shared" si="13"/>
        <v>3463.331158</v>
      </c>
      <c r="Y31" s="57">
        <f t="shared" si="14"/>
        <v>40810.73448</v>
      </c>
      <c r="Z31" s="13"/>
      <c r="AA31" s="58"/>
      <c r="AB31" s="12"/>
      <c r="AC31" s="57">
        <f>AC30*(1+'HIER Rechnung Thesaurierer '!I31)</f>
        <v>0</v>
      </c>
      <c r="AD31" s="57">
        <f>IF((M31+U31)&lt;AC31,(M31+U31)*'HIER Rechnung Ausschütter'!O$1,AC31*'HIER Rechnung Ausschütter'!O$1)</f>
        <v>0</v>
      </c>
      <c r="AE31" s="13">
        <f>'HIER Rechnung Ausschütter'!AM31-AG31</f>
        <v>-37189.32597</v>
      </c>
      <c r="AF31" s="69">
        <f>AF30*(1+'HIER Rechnung Thesaurierer '!I30)</f>
        <v>0</v>
      </c>
      <c r="AG31" s="13">
        <f t="shared" si="15"/>
        <v>92796.33569</v>
      </c>
    </row>
    <row r="32" ht="12.75" customHeight="1">
      <c r="A32" s="12">
        <v>29.0</v>
      </c>
      <c r="B32" s="46">
        <f t="shared" si="16"/>
        <v>4.207447582</v>
      </c>
      <c r="C32" s="47">
        <f t="shared" si="19"/>
        <v>564461.7489</v>
      </c>
      <c r="D32" s="13">
        <f t="shared" si="17"/>
        <v>2374943.215</v>
      </c>
      <c r="E32" s="18">
        <f>'HIER Rechnung Ausschütter'!E32+'HIER Rechnung Ausschütter'!K$1</f>
        <v>0.2176579186</v>
      </c>
      <c r="F32" s="13">
        <f t="shared" si="2"/>
        <v>2891868.412</v>
      </c>
      <c r="G32" s="110">
        <v>0.0264952266565759</v>
      </c>
      <c r="H32" s="50">
        <f t="shared" si="1"/>
        <v>2869028.51</v>
      </c>
      <c r="I32" s="55">
        <f t="shared" si="3"/>
        <v>0.2080408879</v>
      </c>
      <c r="J32" s="55">
        <f t="shared" si="4"/>
        <v>4.123231866</v>
      </c>
      <c r="K32" s="57">
        <f>H32-'HIER Rechnung Thesaurierer '!J32</f>
        <v>250449.2384</v>
      </c>
      <c r="L32" s="56">
        <f>'HIER Rechnung Ausschütter'!AQ5</f>
        <v>0.256097561</v>
      </c>
      <c r="M32" s="57">
        <f t="shared" si="5"/>
        <v>76620.70903</v>
      </c>
      <c r="N32" s="57">
        <f t="shared" si="6"/>
        <v>56411.99716</v>
      </c>
      <c r="O32" s="57">
        <f t="shared" si="7"/>
        <v>20208.71201</v>
      </c>
      <c r="P32" s="58">
        <f t="shared" si="18"/>
        <v>0.02562853598</v>
      </c>
      <c r="Q32" s="57">
        <f>Q31*(1+'HIER Rechnung Thesaurierer '!I32)</f>
        <v>73528.99991</v>
      </c>
      <c r="R32" s="57">
        <f t="shared" si="8"/>
        <v>73529.00043</v>
      </c>
      <c r="S32" s="18"/>
      <c r="T32" s="59">
        <f t="shared" si="9"/>
        <v>4458.104169</v>
      </c>
      <c r="U32" s="60">
        <f t="shared" si="10"/>
        <v>22839.90082</v>
      </c>
      <c r="V32" s="57">
        <f t="shared" si="11"/>
        <v>21698.19119</v>
      </c>
      <c r="W32" s="57">
        <f t="shared" si="12"/>
        <v>5722.897927</v>
      </c>
      <c r="X32" s="57">
        <f t="shared" si="13"/>
        <v>1141.709604</v>
      </c>
      <c r="Y32" s="57">
        <f t="shared" si="14"/>
        <v>17117.00289</v>
      </c>
      <c r="Z32" s="13"/>
      <c r="AA32" s="58"/>
      <c r="AB32" s="12"/>
      <c r="AC32" s="57">
        <f>AC31*(1+'HIER Rechnung Thesaurierer '!I32)</f>
        <v>0</v>
      </c>
      <c r="AD32" s="57">
        <f>IF((M32+U32)&lt;AC32,(M32+U32)*'HIER Rechnung Ausschütter'!O$1,AC32*'HIER Rechnung Ausschütter'!O$1)</f>
        <v>0</v>
      </c>
      <c r="AE32" s="13">
        <f>'HIER Rechnung Ausschütter'!AM32-AG32</f>
        <v>-37748.62101</v>
      </c>
      <c r="AF32" s="69">
        <f>AF31*(1+'HIER Rechnung Thesaurierer '!I31)</f>
        <v>0</v>
      </c>
      <c r="AG32" s="13">
        <f t="shared" si="15"/>
        <v>98318.90023</v>
      </c>
    </row>
    <row r="33" ht="12.75" customHeight="1">
      <c r="A33" s="12">
        <v>30.0</v>
      </c>
      <c r="B33" s="46">
        <f t="shared" si="16"/>
        <v>5.123231866</v>
      </c>
      <c r="C33" s="47">
        <f t="shared" si="19"/>
        <v>560003.6448</v>
      </c>
      <c r="D33" s="13">
        <f t="shared" si="17"/>
        <v>2869028.51</v>
      </c>
      <c r="E33" s="18">
        <f>'HIER Rechnung Ausschütter'!E33+'HIER Rechnung Ausschütter'!K$1</f>
        <v>0.1699673102</v>
      </c>
      <c r="F33" s="13">
        <f t="shared" si="2"/>
        <v>3356669.569</v>
      </c>
      <c r="G33" s="110">
        <v>0.0219768029279788</v>
      </c>
      <c r="H33" s="50">
        <f t="shared" si="1"/>
        <v>3328660.14</v>
      </c>
      <c r="I33" s="55">
        <f t="shared" si="3"/>
        <v>0.1602046227</v>
      </c>
      <c r="J33" s="55">
        <f t="shared" si="4"/>
        <v>4.994013806</v>
      </c>
      <c r="K33" s="57">
        <f>H33-'HIER Rechnung Thesaurierer '!J33</f>
        <v>307582.359</v>
      </c>
      <c r="L33" s="56">
        <f>'HIER Rechnung Ausschütter'!AQ4</f>
        <v>0.243902439</v>
      </c>
      <c r="M33" s="57">
        <f t="shared" si="5"/>
        <v>73768.8656</v>
      </c>
      <c r="N33" s="57">
        <f t="shared" si="6"/>
        <v>54312.32742</v>
      </c>
      <c r="O33" s="57">
        <f t="shared" si="7"/>
        <v>19456.5383</v>
      </c>
      <c r="P33" s="58">
        <f t="shared" si="18"/>
        <v>0.0226021492</v>
      </c>
      <c r="Q33" s="57">
        <f>Q32*(1+'HIER Rechnung Thesaurierer '!I33)</f>
        <v>75234.8727</v>
      </c>
      <c r="R33" s="57">
        <f t="shared" si="8"/>
        <v>75234.87319</v>
      </c>
      <c r="S33" s="18"/>
      <c r="T33" s="59">
        <f t="shared" si="9"/>
        <v>4672.900183</v>
      </c>
      <c r="U33" s="60">
        <f t="shared" si="10"/>
        <v>28009.42772</v>
      </c>
      <c r="V33" s="57">
        <f t="shared" si="11"/>
        <v>26869.69595</v>
      </c>
      <c r="W33" s="57">
        <f t="shared" si="12"/>
        <v>7086.882307</v>
      </c>
      <c r="X33" s="57">
        <f t="shared" si="13"/>
        <v>1139.731752</v>
      </c>
      <c r="Y33" s="57">
        <f t="shared" si="14"/>
        <v>20922.54541</v>
      </c>
      <c r="Z33" s="13"/>
      <c r="AA33" s="58"/>
      <c r="AB33" s="12"/>
      <c r="AC33" s="57">
        <f>AC32*(1+'HIER Rechnung Thesaurierer '!I33)</f>
        <v>0</v>
      </c>
      <c r="AD33" s="57">
        <f>IF((M33+U33)&lt;AC33,(M33+U33)*'HIER Rechnung Ausschütter'!O$1,AC33*'HIER Rechnung Ausschütter'!O$1)</f>
        <v>0</v>
      </c>
      <c r="AE33" s="13">
        <f>'HIER Rechnung Ausschütter'!AM33-AG33</f>
        <v>-38752.36878</v>
      </c>
      <c r="AF33" s="69">
        <f>AF32*(1+'HIER Rechnung Thesaurierer '!I32)</f>
        <v>0</v>
      </c>
      <c r="AG33" s="13">
        <f t="shared" si="15"/>
        <v>100638.5616</v>
      </c>
    </row>
    <row r="34" ht="12.75" customHeight="1">
      <c r="B34" s="46">
        <f t="shared" si="16"/>
        <v>5.994013806</v>
      </c>
      <c r="C34" s="47">
        <f t="shared" si="19"/>
        <v>555330.7446</v>
      </c>
      <c r="G34" s="18"/>
      <c r="K34" s="12"/>
      <c r="Z34" s="18"/>
    </row>
    <row r="35" ht="12.75" customHeight="1">
      <c r="G35" s="18">
        <f>SUM(G4:G34)</f>
        <v>0.7272020824</v>
      </c>
      <c r="K35" s="12"/>
      <c r="M35" s="13">
        <f t="shared" ref="M35:O35" si="20">SUM(M4:M34)</f>
        <v>1364376.91</v>
      </c>
      <c r="N35" s="13">
        <f t="shared" si="20"/>
        <v>1004522.501</v>
      </c>
      <c r="O35" s="13">
        <f t="shared" si="20"/>
        <v>359854.4099</v>
      </c>
      <c r="P35" s="27">
        <f>AVERAGE(P4:P34)</f>
        <v>0.03446085405</v>
      </c>
      <c r="R35" s="50">
        <f>SUM(R4:R34)</f>
        <v>1807641.088</v>
      </c>
      <c r="U35" s="52">
        <f>SUM(U4:U34)</f>
        <v>1002320.441</v>
      </c>
      <c r="Y35" s="13">
        <f>SUM(Y4:Y34)</f>
        <v>803118.5858</v>
      </c>
      <c r="AG35" s="13">
        <f>SUM(AG4:AG34)</f>
        <v>2119644.608</v>
      </c>
    </row>
    <row r="36" ht="12.75" customHeight="1">
      <c r="B36" s="12" t="s">
        <v>77</v>
      </c>
      <c r="D36" s="18">
        <f>H33/D4-1</f>
        <v>2.32866014</v>
      </c>
      <c r="G36" s="18">
        <f>AVERAGE(G4:G33)</f>
        <v>0.02424006941</v>
      </c>
      <c r="J36" s="58">
        <f>(J33+1)^(1/30)-1</f>
        <v>0.06150959626</v>
      </c>
      <c r="K36" s="12" t="s">
        <v>18</v>
      </c>
      <c r="L36" s="12"/>
      <c r="N36" s="13"/>
      <c r="P36" s="52"/>
      <c r="Q36" s="52"/>
      <c r="R36" s="13"/>
      <c r="S36" s="13"/>
      <c r="T36" s="13"/>
      <c r="V36" s="111"/>
      <c r="W36" s="111"/>
      <c r="Z36" s="18"/>
      <c r="AA36" s="12"/>
      <c r="AB36" s="13"/>
    </row>
    <row r="37" ht="12.75" customHeight="1">
      <c r="B37" s="12" t="s">
        <v>78</v>
      </c>
      <c r="D37" s="18">
        <f>(H33/C4)^(1/29)-1</f>
        <v>0.04233972962</v>
      </c>
      <c r="F37" s="6" t="s">
        <v>118</v>
      </c>
      <c r="G37" s="13">
        <f>SUM(O4:O33)+SUM(Z4:Z33)</f>
        <v>359854.4099</v>
      </c>
      <c r="K37" s="12"/>
      <c r="P37" s="52"/>
      <c r="Q37" s="52"/>
      <c r="R37" s="13"/>
      <c r="S37" s="13"/>
      <c r="V37" s="111"/>
      <c r="W37" s="111"/>
      <c r="AA37" s="12"/>
      <c r="AB37" s="18"/>
    </row>
    <row r="38" ht="12.75" customHeight="1">
      <c r="K38" s="12"/>
      <c r="R38" s="13"/>
      <c r="S38" s="13"/>
      <c r="V38" s="112"/>
      <c r="W38" s="112"/>
      <c r="X38" s="113"/>
      <c r="Y38" s="113"/>
      <c r="AA38" s="12"/>
      <c r="AB38" s="114"/>
    </row>
    <row r="39" ht="12.75" customHeight="1">
      <c r="B39" s="30" t="s">
        <v>119</v>
      </c>
      <c r="C39" s="27">
        <f>D37-'HIER Rechnung Thesaurierer '!D37</f>
        <v>0.003479053854</v>
      </c>
      <c r="D39" s="26" t="s">
        <v>18</v>
      </c>
      <c r="K39" s="12"/>
      <c r="P39" s="18"/>
      <c r="Q39" s="18"/>
      <c r="R39" s="12"/>
      <c r="S39" s="12"/>
      <c r="V39" s="112"/>
      <c r="W39" s="112"/>
      <c r="AA39" s="12"/>
      <c r="AB39" s="46"/>
      <c r="AD39" s="46"/>
    </row>
    <row r="40" ht="12.75" customHeight="1">
      <c r="B40" s="30" t="s">
        <v>120</v>
      </c>
      <c r="C40" s="27">
        <f>D37-'HIER Rechnung Ausschütter'!D37</f>
        <v>0.0007619304532</v>
      </c>
      <c r="D40" s="26" t="s">
        <v>18</v>
      </c>
      <c r="E40" s="6" t="s">
        <v>121</v>
      </c>
      <c r="F40" s="13">
        <f>H33-'HIER Rechnung Ausschütter'!I33</f>
        <v>69845.03556</v>
      </c>
      <c r="G40" s="12" t="s">
        <v>122</v>
      </c>
      <c r="H40" s="18">
        <f>F40/H33</f>
        <v>0.02098292785</v>
      </c>
      <c r="K40" s="12"/>
      <c r="R40" s="13"/>
      <c r="S40" s="13"/>
      <c r="T40" s="52"/>
      <c r="V40" s="112"/>
      <c r="W40" s="112"/>
      <c r="AA40" s="12"/>
      <c r="AB40" s="13"/>
    </row>
    <row r="41" ht="12.75" customHeight="1">
      <c r="B41" s="19"/>
      <c r="K41" s="12"/>
      <c r="R41" s="12"/>
      <c r="S41" s="12"/>
      <c r="AA41" s="12"/>
      <c r="AB41" s="13"/>
    </row>
    <row r="42" ht="12.75" customHeight="1">
      <c r="B42" s="67" t="s">
        <v>80</v>
      </c>
      <c r="K42" s="12"/>
      <c r="Z42" s="12"/>
    </row>
    <row r="43" ht="12.75" customHeight="1">
      <c r="B43" s="17" t="s">
        <v>81</v>
      </c>
      <c r="C43" s="13">
        <f>(B34-D1)*C34</f>
        <v>3328660.15</v>
      </c>
      <c r="K43" s="12"/>
      <c r="R43" s="18"/>
      <c r="S43" s="18"/>
      <c r="Z43" s="12"/>
    </row>
    <row r="44" ht="12.75" customHeight="1">
      <c r="B44" s="17" t="s">
        <v>82</v>
      </c>
      <c r="C44" s="13">
        <f>C43*P1</f>
        <v>877934.1145</v>
      </c>
      <c r="K44" s="12"/>
    </row>
    <row r="45" ht="12.75" customHeight="1">
      <c r="B45" s="17" t="s">
        <v>83</v>
      </c>
      <c r="C45" s="13">
        <f>H33-C44</f>
        <v>2450726.026</v>
      </c>
      <c r="G45" s="115"/>
      <c r="K45" s="12"/>
      <c r="R45" s="69"/>
      <c r="S45" s="69"/>
    </row>
    <row r="46" ht="12.75" customHeight="1">
      <c r="B46" s="1" t="s">
        <v>78</v>
      </c>
      <c r="C46" s="18">
        <f>(C45/C4)^(1/29)-1</f>
        <v>0.03139247227</v>
      </c>
      <c r="D46" s="12" t="s">
        <v>18</v>
      </c>
      <c r="K46" s="12"/>
      <c r="R46" s="69"/>
      <c r="S46" s="69"/>
    </row>
    <row r="47" ht="12.75" customHeight="1">
      <c r="B47" s="19"/>
      <c r="K47" s="12"/>
    </row>
    <row r="48" ht="12.75" customHeight="1">
      <c r="B48" s="30" t="s">
        <v>120</v>
      </c>
      <c r="C48" s="27">
        <f>C46-'HIER Rechnung Ausschütter'!C46</f>
        <v>-0.00293431839</v>
      </c>
      <c r="D48" s="26" t="s">
        <v>18</v>
      </c>
      <c r="K48" s="12"/>
    </row>
    <row r="49" ht="12.75" customHeight="1">
      <c r="B49" s="30" t="s">
        <v>119</v>
      </c>
      <c r="C49" s="27">
        <f>C46-'HIER Rechnung Thesaurierer '!C46</f>
        <v>-0.0009434955551</v>
      </c>
      <c r="D49" s="26" t="s">
        <v>18</v>
      </c>
      <c r="K49" s="12"/>
      <c r="R49" s="18"/>
      <c r="S49" s="18"/>
    </row>
    <row r="50" ht="12.75" customHeight="1">
      <c r="B50" s="19"/>
      <c r="K50" s="12"/>
    </row>
    <row r="51" ht="12.75" customHeight="1">
      <c r="B51" s="19"/>
      <c r="K51" s="12"/>
      <c r="R51" s="69"/>
      <c r="S51" s="69"/>
    </row>
    <row r="52" ht="12.75" customHeight="1">
      <c r="B52" s="19"/>
      <c r="K52" s="12"/>
      <c r="R52" s="70"/>
      <c r="S52" s="70"/>
    </row>
    <row r="53" ht="12.75" customHeight="1">
      <c r="B53" s="19"/>
      <c r="K53" s="12"/>
      <c r="R53" s="70"/>
      <c r="S53" s="70"/>
    </row>
    <row r="54" ht="12.75" customHeight="1">
      <c r="B54" s="19"/>
      <c r="K54" s="12"/>
      <c r="R54" s="70"/>
      <c r="S54" s="70"/>
    </row>
    <row r="55" ht="12.75" customHeight="1">
      <c r="B55" s="19"/>
      <c r="K55" s="12"/>
      <c r="R55" s="70"/>
      <c r="S55" s="70"/>
    </row>
    <row r="56" ht="12.75" customHeight="1">
      <c r="K56" s="12"/>
    </row>
    <row r="57" ht="12.75" customHeight="1">
      <c r="K57" s="12"/>
    </row>
    <row r="58" ht="12.75" customHeight="1">
      <c r="K58" s="12"/>
    </row>
    <row r="59" ht="12.75" customHeight="1">
      <c r="K59" s="12"/>
    </row>
    <row r="60" ht="12.75" customHeight="1">
      <c r="K60" s="12"/>
    </row>
    <row r="61" ht="12.75" customHeight="1">
      <c r="K61" s="12"/>
    </row>
    <row r="62" ht="12.75" customHeight="1">
      <c r="K62" s="12"/>
    </row>
    <row r="63" ht="12.75" customHeight="1">
      <c r="K63" s="12"/>
    </row>
    <row r="64" ht="12.75" customHeight="1">
      <c r="K64" s="12"/>
    </row>
    <row r="65" ht="12.75" customHeight="1">
      <c r="K65" s="12"/>
    </row>
    <row r="66" ht="12.75" customHeight="1">
      <c r="K66" s="12"/>
    </row>
    <row r="67" ht="12.75" customHeight="1">
      <c r="K67" s="12"/>
    </row>
    <row r="68" ht="12.75" customHeight="1">
      <c r="K68" s="12"/>
    </row>
    <row r="69" ht="12.75" customHeight="1">
      <c r="K69" s="12"/>
    </row>
    <row r="70" ht="12.75" customHeight="1">
      <c r="K70" s="12"/>
    </row>
    <row r="71" ht="12.75" customHeight="1">
      <c r="K71" s="12"/>
    </row>
    <row r="72" ht="12.75" customHeight="1">
      <c r="K72" s="12"/>
    </row>
    <row r="73" ht="12.75" customHeight="1">
      <c r="K73" s="12"/>
    </row>
    <row r="74" ht="12.75" customHeight="1">
      <c r="K74" s="12"/>
    </row>
    <row r="75" ht="12.75" customHeight="1">
      <c r="K75" s="12"/>
    </row>
    <row r="76" ht="12.75" customHeight="1">
      <c r="K76" s="12"/>
    </row>
    <row r="77" ht="12.75" customHeight="1">
      <c r="K77" s="12"/>
    </row>
    <row r="78" ht="12.75" customHeight="1">
      <c r="K78" s="12"/>
    </row>
    <row r="79" ht="12.75" customHeight="1">
      <c r="K79" s="12"/>
    </row>
    <row r="80" ht="12.75" customHeight="1">
      <c r="K80" s="12"/>
    </row>
    <row r="81" ht="12.75" customHeight="1">
      <c r="K81" s="12"/>
    </row>
    <row r="82" ht="12.75" customHeight="1">
      <c r="K82" s="12"/>
    </row>
    <row r="83" ht="12.75" customHeight="1">
      <c r="K83" s="12"/>
    </row>
    <row r="84" ht="12.75" customHeight="1">
      <c r="K84" s="12"/>
    </row>
    <row r="85" ht="12.75" customHeight="1">
      <c r="K85" s="12"/>
    </row>
    <row r="86" ht="12.75" customHeight="1">
      <c r="K86" s="12"/>
    </row>
    <row r="87" ht="12.75" customHeight="1">
      <c r="K87" s="12"/>
    </row>
    <row r="88" ht="12.75" customHeight="1">
      <c r="K88" s="12"/>
    </row>
    <row r="89" ht="12.75" customHeight="1">
      <c r="K89" s="12"/>
    </row>
    <row r="90" ht="12.75" customHeight="1">
      <c r="K90" s="12"/>
    </row>
    <row r="91" ht="12.75" customHeight="1">
      <c r="K91" s="12"/>
    </row>
    <row r="92" ht="12.75" customHeight="1">
      <c r="K92" s="12"/>
    </row>
    <row r="93" ht="12.75" customHeight="1">
      <c r="K93" s="12"/>
    </row>
    <row r="94" ht="12.75" customHeight="1">
      <c r="K94" s="12"/>
    </row>
    <row r="95" ht="12.75" customHeight="1">
      <c r="K95" s="12"/>
    </row>
    <row r="96" ht="12.75" customHeight="1">
      <c r="K96" s="12"/>
    </row>
    <row r="97" ht="12.75" customHeight="1">
      <c r="K97" s="12"/>
    </row>
    <row r="98" ht="12.75" customHeight="1">
      <c r="K98" s="12"/>
    </row>
    <row r="99" ht="12.75" customHeight="1">
      <c r="K99" s="12"/>
    </row>
    <row r="100" ht="12.75" customHeight="1">
      <c r="K100" s="12"/>
    </row>
    <row r="101" ht="12.75" customHeight="1">
      <c r="K101" s="12"/>
    </row>
    <row r="102" ht="12.75" customHeight="1">
      <c r="K102" s="12"/>
    </row>
    <row r="103" ht="12.75" customHeight="1">
      <c r="K103" s="12"/>
    </row>
    <row r="104" ht="12.75" customHeight="1">
      <c r="K104" s="12"/>
    </row>
    <row r="105" ht="12.75" customHeight="1">
      <c r="K105" s="12"/>
    </row>
    <row r="106" ht="12.75" customHeight="1">
      <c r="K106" s="12"/>
    </row>
    <row r="107" ht="12.75" customHeight="1">
      <c r="K107" s="12"/>
    </row>
    <row r="108" ht="12.75" customHeight="1">
      <c r="K108" s="12"/>
    </row>
    <row r="109" ht="12.75" customHeight="1">
      <c r="K109" s="12"/>
    </row>
    <row r="110" ht="12.75" customHeight="1">
      <c r="K110" s="12"/>
    </row>
    <row r="111" ht="12.75" customHeight="1">
      <c r="K111" s="12"/>
    </row>
    <row r="112" ht="12.75" customHeight="1">
      <c r="K112" s="12"/>
    </row>
    <row r="113" ht="12.75" customHeight="1">
      <c r="K113" s="12"/>
    </row>
    <row r="114" ht="12.75" customHeight="1">
      <c r="K114" s="12"/>
    </row>
    <row r="115" ht="12.75" customHeight="1">
      <c r="K115" s="12"/>
    </row>
    <row r="116" ht="12.75" customHeight="1">
      <c r="K116" s="12"/>
    </row>
    <row r="117" ht="12.75" customHeight="1">
      <c r="K117" s="12"/>
    </row>
    <row r="118" ht="12.75" customHeight="1">
      <c r="K118" s="12"/>
    </row>
    <row r="119" ht="12.75" customHeight="1">
      <c r="K119" s="12"/>
    </row>
    <row r="120" ht="12.75" customHeight="1">
      <c r="K120" s="12"/>
    </row>
    <row r="121" ht="12.75" customHeight="1">
      <c r="K121" s="12"/>
    </row>
    <row r="122" ht="12.75" customHeight="1">
      <c r="K122" s="12"/>
    </row>
    <row r="123" ht="12.75" customHeight="1">
      <c r="K123" s="12"/>
    </row>
    <row r="124" ht="12.75" customHeight="1">
      <c r="K124" s="12"/>
    </row>
    <row r="125" ht="12.75" customHeight="1">
      <c r="K125" s="12"/>
    </row>
    <row r="126" ht="12.75" customHeight="1">
      <c r="K126" s="12"/>
    </row>
    <row r="127" ht="12.75" customHeight="1">
      <c r="K127" s="12"/>
    </row>
    <row r="128" ht="12.75" customHeight="1">
      <c r="K128" s="12"/>
    </row>
    <row r="129" ht="12.75" customHeight="1">
      <c r="K129" s="12"/>
    </row>
    <row r="130" ht="12.75" customHeight="1">
      <c r="K130" s="12"/>
    </row>
    <row r="131" ht="12.75" customHeight="1">
      <c r="K131" s="12"/>
    </row>
    <row r="132" ht="12.75" customHeight="1">
      <c r="K132" s="12"/>
    </row>
    <row r="133" ht="12.75" customHeight="1">
      <c r="K133" s="12"/>
    </row>
    <row r="134" ht="12.75" customHeight="1">
      <c r="K134" s="12"/>
    </row>
    <row r="135" ht="12.75" customHeight="1">
      <c r="K135" s="12"/>
    </row>
    <row r="136" ht="12.75" customHeight="1">
      <c r="K136" s="12"/>
    </row>
    <row r="137" ht="12.75" customHeight="1">
      <c r="K137" s="12"/>
    </row>
    <row r="138" ht="12.75" customHeight="1">
      <c r="K138" s="12"/>
    </row>
    <row r="139" ht="12.75" customHeight="1">
      <c r="K139" s="12"/>
    </row>
    <row r="140" ht="12.75" customHeight="1">
      <c r="K140" s="12"/>
    </row>
    <row r="141" ht="12.75" customHeight="1">
      <c r="K141" s="12"/>
    </row>
    <row r="142" ht="12.75" customHeight="1">
      <c r="K142" s="12"/>
    </row>
    <row r="143" ht="12.75" customHeight="1">
      <c r="K143" s="12"/>
    </row>
    <row r="144" ht="12.75" customHeight="1">
      <c r="K144" s="12"/>
    </row>
    <row r="145" ht="12.75" customHeight="1">
      <c r="K145" s="12"/>
    </row>
    <row r="146" ht="12.75" customHeight="1">
      <c r="K146" s="12"/>
    </row>
    <row r="147" ht="12.75" customHeight="1">
      <c r="K147" s="12"/>
    </row>
    <row r="148" ht="12.75" customHeight="1">
      <c r="K148" s="12"/>
    </row>
    <row r="149" ht="12.75" customHeight="1">
      <c r="K149" s="12"/>
    </row>
    <row r="150" ht="12.75" customHeight="1">
      <c r="K150" s="12"/>
    </row>
    <row r="151" ht="12.75" customHeight="1">
      <c r="K151" s="12"/>
    </row>
    <row r="152" ht="12.75" customHeight="1">
      <c r="K152" s="12"/>
    </row>
    <row r="153" ht="12.75" customHeight="1">
      <c r="K153" s="12"/>
    </row>
    <row r="154" ht="12.75" customHeight="1">
      <c r="K154" s="12"/>
    </row>
    <row r="155" ht="12.75" customHeight="1">
      <c r="K155" s="12"/>
    </row>
    <row r="156" ht="12.75" customHeight="1">
      <c r="K156" s="12"/>
    </row>
    <row r="157" ht="12.75" customHeight="1">
      <c r="K157" s="12"/>
    </row>
    <row r="158" ht="12.75" customHeight="1">
      <c r="K158" s="12"/>
    </row>
    <row r="159" ht="12.75" customHeight="1">
      <c r="K159" s="12"/>
    </row>
    <row r="160" ht="12.75" customHeight="1">
      <c r="K160" s="12"/>
    </row>
    <row r="161" ht="12.75" customHeight="1">
      <c r="K161" s="12"/>
    </row>
    <row r="162" ht="12.75" customHeight="1">
      <c r="K162" s="12"/>
    </row>
    <row r="163" ht="12.75" customHeight="1">
      <c r="K163" s="12"/>
    </row>
    <row r="164" ht="12.75" customHeight="1">
      <c r="K164" s="12"/>
    </row>
    <row r="165" ht="12.75" customHeight="1">
      <c r="K165" s="12"/>
    </row>
    <row r="166" ht="12.75" customHeight="1">
      <c r="K166" s="12"/>
    </row>
    <row r="167" ht="12.75" customHeight="1">
      <c r="K167" s="12"/>
    </row>
    <row r="168" ht="12.75" customHeight="1">
      <c r="K168" s="12"/>
    </row>
    <row r="169" ht="12.75" customHeight="1">
      <c r="K169" s="12"/>
    </row>
    <row r="170" ht="12.75" customHeight="1">
      <c r="K170" s="12"/>
    </row>
    <row r="171" ht="12.75" customHeight="1">
      <c r="K171" s="12"/>
    </row>
    <row r="172" ht="12.75" customHeight="1">
      <c r="K172" s="12"/>
    </row>
    <row r="173" ht="12.75" customHeight="1">
      <c r="K173" s="12"/>
    </row>
    <row r="174" ht="12.75" customHeight="1">
      <c r="K174" s="12"/>
    </row>
    <row r="175" ht="12.75" customHeight="1">
      <c r="K175" s="12"/>
    </row>
    <row r="176" ht="12.75" customHeight="1">
      <c r="K176" s="12"/>
    </row>
    <row r="177" ht="12.75" customHeight="1">
      <c r="K177" s="12"/>
    </row>
    <row r="178" ht="12.75" customHeight="1">
      <c r="K178" s="12"/>
    </row>
    <row r="179" ht="12.75" customHeight="1">
      <c r="K179" s="12"/>
    </row>
    <row r="180" ht="12.75" customHeight="1">
      <c r="K180" s="12"/>
    </row>
    <row r="181" ht="12.75" customHeight="1">
      <c r="K181" s="12"/>
    </row>
    <row r="182" ht="12.75" customHeight="1">
      <c r="K182" s="12"/>
    </row>
    <row r="183" ht="12.75" customHeight="1">
      <c r="K183" s="12"/>
    </row>
    <row r="184" ht="12.75" customHeight="1">
      <c r="K184" s="12"/>
    </row>
    <row r="185" ht="12.75" customHeight="1">
      <c r="K185" s="12"/>
    </row>
    <row r="186" ht="12.75" customHeight="1">
      <c r="K186" s="12"/>
    </row>
    <row r="187" ht="12.75" customHeight="1">
      <c r="K187" s="12"/>
    </row>
    <row r="188" ht="12.75" customHeight="1">
      <c r="K188" s="12"/>
    </row>
    <row r="189" ht="12.75" customHeight="1">
      <c r="K189" s="12"/>
    </row>
    <row r="190" ht="12.75" customHeight="1">
      <c r="K190" s="12"/>
    </row>
    <row r="191" ht="12.75" customHeight="1">
      <c r="K191" s="12"/>
    </row>
    <row r="192" ht="12.75" customHeight="1">
      <c r="K192" s="12"/>
    </row>
    <row r="193" ht="12.75" customHeight="1">
      <c r="K193" s="12"/>
    </row>
    <row r="194" ht="12.75" customHeight="1">
      <c r="K194" s="12"/>
    </row>
    <row r="195" ht="12.75" customHeight="1">
      <c r="K195" s="12"/>
    </row>
    <row r="196" ht="12.75" customHeight="1">
      <c r="K196" s="12"/>
    </row>
    <row r="197" ht="12.75" customHeight="1">
      <c r="K197" s="12"/>
    </row>
    <row r="198" ht="12.75" customHeight="1">
      <c r="K198" s="12"/>
    </row>
    <row r="199" ht="12.75" customHeight="1">
      <c r="K199" s="12"/>
    </row>
    <row r="200" ht="12.75" customHeight="1">
      <c r="K200" s="12"/>
    </row>
    <row r="201" ht="12.75" customHeight="1">
      <c r="K201" s="12"/>
    </row>
    <row r="202" ht="12.75" customHeight="1">
      <c r="K202" s="12"/>
    </row>
    <row r="203" ht="12.75" customHeight="1">
      <c r="K203" s="12"/>
    </row>
    <row r="204" ht="12.75" customHeight="1">
      <c r="K204" s="12"/>
    </row>
    <row r="205" ht="12.75" customHeight="1">
      <c r="K205" s="12"/>
    </row>
    <row r="206" ht="12.75" customHeight="1">
      <c r="K206" s="12"/>
    </row>
    <row r="207" ht="12.75" customHeight="1">
      <c r="K207" s="12"/>
    </row>
    <row r="208" ht="12.75" customHeight="1">
      <c r="K208" s="12"/>
    </row>
    <row r="209" ht="12.75" customHeight="1">
      <c r="K209" s="12"/>
    </row>
    <row r="210" ht="12.75" customHeight="1">
      <c r="K210" s="12"/>
    </row>
    <row r="211" ht="12.75" customHeight="1">
      <c r="K211" s="12"/>
    </row>
    <row r="212" ht="12.75" customHeight="1">
      <c r="K212" s="12"/>
    </row>
    <row r="213" ht="12.75" customHeight="1">
      <c r="K213" s="12"/>
    </row>
    <row r="214" ht="12.75" customHeight="1">
      <c r="K214" s="12"/>
    </row>
    <row r="215" ht="12.75" customHeight="1">
      <c r="K215" s="12"/>
    </row>
    <row r="216" ht="12.75" customHeight="1">
      <c r="K216" s="12"/>
    </row>
    <row r="217" ht="12.75" customHeight="1">
      <c r="K217" s="12"/>
    </row>
    <row r="218" ht="12.75" customHeight="1">
      <c r="K218" s="12"/>
    </row>
    <row r="219" ht="12.75" customHeight="1">
      <c r="K219" s="12"/>
    </row>
    <row r="220" ht="12.75" customHeight="1">
      <c r="K220" s="12"/>
    </row>
    <row r="221" ht="12.75" customHeight="1">
      <c r="K221" s="12"/>
    </row>
    <row r="222" ht="12.75" customHeight="1">
      <c r="K222" s="12"/>
    </row>
    <row r="223" ht="12.75" customHeight="1">
      <c r="K223" s="12"/>
    </row>
    <row r="224" ht="12.75" customHeight="1">
      <c r="K224" s="12"/>
    </row>
    <row r="225" ht="12.75" customHeight="1">
      <c r="K225" s="12"/>
    </row>
    <row r="226" ht="12.75" customHeight="1">
      <c r="K226" s="12"/>
    </row>
    <row r="227" ht="12.75" customHeight="1">
      <c r="K227" s="12"/>
    </row>
    <row r="228" ht="12.75" customHeight="1">
      <c r="K228" s="12"/>
    </row>
    <row r="229" ht="12.75" customHeight="1">
      <c r="K229" s="12"/>
    </row>
    <row r="230" ht="12.75" customHeight="1">
      <c r="K230" s="12"/>
    </row>
    <row r="231" ht="12.75" customHeight="1">
      <c r="K231" s="12"/>
    </row>
    <row r="232" ht="12.75" customHeight="1">
      <c r="K232" s="12"/>
    </row>
    <row r="233" ht="12.75" customHeight="1">
      <c r="K233" s="12"/>
    </row>
    <row r="234" ht="12.75" customHeight="1">
      <c r="K234" s="12"/>
    </row>
    <row r="235" ht="12.75" customHeight="1">
      <c r="K235" s="12"/>
    </row>
    <row r="236" ht="12.75" customHeight="1">
      <c r="K236" s="12"/>
    </row>
    <row r="237" ht="12.75" customHeight="1">
      <c r="K237" s="12"/>
    </row>
    <row r="238" ht="12.75" customHeight="1">
      <c r="K238" s="12"/>
    </row>
    <row r="239" ht="12.75" customHeight="1">
      <c r="K239" s="12"/>
    </row>
    <row r="240" ht="12.75" customHeight="1">
      <c r="K240" s="12"/>
    </row>
    <row r="241" ht="12.75" customHeight="1">
      <c r="K241" s="12"/>
    </row>
    <row r="242" ht="12.75" customHeight="1">
      <c r="K242" s="12"/>
    </row>
    <row r="243" ht="12.75" customHeight="1">
      <c r="K243" s="12"/>
    </row>
    <row r="244" ht="12.75" customHeight="1">
      <c r="K244" s="12"/>
    </row>
    <row r="245" ht="12.75" customHeight="1">
      <c r="K245" s="12"/>
    </row>
    <row r="246" ht="12.75" customHeight="1">
      <c r="K246" s="12"/>
    </row>
    <row r="247" ht="12.75" customHeight="1">
      <c r="K247" s="12"/>
    </row>
    <row r="248" ht="12.75" customHeight="1">
      <c r="K248" s="12"/>
    </row>
    <row r="249" ht="12.75" customHeight="1">
      <c r="K249" s="12"/>
    </row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AE3:AE33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conditionalFormatting sqref="AE3:AE33">
    <cfRule type="colorScale" priority="2">
      <colorScale>
        <cfvo type="min" val="0"/>
        <cfvo type="max" val="0"/>
        <color rgb="FFFF0000"/>
        <color rgb="FF57BB8A"/>
      </colorScale>
    </cfRule>
  </conditionalFormatting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13"/>
    <col customWidth="1" min="2" max="26" width="12.75"/>
  </cols>
  <sheetData>
    <row r="1" ht="15.75" customHeight="1">
      <c r="A1" s="116" t="s">
        <v>123</v>
      </c>
    </row>
    <row r="2" ht="15.75" customHeight="1">
      <c r="A2" s="117" t="s">
        <v>124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ht="15.75" customHeight="1">
      <c r="A3" s="12" t="s">
        <v>125</v>
      </c>
    </row>
    <row r="4" ht="15.75" customHeight="1">
      <c r="A4" s="119" t="s">
        <v>126</v>
      </c>
      <c r="B4" s="120"/>
      <c r="C4" s="120"/>
    </row>
    <row r="5" ht="15.75" customHeight="1">
      <c r="A5" s="12"/>
    </row>
    <row r="6" ht="15.75" customHeight="1">
      <c r="A6" s="12" t="s">
        <v>127</v>
      </c>
    </row>
    <row r="7" ht="15.75" customHeight="1">
      <c r="A7" s="12" t="s">
        <v>128</v>
      </c>
    </row>
    <row r="8" ht="15.75" customHeight="1">
      <c r="A8" s="12" t="s">
        <v>129</v>
      </c>
    </row>
    <row r="9" ht="15.75" customHeight="1">
      <c r="A9" s="12" t="s">
        <v>130</v>
      </c>
    </row>
    <row r="10" ht="15.75" customHeight="1">
      <c r="A10" s="12" t="s">
        <v>131</v>
      </c>
    </row>
    <row r="11" ht="15.75" customHeight="1"/>
    <row r="12" ht="15.75" customHeight="1">
      <c r="A12" s="121" t="s">
        <v>132</v>
      </c>
    </row>
    <row r="13" ht="15.75" customHeight="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2.75"/>
  </cols>
  <sheetData>
    <row r="1" ht="15.75" customHeight="1">
      <c r="A1" s="122" t="s">
        <v>133</v>
      </c>
      <c r="B1" s="123" t="s">
        <v>134</v>
      </c>
      <c r="C1" s="123"/>
      <c r="D1" s="123"/>
      <c r="E1" s="123"/>
      <c r="F1" s="123"/>
      <c r="G1" s="122" t="s">
        <v>133</v>
      </c>
      <c r="H1" s="123" t="s">
        <v>135</v>
      </c>
      <c r="I1" s="123"/>
      <c r="N1" s="12"/>
    </row>
    <row r="2" ht="15.75" customHeight="1">
      <c r="A2" s="122" t="s">
        <v>136</v>
      </c>
      <c r="B2" s="123" t="s">
        <v>137</v>
      </c>
      <c r="C2" s="123"/>
      <c r="D2" s="123"/>
      <c r="E2" s="123"/>
      <c r="F2" s="123"/>
      <c r="G2" s="122" t="s">
        <v>136</v>
      </c>
      <c r="H2" s="123" t="s">
        <v>137</v>
      </c>
      <c r="I2" s="123"/>
      <c r="N2" s="12"/>
    </row>
    <row r="3" ht="15.75" customHeight="1">
      <c r="A3" s="123"/>
      <c r="B3" s="123"/>
      <c r="C3" s="123"/>
      <c r="D3" s="123"/>
      <c r="E3" s="123"/>
      <c r="F3" s="123"/>
      <c r="G3" s="123"/>
      <c r="H3" s="123"/>
      <c r="I3" s="123"/>
      <c r="N3" s="124"/>
    </row>
    <row r="4" ht="15.75" customHeight="1">
      <c r="A4" s="123"/>
      <c r="B4" s="123"/>
      <c r="C4" s="123"/>
      <c r="D4" s="123"/>
      <c r="E4" s="123"/>
      <c r="F4" s="123"/>
      <c r="G4" s="123"/>
      <c r="H4" s="123"/>
      <c r="N4" s="125"/>
    </row>
    <row r="5" ht="15.75" customHeight="1">
      <c r="A5" s="122" t="s">
        <v>138</v>
      </c>
      <c r="B5" s="122" t="s">
        <v>139</v>
      </c>
      <c r="C5" s="123"/>
      <c r="D5" s="123"/>
      <c r="E5" s="123"/>
      <c r="F5" s="123"/>
      <c r="G5" s="122" t="s">
        <v>138</v>
      </c>
      <c r="H5" s="122" t="s">
        <v>139</v>
      </c>
      <c r="I5" s="123"/>
      <c r="K5" s="12" t="s">
        <v>140</v>
      </c>
      <c r="M5" s="6" t="s">
        <v>141</v>
      </c>
      <c r="N5" s="124"/>
    </row>
    <row r="6" ht="69.75" customHeight="1">
      <c r="A6" s="123" t="s">
        <v>142</v>
      </c>
      <c r="B6" s="126">
        <v>100.0</v>
      </c>
      <c r="C6" s="123"/>
      <c r="D6" s="123"/>
      <c r="E6" s="123"/>
      <c r="F6" s="123"/>
      <c r="G6" s="123" t="s">
        <v>142</v>
      </c>
      <c r="H6" s="126">
        <v>100.0</v>
      </c>
      <c r="I6" s="127" t="s">
        <v>143</v>
      </c>
      <c r="K6" s="127" t="s">
        <v>144</v>
      </c>
      <c r="L6" s="12" t="s">
        <v>145</v>
      </c>
      <c r="M6" s="127" t="s">
        <v>146</v>
      </c>
      <c r="N6" s="128" t="s">
        <v>147</v>
      </c>
    </row>
    <row r="7" ht="15.75" customHeight="1">
      <c r="A7" s="123" t="s">
        <v>148</v>
      </c>
      <c r="B7" s="126">
        <v>98.017</v>
      </c>
      <c r="C7" s="48">
        <v>-0.01983</v>
      </c>
      <c r="D7" s="123"/>
      <c r="E7" s="123"/>
      <c r="F7" s="123"/>
      <c r="G7" s="123" t="s">
        <v>148</v>
      </c>
      <c r="H7" s="126">
        <v>94.292</v>
      </c>
      <c r="I7" s="129">
        <v>-0.05708</v>
      </c>
      <c r="K7" s="130">
        <v>0.03725</v>
      </c>
      <c r="L7" s="18">
        <f t="shared" ref="L7:L61" si="1">M7-K7</f>
        <v>0.04575</v>
      </c>
      <c r="M7" s="131">
        <v>0.083</v>
      </c>
      <c r="N7" s="124"/>
    </row>
    <row r="8" ht="15.75" customHeight="1">
      <c r="A8" s="123" t="s">
        <v>149</v>
      </c>
      <c r="B8" s="126">
        <v>117.193</v>
      </c>
      <c r="C8" s="48">
        <v>0.195639531917933</v>
      </c>
      <c r="D8" s="123"/>
      <c r="E8" s="123"/>
      <c r="F8" s="123"/>
      <c r="G8" s="123" t="s">
        <v>149</v>
      </c>
      <c r="H8" s="126">
        <v>108.993</v>
      </c>
      <c r="I8" s="129">
        <v>0.155909303016162</v>
      </c>
      <c r="K8" s="130">
        <v>0.039730228901771</v>
      </c>
      <c r="L8" s="18">
        <f t="shared" si="1"/>
        <v>0.0402697711</v>
      </c>
      <c r="M8" s="131">
        <v>0.08</v>
      </c>
      <c r="N8" s="125"/>
    </row>
    <row r="9" ht="15.75" customHeight="1">
      <c r="A9" s="123" t="s">
        <v>150</v>
      </c>
      <c r="B9" s="126">
        <v>144.79</v>
      </c>
      <c r="C9" s="48">
        <v>0.235483347981535</v>
      </c>
      <c r="D9" s="123"/>
      <c r="E9" s="123"/>
      <c r="F9" s="123"/>
      <c r="G9" s="123" t="s">
        <v>150</v>
      </c>
      <c r="H9" s="126">
        <v>130.737</v>
      </c>
      <c r="I9" s="129">
        <v>0.199499050397732</v>
      </c>
      <c r="K9" s="130">
        <v>0.035984297583803</v>
      </c>
      <c r="L9" s="18">
        <f t="shared" si="1"/>
        <v>0.04301570242</v>
      </c>
      <c r="M9" s="131">
        <v>0.079</v>
      </c>
      <c r="N9" s="124"/>
    </row>
    <row r="10" ht="15.75" customHeight="1">
      <c r="A10" s="123" t="s">
        <v>151</v>
      </c>
      <c r="B10" s="126">
        <v>123.787</v>
      </c>
      <c r="C10" s="48">
        <v>-0.145058360384004</v>
      </c>
      <c r="D10" s="123"/>
      <c r="E10" s="123"/>
      <c r="F10" s="123"/>
      <c r="G10" s="123" t="s">
        <v>151</v>
      </c>
      <c r="H10" s="126">
        <v>108.41</v>
      </c>
      <c r="I10" s="129">
        <v>-0.170777974100675</v>
      </c>
      <c r="K10" s="130">
        <v>0.025719613716671</v>
      </c>
      <c r="L10" s="18">
        <f t="shared" si="1"/>
        <v>0.06728038628</v>
      </c>
      <c r="M10" s="131">
        <v>0.093</v>
      </c>
      <c r="N10" s="125"/>
    </row>
    <row r="11" ht="15.75" customHeight="1">
      <c r="A11" s="123" t="s">
        <v>152</v>
      </c>
      <c r="B11" s="126">
        <v>93.484</v>
      </c>
      <c r="C11" s="48">
        <v>-0.244799534684579</v>
      </c>
      <c r="D11" s="123"/>
      <c r="E11" s="123"/>
      <c r="F11" s="123"/>
      <c r="G11" s="123" t="s">
        <v>152</v>
      </c>
      <c r="H11" s="126">
        <v>78.237</v>
      </c>
      <c r="I11" s="129">
        <v>-0.278323032930541</v>
      </c>
      <c r="K11" s="130">
        <v>0.033523498245962</v>
      </c>
      <c r="L11" s="18">
        <f t="shared" si="1"/>
        <v>0.07047650175</v>
      </c>
      <c r="M11" s="131">
        <v>0.104</v>
      </c>
      <c r="N11" s="124"/>
    </row>
    <row r="12" ht="15.75" customHeight="1">
      <c r="A12" s="123" t="s">
        <v>153</v>
      </c>
      <c r="B12" s="126">
        <v>125.732</v>
      </c>
      <c r="C12" s="48">
        <v>0.344957425869668</v>
      </c>
      <c r="D12" s="123"/>
      <c r="E12" s="123"/>
      <c r="F12" s="123"/>
      <c r="G12" s="123" t="s">
        <v>153</v>
      </c>
      <c r="H12" s="126">
        <v>100.863</v>
      </c>
      <c r="I12" s="129">
        <v>0.289198205452663</v>
      </c>
      <c r="K12" s="130">
        <v>0.055759220417005</v>
      </c>
      <c r="L12" s="18">
        <f t="shared" si="1"/>
        <v>0.03124077958</v>
      </c>
      <c r="M12" s="131">
        <v>0.087</v>
      </c>
      <c r="N12" s="125"/>
    </row>
    <row r="13" ht="15.75" customHeight="1">
      <c r="A13" s="123" t="s">
        <v>154</v>
      </c>
      <c r="B13" s="126">
        <v>144.228</v>
      </c>
      <c r="C13" s="48">
        <v>0.14710654407788</v>
      </c>
      <c r="D13" s="123"/>
      <c r="E13" s="123"/>
      <c r="F13" s="123"/>
      <c r="G13" s="123" t="s">
        <v>154</v>
      </c>
      <c r="H13" s="126">
        <v>111.262</v>
      </c>
      <c r="I13" s="129">
        <v>0.103100244886629</v>
      </c>
      <c r="K13" s="130">
        <v>0.044006299191251</v>
      </c>
      <c r="L13" s="18">
        <f t="shared" si="1"/>
        <v>0.03599370081</v>
      </c>
      <c r="M13" s="131">
        <v>0.08</v>
      </c>
      <c r="N13" s="124"/>
    </row>
    <row r="14" ht="15.75" customHeight="1">
      <c r="A14" s="123" t="s">
        <v>155</v>
      </c>
      <c r="B14" s="126">
        <v>147.115</v>
      </c>
      <c r="C14" s="48">
        <v>0.0200169176581524</v>
      </c>
      <c r="D14" s="123"/>
      <c r="E14" s="123"/>
      <c r="F14" s="123"/>
      <c r="G14" s="123" t="s">
        <v>155</v>
      </c>
      <c r="H14" s="126">
        <v>108.521</v>
      </c>
      <c r="I14" s="129">
        <v>-0.0246355449299851</v>
      </c>
      <c r="K14" s="130">
        <v>0.0446524625881375</v>
      </c>
      <c r="L14" s="18">
        <f t="shared" si="1"/>
        <v>0.02034753741</v>
      </c>
      <c r="M14" s="131">
        <v>0.065</v>
      </c>
      <c r="N14" s="125"/>
    </row>
    <row r="15" ht="15.75" customHeight="1">
      <c r="A15" s="123" t="s">
        <v>156</v>
      </c>
      <c r="B15" s="126">
        <v>173.914</v>
      </c>
      <c r="C15" s="48">
        <v>0.182163613499643</v>
      </c>
      <c r="D15" s="123"/>
      <c r="E15" s="123"/>
      <c r="F15" s="123"/>
      <c r="G15" s="123" t="s">
        <v>156</v>
      </c>
      <c r="H15" s="126">
        <v>122.28</v>
      </c>
      <c r="I15" s="129">
        <v>0.12678652058127</v>
      </c>
      <c r="K15" s="130">
        <v>0.055377092918373</v>
      </c>
      <c r="L15" s="18">
        <f t="shared" si="1"/>
        <v>0.005622907082</v>
      </c>
      <c r="M15" s="131">
        <v>0.061</v>
      </c>
      <c r="N15" s="124"/>
    </row>
    <row r="16" ht="15.75" customHeight="1">
      <c r="A16" s="123" t="s">
        <v>157</v>
      </c>
      <c r="B16" s="126">
        <v>195.949</v>
      </c>
      <c r="C16" s="48">
        <v>0.126700553146958</v>
      </c>
      <c r="D16" s="123"/>
      <c r="E16" s="123"/>
      <c r="F16" s="123"/>
      <c r="G16" s="123" t="s">
        <v>157</v>
      </c>
      <c r="H16" s="126">
        <v>131.101</v>
      </c>
      <c r="I16" s="129">
        <v>0.0721377167157344</v>
      </c>
      <c r="K16" s="130">
        <v>0.0545628364312236</v>
      </c>
      <c r="L16" s="18">
        <f t="shared" si="1"/>
        <v>0.02143716357</v>
      </c>
      <c r="M16" s="131">
        <v>0.076</v>
      </c>
      <c r="N16" s="125"/>
    </row>
    <row r="17" ht="15.75" customHeight="1">
      <c r="A17" s="123" t="s">
        <v>158</v>
      </c>
      <c r="B17" s="126">
        <v>250.269</v>
      </c>
      <c r="C17" s="48">
        <v>0.277214989614645</v>
      </c>
      <c r="D17" s="123"/>
      <c r="E17" s="123"/>
      <c r="F17" s="123"/>
      <c r="G17" s="123" t="s">
        <v>158</v>
      </c>
      <c r="H17" s="126">
        <v>159.228</v>
      </c>
      <c r="I17" s="129">
        <v>0.214544511483513</v>
      </c>
      <c r="K17" s="130">
        <v>0.062670478131132</v>
      </c>
      <c r="L17" s="18">
        <f t="shared" si="1"/>
        <v>0.02132952187</v>
      </c>
      <c r="M17" s="131">
        <v>0.084</v>
      </c>
      <c r="N17" s="124"/>
    </row>
    <row r="18" ht="15.75" customHeight="1">
      <c r="A18" s="123" t="s">
        <v>159</v>
      </c>
      <c r="B18" s="126">
        <v>241.998</v>
      </c>
      <c r="C18" s="48">
        <v>-0.0330484398786905</v>
      </c>
      <c r="D18" s="123"/>
      <c r="E18" s="123"/>
      <c r="F18" s="123"/>
      <c r="G18" s="123" t="s">
        <v>159</v>
      </c>
      <c r="H18" s="126">
        <v>146.62</v>
      </c>
      <c r="I18" s="129">
        <v>-0.0791820534076921</v>
      </c>
      <c r="K18" s="130">
        <v>0.0461336135290016</v>
      </c>
      <c r="L18" s="18">
        <f t="shared" si="1"/>
        <v>0.05486638647</v>
      </c>
      <c r="M18" s="131">
        <v>0.101</v>
      </c>
      <c r="N18" s="125"/>
    </row>
    <row r="19" ht="15.75" customHeight="1">
      <c r="A19" s="123" t="s">
        <v>160</v>
      </c>
      <c r="B19" s="126">
        <v>269.277</v>
      </c>
      <c r="C19" s="48">
        <v>0.112724072099769</v>
      </c>
      <c r="D19" s="123"/>
      <c r="E19" s="123"/>
      <c r="F19" s="123"/>
      <c r="G19" s="123" t="s">
        <v>160</v>
      </c>
      <c r="H19" s="126">
        <v>155.156</v>
      </c>
      <c r="I19" s="129">
        <v>0.0582185240758424</v>
      </c>
      <c r="K19" s="130">
        <v>0.0545055480239266</v>
      </c>
      <c r="L19" s="18">
        <f t="shared" si="1"/>
        <v>0.03449445198</v>
      </c>
      <c r="M19" s="131">
        <v>0.089</v>
      </c>
      <c r="N19" s="124"/>
    </row>
    <row r="20" ht="15.75" customHeight="1">
      <c r="A20" s="123" t="s">
        <v>161</v>
      </c>
      <c r="B20" s="126">
        <v>331.964</v>
      </c>
      <c r="C20" s="48">
        <v>0.232797453922912</v>
      </c>
      <c r="D20" s="123"/>
      <c r="E20" s="123"/>
      <c r="F20" s="123"/>
      <c r="G20" s="123" t="s">
        <v>161</v>
      </c>
      <c r="H20" s="126">
        <v>183.952</v>
      </c>
      <c r="I20" s="129">
        <v>0.18559385392766</v>
      </c>
      <c r="K20" s="130">
        <v>0.047203599995252</v>
      </c>
      <c r="L20" s="18">
        <f t="shared" si="1"/>
        <v>0.0337964</v>
      </c>
      <c r="M20" s="131">
        <v>0.081</v>
      </c>
      <c r="N20" s="125"/>
    </row>
    <row r="21" ht="15.75" customHeight="1">
      <c r="A21" s="123" t="s">
        <v>162</v>
      </c>
      <c r="B21" s="126">
        <v>351.132</v>
      </c>
      <c r="C21" s="48">
        <v>0.0577412008531046</v>
      </c>
      <c r="D21" s="123"/>
      <c r="E21" s="123"/>
      <c r="F21" s="123"/>
      <c r="G21" s="123" t="s">
        <v>162</v>
      </c>
      <c r="H21" s="126">
        <v>187.205</v>
      </c>
      <c r="I21" s="129">
        <v>0.017683961033313</v>
      </c>
      <c r="K21" s="130">
        <v>0.0400572398197916</v>
      </c>
      <c r="L21" s="18">
        <f t="shared" si="1"/>
        <v>0.03994276018</v>
      </c>
      <c r="M21" s="131">
        <v>0.08</v>
      </c>
      <c r="N21" s="124"/>
    </row>
    <row r="22" ht="15.75" customHeight="1">
      <c r="A22" s="123" t="s">
        <v>163</v>
      </c>
      <c r="B22" s="126">
        <v>497.798</v>
      </c>
      <c r="C22" s="48">
        <v>0.417694770057984</v>
      </c>
      <c r="D22" s="123"/>
      <c r="E22" s="123"/>
      <c r="F22" s="123"/>
      <c r="G22" s="123" t="s">
        <v>163</v>
      </c>
      <c r="H22" s="126">
        <v>256.514</v>
      </c>
      <c r="I22" s="129">
        <v>0.370230495980342</v>
      </c>
      <c r="K22" s="130">
        <v>0.047464274077642</v>
      </c>
      <c r="L22" s="18">
        <f t="shared" si="1"/>
        <v>0.02253572592</v>
      </c>
      <c r="M22" s="131">
        <v>0.07</v>
      </c>
      <c r="N22" s="125"/>
    </row>
    <row r="23" ht="15.75" customHeight="1">
      <c r="A23" s="123" t="s">
        <v>164</v>
      </c>
      <c r="B23" s="126">
        <v>710.853</v>
      </c>
      <c r="C23" s="48">
        <v>0.427994889493329</v>
      </c>
      <c r="D23" s="123"/>
      <c r="E23" s="123"/>
      <c r="F23" s="123"/>
      <c r="G23" s="123" t="s">
        <v>164</v>
      </c>
      <c r="H23" s="126">
        <v>356.825</v>
      </c>
      <c r="I23" s="129">
        <v>0.391054679276765</v>
      </c>
      <c r="K23" s="130">
        <v>0.036940210216564</v>
      </c>
      <c r="L23" s="18">
        <f t="shared" si="1"/>
        <v>0.02505978978</v>
      </c>
      <c r="M23" s="131">
        <v>0.062</v>
      </c>
      <c r="N23" s="124"/>
    </row>
    <row r="24" ht="15.75" customHeight="1">
      <c r="A24" s="123" t="s">
        <v>165</v>
      </c>
      <c r="B24" s="126">
        <v>830.015</v>
      </c>
      <c r="C24" s="48">
        <v>0.167632407825528</v>
      </c>
      <c r="D24" s="123"/>
      <c r="E24" s="123"/>
      <c r="F24" s="123"/>
      <c r="G24" s="123" t="s">
        <v>165</v>
      </c>
      <c r="H24" s="126">
        <v>407.994</v>
      </c>
      <c r="I24" s="129">
        <v>0.143400826735795</v>
      </c>
      <c r="K24" s="130">
        <v>0.024231581089733</v>
      </c>
      <c r="L24" s="18">
        <f t="shared" si="1"/>
        <v>0.03876841891</v>
      </c>
      <c r="M24" s="131">
        <v>0.063</v>
      </c>
      <c r="N24" s="125"/>
    </row>
    <row r="25" ht="15.75" customHeight="1">
      <c r="A25" s="123" t="s">
        <v>166</v>
      </c>
      <c r="B25" s="126">
        <v>1028.809</v>
      </c>
      <c r="C25" s="48">
        <v>0.239506514942501</v>
      </c>
      <c r="D25" s="123"/>
      <c r="E25" s="123"/>
      <c r="F25" s="123"/>
      <c r="G25" s="123" t="s">
        <v>166</v>
      </c>
      <c r="H25" s="126">
        <v>494.428</v>
      </c>
      <c r="I25" s="129">
        <v>0.211851154673843</v>
      </c>
      <c r="K25" s="130">
        <v>0.027655360268658</v>
      </c>
      <c r="L25" s="18">
        <f t="shared" si="1"/>
        <v>0.03734463973</v>
      </c>
      <c r="M25" s="131">
        <v>0.065</v>
      </c>
      <c r="N25" s="124"/>
    </row>
    <row r="26" ht="15.75" customHeight="1">
      <c r="A26" s="123" t="s">
        <v>167</v>
      </c>
      <c r="B26" s="126">
        <v>1205.7</v>
      </c>
      <c r="C26" s="48">
        <v>0.171937648290402</v>
      </c>
      <c r="D26" s="123"/>
      <c r="E26" s="123"/>
      <c r="F26" s="123"/>
      <c r="G26" s="123" t="s">
        <v>167</v>
      </c>
      <c r="H26" s="126">
        <v>567.338</v>
      </c>
      <c r="I26" s="129">
        <v>0.147463331364728</v>
      </c>
      <c r="K26" s="130">
        <v>0.024474316925674</v>
      </c>
      <c r="L26" s="18">
        <f t="shared" si="1"/>
        <v>0.04552568307</v>
      </c>
      <c r="M26" s="131">
        <v>0.07</v>
      </c>
      <c r="N26" s="125"/>
    </row>
    <row r="27" ht="15.75" customHeight="1">
      <c r="A27" s="123" t="s">
        <v>168</v>
      </c>
      <c r="B27" s="126">
        <v>1006.546</v>
      </c>
      <c r="C27" s="48">
        <v>-0.165177075557767</v>
      </c>
      <c r="D27" s="123"/>
      <c r="E27" s="123"/>
      <c r="F27" s="123"/>
      <c r="G27" s="123" t="s">
        <v>168</v>
      </c>
      <c r="H27" s="126">
        <v>461.527</v>
      </c>
      <c r="I27" s="129">
        <v>-0.186504341327392</v>
      </c>
      <c r="K27" s="130">
        <v>0.021327265769625</v>
      </c>
      <c r="L27" s="18">
        <f t="shared" si="1"/>
        <v>0.06567273423</v>
      </c>
      <c r="M27" s="131">
        <v>0.087</v>
      </c>
      <c r="N27" s="124"/>
    </row>
    <row r="28" ht="15.75" customHeight="1">
      <c r="A28" s="123" t="s">
        <v>169</v>
      </c>
      <c r="B28" s="126">
        <v>1197.46</v>
      </c>
      <c r="C28" s="48">
        <v>0.189672404440532</v>
      </c>
      <c r="D28" s="123"/>
      <c r="E28" s="123"/>
      <c r="F28" s="123"/>
      <c r="G28" s="123" t="s">
        <v>169</v>
      </c>
      <c r="H28" s="126">
        <v>535.364</v>
      </c>
      <c r="I28" s="129">
        <v>0.159984139606134</v>
      </c>
      <c r="K28" s="130">
        <v>0.029688264834398</v>
      </c>
      <c r="L28" s="18">
        <f t="shared" si="1"/>
        <v>0.05431173517</v>
      </c>
      <c r="M28" s="131">
        <v>0.084</v>
      </c>
      <c r="N28" s="125"/>
    </row>
    <row r="29" ht="15.75" customHeight="1">
      <c r="A29" s="123" t="s">
        <v>170</v>
      </c>
      <c r="B29" s="126">
        <v>1141.66</v>
      </c>
      <c r="C29" s="48">
        <v>-0.0465986337748233</v>
      </c>
      <c r="D29" s="123"/>
      <c r="E29" s="123"/>
      <c r="F29" s="123"/>
      <c r="G29" s="123" t="s">
        <v>170</v>
      </c>
      <c r="H29" s="126">
        <v>497.132</v>
      </c>
      <c r="I29" s="129">
        <v>-0.0714130946421501</v>
      </c>
      <c r="K29" s="130">
        <v>0.0248144608673268</v>
      </c>
      <c r="L29" s="18">
        <f t="shared" si="1"/>
        <v>0.05318553913</v>
      </c>
      <c r="M29" s="131">
        <v>0.078</v>
      </c>
      <c r="N29" s="124"/>
    </row>
    <row r="30" ht="15.75" customHeight="1">
      <c r="A30" s="123" t="s">
        <v>171</v>
      </c>
      <c r="B30" s="126">
        <v>1405.713</v>
      </c>
      <c r="C30" s="48">
        <v>0.231288649860729</v>
      </c>
      <c r="D30" s="123"/>
      <c r="E30" s="123"/>
      <c r="F30" s="123"/>
      <c r="G30" s="123" t="s">
        <v>171</v>
      </c>
      <c r="H30" s="126">
        <v>598.496</v>
      </c>
      <c r="I30" s="129">
        <v>0.203897556383415</v>
      </c>
      <c r="K30" s="130">
        <v>0.027391093477314</v>
      </c>
      <c r="L30" s="18">
        <f t="shared" si="1"/>
        <v>0.03760890652</v>
      </c>
      <c r="M30" s="131">
        <v>0.065</v>
      </c>
      <c r="N30" s="125"/>
    </row>
    <row r="31" ht="15.75" customHeight="1">
      <c r="A31" s="123" t="s">
        <v>172</v>
      </c>
      <c r="B31" s="126">
        <v>1484.177</v>
      </c>
      <c r="C31" s="48">
        <v>0.055817937231853</v>
      </c>
      <c r="D31" s="123"/>
      <c r="E31" s="123"/>
      <c r="F31" s="123"/>
      <c r="G31" s="123" t="s">
        <v>172</v>
      </c>
      <c r="H31" s="126">
        <v>618.59</v>
      </c>
      <c r="I31" s="129">
        <v>0.0335741592257928</v>
      </c>
      <c r="K31" s="130">
        <v>0.0222437780060602</v>
      </c>
      <c r="L31" s="18">
        <f t="shared" si="1"/>
        <v>0.04675622199</v>
      </c>
      <c r="M31" s="131">
        <v>0.069</v>
      </c>
      <c r="N31" s="124"/>
    </row>
    <row r="32" ht="15.75" customHeight="1">
      <c r="A32" s="123" t="s">
        <v>173</v>
      </c>
      <c r="B32" s="126">
        <v>1800.553</v>
      </c>
      <c r="C32" s="48">
        <v>0.213165949883336</v>
      </c>
      <c r="D32" s="123"/>
      <c r="E32" s="123"/>
      <c r="F32" s="123"/>
      <c r="G32" s="123" t="s">
        <v>173</v>
      </c>
      <c r="H32" s="126">
        <v>734.28</v>
      </c>
      <c r="I32" s="129">
        <v>0.18702209864369</v>
      </c>
      <c r="K32" s="130">
        <v>0.026143851239646</v>
      </c>
      <c r="L32" s="18">
        <f t="shared" si="1"/>
        <v>0.04285614876</v>
      </c>
      <c r="M32" s="131">
        <v>0.069</v>
      </c>
      <c r="N32" s="125"/>
    </row>
    <row r="33" ht="15.75" customHeight="1">
      <c r="A33" s="123" t="s">
        <v>174</v>
      </c>
      <c r="B33" s="126">
        <v>2052.559</v>
      </c>
      <c r="C33" s="48">
        <v>0.139960334408374</v>
      </c>
      <c r="D33" s="123"/>
      <c r="E33" s="123"/>
      <c r="F33" s="123"/>
      <c r="G33" s="123" t="s">
        <v>174</v>
      </c>
      <c r="H33" s="126">
        <v>820.362</v>
      </c>
      <c r="I33" s="129">
        <v>0.117233208040529</v>
      </c>
      <c r="K33" s="130">
        <v>0.022727126367845</v>
      </c>
      <c r="L33" s="18">
        <f t="shared" si="1"/>
        <v>0.03927287363</v>
      </c>
      <c r="M33" s="131">
        <v>0.062</v>
      </c>
      <c r="N33" s="124"/>
    </row>
    <row r="34" ht="15.75" customHeight="1">
      <c r="A34" s="123" t="s">
        <v>175</v>
      </c>
      <c r="B34" s="126">
        <v>2385.63</v>
      </c>
      <c r="C34" s="48">
        <v>0.162271096713907</v>
      </c>
      <c r="D34" s="123"/>
      <c r="E34" s="123"/>
      <c r="F34" s="123"/>
      <c r="G34" s="123" t="s">
        <v>175</v>
      </c>
      <c r="H34" s="126">
        <v>936.591</v>
      </c>
      <c r="I34" s="129">
        <v>0.141680136330059</v>
      </c>
      <c r="K34" s="130">
        <v>0.020590960383848</v>
      </c>
      <c r="L34" s="18">
        <f t="shared" si="1"/>
        <v>0.03540903962</v>
      </c>
      <c r="M34" s="131">
        <v>0.056</v>
      </c>
    </row>
    <row r="35" ht="15.75" customHeight="1">
      <c r="A35" s="123" t="s">
        <v>176</v>
      </c>
      <c r="B35" s="126">
        <v>2977.153</v>
      </c>
      <c r="C35" s="48">
        <v>0.247952532454739</v>
      </c>
      <c r="D35" s="123"/>
      <c r="E35" s="123"/>
      <c r="F35" s="123"/>
      <c r="G35" s="123" t="s">
        <v>176</v>
      </c>
      <c r="H35" s="126">
        <v>1149.952</v>
      </c>
      <c r="I35" s="129">
        <v>0.227805947313181</v>
      </c>
      <c r="K35" s="130">
        <v>0.020146585141558</v>
      </c>
      <c r="L35" s="18">
        <f t="shared" si="1"/>
        <v>0.02585341486</v>
      </c>
      <c r="M35" s="131">
        <v>0.046</v>
      </c>
    </row>
    <row r="36" ht="15.75" customHeight="1">
      <c r="A36" s="123" t="s">
        <v>177</v>
      </c>
      <c r="B36" s="126">
        <v>3731.559</v>
      </c>
      <c r="C36" s="48">
        <v>0.253398464909261</v>
      </c>
      <c r="D36" s="123"/>
      <c r="E36" s="123"/>
      <c r="F36" s="123"/>
      <c r="G36" s="123" t="s">
        <v>177</v>
      </c>
      <c r="H36" s="126">
        <v>1420.885</v>
      </c>
      <c r="I36" s="129">
        <v>0.235603746939003</v>
      </c>
      <c r="K36" s="130">
        <v>0.017794717970258</v>
      </c>
      <c r="L36" s="18">
        <f t="shared" si="1"/>
        <v>0.02720528203</v>
      </c>
      <c r="M36" s="131">
        <v>0.045</v>
      </c>
    </row>
    <row r="37" ht="15.75" customHeight="1">
      <c r="A37" s="123" t="s">
        <v>178</v>
      </c>
      <c r="B37" s="126">
        <v>3249.513</v>
      </c>
      <c r="C37" s="48">
        <v>-0.129180859796134</v>
      </c>
      <c r="D37" s="123"/>
      <c r="E37" s="123"/>
      <c r="F37" s="123"/>
      <c r="G37" s="123" t="s">
        <v>178</v>
      </c>
      <c r="H37" s="126">
        <v>1221.253</v>
      </c>
      <c r="I37" s="129">
        <v>-0.140498351379598</v>
      </c>
      <c r="K37" s="130">
        <v>0.011317491583464</v>
      </c>
      <c r="L37" s="18">
        <f t="shared" si="1"/>
        <v>0.04168250842</v>
      </c>
      <c r="M37" s="131">
        <v>0.053</v>
      </c>
    </row>
    <row r="38" ht="15.75" customHeight="1">
      <c r="A38" s="123" t="s">
        <v>179</v>
      </c>
      <c r="B38" s="126">
        <v>2712.658</v>
      </c>
      <c r="C38" s="48">
        <v>-0.165210910065601</v>
      </c>
      <c r="D38" s="123"/>
      <c r="E38" s="123"/>
      <c r="F38" s="123"/>
      <c r="G38" s="123" t="s">
        <v>179</v>
      </c>
      <c r="H38" s="126">
        <v>1003.516</v>
      </c>
      <c r="I38" s="129">
        <v>-0.178289838387296</v>
      </c>
      <c r="K38" s="130">
        <v>0.013078928321695</v>
      </c>
      <c r="L38" s="18">
        <f t="shared" si="1"/>
        <v>0.03492107168</v>
      </c>
      <c r="M38" s="131">
        <v>0.048</v>
      </c>
    </row>
    <row r="39" ht="15.75" customHeight="1">
      <c r="A39" s="123" t="s">
        <v>180</v>
      </c>
      <c r="B39" s="126">
        <v>2182.57</v>
      </c>
      <c r="C39" s="48">
        <v>-0.195412764897012</v>
      </c>
      <c r="D39" s="123"/>
      <c r="E39" s="123"/>
      <c r="F39" s="123"/>
      <c r="G39" s="123" t="s">
        <v>180</v>
      </c>
      <c r="H39" s="126">
        <v>792.215</v>
      </c>
      <c r="I39" s="129">
        <v>-0.21056066868889</v>
      </c>
      <c r="K39" s="130">
        <v>0.015147903791878</v>
      </c>
      <c r="L39" s="18">
        <f t="shared" si="1"/>
        <v>0.03285209621</v>
      </c>
      <c r="M39" s="131">
        <v>0.048</v>
      </c>
    </row>
    <row r="40" ht="15.75" customHeight="1">
      <c r="A40" s="123" t="s">
        <v>181</v>
      </c>
      <c r="B40" s="126">
        <v>2919.442</v>
      </c>
      <c r="C40" s="48">
        <v>0.3376166629249</v>
      </c>
      <c r="D40" s="123"/>
      <c r="E40" s="123"/>
      <c r="F40" s="123"/>
      <c r="G40" s="123" t="s">
        <v>181</v>
      </c>
      <c r="H40" s="126">
        <v>1036.318</v>
      </c>
      <c r="I40" s="129">
        <v>0.308127212940931</v>
      </c>
      <c r="K40" s="130">
        <v>0.029489449983969</v>
      </c>
      <c r="L40" s="18">
        <f t="shared" si="1"/>
        <v>0.01151055002</v>
      </c>
      <c r="M40" s="131">
        <v>0.041</v>
      </c>
    </row>
    <row r="41" ht="15.75" customHeight="1">
      <c r="A41" s="123" t="s">
        <v>182</v>
      </c>
      <c r="B41" s="126">
        <v>3364.558</v>
      </c>
      <c r="C41" s="48">
        <v>0.152466121950702</v>
      </c>
      <c r="D41" s="123"/>
      <c r="E41" s="123"/>
      <c r="F41" s="123"/>
      <c r="G41" s="123" t="s">
        <v>182</v>
      </c>
      <c r="H41" s="126">
        <v>1169.341</v>
      </c>
      <c r="I41" s="129">
        <v>0.128361178711554</v>
      </c>
      <c r="K41" s="130">
        <v>0.024104943239148</v>
      </c>
      <c r="L41" s="18">
        <f t="shared" si="1"/>
        <v>0.01589505676</v>
      </c>
      <c r="M41" s="131">
        <v>0.04</v>
      </c>
    </row>
    <row r="42" ht="15.75" customHeight="1">
      <c r="A42" s="123" t="s">
        <v>183</v>
      </c>
      <c r="B42" s="126">
        <v>3701.795</v>
      </c>
      <c r="C42" s="48">
        <v>0.100232185029951</v>
      </c>
      <c r="D42" s="123"/>
      <c r="E42" s="123"/>
      <c r="F42" s="123"/>
      <c r="G42" s="123" t="s">
        <v>183</v>
      </c>
      <c r="H42" s="126">
        <v>1257.775</v>
      </c>
      <c r="I42" s="129">
        <v>0.075627212250319</v>
      </c>
      <c r="K42" s="130">
        <v>0.024604972779632</v>
      </c>
      <c r="L42" s="18">
        <f t="shared" si="1"/>
        <v>0.00939502722</v>
      </c>
      <c r="M42" s="131">
        <v>0.034</v>
      </c>
    </row>
    <row r="43" ht="15.75" customHeight="1">
      <c r="A43" s="123" t="s">
        <v>184</v>
      </c>
      <c r="B43" s="126">
        <v>4466.298</v>
      </c>
      <c r="C43" s="48">
        <v>0.206522241237021</v>
      </c>
      <c r="D43" s="123"/>
      <c r="E43" s="123"/>
      <c r="F43" s="123"/>
      <c r="G43" s="123" t="s">
        <v>184</v>
      </c>
      <c r="H43" s="126">
        <v>1483.578</v>
      </c>
      <c r="I43" s="129">
        <v>0.17952574983602</v>
      </c>
      <c r="K43" s="130">
        <v>0.026996491401001</v>
      </c>
      <c r="L43" s="18">
        <f t="shared" si="1"/>
        <v>0.0110035086</v>
      </c>
      <c r="M43" s="131">
        <v>0.038</v>
      </c>
    </row>
    <row r="44" ht="15.75" customHeight="1">
      <c r="A44" s="123" t="s">
        <v>185</v>
      </c>
      <c r="B44" s="126">
        <v>4893.543</v>
      </c>
      <c r="C44" s="48">
        <v>0.0956597611713326</v>
      </c>
      <c r="D44" s="123"/>
      <c r="E44" s="123"/>
      <c r="F44" s="123"/>
      <c r="G44" s="123" t="s">
        <v>185</v>
      </c>
      <c r="H44" s="126">
        <v>1588.803</v>
      </c>
      <c r="I44" s="129">
        <v>0.0709265033587718</v>
      </c>
      <c r="K44" s="130">
        <v>0.0247332578125608</v>
      </c>
      <c r="L44" s="18">
        <f t="shared" si="1"/>
        <v>0.01726674219</v>
      </c>
      <c r="M44" s="131">
        <v>0.042</v>
      </c>
    </row>
    <row r="45" ht="15.75" customHeight="1">
      <c r="A45" s="123" t="s">
        <v>186</v>
      </c>
      <c r="B45" s="126">
        <v>2919.783</v>
      </c>
      <c r="C45" s="48">
        <v>-0.403339666168255</v>
      </c>
      <c r="D45" s="123"/>
      <c r="E45" s="123"/>
      <c r="F45" s="123"/>
      <c r="G45" s="123" t="s">
        <v>186</v>
      </c>
      <c r="H45" s="126">
        <v>920.226</v>
      </c>
      <c r="I45" s="129">
        <v>-0.420805474309905</v>
      </c>
      <c r="K45" s="130">
        <v>0.01746580814165</v>
      </c>
      <c r="L45" s="18">
        <f t="shared" si="1"/>
        <v>0.02253419186</v>
      </c>
      <c r="M45" s="131">
        <v>0.04</v>
      </c>
    </row>
    <row r="46" ht="15.75" customHeight="1">
      <c r="A46" s="123" t="s">
        <v>187</v>
      </c>
      <c r="B46" s="126">
        <v>3818.859</v>
      </c>
      <c r="C46" s="48">
        <v>0.307925623239809</v>
      </c>
      <c r="D46" s="123"/>
      <c r="E46" s="123"/>
      <c r="F46" s="123"/>
      <c r="G46" s="123" t="s">
        <v>187</v>
      </c>
      <c r="H46" s="126">
        <v>1168.468</v>
      </c>
      <c r="I46" s="129">
        <v>0.269761993249484</v>
      </c>
      <c r="K46" s="130">
        <v>0.038163629990325</v>
      </c>
      <c r="L46" s="18">
        <f t="shared" si="1"/>
        <v>-0.00616362999</v>
      </c>
      <c r="M46" s="131">
        <v>0.032</v>
      </c>
    </row>
    <row r="47" ht="15.75" customHeight="1">
      <c r="A47" s="123" t="s">
        <v>188</v>
      </c>
      <c r="B47" s="126">
        <v>4290.045</v>
      </c>
      <c r="C47" s="48">
        <v>0.123383974113734</v>
      </c>
      <c r="D47" s="123"/>
      <c r="E47" s="123"/>
      <c r="F47" s="123"/>
      <c r="G47" s="123" t="s">
        <v>188</v>
      </c>
      <c r="H47" s="126">
        <v>1280.071</v>
      </c>
      <c r="I47" s="129">
        <v>0.0955122433819324</v>
      </c>
      <c r="K47" s="130">
        <v>0.0278717307318016</v>
      </c>
      <c r="L47" s="18">
        <f t="shared" si="1"/>
        <v>-0.0008717307318</v>
      </c>
      <c r="M47" s="131">
        <v>0.027</v>
      </c>
    </row>
    <row r="48" ht="15.75" customHeight="1">
      <c r="A48" s="123" t="s">
        <v>189</v>
      </c>
      <c r="B48" s="126">
        <v>4074.834</v>
      </c>
      <c r="C48" s="48">
        <v>-0.0501652080572582</v>
      </c>
      <c r="D48" s="123"/>
      <c r="E48" s="123"/>
      <c r="F48" s="123"/>
      <c r="G48" s="123" t="s">
        <v>189</v>
      </c>
      <c r="H48" s="126">
        <v>1182.595</v>
      </c>
      <c r="I48" s="129">
        <v>-0.0761489011156412</v>
      </c>
      <c r="K48" s="130">
        <v>0.025983693058383</v>
      </c>
      <c r="L48" s="18">
        <f t="shared" si="1"/>
        <v>0.00001630694162</v>
      </c>
      <c r="M48" s="131">
        <v>0.026</v>
      </c>
    </row>
    <row r="49" ht="15.75" customHeight="1">
      <c r="A49" s="123" t="s">
        <v>190</v>
      </c>
      <c r="B49" s="126">
        <v>4748.699</v>
      </c>
      <c r="C49" s="48">
        <v>0.16537238081355</v>
      </c>
      <c r="D49" s="123"/>
      <c r="E49" s="123"/>
      <c r="F49" s="123"/>
      <c r="G49" s="123" t="s">
        <v>190</v>
      </c>
      <c r="H49" s="126">
        <v>1338.5</v>
      </c>
      <c r="I49" s="129">
        <v>0.131832960565536</v>
      </c>
      <c r="K49" s="130">
        <v>0.033539420248014</v>
      </c>
      <c r="L49" s="18">
        <f t="shared" si="1"/>
        <v>-0.01853942025</v>
      </c>
      <c r="M49" s="131">
        <v>0.015</v>
      </c>
    </row>
    <row r="50" ht="15.75" customHeight="1">
      <c r="A50" s="123" t="s">
        <v>191</v>
      </c>
      <c r="B50" s="126">
        <v>6048.181</v>
      </c>
      <c r="C50" s="48">
        <v>0.273650109219388</v>
      </c>
      <c r="D50" s="123"/>
      <c r="E50" s="123"/>
      <c r="F50" s="123"/>
      <c r="G50" s="123" t="s">
        <v>191</v>
      </c>
      <c r="H50" s="126">
        <v>1661.069</v>
      </c>
      <c r="I50" s="129">
        <v>0.240992902502802</v>
      </c>
      <c r="K50" s="130">
        <v>0.032657206716586</v>
      </c>
      <c r="L50" s="18">
        <f t="shared" si="1"/>
        <v>-0.01665720672</v>
      </c>
      <c r="M50" s="131">
        <v>0.016</v>
      </c>
    </row>
    <row r="51" ht="15.75" customHeight="1">
      <c r="A51" s="123" t="s">
        <v>192</v>
      </c>
      <c r="B51" s="126">
        <v>6381.054</v>
      </c>
      <c r="C51" s="48">
        <v>0.05503687802994</v>
      </c>
      <c r="D51" s="123"/>
      <c r="E51" s="123"/>
      <c r="F51" s="123"/>
      <c r="G51" s="123" t="s">
        <v>192</v>
      </c>
      <c r="H51" s="126">
        <v>1709.672</v>
      </c>
      <c r="I51" s="129">
        <v>0.0292600728807775</v>
      </c>
      <c r="K51" s="130">
        <v>0.0257768051491625</v>
      </c>
      <c r="L51" s="18">
        <f t="shared" si="1"/>
        <v>-0.01377680515</v>
      </c>
      <c r="M51" s="131">
        <v>0.012</v>
      </c>
    </row>
    <row r="52" ht="15.75" customHeight="1">
      <c r="A52" s="123" t="s">
        <v>193</v>
      </c>
      <c r="B52" s="126">
        <v>6360.575</v>
      </c>
      <c r="C52" s="48">
        <v>-0.00320934441238085</v>
      </c>
      <c r="D52" s="123"/>
      <c r="E52" s="123"/>
      <c r="F52" s="123"/>
      <c r="G52" s="123" t="s">
        <v>193</v>
      </c>
      <c r="H52" s="126">
        <v>1662.794</v>
      </c>
      <c r="I52" s="129">
        <v>-0.0274192944611598</v>
      </c>
      <c r="K52" s="130">
        <v>0.0242099500487789</v>
      </c>
      <c r="L52" s="18">
        <f t="shared" si="1"/>
        <v>-0.01920995005</v>
      </c>
      <c r="M52" s="131">
        <v>0.005</v>
      </c>
    </row>
    <row r="53" ht="15.75" customHeight="1">
      <c r="A53" s="123" t="s">
        <v>194</v>
      </c>
      <c r="B53" s="126">
        <v>6879.162</v>
      </c>
      <c r="C53" s="48">
        <v>0.0815314653156358</v>
      </c>
      <c r="D53" s="123"/>
      <c r="E53" s="123"/>
      <c r="F53" s="123"/>
      <c r="G53" s="123" t="s">
        <v>194</v>
      </c>
      <c r="H53" s="126">
        <v>1751.219</v>
      </c>
      <c r="I53" s="129">
        <v>0.0531785657152961</v>
      </c>
      <c r="K53" s="130">
        <v>0.0283528996003397</v>
      </c>
      <c r="L53" s="18">
        <f t="shared" si="1"/>
        <v>-0.0273528996</v>
      </c>
      <c r="M53" s="131">
        <v>0.001</v>
      </c>
    </row>
    <row r="54" ht="15.75" customHeight="1">
      <c r="A54" s="123" t="s">
        <v>195</v>
      </c>
      <c r="B54" s="126">
        <v>8466.345</v>
      </c>
      <c r="C54" s="48">
        <v>0.230723306123624</v>
      </c>
      <c r="D54" s="123"/>
      <c r="E54" s="123"/>
      <c r="F54" s="123"/>
      <c r="G54" s="123" t="s">
        <v>195</v>
      </c>
      <c r="H54" s="126">
        <v>2103.448</v>
      </c>
      <c r="I54" s="129">
        <v>0.201133610359412</v>
      </c>
      <c r="K54" s="130">
        <v>0.029589695764212</v>
      </c>
      <c r="L54" s="18">
        <f t="shared" si="1"/>
        <v>-0.02658969576</v>
      </c>
      <c r="M54" s="131">
        <v>0.003</v>
      </c>
    </row>
    <row r="55" ht="15.75" customHeight="1">
      <c r="A55" s="123" t="s">
        <v>196</v>
      </c>
      <c r="B55" s="126">
        <v>7771.71</v>
      </c>
      <c r="C55" s="48">
        <v>-0.0820466210625718</v>
      </c>
      <c r="D55" s="123"/>
      <c r="E55" s="123"/>
      <c r="F55" s="123"/>
      <c r="G55" s="123" t="s">
        <v>196</v>
      </c>
      <c r="H55" s="126">
        <v>1883.901</v>
      </c>
      <c r="I55" s="129">
        <v>-0.104374816967189</v>
      </c>
      <c r="K55" s="130">
        <v>0.0223281959046172</v>
      </c>
      <c r="L55" s="18">
        <f t="shared" si="1"/>
        <v>-0.0183281959</v>
      </c>
      <c r="M55" s="131">
        <v>0.004</v>
      </c>
    </row>
    <row r="56" ht="15.75" customHeight="1">
      <c r="A56" s="123" t="s">
        <v>197</v>
      </c>
      <c r="B56" s="126">
        <v>9979.034</v>
      </c>
      <c r="C56" s="48">
        <v>0.284020376467984</v>
      </c>
      <c r="D56" s="123"/>
      <c r="E56" s="123"/>
      <c r="F56" s="123"/>
      <c r="G56" s="123" t="s">
        <v>197</v>
      </c>
      <c r="H56" s="126">
        <v>2358.468</v>
      </c>
      <c r="I56" s="129">
        <v>0.251906549229498</v>
      </c>
      <c r="K56" s="130">
        <v>0.032113827238486</v>
      </c>
      <c r="L56" s="18">
        <f t="shared" si="1"/>
        <v>-0.03511382724</v>
      </c>
      <c r="M56" s="131">
        <v>-0.003</v>
      </c>
    </row>
    <row r="57" ht="15.75" customHeight="1">
      <c r="A57" s="123" t="s">
        <v>198</v>
      </c>
      <c r="B57" s="126">
        <v>11625.199</v>
      </c>
      <c r="C57" s="48">
        <v>0.164962360084153</v>
      </c>
      <c r="D57" s="123"/>
      <c r="E57" s="123"/>
      <c r="F57" s="123"/>
      <c r="G57" s="123" t="s">
        <v>198</v>
      </c>
      <c r="H57" s="126">
        <v>2690.044</v>
      </c>
      <c r="I57" s="129">
        <v>0.140589569160998</v>
      </c>
      <c r="K57" s="130">
        <v>0.024372790923155</v>
      </c>
      <c r="L57" s="18">
        <f t="shared" si="1"/>
        <v>-0.02937279092</v>
      </c>
      <c r="M57" s="131">
        <v>-0.005</v>
      </c>
    </row>
    <row r="58" ht="15.75" customHeight="1">
      <c r="A58" s="123" t="s">
        <v>199</v>
      </c>
      <c r="B58" s="126">
        <v>14223.137</v>
      </c>
      <c r="C58" s="48">
        <v>0.223474712131809</v>
      </c>
      <c r="D58" s="123"/>
      <c r="E58" s="123"/>
      <c r="F58" s="123"/>
      <c r="G58" s="123" t="s">
        <v>199</v>
      </c>
      <c r="H58" s="126">
        <v>3231.727</v>
      </c>
      <c r="I58" s="129">
        <v>0.201365851264886</v>
      </c>
      <c r="K58" s="130">
        <v>0.022108860866923</v>
      </c>
      <c r="L58" s="18">
        <f t="shared" si="1"/>
        <v>-0.02610886087</v>
      </c>
      <c r="M58" s="131">
        <v>-0.004</v>
      </c>
    </row>
    <row r="59" ht="15.75" customHeight="1">
      <c r="A59" s="123" t="s">
        <v>200</v>
      </c>
      <c r="B59" s="126">
        <v>11700.992</v>
      </c>
      <c r="C59" s="48">
        <v>-0.177326914589939</v>
      </c>
      <c r="D59" s="123"/>
      <c r="E59" s="123"/>
      <c r="F59" s="123"/>
      <c r="G59" s="123" t="s">
        <v>200</v>
      </c>
      <c r="H59" s="126">
        <v>2602.685</v>
      </c>
      <c r="I59" s="129">
        <v>-0.194645772987632</v>
      </c>
      <c r="K59" s="130">
        <v>0.0173188583976927</v>
      </c>
      <c r="L59" s="18">
        <f t="shared" si="1"/>
        <v>-0.005918858398</v>
      </c>
      <c r="M59" s="131">
        <v>0.0114</v>
      </c>
    </row>
    <row r="60" ht="15.75" customHeight="1">
      <c r="A60" s="123" t="s">
        <v>201</v>
      </c>
      <c r="B60" s="126">
        <v>14557.826</v>
      </c>
      <c r="C60" s="48">
        <v>0.244153145305971</v>
      </c>
      <c r="D60" s="123"/>
      <c r="E60" s="123"/>
      <c r="F60" s="123"/>
      <c r="G60" s="123" t="s">
        <v>201</v>
      </c>
      <c r="H60" s="126">
        <v>3169.18</v>
      </c>
      <c r="I60" s="129">
        <v>0.217657918649395</v>
      </c>
      <c r="K60" s="130">
        <v>0.0264952266565759</v>
      </c>
      <c r="L60" s="18">
        <f t="shared" si="1"/>
        <v>-0.002195226657</v>
      </c>
      <c r="M60" s="131">
        <v>0.0243</v>
      </c>
    </row>
    <row r="61" ht="15.75" customHeight="1">
      <c r="A61" s="123" t="s">
        <v>202</v>
      </c>
      <c r="B61" s="126">
        <v>17352.115</v>
      </c>
      <c r="C61" s="48">
        <v>0.191944113083918</v>
      </c>
      <c r="D61" s="123"/>
      <c r="E61" s="123"/>
      <c r="F61" s="123"/>
      <c r="G61" s="123" t="s">
        <v>202</v>
      </c>
      <c r="H61" s="126">
        <v>3707.837</v>
      </c>
      <c r="I61" s="129">
        <v>0.169967310155939</v>
      </c>
      <c r="K61" s="130">
        <v>0.0219768029279788</v>
      </c>
      <c r="L61" s="18">
        <f t="shared" si="1"/>
        <v>0.001223197072</v>
      </c>
      <c r="M61" s="131">
        <v>0.0232</v>
      </c>
    </row>
    <row r="62" ht="15.75" customHeight="1">
      <c r="A62" s="123"/>
      <c r="B62" s="123"/>
      <c r="C62" s="123"/>
      <c r="D62" s="123"/>
      <c r="E62" s="123"/>
      <c r="F62" s="123"/>
      <c r="G62" s="123"/>
      <c r="H62" s="123"/>
      <c r="I62" s="123"/>
    </row>
    <row r="63" ht="15.75" customHeight="1">
      <c r="A63" s="123" t="s">
        <v>203</v>
      </c>
      <c r="B63" s="123"/>
      <c r="C63" s="123"/>
      <c r="D63" s="123"/>
      <c r="E63" s="123"/>
      <c r="F63" s="123"/>
      <c r="G63" s="123"/>
      <c r="H63" s="123"/>
      <c r="I63" s="123"/>
    </row>
    <row r="64" ht="15.75" customHeight="1">
      <c r="A64" s="123" t="s">
        <v>204</v>
      </c>
      <c r="B64" s="123"/>
      <c r="C64" s="123"/>
      <c r="D64" s="123"/>
      <c r="E64" s="123"/>
      <c r="F64" s="123"/>
      <c r="G64" s="123"/>
      <c r="H64" s="123"/>
      <c r="I64" s="123"/>
    </row>
    <row r="65" ht="15.75" customHeight="1">
      <c r="A65" s="123" t="s">
        <v>205</v>
      </c>
      <c r="B65" s="123"/>
      <c r="C65" s="123"/>
      <c r="D65" s="123"/>
      <c r="E65" s="123"/>
      <c r="F65" s="123"/>
      <c r="G65" s="123"/>
      <c r="H65" s="123"/>
      <c r="I65" s="123"/>
    </row>
    <row r="66" ht="15.75" customHeight="1">
      <c r="A66" s="123" t="s">
        <v>206</v>
      </c>
      <c r="B66" s="123"/>
      <c r="C66" s="123"/>
      <c r="D66" s="123"/>
      <c r="E66" s="123"/>
      <c r="F66" s="123"/>
      <c r="G66" s="123"/>
      <c r="H66" s="123"/>
      <c r="I66" s="123"/>
    </row>
    <row r="67" ht="15.75" customHeight="1">
      <c r="A67" s="123" t="s">
        <v>207</v>
      </c>
      <c r="B67" s="123"/>
      <c r="C67" s="123"/>
      <c r="D67" s="123"/>
      <c r="E67" s="123"/>
      <c r="F67" s="123"/>
      <c r="G67" s="123"/>
      <c r="H67" s="123"/>
      <c r="I67" s="123"/>
    </row>
    <row r="68" ht="15.75" customHeight="1">
      <c r="A68" s="123" t="s">
        <v>208</v>
      </c>
      <c r="B68" s="123"/>
      <c r="C68" s="123"/>
      <c r="D68" s="123"/>
      <c r="E68" s="123"/>
      <c r="F68" s="123"/>
      <c r="G68" s="123"/>
      <c r="H68" s="123"/>
      <c r="I68" s="123"/>
    </row>
    <row r="69" ht="15.75" customHeight="1">
      <c r="A69" s="123" t="s">
        <v>209</v>
      </c>
      <c r="B69" s="123"/>
      <c r="C69" s="123"/>
      <c r="D69" s="123"/>
      <c r="E69" s="123"/>
      <c r="F69" s="123"/>
      <c r="G69" s="123"/>
      <c r="H69" s="123"/>
      <c r="I69" s="123"/>
    </row>
    <row r="70" ht="15.75" customHeight="1">
      <c r="A70" s="123" t="s">
        <v>210</v>
      </c>
      <c r="B70" s="123"/>
      <c r="C70" s="123"/>
      <c r="D70" s="123"/>
      <c r="E70" s="123"/>
      <c r="F70" s="123"/>
      <c r="G70" s="123"/>
      <c r="H70" s="123"/>
      <c r="I70" s="123"/>
    </row>
    <row r="71" ht="15.75" customHeight="1">
      <c r="A71" s="123" t="s">
        <v>205</v>
      </c>
      <c r="B71" s="123"/>
      <c r="C71" s="123"/>
      <c r="D71" s="123"/>
      <c r="E71" s="123"/>
      <c r="F71" s="123"/>
      <c r="G71" s="123"/>
      <c r="H71" s="123"/>
      <c r="I71" s="123"/>
    </row>
    <row r="72" ht="15.75" customHeight="1">
      <c r="A72" s="123" t="s">
        <v>211</v>
      </c>
      <c r="B72" s="123"/>
      <c r="C72" s="123"/>
      <c r="D72" s="123"/>
      <c r="E72" s="123"/>
      <c r="F72" s="123"/>
      <c r="G72" s="123"/>
      <c r="H72" s="123"/>
      <c r="I72" s="123"/>
    </row>
    <row r="73" ht="15.75" customHeight="1">
      <c r="A73" s="123" t="s">
        <v>212</v>
      </c>
      <c r="B73" s="123"/>
      <c r="C73" s="123"/>
      <c r="D73" s="123"/>
      <c r="E73" s="123"/>
      <c r="F73" s="123"/>
      <c r="G73" s="123"/>
      <c r="H73" s="123"/>
      <c r="I73" s="123"/>
    </row>
    <row r="74" ht="15.75" customHeight="1">
      <c r="A74" s="123" t="s">
        <v>213</v>
      </c>
      <c r="B74" s="123"/>
      <c r="C74" s="123"/>
      <c r="D74" s="123"/>
      <c r="E74" s="123"/>
      <c r="F74" s="123"/>
      <c r="G74" s="123"/>
      <c r="H74" s="123"/>
      <c r="I74" s="123"/>
    </row>
    <row r="75" ht="15.75" customHeight="1">
      <c r="A75" s="123" t="s">
        <v>214</v>
      </c>
      <c r="B75" s="123"/>
      <c r="C75" s="123"/>
      <c r="D75" s="123"/>
      <c r="E75" s="123"/>
      <c r="F75" s="123"/>
      <c r="G75" s="123"/>
      <c r="H75" s="123"/>
      <c r="I75" s="123"/>
    </row>
    <row r="76" ht="15.75" customHeight="1">
      <c r="A76" s="123" t="s">
        <v>215</v>
      </c>
      <c r="B76" s="123"/>
      <c r="C76" s="123"/>
      <c r="D76" s="123"/>
      <c r="E76" s="123"/>
      <c r="F76" s="123"/>
      <c r="G76" s="123"/>
      <c r="H76" s="123"/>
      <c r="I76" s="123"/>
    </row>
    <row r="77" ht="15.75" customHeight="1">
      <c r="A77" s="123" t="s">
        <v>216</v>
      </c>
      <c r="B77" s="123"/>
      <c r="C77" s="123"/>
      <c r="D77" s="123"/>
      <c r="E77" s="123"/>
      <c r="F77" s="123"/>
      <c r="G77" s="123"/>
      <c r="H77" s="123"/>
      <c r="I77" s="123"/>
    </row>
    <row r="78" ht="15.75" customHeight="1">
      <c r="A78" s="123" t="s">
        <v>217</v>
      </c>
      <c r="B78" s="123"/>
      <c r="C78" s="123"/>
      <c r="D78" s="123"/>
      <c r="E78" s="123"/>
      <c r="F78" s="123"/>
      <c r="G78" s="123"/>
      <c r="H78" s="123"/>
      <c r="I78" s="123"/>
    </row>
    <row r="79" ht="15.75" customHeight="1">
      <c r="A79" s="123" t="s">
        <v>218</v>
      </c>
      <c r="B79" s="123"/>
      <c r="C79" s="123"/>
      <c r="D79" s="123"/>
      <c r="E79" s="123"/>
      <c r="F79" s="123"/>
      <c r="G79" s="123"/>
      <c r="H79" s="123"/>
      <c r="I79" s="123"/>
    </row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N6"/>
  </hyperlinks>
  <printOptions/>
  <pageMargins bottom="0.984027777777778" footer="0.0" header="0.0" left="0.747916666666667" right="0.747916666666667" top="0.984027777777778"/>
  <pageSetup paperSize="9" orientation="portrait"/>
  <drawing r:id="rId2"/>
</worksheet>
</file>