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rgebnis" sheetId="1" r:id="rId4"/>
    <sheet state="visible" name="HIER Rechnung Ausschütter" sheetId="2" r:id="rId5"/>
    <sheet state="visible" name="HIER Rechnung Thesaurierer " sheetId="3" r:id="rId6"/>
    <sheet state="visible" name="HIER Einzelaktien" sheetId="4" r:id="rId7"/>
    <sheet state="visible" name="Notizen" sheetId="5" r:id="rId8"/>
    <sheet state="visible" name="Historische Renditen" sheetId="6" r:id="rId9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0">
      <text>
        <t xml:space="preserve">https://www.wertpapier-forum.de/topic/38496-reform-der-besteuerung-von-investmentfonds/?do=findComment&amp;comment=1627740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2">
      <text>
        <t xml:space="preserve">Betrag am Jahresende nach Ausschüttung, nach Entnahme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P1">
      <text>
        <t xml:space="preserve">Bei der Entnahme verkauft man zu einem besseren Kurs, als zum Zeitpunkt der Ausschüttung beim Ausschütter.</t>
      </text>
    </comment>
    <comment authorId="0" ref="J2">
      <text>
        <t xml:space="preserve">ETF-Wert am Jahresende nach Entnahme und Vorabpauschale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2">
      <text>
        <t xml:space="preserve">Betrag am Jahresende nach Ausschüttung, nach Entnahme</t>
      </text>
    </comment>
  </commentList>
</comments>
</file>

<file path=xl/sharedStrings.xml><?xml version="1.0" encoding="utf-8"?>
<sst xmlns="http://schemas.openxmlformats.org/spreadsheetml/2006/main" count="356" uniqueCount="214">
  <si>
    <t>Betrag</t>
  </si>
  <si>
    <t>1995 - 2024</t>
  </si>
  <si>
    <t>MSCI World</t>
  </si>
  <si>
    <t>Jahr</t>
  </si>
  <si>
    <t>Entnahmerate Thesaurierer Brutto</t>
  </si>
  <si>
    <t>Entnahmerate Ausschütter Brutto</t>
  </si>
  <si>
    <t>Einstandswert</t>
  </si>
  <si>
    <t>Entnahme zu Beginn</t>
  </si>
  <si>
    <t>Steuerfreibetrag:</t>
  </si>
  <si>
    <t>Fondsinterne Quellensteuer auf Dividenden</t>
  </si>
  <si>
    <t>TER/OCF inkl. Wertpapierleihe</t>
  </si>
  <si>
    <t>Steuersatz nach Teilfreistellung:</t>
  </si>
  <si>
    <t>Steuersatz ohne Teilfreistellung:</t>
  </si>
  <si>
    <t>Horror-Szenario: Basiszins=Zinsen+Wertentwicklung *0,3</t>
  </si>
  <si>
    <t>Nein</t>
  </si>
  <si>
    <t>Ohne Verkauf am Ende:</t>
  </si>
  <si>
    <t>Ausschütter vs. Thesaurierer:</t>
  </si>
  <si>
    <t>p.a.</t>
  </si>
  <si>
    <t>Ausschütter vs. Direktanlage:</t>
  </si>
  <si>
    <t>Thesaurierer vs. Direktanlage:</t>
  </si>
  <si>
    <t>Mit Verkauf am Ende:</t>
  </si>
  <si>
    <t>Endvermögen (ohne Verkauf am Ende)</t>
  </si>
  <si>
    <t>Endvermögen (Verkauf am Ende)</t>
  </si>
  <si>
    <t>Entnahmen inkl. Ausschüttungen brutto</t>
  </si>
  <si>
    <t>Entnahmen inkl. Ausschüttungen netto</t>
  </si>
  <si>
    <t>durchschnittliche Entnahmerate brutto</t>
  </si>
  <si>
    <t>Ausschütter:</t>
  </si>
  <si>
    <t>Thesaurierer:</t>
  </si>
  <si>
    <t>Direktanlage:</t>
  </si>
  <si>
    <t>durchschnittliche Dividendenrendite</t>
  </si>
  <si>
    <t>durchschnittliche Ausschüttungsrendite</t>
  </si>
  <si>
    <t>durchnittlicher Basiszins</t>
  </si>
  <si>
    <t>Ausschütter</t>
  </si>
  <si>
    <t>Einstandskurs pro Stück:</t>
  </si>
  <si>
    <t>Startvermögen</t>
  </si>
  <si>
    <t>OCF minus Wertpapierleihe:</t>
  </si>
  <si>
    <t>Fondsinterne Quellensteuer:</t>
  </si>
  <si>
    <t>Steuersatz nach Teilfreistellung und ohne:</t>
  </si>
  <si>
    <t>Jährlicher Freibetrag (inkl. Günstigeprüfung)</t>
  </si>
  <si>
    <t>Entname zu Beginn:</t>
  </si>
  <si>
    <t>ETF-Kurs</t>
  </si>
  <si>
    <t>Stücke</t>
  </si>
  <si>
    <t>Betrag am Jahresanfang</t>
  </si>
  <si>
    <t>Kursperformance abzgl. OCF</t>
  </si>
  <si>
    <t>Kursperformance Preisindex (ohne Ausschüttungen)</t>
  </si>
  <si>
    <t>Betrag nach Kursgewinn am Jahresende vor Entnahme</t>
  </si>
  <si>
    <t>Ausschüttungs-rendite</t>
  </si>
  <si>
    <t>Performance Vermögen</t>
  </si>
  <si>
    <t>Kumulierte Performance in %</t>
  </si>
  <si>
    <t>Ausschüttung an Anleger</t>
  </si>
  <si>
    <t>Steuer auf Ausschüttung inkl. Steuererstattung</t>
  </si>
  <si>
    <t>Ausschüttungen an Anleger netto</t>
  </si>
  <si>
    <t>Entnahmerate brutto</t>
  </si>
  <si>
    <t>Benötigte Netto Entnahme gesamt</t>
  </si>
  <si>
    <t>Benötige Stücke für den Verkauf</t>
  </si>
  <si>
    <t>Benötigte Entnahme brutto abzüglich Ausschüttung</t>
  </si>
  <si>
    <t>Enthaltene Kursgewinne der Entnahme</t>
  </si>
  <si>
    <t>Steuer auf Entnahme</t>
  </si>
  <si>
    <t>Anschaffungswert der Entnahme abzgl. bezahlte Vorabpauschalen</t>
  </si>
  <si>
    <t>Entnahme Netto</t>
  </si>
  <si>
    <t>Ausschüttung netto + Entnahme netto</t>
  </si>
  <si>
    <t>Basiszins</t>
  </si>
  <si>
    <t>Wertentwicklung</t>
  </si>
  <si>
    <t>Vorabpauschale Obergrenze</t>
  </si>
  <si>
    <t>Vorabpauschale</t>
  </si>
  <si>
    <t>Steuern Vorabpauschale</t>
  </si>
  <si>
    <t>Anteil der zu verkaufenden Anteile in %</t>
  </si>
  <si>
    <t>Anrechenbare Vorabpauschale bei der Entnahme</t>
  </si>
  <si>
    <t>kumulierte Vorabpauschale abzüglich eingelöste Vorabpauschale bei der Entnahme</t>
  </si>
  <si>
    <t>Steuerfreibetrag</t>
  </si>
  <si>
    <t>Steuerrückerstattung</t>
  </si>
  <si>
    <t>Kapitaleträge Gesamt</t>
  </si>
  <si>
    <t>Performance kumulativ:</t>
  </si>
  <si>
    <t>Performance p.a.:</t>
  </si>
  <si>
    <t>Vorteil Ausschütter vs. Thesaurierer:</t>
  </si>
  <si>
    <t>Verkauf am Ende</t>
  </si>
  <si>
    <t>Zu versteuernder Gewinn am Ende abgzl. Vorabpauschale:</t>
  </si>
  <si>
    <t>Steuern:</t>
  </si>
  <si>
    <t>Wert nach Steuer bei Komplettverkauf am Ende:</t>
  </si>
  <si>
    <t>Vorteil Ausschütter:</t>
  </si>
  <si>
    <t>schlechte Sequenz:</t>
  </si>
  <si>
    <t>Thesaurierer</t>
  </si>
  <si>
    <t>Horror-Szenario: Basiszins+Wertentwicklung *0,3</t>
  </si>
  <si>
    <t>Kursperformance</t>
  </si>
  <si>
    <t>Betrag nach Kursgewinn am Jahresende inkl. Thesaurierung</t>
  </si>
  <si>
    <t>Thesaurierungs-rendite</t>
  </si>
  <si>
    <t xml:space="preserve">Zinsen Deutschland = Inflation </t>
  </si>
  <si>
    <t>Performance Vorteil Thesauerierer</t>
  </si>
  <si>
    <t>Vorteil gegenüber Ausschütter</t>
  </si>
  <si>
    <t>Brutto Entnahme in %</t>
  </si>
  <si>
    <t>Basisertrag</t>
  </si>
  <si>
    <t>Steuer aufVorabpauschale</t>
  </si>
  <si>
    <t>benötigte Entnahme brutto</t>
  </si>
  <si>
    <t>benötigte Entnahme netto</t>
  </si>
  <si>
    <t>Entnahme netto</t>
  </si>
  <si>
    <t>Anschaffungswert der Entnahme abzgl. bezahlte vorabpauschalen</t>
  </si>
  <si>
    <t>Kapitaleträge Vorteil(-)/Nachteil(+) Thesaurierer</t>
  </si>
  <si>
    <t>Einzelaktien</t>
  </si>
  <si>
    <t>Steuersatz:</t>
  </si>
  <si>
    <t>Aktien-Kurs</t>
  </si>
  <si>
    <t>Dividenden- rendite</t>
  </si>
  <si>
    <t>Direktanlage</t>
  </si>
  <si>
    <t>Vorteil Einzelaktien vs. Thesaurierer</t>
  </si>
  <si>
    <t>Dividenden brutto</t>
  </si>
  <si>
    <t>Dividenden netto</t>
  </si>
  <si>
    <t>Steuer auf Dividenden inkl. Steuererstattung</t>
  </si>
  <si>
    <t>benötigte Entnahme</t>
  </si>
  <si>
    <t>Dividende netto + Entnahme netto</t>
  </si>
  <si>
    <t>Benötigte Entnahme brutto abzüglich Dividende</t>
  </si>
  <si>
    <t>Entnahmegewinn</t>
  </si>
  <si>
    <t>Anschaffungswert der Entnahme</t>
  </si>
  <si>
    <t>Steuerfreibetrag (Günstigerprüfung)</t>
  </si>
  <si>
    <t>Vorteil/nachteil Kapitalertäge Einzelaktien vs. Ausschütter</t>
  </si>
  <si>
    <t>Steuern insgesamt:</t>
  </si>
  <si>
    <t>Vorteil Einzelaktien vs. Thesaurierer:</t>
  </si>
  <si>
    <t>Vorteil Einzelaktien vs. Ausschütter:</t>
  </si>
  <si>
    <t>In Euro (+ Vorteil Einzelaktien)</t>
  </si>
  <si>
    <t>Kumulativ:</t>
  </si>
  <si>
    <t>Anleitung:</t>
  </si>
  <si>
    <t>Die Tabelle funktioniert nicht mit Libreoffice! Die Ergebnisse oszillieren. Mit Google Tabellen oder Excel in der Cloud funktioniert es.</t>
  </si>
  <si>
    <t>Iterationen müssen eingeschaltet werden: https://www.google.com/search?q=wie+schalten+man+iterationen+bei+excel+ein&amp;oq=wie+schalten+man+iterationen+bei+excel+ein</t>
  </si>
  <si>
    <t>Nur die gelben Felder dürfen ausgefüllt werden</t>
  </si>
  <si>
    <t>Zeitraum ändern:</t>
  </si>
  <si>
    <t>Aus dem Blatt Historische Renditen 30 Zeilen aus Spalte I in Blatt Ausschütter (gelbe Spalte) eintragen</t>
  </si>
  <si>
    <t>Aus dem Blatt Historische Renditen 30 Zeilen aus Splate K (Dividendenrendite) ins Blatt Einzelaktien (gelbe Spalte) eintragen</t>
  </si>
  <si>
    <t>Aus dem Blatt Historische Renditen 30 Zeilen aus Spalte M (Zinsen) als Inflation in das Blatt Thesaurierer (gelbe Spalte) eintragen.</t>
  </si>
  <si>
    <t>fertig</t>
  </si>
  <si>
    <t>Hinweis: Die Zinsen Deutschland werden als Basiszins und als Inflationsrate benutzt.</t>
  </si>
  <si>
    <t>Index Level :</t>
  </si>
  <si>
    <t>Gross</t>
  </si>
  <si>
    <t>Price</t>
  </si>
  <si>
    <t>Currency :</t>
  </si>
  <si>
    <t>USD</t>
  </si>
  <si>
    <t>Date</t>
  </si>
  <si>
    <t>WORLD Standard (Large+Mid Cap)</t>
  </si>
  <si>
    <t>Dividendenrndite</t>
  </si>
  <si>
    <t>Zinsen Deutschland in %</t>
  </si>
  <si>
    <t>Dec 31, 1969</t>
  </si>
  <si>
    <t>Von hier die Rendite ins Ausschüttungsblatt kopieren</t>
  </si>
  <si>
    <t>Von hier die Dividendenrendite ins Einzelaktienblatt kopieren</t>
  </si>
  <si>
    <t>Differenz</t>
  </si>
  <si>
    <t>Von hier die Zinsen ins Thesaurierer-Blatt kopieren</t>
  </si>
  <si>
    <t>10 Jahres Rendite BundQuelle: https://data.oecd.org/interest/long-term-interest-rates.htm</t>
  </si>
  <si>
    <t>Dec 31, 1970</t>
  </si>
  <si>
    <t>Dec 31, 1971</t>
  </si>
  <si>
    <t>Dec 29, 1972</t>
  </si>
  <si>
    <t>Dec 31, 1973</t>
  </si>
  <si>
    <t>Dec 31, 1974</t>
  </si>
  <si>
    <t>Dec 31, 1975</t>
  </si>
  <si>
    <t>Dec 31, 1976</t>
  </si>
  <si>
    <t>Dec 30, 1977</t>
  </si>
  <si>
    <t>Dec 29, 1978</t>
  </si>
  <si>
    <t>Dec 31, 1979</t>
  </si>
  <si>
    <t>Dec 31, 1980</t>
  </si>
  <si>
    <t>Dec 31, 1981</t>
  </si>
  <si>
    <t>Dec 31, 1982</t>
  </si>
  <si>
    <t>Dec 30, 1983</t>
  </si>
  <si>
    <t>Dec 31, 1984</t>
  </si>
  <si>
    <t>Dec 31, 1985</t>
  </si>
  <si>
    <t>Dec 31, 1986</t>
  </si>
  <si>
    <t>Dec 31, 1987</t>
  </si>
  <si>
    <t>Dec 30, 1988</t>
  </si>
  <si>
    <t>Dec 29, 1989</t>
  </si>
  <si>
    <t>Dec 31, 1990</t>
  </si>
  <si>
    <t>Dec 31, 1991</t>
  </si>
  <si>
    <t>Dec 31, 1992</t>
  </si>
  <si>
    <t>Dec 31, 1993</t>
  </si>
  <si>
    <t>Dec 30, 1994</t>
  </si>
  <si>
    <t>Dec 29, 1995</t>
  </si>
  <si>
    <t>Dec 31, 1996</t>
  </si>
  <si>
    <t>Dec 31, 1997</t>
  </si>
  <si>
    <t>Dec 31, 1998</t>
  </si>
  <si>
    <t>Dec 31, 1999</t>
  </si>
  <si>
    <t>Dec 29, 2000</t>
  </si>
  <si>
    <t>Dec 31, 2001</t>
  </si>
  <si>
    <t>Dec 31, 2002</t>
  </si>
  <si>
    <t>Dec 31, 2003</t>
  </si>
  <si>
    <t>Dec 31, 2004</t>
  </si>
  <si>
    <t>Dec 30, 2005</t>
  </si>
  <si>
    <t>Dec 29, 2006</t>
  </si>
  <si>
    <t>Dec 31, 2007</t>
  </si>
  <si>
    <t>Dec 31, 2008</t>
  </si>
  <si>
    <t>Dec 31, 2009</t>
  </si>
  <si>
    <t>Dec 31, 2010</t>
  </si>
  <si>
    <t>Dec 30, 2011</t>
  </si>
  <si>
    <t>Dec 31, 2012</t>
  </si>
  <si>
    <t>Dec 31, 2013</t>
  </si>
  <si>
    <t>Dec 31, 2014</t>
  </si>
  <si>
    <t>Dec 31, 2015</t>
  </si>
  <si>
    <t>Dec 30, 2016</t>
  </si>
  <si>
    <t>Dec 29, 2017</t>
  </si>
  <si>
    <t>Dec 31, 2018</t>
  </si>
  <si>
    <t>Dec 31, 2019</t>
  </si>
  <si>
    <t>Dec 31, 2020</t>
  </si>
  <si>
    <t>Dec 31, 2021</t>
  </si>
  <si>
    <t>Dec 30, 2022</t>
  </si>
  <si>
    <t>Dec 29, 2023</t>
  </si>
  <si>
    <t>Dec 31, 2024</t>
  </si>
  <si>
    <t>Copyright MSCI Inc.</t>
  </si>
  <si>
    <t>This information is the property of MSCI Inc. and /or its subsidiaries (collectively, "MSCI"). It is provided for informational</t>
  </si>
  <si>
    <t>purposes only, and is not a recommendation to participate in any particular trading strategy. The information may not be used to</t>
  </si>
  <si>
    <t>verify or correct data, or any compilation of data or index or in the creation of any indexes. Nor may it be used in the creating,</t>
  </si>
  <si>
    <t>writing, offering, trading, marketing or promotion of any financial instruments or products. This information is provided on an</t>
  </si>
  <si>
    <t>"as is" basis. Although MSCI shall obtain information from sources which MSCI considers reliable, none of the MSCI, its subsidiaries</t>
  </si>
  <si>
    <t>or its or their direct or indirect information provider or any other third party involved in, or related to, compiling, computing or</t>
  </si>
  <si>
    <t>creating the information (collectively, the "MSCI Parties") guarantees the accuracy and/or the completeness of any of this information.</t>
  </si>
  <si>
    <t>None of the MSCI Parties makes any representation or warranty, express or implied, as to the results to be obtained by any person or</t>
  </si>
  <si>
    <t>entity from any use of this information, and the user of this information assumes the entire risk of any use made of this information.</t>
  </si>
  <si>
    <t>None of the MSCI Parties makes any express or implied warranties, and the MSCI Parties hereby expressly disclaim all warranties of</t>
  </si>
  <si>
    <t>merchantability or fitness for a particular purpose with respect to any of this information. Without limiting any of the foregoing,</t>
  </si>
  <si>
    <t>in no event shall any of the MSCI Parties have any liability for any direct, indirect, special, punitive, consequential or any other</t>
  </si>
  <si>
    <t>damages (including lost profits) even if notified of the possibility of such damages. MSCI, Barra, RiskMetrics and FEA</t>
  </si>
  <si>
    <t>and all other service marks referred to herein are the exclusive property of MSCI and/or its subsidiaries. All MSCI indexes and data</t>
  </si>
  <si>
    <t>are the exclusive property of MSCI and may not be used in any way without the express written permission of MSCI.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</si>
</sst>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2">
    <numFmt numFmtId="164" formatCode="#,##0\ [$€-1]"/>
    <numFmt numFmtId="165" formatCode="#,##0\€"/>
    <numFmt numFmtId="166" formatCode="0.0%"/>
    <numFmt numFmtId="167" formatCode="0.00\ %"/>
    <numFmt numFmtId="168" formatCode="0\ %"/>
    <numFmt numFmtId="169" formatCode="#,##0.000\€"/>
    <numFmt numFmtId="170" formatCode="#,##0.00\ [$€-1]"/>
    <numFmt numFmtId="171" formatCode="0.000%"/>
    <numFmt numFmtId="172" formatCode="#,##0.000\ [$€-1]"/>
    <numFmt numFmtId="173" formatCode="#,##0.00\€"/>
    <numFmt numFmtId="174" formatCode="#,##0.0000\ [$€-1]"/>
    <numFmt numFmtId="175" formatCode="mmm\ d&quot;, &quot;yyyy"/>
  </numFmts>
  <fonts count="19">
    <font>
      <sz val="10.0"/>
      <color rgb="FF000000"/>
      <name val="Arial"/>
      <scheme val="minor"/>
    </font>
    <font>
      <sz val="11.0"/>
      <color rgb="FF000000"/>
      <name val="Arial"/>
    </font>
    <font>
      <sz val="28.0"/>
      <color rgb="FF000000"/>
      <name val="Arial"/>
    </font>
    <font>
      <sz val="8.0"/>
      <color theme="1"/>
      <name val="Arial"/>
      <scheme val="minor"/>
    </font>
    <font>
      <sz val="7.0"/>
      <color theme="1"/>
      <name val="Arial"/>
      <scheme val="minor"/>
    </font>
    <font>
      <sz val="10.0"/>
      <color rgb="FF000000"/>
      <name val="Arial"/>
    </font>
    <font>
      <b/>
      <sz val="11.0"/>
      <color rgb="FF000000"/>
      <name val="Arial"/>
    </font>
    <font>
      <b/>
      <sz val="8.0"/>
      <color rgb="FF000000"/>
      <name val="Arial"/>
    </font>
    <font>
      <b/>
      <sz val="12.0"/>
      <color rgb="FF000000"/>
      <name val="Arial"/>
    </font>
    <font>
      <sz val="8.0"/>
      <color rgb="FF000000"/>
      <name val="Arial"/>
    </font>
    <font>
      <sz val="11.0"/>
      <color rgb="FF3C4043"/>
      <name val="Inconsolata"/>
    </font>
    <font>
      <sz val="9.0"/>
      <color rgb="FF000000"/>
      <name val="Arial"/>
    </font>
    <font>
      <b/>
      <sz val="14.0"/>
      <color rgb="FF000000"/>
      <name val="Arial"/>
    </font>
    <font>
      <i/>
      <sz val="11.0"/>
      <color rgb="FF3C4043"/>
      <name val="Roboto"/>
    </font>
    <font>
      <b/>
      <sz val="22.0"/>
      <color rgb="FF000000"/>
      <name val="Arial"/>
    </font>
    <font>
      <sz val="11.0"/>
      <color rgb="FFFFFFFF"/>
      <name val="Arial"/>
    </font>
    <font>
      <color theme="1"/>
      <name val="Arial"/>
      <scheme val="minor"/>
    </font>
    <font>
      <sz val="12.0"/>
      <color rgb="FF111111"/>
      <name val="Inherit"/>
    </font>
    <font>
      <u/>
      <sz val="8.0"/>
      <color rgb="FF111111"/>
      <name val="Inherit"/>
    </font>
  </fonts>
  <fills count="3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FDB1F"/>
        <bgColor rgb="FF3FDB1F"/>
      </patternFill>
    </fill>
    <fill>
      <patternFill patternType="solid">
        <fgColor rgb="FF3EDC1F"/>
        <bgColor rgb="FF3EDC1F"/>
      </patternFill>
    </fill>
    <fill>
      <patternFill patternType="solid">
        <fgColor rgb="FF40DB20"/>
        <bgColor rgb="FF40DB20"/>
      </patternFill>
    </fill>
    <fill>
      <patternFill patternType="solid">
        <fgColor rgb="FF7FB73F"/>
        <bgColor rgb="FF7FB73F"/>
      </patternFill>
    </fill>
    <fill>
      <patternFill patternType="solid">
        <fgColor rgb="FF98A84C"/>
        <bgColor rgb="FF98A84C"/>
      </patternFill>
    </fill>
    <fill>
      <patternFill patternType="solid">
        <fgColor rgb="FF9EA54F"/>
        <bgColor rgb="FF9EA54F"/>
      </patternFill>
    </fill>
    <fill>
      <patternFill patternType="solid">
        <fgColor rgb="FFB39959"/>
        <bgColor rgb="FFB39959"/>
      </patternFill>
    </fill>
    <fill>
      <patternFill patternType="solid">
        <fgColor rgb="FFB5985A"/>
        <bgColor rgb="FFB5985A"/>
      </patternFill>
    </fill>
    <fill>
      <patternFill patternType="solid">
        <fgColor rgb="FF39DE1C"/>
        <bgColor rgb="FF39DE1C"/>
      </patternFill>
    </fill>
    <fill>
      <patternFill patternType="solid">
        <fgColor rgb="FF55CF2A"/>
        <bgColor rgb="FF55CF2A"/>
      </patternFill>
    </fill>
    <fill>
      <patternFill patternType="solid">
        <fgColor rgb="FF7CB93E"/>
        <bgColor rgb="FF7CB93E"/>
      </patternFill>
    </fill>
    <fill>
      <patternFill patternType="solid">
        <fgColor rgb="FF30E418"/>
        <bgColor rgb="FF30E418"/>
      </patternFill>
    </fill>
    <fill>
      <patternFill patternType="solid">
        <fgColor rgb="FF51D128"/>
        <bgColor rgb="FF51D128"/>
      </patternFill>
    </fill>
    <fill>
      <patternFill patternType="solid">
        <fgColor rgb="FF5FC92F"/>
        <bgColor rgb="FF5FC92F"/>
      </patternFill>
    </fill>
    <fill>
      <patternFill patternType="solid">
        <fgColor rgb="FF70C038"/>
        <bgColor rgb="FF70C038"/>
      </patternFill>
    </fill>
    <fill>
      <patternFill patternType="solid">
        <fgColor rgb="FF4CD426"/>
        <bgColor rgb="FF4CD426"/>
      </patternFill>
    </fill>
    <fill>
      <patternFill patternType="solid">
        <fgColor rgb="FF4FD227"/>
        <bgColor rgb="FF4FD227"/>
      </patternFill>
    </fill>
    <fill>
      <patternFill patternType="solid">
        <fgColor rgb="FF58CD2C"/>
        <bgColor rgb="FF58CD2C"/>
      </patternFill>
    </fill>
    <fill>
      <patternFill patternType="solid">
        <fgColor rgb="FF66C533"/>
        <bgColor rgb="FF66C533"/>
      </patternFill>
    </fill>
    <fill>
      <patternFill patternType="solid">
        <fgColor rgb="FF56CE2B"/>
        <bgColor rgb="FF56CE2B"/>
      </patternFill>
    </fill>
    <fill>
      <patternFill patternType="solid">
        <fgColor rgb="FF67C533"/>
        <bgColor rgb="FF67C533"/>
      </patternFill>
    </fill>
    <fill>
      <patternFill patternType="solid">
        <fgColor rgb="FF6AC335"/>
        <bgColor rgb="FF6AC335"/>
      </patternFill>
    </fill>
    <fill>
      <patternFill patternType="solid">
        <fgColor rgb="FF7CB83E"/>
        <bgColor rgb="FF7CB83E"/>
      </patternFill>
    </fill>
    <fill>
      <patternFill patternType="solid">
        <fgColor rgb="FFBE935F"/>
        <bgColor rgb="FFBE935F"/>
      </patternFill>
    </fill>
    <fill>
      <patternFill patternType="solid">
        <fgColor rgb="FFC49062"/>
        <bgColor rgb="FFC49062"/>
      </patternFill>
    </fill>
    <fill>
      <patternFill patternType="solid">
        <fgColor rgb="FFE67C73"/>
        <bgColor rgb="FFE67C73"/>
      </patternFill>
    </fill>
    <fill>
      <patternFill patternType="solid">
        <fgColor rgb="FFFF0000"/>
        <bgColor rgb="FFFF0000"/>
      </patternFill>
    </fill>
    <fill>
      <patternFill patternType="solid">
        <fgColor rgb="FFF4F4F4"/>
        <bgColor rgb="FFF4F4F4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1" fillId="2" fontId="1" numFmtId="164" xfId="0" applyAlignment="1" applyBorder="1" applyFill="1" applyFont="1" applyNumberFormat="1">
      <alignment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Font="1"/>
    <xf borderId="0" fillId="0" fontId="4" numFmtId="0" xfId="0" applyFont="1"/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right" shrinkToFit="0" vertical="bottom" wrapText="0"/>
    </xf>
    <xf borderId="0" fillId="0" fontId="5" numFmtId="0" xfId="0" applyAlignment="1" applyFont="1">
      <alignment shrinkToFit="0" vertical="bottom" wrapText="1"/>
    </xf>
    <xf borderId="1" fillId="2" fontId="1" numFmtId="165" xfId="0" applyAlignment="1" applyBorder="1" applyFont="1" applyNumberFormat="1">
      <alignment readingOrder="0" shrinkToFit="0" vertical="bottom" wrapText="0"/>
    </xf>
    <xf borderId="0" fillId="0" fontId="1" numFmtId="166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5" numFmtId="167" xfId="0" applyAlignment="1" applyFont="1" applyNumberFormat="1">
      <alignment shrinkToFit="0" vertical="bottom" wrapText="0"/>
    </xf>
    <xf borderId="0" fillId="0" fontId="1" numFmtId="0" xfId="0" applyAlignment="1" applyFont="1">
      <alignment horizontal="left" shrinkToFit="0" vertical="bottom" wrapText="1"/>
    </xf>
    <xf borderId="1" fillId="2" fontId="1" numFmtId="164" xfId="0" applyAlignment="1" applyBorder="1" applyFont="1" applyNumberFormat="1">
      <alignment readingOrder="0" shrinkToFit="0" vertical="bottom" wrapText="0"/>
    </xf>
    <xf borderId="0" fillId="0" fontId="1" numFmtId="167" xfId="0" applyAlignment="1" applyFont="1" applyNumberFormat="1">
      <alignment shrinkToFit="0" vertical="bottom" wrapText="0"/>
    </xf>
    <xf borderId="1" fillId="2" fontId="1" numFmtId="168" xfId="0" applyAlignment="1" applyBorder="1" applyFont="1" applyNumberFormat="1">
      <alignment shrinkToFit="0" vertical="bottom" wrapText="0"/>
    </xf>
    <xf borderId="1" fillId="2" fontId="1" numFmtId="167" xfId="0" applyAlignment="1" applyBorder="1" applyFont="1" applyNumberFormat="1">
      <alignment readingOrder="0" shrinkToFit="0" vertical="bottom" wrapText="0"/>
    </xf>
    <xf borderId="0" fillId="0" fontId="5" numFmtId="0" xfId="0" applyAlignment="1" applyFont="1">
      <alignment horizontal="left" shrinkToFit="0" vertical="bottom" wrapText="0"/>
    </xf>
    <xf borderId="1" fillId="2" fontId="1" numFmtId="0" xfId="0" applyAlignment="1" applyBorder="1" applyFont="1">
      <alignment shrinkToFit="0" vertical="bottom" wrapText="0"/>
    </xf>
    <xf borderId="1" fillId="2" fontId="1" numFmtId="10" xfId="0" applyAlignment="1" applyBorder="1" applyFont="1" applyNumberFormat="1">
      <alignment readingOrder="0" shrinkToFit="0" vertical="bottom" wrapText="0"/>
    </xf>
    <xf borderId="1" fillId="2" fontId="1" numFmtId="0" xfId="0" applyAlignment="1" applyBorder="1" applyFont="1">
      <alignment readingOrder="0" shrinkToFit="0" vertical="bottom" wrapText="1"/>
    </xf>
    <xf borderId="0" fillId="0" fontId="6" numFmtId="0" xfId="0" applyAlignment="1" applyFont="1">
      <alignment horizontal="left" shrinkToFit="0" vertical="bottom" wrapText="0"/>
    </xf>
    <xf borderId="0" fillId="0" fontId="6" numFmtId="0" xfId="0" applyAlignment="1" applyFont="1">
      <alignment shrinkToFit="0" vertical="bottom" wrapText="0"/>
    </xf>
    <xf borderId="0" fillId="0" fontId="6" numFmtId="167" xfId="0" applyAlignment="1" applyFont="1" applyNumberFormat="1">
      <alignment shrinkToFit="0" vertical="bottom" wrapText="0"/>
    </xf>
    <xf borderId="0" fillId="0" fontId="7" numFmtId="0" xfId="0" applyAlignment="1" applyFont="1">
      <alignment shrinkToFit="0" vertical="bottom" wrapText="1"/>
    </xf>
    <xf borderId="0" fillId="0" fontId="1" numFmtId="167" xfId="0" applyAlignment="1" applyFont="1" applyNumberFormat="1">
      <alignment horizontal="left" shrinkToFit="0" vertical="bottom" wrapText="0"/>
    </xf>
    <xf borderId="0" fillId="0" fontId="6" numFmtId="0" xfId="0" applyAlignment="1" applyFont="1">
      <alignment horizontal="left" shrinkToFit="0" vertical="bottom" wrapText="1"/>
    </xf>
    <xf borderId="0" fillId="0" fontId="6" numFmtId="167" xfId="0" applyAlignment="1" applyFont="1" applyNumberFormat="1">
      <alignment horizontal="left" shrinkToFit="0" vertical="bottom" wrapText="0"/>
    </xf>
    <xf borderId="0" fillId="0" fontId="8" numFmtId="0" xfId="0" applyAlignment="1" applyFont="1">
      <alignment horizontal="left" shrinkToFit="0" vertical="bottom" wrapText="0"/>
    </xf>
    <xf borderId="0" fillId="0" fontId="1" numFmtId="169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1" numFmtId="168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1"/>
    </xf>
    <xf borderId="0" fillId="0" fontId="5" numFmtId="10" xfId="0" applyAlignment="1" applyFont="1" applyNumberFormat="1">
      <alignment horizontal="left" shrinkToFit="0" vertical="bottom" wrapText="0"/>
    </xf>
    <xf borderId="0" fillId="0" fontId="6" numFmtId="0" xfId="0" applyAlignment="1" applyFont="1">
      <alignment shrinkToFit="0" vertical="bottom" wrapText="1"/>
    </xf>
    <xf borderId="0" fillId="0" fontId="1" numFmtId="0" xfId="0" applyAlignment="1" applyFont="1">
      <alignment horizontal="left" readingOrder="0" shrinkToFit="0" vertical="bottom" wrapText="1"/>
    </xf>
    <xf borderId="1" fillId="3" fontId="1" numFmtId="0" xfId="0" applyAlignment="1" applyBorder="1" applyFill="1" applyFont="1">
      <alignment shrinkToFit="0" vertical="bottom" wrapText="1"/>
    </xf>
    <xf borderId="1" fillId="4" fontId="1" numFmtId="0" xfId="0" applyAlignment="1" applyBorder="1" applyFill="1" applyFont="1">
      <alignment shrinkToFit="0" vertical="bottom" wrapText="1"/>
    </xf>
    <xf borderId="0" fillId="0" fontId="1" numFmtId="0" xfId="0" applyAlignment="1" applyFont="1">
      <alignment readingOrder="0" shrinkToFit="0" vertical="bottom" wrapText="1"/>
    </xf>
    <xf borderId="0" fillId="0" fontId="1" numFmtId="172" xfId="0" applyAlignment="1" applyFont="1" applyNumberFormat="1">
      <alignment shrinkToFit="0" vertical="bottom" wrapText="0"/>
    </xf>
    <xf borderId="0" fillId="0" fontId="1" numFmtId="3" xfId="0" applyAlignment="1" applyFont="1" applyNumberFormat="1">
      <alignment shrinkToFit="0" vertical="bottom" wrapText="0"/>
    </xf>
    <xf borderId="0" fillId="0" fontId="9" numFmtId="167" xfId="0" applyAlignment="1" applyFont="1" applyNumberFormat="1">
      <alignment horizontal="right" shrinkToFit="0" vertical="bottom" wrapText="0"/>
    </xf>
    <xf borderId="1" fillId="2" fontId="9" numFmtId="167" xfId="0" applyAlignment="1" applyBorder="1" applyFont="1" applyNumberFormat="1">
      <alignment horizontal="right" shrinkToFit="0" vertical="bottom" wrapText="0"/>
    </xf>
    <xf borderId="0" fillId="0" fontId="6" numFmtId="164" xfId="0" applyAlignment="1" applyFont="1" applyNumberFormat="1">
      <alignment shrinkToFit="0" vertical="bottom" wrapText="0"/>
    </xf>
    <xf borderId="1" fillId="5" fontId="10" numFmtId="167" xfId="0" applyAlignment="1" applyBorder="1" applyFill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1" fillId="5" fontId="11" numFmtId="0" xfId="0" applyAlignment="1" applyBorder="1" applyFont="1">
      <alignment horizontal="left" shrinkToFit="0" vertical="bottom" wrapText="0"/>
    </xf>
    <xf borderId="1" fillId="5" fontId="10" numFmtId="164" xfId="0" applyAlignment="1" applyBorder="1" applyFont="1" applyNumberFormat="1">
      <alignment shrinkToFit="0" vertical="bottom" wrapText="0"/>
    </xf>
    <xf borderId="1" fillId="5" fontId="10" numFmtId="167" xfId="0" applyAlignment="1" applyBorder="1" applyFont="1" applyNumberFormat="1">
      <alignment horizontal="right" shrinkToFit="0" vertical="bottom" wrapText="0"/>
    </xf>
    <xf borderId="0" fillId="0" fontId="1" numFmtId="172" xfId="0" applyAlignment="1" applyFont="1" applyNumberFormat="1">
      <alignment horizontal="right" shrinkToFit="0" vertical="bottom" wrapText="0"/>
    </xf>
    <xf borderId="0" fillId="0" fontId="1" numFmtId="164" xfId="0" applyAlignment="1" applyFont="1" applyNumberFormat="1">
      <alignment horizontal="right" shrinkToFit="0" vertical="bottom" wrapText="0"/>
    </xf>
    <xf borderId="0" fillId="0" fontId="1" numFmtId="167" xfId="0" applyAlignment="1" applyFont="1" applyNumberFormat="1">
      <alignment horizontal="right" shrinkToFit="0" vertical="bottom" wrapText="0"/>
    </xf>
    <xf borderId="0" fillId="0" fontId="1" numFmtId="3" xfId="0" applyAlignment="1" applyFont="1" applyNumberFormat="1">
      <alignment horizontal="right" shrinkToFit="0" vertical="bottom" wrapText="0"/>
    </xf>
    <xf borderId="0" fillId="0" fontId="1" numFmtId="1" xfId="0" applyAlignment="1" applyFont="1" applyNumberFormat="1">
      <alignment horizontal="right" shrinkToFit="0" vertical="bottom" wrapText="0"/>
    </xf>
    <xf borderId="1" fillId="5" fontId="11" numFmtId="172" xfId="0" applyAlignment="1" applyBorder="1" applyFont="1" applyNumberFormat="1">
      <alignment shrinkToFit="0" vertical="bottom" wrapText="0"/>
    </xf>
    <xf borderId="1" fillId="5" fontId="10" numFmtId="164" xfId="0" applyAlignment="1" applyBorder="1" applyFont="1" applyNumberFormat="1">
      <alignment horizontal="right" shrinkToFit="0" vertical="bottom" wrapText="0"/>
    </xf>
    <xf borderId="0" fillId="0" fontId="1" numFmtId="170" xfId="0" applyAlignment="1" applyFont="1" applyNumberFormat="1">
      <alignment horizontal="right" shrinkToFit="0" vertical="bottom" wrapText="0"/>
    </xf>
    <xf borderId="0" fillId="0" fontId="1" numFmtId="9" xfId="0" applyAlignment="1" applyFont="1" applyNumberFormat="1">
      <alignment horizontal="right" readingOrder="0" shrinkToFit="0" vertical="bottom" wrapText="0"/>
    </xf>
    <xf borderId="0" fillId="0" fontId="1" numFmtId="1" xfId="0" applyAlignment="1" applyFont="1" applyNumberFormat="1">
      <alignment horizontal="left" shrinkToFit="0" vertical="bottom" wrapText="0"/>
    </xf>
    <xf borderId="0" fillId="0" fontId="1" numFmtId="4" xfId="0" applyAlignment="1" applyFont="1" applyNumberFormat="1">
      <alignment horizontal="left" shrinkToFit="0" vertical="bottom" wrapText="0"/>
    </xf>
    <xf borderId="0" fillId="0" fontId="12" numFmtId="0" xfId="0" applyAlignment="1" applyFont="1">
      <alignment horizontal="left" shrinkToFit="0" vertical="bottom" wrapText="0"/>
    </xf>
    <xf borderId="0" fillId="0" fontId="1" numFmtId="173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shrinkToFit="0" vertical="bottom" wrapText="0"/>
    </xf>
    <xf borderId="0" fillId="0" fontId="1" numFmtId="174" xfId="0" applyAlignment="1" applyFont="1" applyNumberFormat="1">
      <alignment shrinkToFit="0" vertical="bottom" wrapText="0"/>
    </xf>
    <xf borderId="0" fillId="0" fontId="9" numFmtId="0" xfId="0" applyAlignment="1" applyFont="1">
      <alignment horizontal="left" shrinkToFit="0" vertical="bottom" wrapText="1"/>
    </xf>
    <xf borderId="1" fillId="3" fontId="1" numFmtId="0" xfId="0" applyAlignment="1" applyBorder="1" applyFont="1">
      <alignment horizontal="left" shrinkToFit="0" vertical="bottom" wrapText="1"/>
    </xf>
    <xf borderId="1" fillId="2" fontId="1" numFmtId="167" xfId="0" applyAlignment="1" applyBorder="1" applyFont="1" applyNumberFormat="1">
      <alignment horizontal="right" shrinkToFit="0" vertical="bottom" wrapText="0"/>
    </xf>
    <xf borderId="1" fillId="5" fontId="11" numFmtId="164" xfId="0" applyAlignment="1" applyBorder="1" applyFont="1" applyNumberFormat="1">
      <alignment shrinkToFit="0" vertical="bottom" wrapText="0"/>
    </xf>
    <xf borderId="1" fillId="5" fontId="10" numFmtId="4" xfId="0" applyAlignment="1" applyBorder="1" applyFont="1" applyNumberFormat="1">
      <alignment shrinkToFit="0" vertical="bottom" wrapText="0"/>
    </xf>
    <xf borderId="1" fillId="5" fontId="11" numFmtId="0" xfId="0" applyAlignment="1" applyBorder="1" applyFont="1">
      <alignment shrinkToFit="0" vertical="bottom" wrapText="0"/>
    </xf>
    <xf borderId="1" fillId="5" fontId="11" numFmtId="164" xfId="0" applyAlignment="1" applyBorder="1" applyFont="1" applyNumberFormat="1">
      <alignment horizontal="right" shrinkToFit="0" vertical="bottom" wrapText="0"/>
    </xf>
    <xf borderId="1" fillId="5" fontId="13" numFmtId="1" xfId="0" applyAlignment="1" applyBorder="1" applyFont="1" applyNumberFormat="1">
      <alignment horizontal="right" shrinkToFit="0" vertical="bottom" wrapText="0"/>
    </xf>
    <xf borderId="1" fillId="5" fontId="13" numFmtId="4" xfId="0" applyAlignment="1" applyBorder="1" applyFont="1" applyNumberFormat="1">
      <alignment horizontal="right" shrinkToFit="0" vertical="bottom" wrapText="0"/>
    </xf>
    <xf borderId="1" fillId="5" fontId="11" numFmtId="170" xfId="0" applyAlignment="1" applyBorder="1" applyFont="1" applyNumberFormat="1">
      <alignment horizontal="right" shrinkToFit="0" vertical="bottom" wrapText="0"/>
    </xf>
    <xf borderId="1" fillId="6" fontId="1" numFmtId="164" xfId="0" applyAlignment="1" applyBorder="1" applyFill="1" applyFont="1" applyNumberFormat="1">
      <alignment horizontal="right" shrinkToFit="0" vertical="bottom" wrapText="0"/>
    </xf>
    <xf borderId="1" fillId="7" fontId="1" numFmtId="164" xfId="0" applyAlignment="1" applyBorder="1" applyFill="1" applyFont="1" applyNumberFormat="1">
      <alignment horizontal="right" shrinkToFit="0" vertical="bottom" wrapText="0"/>
    </xf>
    <xf borderId="1" fillId="8" fontId="1" numFmtId="164" xfId="0" applyAlignment="1" applyBorder="1" applyFill="1" applyFont="1" applyNumberFormat="1">
      <alignment horizontal="right" shrinkToFit="0" vertical="bottom" wrapText="0"/>
    </xf>
    <xf borderId="1" fillId="9" fontId="1" numFmtId="164" xfId="0" applyAlignment="1" applyBorder="1" applyFill="1" applyFont="1" applyNumberFormat="1">
      <alignment horizontal="right" shrinkToFit="0" vertical="bottom" wrapText="0"/>
    </xf>
    <xf borderId="1" fillId="10" fontId="1" numFmtId="164" xfId="0" applyAlignment="1" applyBorder="1" applyFill="1" applyFont="1" applyNumberFormat="1">
      <alignment horizontal="right" shrinkToFit="0" vertical="bottom" wrapText="0"/>
    </xf>
    <xf borderId="1" fillId="11" fontId="1" numFmtId="164" xfId="0" applyAlignment="1" applyBorder="1" applyFill="1" applyFont="1" applyNumberFormat="1">
      <alignment horizontal="right" shrinkToFit="0" vertical="bottom" wrapText="0"/>
    </xf>
    <xf borderId="1" fillId="12" fontId="1" numFmtId="164" xfId="0" applyAlignment="1" applyBorder="1" applyFill="1" applyFont="1" applyNumberFormat="1">
      <alignment horizontal="right" shrinkToFit="0" vertical="bottom" wrapText="0"/>
    </xf>
    <xf borderId="1" fillId="13" fontId="1" numFmtId="164" xfId="0" applyAlignment="1" applyBorder="1" applyFill="1" applyFont="1" applyNumberFormat="1">
      <alignment horizontal="right" shrinkToFit="0" vertical="bottom" wrapText="0"/>
    </xf>
    <xf borderId="1" fillId="14" fontId="1" numFmtId="164" xfId="0" applyAlignment="1" applyBorder="1" applyFill="1" applyFont="1" applyNumberFormat="1">
      <alignment horizontal="right" shrinkToFit="0" vertical="bottom" wrapText="0"/>
    </xf>
    <xf borderId="1" fillId="15" fontId="1" numFmtId="164" xfId="0" applyAlignment="1" applyBorder="1" applyFill="1" applyFont="1" applyNumberFormat="1">
      <alignment horizontal="right" shrinkToFit="0" vertical="bottom" wrapText="0"/>
    </xf>
    <xf borderId="1" fillId="16" fontId="1" numFmtId="164" xfId="0" applyAlignment="1" applyBorder="1" applyFill="1" applyFont="1" applyNumberFormat="1">
      <alignment horizontal="right" shrinkToFit="0" vertical="bottom" wrapText="0"/>
    </xf>
    <xf borderId="1" fillId="17" fontId="1" numFmtId="164" xfId="0" applyAlignment="1" applyBorder="1" applyFill="1" applyFont="1" applyNumberFormat="1">
      <alignment horizontal="right" shrinkToFit="0" vertical="bottom" wrapText="0"/>
    </xf>
    <xf borderId="1" fillId="18" fontId="1" numFmtId="164" xfId="0" applyAlignment="1" applyBorder="1" applyFill="1" applyFont="1" applyNumberFormat="1">
      <alignment horizontal="right" shrinkToFit="0" vertical="bottom" wrapText="0"/>
    </xf>
    <xf borderId="1" fillId="19" fontId="1" numFmtId="164" xfId="0" applyAlignment="1" applyBorder="1" applyFill="1" applyFont="1" applyNumberFormat="1">
      <alignment horizontal="right" shrinkToFit="0" vertical="bottom" wrapText="0"/>
    </xf>
    <xf borderId="1" fillId="20" fontId="1" numFmtId="164" xfId="0" applyAlignment="1" applyBorder="1" applyFill="1" applyFont="1" applyNumberFormat="1">
      <alignment horizontal="right" shrinkToFit="0" vertical="bottom" wrapText="0"/>
    </xf>
    <xf borderId="1" fillId="21" fontId="1" numFmtId="164" xfId="0" applyAlignment="1" applyBorder="1" applyFill="1" applyFont="1" applyNumberFormat="1">
      <alignment horizontal="right" shrinkToFit="0" vertical="bottom" wrapText="0"/>
    </xf>
    <xf borderId="1" fillId="22" fontId="1" numFmtId="164" xfId="0" applyAlignment="1" applyBorder="1" applyFill="1" applyFont="1" applyNumberFormat="1">
      <alignment horizontal="right" shrinkToFit="0" vertical="bottom" wrapText="0"/>
    </xf>
    <xf borderId="1" fillId="23" fontId="1" numFmtId="164" xfId="0" applyAlignment="1" applyBorder="1" applyFill="1" applyFont="1" applyNumberFormat="1">
      <alignment horizontal="right" shrinkToFit="0" vertical="bottom" wrapText="0"/>
    </xf>
    <xf borderId="1" fillId="24" fontId="1" numFmtId="164" xfId="0" applyAlignment="1" applyBorder="1" applyFill="1" applyFont="1" applyNumberFormat="1">
      <alignment horizontal="right" shrinkToFit="0" vertical="bottom" wrapText="0"/>
    </xf>
    <xf borderId="1" fillId="25" fontId="1" numFmtId="164" xfId="0" applyAlignment="1" applyBorder="1" applyFill="1" applyFont="1" applyNumberFormat="1">
      <alignment horizontal="right" shrinkToFit="0" vertical="bottom" wrapText="0"/>
    </xf>
    <xf borderId="1" fillId="26" fontId="1" numFmtId="164" xfId="0" applyAlignment="1" applyBorder="1" applyFill="1" applyFont="1" applyNumberFormat="1">
      <alignment horizontal="right" shrinkToFit="0" vertical="bottom" wrapText="0"/>
    </xf>
    <xf borderId="1" fillId="27" fontId="1" numFmtId="164" xfId="0" applyAlignment="1" applyBorder="1" applyFill="1" applyFont="1" applyNumberFormat="1">
      <alignment horizontal="right" shrinkToFit="0" vertical="bottom" wrapText="0"/>
    </xf>
    <xf borderId="1" fillId="28" fontId="1" numFmtId="164" xfId="0" applyAlignment="1" applyBorder="1" applyFill="1" applyFont="1" applyNumberFormat="1">
      <alignment horizontal="right" shrinkToFit="0" vertical="bottom" wrapText="0"/>
    </xf>
    <xf borderId="1" fillId="29" fontId="1" numFmtId="164" xfId="0" applyAlignment="1" applyBorder="1" applyFill="1" applyFont="1" applyNumberFormat="1">
      <alignment horizontal="right" shrinkToFit="0" vertical="bottom" wrapText="0"/>
    </xf>
    <xf borderId="1" fillId="30" fontId="1" numFmtId="164" xfId="0" applyAlignment="1" applyBorder="1" applyFill="1" applyFont="1" applyNumberFormat="1">
      <alignment horizontal="right" shrinkToFit="0" vertical="bottom" wrapText="0"/>
    </xf>
    <xf borderId="1" fillId="31" fontId="1" numFmtId="164" xfId="0" applyAlignment="1" applyBorder="1" applyFill="1" applyFont="1" applyNumberFormat="1">
      <alignment horizontal="right" shrinkToFit="0" vertical="bottom" wrapText="0"/>
    </xf>
    <xf borderId="0" fillId="0" fontId="6" numFmtId="164" xfId="0" applyAlignment="1" applyFont="1" applyNumberFormat="1">
      <alignment horizontal="left" shrinkToFit="0" vertical="bottom" wrapText="0"/>
    </xf>
    <xf borderId="0" fillId="0" fontId="5" numFmtId="170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shrinkToFit="0" vertical="bottom" wrapText="0"/>
    </xf>
    <xf borderId="1" fillId="2" fontId="1" numFmtId="167" xfId="0" applyAlignment="1" applyBorder="1" applyFont="1" applyNumberFormat="1">
      <alignment shrinkToFit="0" vertical="bottom" wrapText="0"/>
    </xf>
    <xf borderId="1" fillId="5" fontId="10" numFmtId="170" xfId="0" applyAlignment="1" applyBorder="1" applyFont="1" applyNumberFormat="1">
      <alignment shrinkToFit="0" vertical="bottom" wrapText="0"/>
    </xf>
    <xf borderId="1" fillId="5" fontId="13" numFmtId="170" xfId="0" applyAlignment="1" applyBorder="1" applyFont="1" applyNumberFormat="1">
      <alignment shrinkToFit="0" vertical="bottom" wrapText="0"/>
    </xf>
    <xf borderId="1" fillId="5" fontId="13" numFmtId="167" xfId="0" applyAlignment="1" applyBorder="1" applyFont="1" applyNumberFormat="1">
      <alignment shrinkToFit="0" vertical="bottom" wrapText="0"/>
    </xf>
    <xf borderId="0" fillId="0" fontId="1" numFmtId="4" xfId="0" applyAlignment="1" applyFont="1" applyNumberFormat="1">
      <alignment shrinkToFit="0" vertical="bottom" wrapText="0"/>
    </xf>
    <xf borderId="0" fillId="0" fontId="1" numFmtId="173" xfId="0" applyAlignment="1" applyFont="1" applyNumberFormat="1">
      <alignment shrinkToFit="0" vertical="bottom" wrapText="0"/>
    </xf>
    <xf borderId="0" fillId="0" fontId="14" numFmtId="0" xfId="0" applyAlignment="1" applyFont="1">
      <alignment shrinkToFit="0" vertical="bottom" wrapText="0"/>
    </xf>
    <xf borderId="0" fillId="32" fontId="15" numFmtId="0" xfId="0" applyAlignment="1" applyFill="1" applyFont="1">
      <alignment readingOrder="0" shrinkToFit="0" vertical="bottom" wrapText="0"/>
    </xf>
    <xf borderId="0" fillId="32" fontId="16" numFmtId="0" xfId="0" applyFont="1"/>
    <xf borderId="1" fillId="2" fontId="6" numFmtId="0" xfId="0" applyAlignment="1" applyBorder="1" applyFont="1">
      <alignment shrinkToFit="0" vertical="bottom" wrapText="0"/>
    </xf>
    <xf borderId="1" fillId="2" fontId="5" numFmtId="0" xfId="0" applyAlignment="1" applyBorder="1" applyFont="1">
      <alignment shrinkToFit="0" vertical="bottom" wrapText="0"/>
    </xf>
    <xf borderId="0" fillId="0" fontId="16" numFmtId="0" xfId="0" applyFont="1"/>
    <xf borderId="0" fillId="0" fontId="7" numFmtId="0" xfId="0" applyAlignment="1" applyFont="1">
      <alignment horizontal="left" shrinkToFit="0" vertical="bottom" wrapText="0"/>
    </xf>
    <xf borderId="0" fillId="0" fontId="9" numFmtId="0" xfId="0" applyAlignment="1" applyFont="1">
      <alignment horizontal="left" shrinkToFit="0" vertical="bottom" wrapText="0"/>
    </xf>
    <xf borderId="1" fillId="33" fontId="17" numFmtId="175" xfId="0" applyAlignment="1" applyBorder="1" applyFill="1" applyFont="1" applyNumberFormat="1">
      <alignment horizontal="right" shrinkToFit="0" vertical="bottom" wrapText="0"/>
    </xf>
    <xf borderId="1" fillId="5" fontId="17" numFmtId="175" xfId="0" applyAlignment="1" applyBorder="1" applyFont="1" applyNumberFormat="1">
      <alignment horizontal="right" shrinkToFit="0" vertical="bottom" wrapText="0"/>
    </xf>
    <xf borderId="0" fillId="0" fontId="9" numFmtId="0" xfId="0" applyAlignment="1" applyFont="1">
      <alignment horizontal="right" shrinkToFit="0" vertical="bottom" wrapText="0"/>
    </xf>
    <xf borderId="1" fillId="32" fontId="15" numFmtId="0" xfId="0" applyAlignment="1" applyBorder="1" applyFont="1">
      <alignment shrinkToFit="0" vertical="bottom" wrapText="1"/>
    </xf>
    <xf borderId="1" fillId="5" fontId="18" numFmtId="0" xfId="0" applyAlignment="1" applyBorder="1" applyFont="1">
      <alignment horizontal="left" shrinkToFit="0" vertical="bottom" wrapText="1"/>
    </xf>
    <xf borderId="1" fillId="4" fontId="9" numFmtId="167" xfId="0" applyAlignment="1" applyBorder="1" applyFont="1" applyNumberFormat="1">
      <alignment horizontal="right" shrinkToFit="0" vertical="bottom" wrapText="0"/>
    </xf>
    <xf borderId="1" fillId="34" fontId="1" numFmtId="167" xfId="0" applyAlignment="1" applyBorder="1" applyFill="1" applyFont="1" applyNumberFormat="1">
      <alignment shrinkToFit="0" vertical="bottom" wrapText="0"/>
    </xf>
    <xf borderId="1" fillId="35" fontId="1" numFmtId="167" xfId="0" applyAlignment="1" applyBorder="1" applyFill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Thesaurierer</c:v>
          </c:tx>
          <c:spPr>
            <a:ln cmpd="sng" w="19050">
              <a:solidFill>
                <a:srgbClr val="4285F4">
                  <a:alpha val="100000"/>
                </a:srgbClr>
              </a:solidFill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cat>
            <c:strRef>
              <c:f>'HIER Rechnung Ausschütter'!$A$3:$A$33</c:f>
            </c:strRef>
          </c:cat>
          <c:val>
            <c:numRef>
              <c:f>'HIER Rechnung Thesaurierer '!$J$3:$J$33</c:f>
              <c:numCache/>
            </c:numRef>
          </c:val>
          <c:smooth val="0"/>
        </c:ser>
        <c:ser>
          <c:idx val="1"/>
          <c:order val="1"/>
          <c:tx>
            <c:v>Direktanlage</c:v>
          </c:tx>
          <c:spPr>
            <a:ln cmpd="sng" w="19050">
              <a:solidFill>
                <a:srgbClr val="EA4335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Einzelaktien'!$H$3:$H$33</c:f>
              <c:numCache/>
            </c:numRef>
          </c:val>
          <c:smooth val="0"/>
        </c:ser>
        <c:ser>
          <c:idx val="2"/>
          <c:order val="2"/>
          <c:tx>
            <c:v>Ausschütter</c:v>
          </c:tx>
          <c:spPr>
            <a:ln cmpd="sng" w="19050">
              <a:solidFill>
                <a:srgbClr val="FBBC0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Rechnung Ausschütter'!$I$3:$I$33</c:f>
              <c:numCache/>
            </c:numRef>
          </c:val>
          <c:smooth val="0"/>
        </c:ser>
        <c:axId val="521614124"/>
        <c:axId val="1903109045"/>
      </c:lineChart>
      <c:catAx>
        <c:axId val="5216141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903109045"/>
      </c:catAx>
      <c:valAx>
        <c:axId val="190310904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521614124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Arial"/>
            </a:defRPr>
          </a:pPr>
        </a:p>
      </c:txPr>
    </c:legend>
    <c:plotVisOnly val="0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361950</xdr:colOff>
      <xdr:row>1</xdr:row>
      <xdr:rowOff>19050</xdr:rowOff>
    </xdr:from>
    <xdr:ext cx="9144000" cy="414337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data.oecd.org/interest/long-term-interest-rates.htm" TargetMode="Externa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38"/>
    <col customWidth="1" min="2" max="7" width="12.75"/>
    <col customWidth="1" min="8" max="8" width="14.75"/>
    <col customWidth="1" min="9" max="26" width="12.75"/>
  </cols>
  <sheetData>
    <row r="1" ht="31.5" customHeight="1">
      <c r="A1" s="1" t="s">
        <v>0</v>
      </c>
      <c r="B1" s="2">
        <v>1000000.0</v>
      </c>
      <c r="E1" s="3" t="s">
        <v>1</v>
      </c>
      <c r="F1" s="4"/>
      <c r="G1" s="5"/>
      <c r="H1" s="6" t="s">
        <v>2</v>
      </c>
      <c r="M1" s="7" t="s">
        <v>3</v>
      </c>
      <c r="N1" s="6" t="str">
        <f>'HIER Rechnung Thesaurierer '!AF2</f>
        <v>Kapitaleträge Vorteil(-)/Nachteil(+) Thesaurierer</v>
      </c>
      <c r="O1" s="8" t="s">
        <v>4</v>
      </c>
      <c r="P1" s="8" t="s">
        <v>5</v>
      </c>
    </row>
    <row r="2" ht="15.75" customHeight="1">
      <c r="A2" s="1" t="s">
        <v>6</v>
      </c>
      <c r="B2" s="9">
        <v>666667.0</v>
      </c>
      <c r="C2" s="10">
        <f>B1/B2-1</f>
        <v>0.49999925</v>
      </c>
      <c r="M2" s="11">
        <v>1.0</v>
      </c>
      <c r="N2" s="12">
        <f>'HIER Rechnung Thesaurierer '!AF4</f>
        <v>9256.275876</v>
      </c>
      <c r="O2" s="13">
        <f>'HIER Rechnung Thesaurierer '!O4</f>
        <v>0.03952171953</v>
      </c>
      <c r="P2" s="13">
        <f>'HIER Rechnung Ausschütter'!P4</f>
        <v>0.03833548874</v>
      </c>
    </row>
    <row r="3" ht="15.75" customHeight="1">
      <c r="A3" s="14" t="s">
        <v>7</v>
      </c>
      <c r="B3" s="15">
        <v>35000.0</v>
      </c>
      <c r="C3" s="16">
        <f>B3/B1</f>
        <v>0.035</v>
      </c>
      <c r="M3" s="11">
        <v>2.0</v>
      </c>
      <c r="N3" s="12">
        <f>'HIER Rechnung Thesaurierer '!AF5</f>
        <v>9349.696397</v>
      </c>
      <c r="O3" s="13">
        <f>'HIER Rechnung Thesaurierer '!O5</f>
        <v>0.03850167611</v>
      </c>
      <c r="P3" s="13">
        <f>'HIER Rechnung Ausschütter'!P5</f>
        <v>0.03726602431</v>
      </c>
    </row>
    <row r="4" ht="15.75" customHeight="1">
      <c r="A4" s="1" t="s">
        <v>8</v>
      </c>
      <c r="B4" s="15">
        <v>0.0</v>
      </c>
      <c r="M4" s="11">
        <v>3.0</v>
      </c>
      <c r="N4" s="12">
        <f>'HIER Rechnung Thesaurierer '!AF6</f>
        <v>10296.25735</v>
      </c>
      <c r="O4" s="13">
        <f>'HIER Rechnung Thesaurierer '!O6</f>
        <v>0.03621669506</v>
      </c>
      <c r="P4" s="13">
        <f>'HIER Rechnung Ausschütter'!P6</f>
        <v>0.03483580173</v>
      </c>
    </row>
    <row r="5" ht="15.75" customHeight="1">
      <c r="A5" s="14" t="s">
        <v>9</v>
      </c>
      <c r="B5" s="17">
        <v>0.15</v>
      </c>
      <c r="M5" s="11">
        <v>5.0</v>
      </c>
      <c r="N5" s="12">
        <f>'HIER Rechnung Thesaurierer '!AF8</f>
        <v>17025.65078</v>
      </c>
      <c r="O5" s="13">
        <f>'HIER Rechnung Thesaurierer '!O8</f>
        <v>0.02778715551</v>
      </c>
      <c r="P5" s="13">
        <f>'HIER Rechnung Ausschütter'!P8</f>
        <v>0.02587608158</v>
      </c>
    </row>
    <row r="6" ht="15.75" customHeight="1">
      <c r="A6" s="14" t="s">
        <v>10</v>
      </c>
      <c r="B6" s="18">
        <v>0.0</v>
      </c>
      <c r="M6" s="11">
        <v>6.0</v>
      </c>
      <c r="N6" s="12">
        <f>'HIER Rechnung Thesaurierer '!AF9</f>
        <v>-5515.00734</v>
      </c>
      <c r="O6" s="13">
        <f>'HIER Rechnung Thesaurierer '!O9</f>
        <v>0.02759460962</v>
      </c>
      <c r="P6" s="13">
        <f>'HIER Rechnung Ausschütter'!P9</f>
        <v>0.02835623067</v>
      </c>
    </row>
    <row r="7" ht="15.75" customHeight="1">
      <c r="A7" s="19"/>
      <c r="B7" s="20"/>
      <c r="M7" s="11">
        <v>7.0</v>
      </c>
      <c r="N7" s="12">
        <f>'HIER Rechnung Thesaurierer '!AF10</f>
        <v>-6580.479772</v>
      </c>
      <c r="O7" s="13">
        <f>'HIER Rechnung Thesaurierer '!O10</f>
        <v>0.0351520218</v>
      </c>
      <c r="P7" s="13">
        <f>'HIER Rechnung Ausschütter'!P10</f>
        <v>0.03635624209</v>
      </c>
    </row>
    <row r="8" ht="15.75" customHeight="1">
      <c r="A8" s="14" t="s">
        <v>11</v>
      </c>
      <c r="B8" s="21">
        <f>0.26475*0.7</f>
        <v>0.185325</v>
      </c>
      <c r="M8" s="11">
        <v>8.0</v>
      </c>
      <c r="N8" s="12">
        <f>'HIER Rechnung Thesaurierer '!AF11</f>
        <v>-7840.892891</v>
      </c>
      <c r="O8" s="13">
        <f>'HIER Rechnung Thesaurierer '!O11</f>
        <v>0.04651326766</v>
      </c>
      <c r="P8" s="13">
        <f>'HIER Rechnung Ausschütter'!P11</f>
        <v>0.04849225621</v>
      </c>
    </row>
    <row r="9" ht="15.75" customHeight="1">
      <c r="A9" s="14" t="s">
        <v>12</v>
      </c>
      <c r="B9" s="21">
        <v>0.26375</v>
      </c>
      <c r="M9" s="11">
        <v>9.0</v>
      </c>
      <c r="N9" s="12">
        <f>'HIER Rechnung Thesaurierer '!AF12</f>
        <v>10682.79313</v>
      </c>
      <c r="O9" s="13">
        <f>'HIER Rechnung Thesaurierer '!O12</f>
        <v>0.04401328953</v>
      </c>
      <c r="P9" s="13">
        <f>'HIER Rechnung Ausschütter'!P12</f>
        <v>0.04224786447</v>
      </c>
    </row>
    <row r="10" ht="38.25" customHeight="1">
      <c r="A10" s="8" t="s">
        <v>13</v>
      </c>
      <c r="B10" s="22" t="s">
        <v>14</v>
      </c>
      <c r="M10" s="11">
        <v>10.0</v>
      </c>
      <c r="N10" s="12">
        <f>'HIER Rechnung Thesaurierer '!AF13</f>
        <v>13631.62393</v>
      </c>
      <c r="O10" s="13">
        <f>'HIER Rechnung Thesaurierer '!O13</f>
        <v>0.04276512062</v>
      </c>
      <c r="P10" s="13">
        <f>'HIER Rechnung Ausschütter'!P13</f>
        <v>0.0403799345</v>
      </c>
    </row>
    <row r="11" ht="15.75" customHeight="1">
      <c r="A11" s="19"/>
      <c r="M11" s="11">
        <v>11.0</v>
      </c>
      <c r="N11" s="12">
        <f>'HIER Rechnung Thesaurierer '!AF14</f>
        <v>15114.32414</v>
      </c>
      <c r="O11" s="13">
        <f>'HIER Rechnung Thesaurierer '!O14</f>
        <v>0.04174845591</v>
      </c>
      <c r="P11" s="13">
        <f>'HIER Rechnung Ausschütter'!P14</f>
        <v>0.03912731704</v>
      </c>
    </row>
    <row r="12" ht="15.75" customHeight="1">
      <c r="A12" s="1" t="s">
        <v>15</v>
      </c>
      <c r="M12" s="11"/>
      <c r="N12" s="12">
        <f>'HIER Rechnung Thesaurierer '!AF15</f>
        <v>20687.35696</v>
      </c>
      <c r="O12" s="13">
        <f>'HIER Rechnung Thesaurierer '!O15</f>
        <v>0.03845423096</v>
      </c>
      <c r="P12" s="13">
        <f>'HIER Rechnung Ausschütter'!P15</f>
        <v>0.03535697414</v>
      </c>
    </row>
    <row r="13" ht="15.75" customHeight="1">
      <c r="A13" s="23" t="s">
        <v>16</v>
      </c>
      <c r="B13" s="24"/>
      <c r="C13" s="25">
        <f>'HIER Rechnung Ausschütter'!C39</f>
        <v>0.002288018438</v>
      </c>
      <c r="D13" s="24" t="s">
        <v>17</v>
      </c>
      <c r="M13" s="11">
        <v>12.0</v>
      </c>
      <c r="N13" s="12">
        <f>'HIER Rechnung Thesaurierer '!AF16</f>
        <v>20431.88989</v>
      </c>
      <c r="O13" s="13">
        <f>'HIER Rechnung Thesaurierer '!O16</f>
        <v>0.03925833108</v>
      </c>
      <c r="P13" s="13">
        <f>'HIER Rechnung Ausschütter'!P16</f>
        <v>0.03611196015</v>
      </c>
    </row>
    <row r="14" ht="15.75" customHeight="1">
      <c r="A14" s="23" t="s">
        <v>18</v>
      </c>
      <c r="B14" s="24"/>
      <c r="C14" s="25">
        <f>'HIER Einzelaktien'!C40</f>
        <v>0.0009014058048</v>
      </c>
      <c r="D14" s="24" t="s">
        <v>17</v>
      </c>
      <c r="M14" s="11">
        <v>13.0</v>
      </c>
      <c r="N14" s="12">
        <f>'HIER Rechnung Thesaurierer '!AF17</f>
        <v>-12337.54295</v>
      </c>
      <c r="O14" s="13">
        <f>'HIER Rechnung Thesaurierer '!O17</f>
        <v>0.05819062756</v>
      </c>
      <c r="P14" s="13">
        <f>'HIER Rechnung Ausschütter'!P17</f>
        <v>0.05964417013</v>
      </c>
    </row>
    <row r="15" ht="15.75" customHeight="1">
      <c r="A15" s="23" t="s">
        <v>19</v>
      </c>
      <c r="B15" s="24"/>
      <c r="C15" s="25">
        <f>'HIER Einzelaktien'!C39</f>
        <v>0.003189424767</v>
      </c>
      <c r="D15" s="24" t="s">
        <v>17</v>
      </c>
      <c r="M15" s="11">
        <v>14.0</v>
      </c>
      <c r="N15" s="12">
        <f>'HIER Rechnung Thesaurierer '!AF18</f>
        <v>-259.3214064</v>
      </c>
      <c r="O15" s="13">
        <f>'HIER Rechnung Thesaurierer '!O18</f>
        <v>0.05369274496</v>
      </c>
      <c r="P15" s="13">
        <f>'HIER Rechnung Ausschütter'!P18</f>
        <v>0.0534510533</v>
      </c>
    </row>
    <row r="16" ht="15.75" customHeight="1">
      <c r="A16" s="19"/>
      <c r="M16" s="11">
        <v>15.0</v>
      </c>
      <c r="N16" s="12">
        <f>'HIER Rechnung Thesaurierer '!AF19</f>
        <v>5553.963813</v>
      </c>
      <c r="O16" s="13">
        <f>'HIER Rechnung Thesaurierer '!O19</f>
        <v>0.05244230257</v>
      </c>
      <c r="P16" s="13">
        <f>'HIER Rechnung Ausschütter'!P19</f>
        <v>0.05064704013</v>
      </c>
    </row>
    <row r="17" ht="15.75" customHeight="1">
      <c r="A17" s="1" t="s">
        <v>20</v>
      </c>
      <c r="M17" s="11">
        <v>16.0</v>
      </c>
      <c r="N17" s="12">
        <f>'HIER Rechnung Thesaurierer '!AF20</f>
        <v>-13916.31111</v>
      </c>
      <c r="O17" s="13">
        <f>'HIER Rechnung Thesaurierer '!O20</f>
        <v>0.0556318593</v>
      </c>
      <c r="P17" s="13">
        <f>'HIER Rechnung Ausschütter'!P20</f>
        <v>0.0571853493</v>
      </c>
    </row>
    <row r="18" ht="15.75" customHeight="1">
      <c r="A18" s="23" t="s">
        <v>16</v>
      </c>
      <c r="C18" s="25">
        <f>'HIER Rechnung Ausschütter'!C48</f>
        <v>0.001974427961</v>
      </c>
      <c r="D18" s="24" t="s">
        <v>17</v>
      </c>
      <c r="M18" s="11">
        <v>17.0</v>
      </c>
      <c r="N18" s="12">
        <f>'HIER Rechnung Thesaurierer '!AF21</f>
        <v>-5081.042424</v>
      </c>
      <c r="O18" s="13">
        <f>'HIER Rechnung Thesaurierer '!O21</f>
        <v>0.05400084802</v>
      </c>
      <c r="P18" s="13">
        <f>'HIER Rechnung Ausschütter'!P21</f>
        <v>0.0541469847</v>
      </c>
    </row>
    <row r="19" ht="15.75" customHeight="1">
      <c r="A19" s="23" t="s">
        <v>18</v>
      </c>
      <c r="C19" s="25">
        <f>'HIER Einzelaktien'!C48</f>
        <v>-0.002296447931</v>
      </c>
      <c r="D19" s="24" t="s">
        <v>17</v>
      </c>
      <c r="M19" s="11">
        <v>18.0</v>
      </c>
      <c r="N19" s="12">
        <f>'HIER Rechnung Thesaurierer '!AF22</f>
        <v>-1713.11375</v>
      </c>
      <c r="O19" s="13">
        <f>'HIER Rechnung Thesaurierer '!O22</f>
        <v>0.0465677057</v>
      </c>
      <c r="P19" s="13">
        <f>'HIER Rechnung Ausschütter'!P22</f>
        <v>0.04606976892</v>
      </c>
    </row>
    <row r="20" ht="15.75" customHeight="1">
      <c r="A20" s="23" t="s">
        <v>19</v>
      </c>
      <c r="C20" s="25">
        <f>'HIER Einzelaktien'!C49</f>
        <v>-0.0003220194041</v>
      </c>
      <c r="D20" s="24" t="s">
        <v>17</v>
      </c>
      <c r="M20" s="11">
        <v>19.0</v>
      </c>
      <c r="N20" s="12">
        <f>'HIER Rechnung Thesaurierer '!AF23</f>
        <v>304.9935688</v>
      </c>
      <c r="O20" s="13">
        <f>'HIER Rechnung Thesaurierer '!O23</f>
        <v>0.04689573455</v>
      </c>
      <c r="P20" s="13">
        <f>'HIER Rechnung Ausschütter'!P23</f>
        <v>0.04575127954</v>
      </c>
    </row>
    <row r="21" ht="15.75" customHeight="1">
      <c r="A21" s="19"/>
      <c r="B21" s="8" t="s">
        <v>21</v>
      </c>
      <c r="C21" s="8" t="s">
        <v>22</v>
      </c>
      <c r="D21" s="8" t="s">
        <v>23</v>
      </c>
      <c r="E21" s="8" t="s">
        <v>24</v>
      </c>
      <c r="F21" s="26" t="s">
        <v>25</v>
      </c>
      <c r="M21" s="11">
        <v>23.0</v>
      </c>
      <c r="N21" s="12">
        <f>'HIER Rechnung Thesaurierer '!AF24</f>
        <v>-10469.52481</v>
      </c>
      <c r="O21" s="13">
        <f>'HIER Rechnung Thesaurierer '!O24</f>
        <v>0.04791784891</v>
      </c>
      <c r="P21" s="13">
        <f>'HIER Rechnung Ausschütter'!P24</f>
        <v>0.04822647258</v>
      </c>
    </row>
    <row r="22" ht="15.75" customHeight="1">
      <c r="A22" s="1" t="s">
        <v>26</v>
      </c>
      <c r="B22" s="12">
        <f>'HIER Rechnung Ausschütter'!I33</f>
        <v>3265981.468</v>
      </c>
      <c r="C22" s="12">
        <f>'HIER Rechnung Ausschütter'!C45</f>
        <v>2734442.525</v>
      </c>
      <c r="D22" s="12">
        <f>'HIER Rechnung Ausschütter'!S35+'HIER Rechnung Ausschütter'!M35+'HIER Rechnung Ausschütter'!N35</f>
        <v>2368694.891</v>
      </c>
      <c r="E22" s="12">
        <f>'HIER Rechnung Ausschütter'!X35</f>
        <v>1807641.087</v>
      </c>
      <c r="F22" s="25">
        <f>'HIER Rechnung Ausschütter'!P35</f>
        <v>0.04060494388</v>
      </c>
      <c r="M22" s="11">
        <v>24.0</v>
      </c>
      <c r="N22" s="12">
        <f>'HIER Rechnung Thesaurierer '!AF25</f>
        <v>-10440.54464</v>
      </c>
      <c r="O22" s="13">
        <f>'HIER Rechnung Thesaurierer '!O25</f>
        <v>0.04710513475</v>
      </c>
      <c r="P22" s="13">
        <f>'HIER Rechnung Ausschütter'!P25</f>
        <v>0.04751988118</v>
      </c>
    </row>
    <row r="23" ht="15.75" customHeight="1">
      <c r="A23" s="1" t="s">
        <v>27</v>
      </c>
      <c r="B23" s="12">
        <f>'HIER Rechnung Thesaurierer '!J33</f>
        <v>3064214.38</v>
      </c>
      <c r="C23" s="12">
        <f>'HIER Rechnung Thesaurierer '!C45</f>
        <v>2587179.921</v>
      </c>
      <c r="D23" s="12">
        <f>'HIER Rechnung Thesaurierer '!U35</f>
        <v>2178699.601</v>
      </c>
      <c r="E23" s="12">
        <f>'HIER Rechnung Thesaurierer '!X35</f>
        <v>1807641.088</v>
      </c>
      <c r="F23" s="25">
        <f>'HIER Rechnung Thesaurierer '!O36</f>
        <v>0.04142900657</v>
      </c>
      <c r="M23" s="11">
        <v>25.0</v>
      </c>
      <c r="N23" s="12">
        <f>'HIER Rechnung Thesaurierer '!AF26</f>
        <v>-8152.966427</v>
      </c>
      <c r="O23" s="13">
        <f>'HIER Rechnung Thesaurierer '!O26</f>
        <v>0.04104646065</v>
      </c>
      <c r="P23" s="13">
        <f>'HIER Rechnung Ausschütter'!P26</f>
        <v>0.04109940072</v>
      </c>
    </row>
    <row r="24" ht="15.75" customHeight="1">
      <c r="A24" s="1" t="s">
        <v>28</v>
      </c>
      <c r="B24" s="12">
        <f>'HIER Einzelaktien'!H33</f>
        <v>3348943.291</v>
      </c>
      <c r="C24" s="12">
        <f>'HIER Einzelaktien'!C45</f>
        <v>2563900.206</v>
      </c>
      <c r="D24" s="12">
        <f>'HIER Einzelaktien'!M35+'HIER Einzelaktien'!U35</f>
        <v>2350328.056</v>
      </c>
      <c r="E24" s="12">
        <f>'HIER Einzelaktien'!R35</f>
        <v>1807641.088</v>
      </c>
      <c r="F24" s="25">
        <f>'HIER Einzelaktien'!P35</f>
        <v>0.03454152444</v>
      </c>
      <c r="M24" s="11">
        <v>26.0</v>
      </c>
      <c r="N24" s="12">
        <f>'HIER Rechnung Thesaurierer '!AF27</f>
        <v>-7957.670504</v>
      </c>
      <c r="O24" s="13">
        <f>'HIER Rechnung Thesaurierer '!O27</f>
        <v>0.04639333043</v>
      </c>
      <c r="P24" s="13">
        <f>'HIER Rechnung Ausschütter'!P27</f>
        <v>0.0461121036</v>
      </c>
    </row>
    <row r="25" ht="15.75" customHeight="1">
      <c r="A25" s="14" t="s">
        <v>29</v>
      </c>
      <c r="B25" s="27">
        <f>'HIER Einzelaktien'!G36</f>
        <v>0.02424006941</v>
      </c>
      <c r="M25" s="11">
        <v>27.0</v>
      </c>
      <c r="N25" s="12">
        <f>'HIER Rechnung Thesaurierer '!AF28</f>
        <v>-10982.42718</v>
      </c>
      <c r="O25" s="13">
        <f>'HIER Rechnung Thesaurierer '!O28</f>
        <v>0.03825493795</v>
      </c>
      <c r="P25" s="13">
        <f>'HIER Rechnung Ausschütter'!P28</f>
        <v>0.03863504116</v>
      </c>
    </row>
    <row r="26" ht="15.75" customHeight="1">
      <c r="A26" s="14" t="s">
        <v>30</v>
      </c>
      <c r="B26" s="27">
        <f>'HIER Rechnung Ausschütter'!H36</f>
        <v>0.020604059</v>
      </c>
      <c r="M26" s="11">
        <v>28.0</v>
      </c>
      <c r="N26" s="12">
        <f>'HIER Rechnung Thesaurierer '!AF29</f>
        <v>-7570.907989</v>
      </c>
      <c r="O26" s="13">
        <f>'HIER Rechnung Thesaurierer '!O29</f>
        <v>0.03423676013</v>
      </c>
      <c r="P26" s="13">
        <f>'HIER Rechnung Ausschütter'!P29</f>
        <v>0.03397192207</v>
      </c>
    </row>
    <row r="27" ht="15.75" customHeight="1">
      <c r="A27" s="28" t="s">
        <v>31</v>
      </c>
      <c r="B27" s="29">
        <f>'HIER Rechnung Thesaurierer '!H36</f>
        <v>0.02833</v>
      </c>
      <c r="M27" s="11">
        <v>29.0</v>
      </c>
      <c r="N27" s="12">
        <f>'HIER Rechnung Thesaurierer '!AF30</f>
        <v>-6526.777515</v>
      </c>
      <c r="O27" s="13">
        <f>'HIER Rechnung Thesaurierer '!O30</f>
        <v>0.02907864523</v>
      </c>
      <c r="P27" s="13">
        <f>'HIER Rechnung Ausschütter'!P30</f>
        <v>0.02867577976</v>
      </c>
    </row>
    <row r="28" ht="15.75" customHeight="1">
      <c r="A28" s="19"/>
      <c r="M28" s="11">
        <v>30.0</v>
      </c>
      <c r="N28" s="12">
        <f>'HIER Rechnung Thesaurierer '!AF31</f>
        <v>-4342.653999</v>
      </c>
      <c r="O28" s="13">
        <f>'HIER Rechnung Thesaurierer '!O31</f>
        <v>0.03677305247</v>
      </c>
      <c r="P28" s="13">
        <f>'HIER Rechnung Ausschütter'!P31</f>
        <v>0.03583904425</v>
      </c>
    </row>
    <row r="29" ht="15.75" customHeight="1">
      <c r="A29" s="19"/>
      <c r="M29" s="6"/>
    </row>
    <row r="30" ht="15.75" customHeight="1">
      <c r="A30" s="19"/>
    </row>
    <row r="31" ht="15.75" customHeight="1">
      <c r="A31" s="19"/>
    </row>
    <row r="32" ht="15.75" customHeight="1">
      <c r="A32" s="19"/>
    </row>
    <row r="33" ht="15.75" customHeight="1">
      <c r="A33" s="19"/>
    </row>
    <row r="34" ht="15.75" customHeight="1">
      <c r="A34" s="19"/>
    </row>
    <row r="35" ht="15.75" customHeight="1">
      <c r="A35" s="19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conditionalFormatting sqref="N2:N28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B10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28" width="12.75"/>
    <col customWidth="1" min="29" max="29" width="15.88"/>
    <col customWidth="1" min="30" max="46" width="12.75"/>
  </cols>
  <sheetData>
    <row r="1" ht="48.75" customHeight="1">
      <c r="A1" s="30" t="s">
        <v>32</v>
      </c>
      <c r="B1" s="1"/>
      <c r="C1" s="14" t="s">
        <v>33</v>
      </c>
      <c r="D1" s="31">
        <f>Ergebnis!B2/H1</f>
        <v>0.666667</v>
      </c>
      <c r="E1" s="1" t="s">
        <v>34</v>
      </c>
      <c r="F1" s="1"/>
      <c r="G1" s="32">
        <f>B$4*(1-(7%*30))</f>
        <v>-1.1</v>
      </c>
      <c r="H1" s="33">
        <f>Ergebnis!B1</f>
        <v>1000000</v>
      </c>
      <c r="I1" s="19"/>
      <c r="J1" s="14" t="s">
        <v>35</v>
      </c>
      <c r="K1" s="27">
        <f>Ergebnis!B6</f>
        <v>0</v>
      </c>
      <c r="L1" s="14" t="s">
        <v>36</v>
      </c>
      <c r="M1" s="34">
        <f>Ergebnis!B5</f>
        <v>0.15</v>
      </c>
      <c r="N1" s="14" t="s">
        <v>37</v>
      </c>
      <c r="O1" s="35">
        <f>Ergebnis!B8</f>
        <v>0.185325</v>
      </c>
      <c r="P1" s="35">
        <f>Ergebnis!B9</f>
        <v>0.26375</v>
      </c>
      <c r="Q1" s="36"/>
      <c r="R1" s="14" t="s">
        <v>38</v>
      </c>
      <c r="S1" s="36">
        <f>Ergebnis!B4</f>
        <v>0</v>
      </c>
      <c r="T1" s="14"/>
      <c r="U1" s="37"/>
      <c r="V1" s="14"/>
      <c r="W1" s="14" t="s">
        <v>39</v>
      </c>
      <c r="X1" s="33">
        <f>Ergebnis!B3</f>
        <v>35000</v>
      </c>
      <c r="Y1" s="1"/>
      <c r="Z1" s="1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38"/>
      <c r="AP1" s="19"/>
      <c r="AQ1" s="38"/>
      <c r="AR1" s="19"/>
      <c r="AS1" s="19"/>
      <c r="AT1" s="19"/>
    </row>
    <row r="2" ht="96.75" customHeight="1">
      <c r="A2" s="11" t="s">
        <v>3</v>
      </c>
      <c r="B2" s="6" t="s">
        <v>40</v>
      </c>
      <c r="C2" s="6" t="s">
        <v>41</v>
      </c>
      <c r="D2" s="6" t="s">
        <v>42</v>
      </c>
      <c r="E2" s="6" t="s">
        <v>43</v>
      </c>
      <c r="F2" s="6" t="s">
        <v>44</v>
      </c>
      <c r="G2" s="6" t="s">
        <v>45</v>
      </c>
      <c r="H2" s="6" t="s">
        <v>46</v>
      </c>
      <c r="I2" s="39" t="s">
        <v>32</v>
      </c>
      <c r="J2" s="6" t="s">
        <v>47</v>
      </c>
      <c r="K2" s="6" t="s">
        <v>48</v>
      </c>
      <c r="L2" s="40"/>
      <c r="M2" s="6" t="s">
        <v>49</v>
      </c>
      <c r="N2" s="6" t="s">
        <v>50</v>
      </c>
      <c r="O2" s="6" t="s">
        <v>51</v>
      </c>
      <c r="P2" s="6" t="s">
        <v>52</v>
      </c>
      <c r="Q2" s="6" t="s">
        <v>53</v>
      </c>
      <c r="R2" s="6" t="s">
        <v>54</v>
      </c>
      <c r="S2" s="6" t="s">
        <v>55</v>
      </c>
      <c r="T2" s="8" t="s">
        <v>56</v>
      </c>
      <c r="U2" s="6" t="s">
        <v>57</v>
      </c>
      <c r="V2" s="6" t="s">
        <v>58</v>
      </c>
      <c r="W2" s="6" t="s">
        <v>59</v>
      </c>
      <c r="X2" s="41" t="s">
        <v>60</v>
      </c>
      <c r="Y2" s="6"/>
      <c r="Z2" s="6"/>
      <c r="AA2" s="6"/>
      <c r="AB2" s="11" t="s">
        <v>61</v>
      </c>
      <c r="AC2" s="6" t="s">
        <v>62</v>
      </c>
      <c r="AD2" s="6" t="s">
        <v>63</v>
      </c>
      <c r="AE2" s="42" t="s">
        <v>64</v>
      </c>
      <c r="AF2" s="6" t="s">
        <v>65</v>
      </c>
      <c r="AG2" s="6" t="s">
        <v>66</v>
      </c>
      <c r="AH2" s="6" t="s">
        <v>67</v>
      </c>
      <c r="AI2" s="6" t="s">
        <v>68</v>
      </c>
      <c r="AJ2" s="11"/>
      <c r="AK2" s="6" t="s">
        <v>69</v>
      </c>
      <c r="AL2" s="6" t="s">
        <v>70</v>
      </c>
      <c r="AM2" s="6" t="s">
        <v>71</v>
      </c>
      <c r="AN2" s="6"/>
      <c r="AO2" s="43"/>
      <c r="AP2" s="43"/>
      <c r="AQ2" s="43"/>
      <c r="AR2" s="43"/>
      <c r="AS2" s="43"/>
      <c r="AT2" s="43"/>
    </row>
    <row r="3" ht="12.75" hidden="1" customHeight="1">
      <c r="A3" s="11">
        <v>0.0</v>
      </c>
      <c r="B3" s="44"/>
      <c r="C3" s="45"/>
      <c r="D3" s="12"/>
      <c r="E3" s="46"/>
      <c r="F3" s="47"/>
      <c r="G3" s="12"/>
      <c r="H3" s="16"/>
      <c r="I3" s="48">
        <f>D4</f>
        <v>1000000</v>
      </c>
      <c r="J3" s="49"/>
      <c r="K3" s="49"/>
      <c r="L3" s="12"/>
      <c r="M3" s="12"/>
      <c r="N3" s="12"/>
      <c r="O3" s="11"/>
      <c r="P3" s="16"/>
      <c r="Q3" s="12"/>
      <c r="R3" s="45"/>
      <c r="S3" s="50"/>
      <c r="T3" s="12"/>
      <c r="U3" s="12"/>
      <c r="V3" s="12"/>
      <c r="W3" s="12"/>
      <c r="X3" s="12"/>
      <c r="Y3" s="12"/>
      <c r="Z3" s="16"/>
      <c r="AC3" s="51"/>
      <c r="AD3" s="12"/>
      <c r="AE3" s="12"/>
      <c r="AF3" s="52"/>
      <c r="AG3" s="16"/>
      <c r="AH3" s="12"/>
      <c r="AL3" s="12"/>
      <c r="AN3" s="12"/>
      <c r="AO3" s="12"/>
      <c r="AP3" s="12"/>
      <c r="AQ3" s="12"/>
      <c r="AR3" s="12"/>
      <c r="AS3" s="12"/>
      <c r="AT3" s="12"/>
    </row>
    <row r="4" ht="12.75" customHeight="1">
      <c r="A4" s="11">
        <v>1.0</v>
      </c>
      <c r="B4" s="44">
        <v>1.0</v>
      </c>
      <c r="C4" s="45">
        <f>H1</f>
        <v>1000000</v>
      </c>
      <c r="D4" s="12">
        <f>C4*B4</f>
        <v>1000000</v>
      </c>
      <c r="E4" s="46">
        <f t="shared" ref="E4:E33" si="1">F4-K$1</f>
        <v>0.1870220986</v>
      </c>
      <c r="F4" s="47">
        <v>0.18702209864369</v>
      </c>
      <c r="G4" s="12">
        <f>D4*(1+E4)</f>
        <v>1187022.099</v>
      </c>
      <c r="H4" s="16">
        <f>'HIER Einzelaktien'!G4-('HIER Einzelaktien'!G4*M$1)</f>
        <v>0.02222227355</v>
      </c>
      <c r="I4" s="48">
        <f t="shared" ref="I4:I33" si="2">C5*B5</f>
        <v>1167895.356</v>
      </c>
      <c r="J4" s="53">
        <f t="shared" ref="J4:J33" si="3">I4/D4-1</f>
        <v>0.1678953561</v>
      </c>
      <c r="K4" s="53">
        <f t="shared" ref="K4:K33" si="4">B5/D$1-1</f>
        <v>0.7805322577</v>
      </c>
      <c r="L4" s="54"/>
      <c r="M4" s="55">
        <f t="shared" ref="M4:M33" si="5">G4*H4</f>
        <v>26378.32979</v>
      </c>
      <c r="N4" s="55">
        <f t="shared" ref="N4:N33" si="6">M4*O$1-AL4</f>
        <v>4888.563968</v>
      </c>
      <c r="O4" s="55">
        <f t="shared" ref="O4:O33" si="7">M4-N4</f>
        <v>21489.76582</v>
      </c>
      <c r="P4" s="56">
        <f t="shared" ref="P4:P33" si="8">(S4+M4)/G4</f>
        <v>0.03833548883</v>
      </c>
      <c r="Q4" s="55">
        <f>X1</f>
        <v>35000</v>
      </c>
      <c r="R4" s="57">
        <f t="shared" ref="R4:R33" si="9">S4/B5</f>
        <v>16113.21527</v>
      </c>
      <c r="S4" s="58">
        <f t="shared" ref="S4:S33" si="10">Q4-O4+U4+AF4</f>
        <v>19126.74259</v>
      </c>
      <c r="T4" s="55">
        <f t="shared" ref="T4:T33" si="11">S4-V4</f>
        <v>8384.593756</v>
      </c>
      <c r="U4" s="55">
        <f t="shared" ref="U4:U33" si="12">T4*O$1</f>
        <v>1553.874838</v>
      </c>
      <c r="V4" s="55">
        <f t="shared" ref="V4:V33" si="13">R4*D$1+AH4</f>
        <v>10742.14889</v>
      </c>
      <c r="W4" s="55">
        <f t="shared" ref="W4:W33" si="14">S4-U4-AF4</f>
        <v>13510.23422</v>
      </c>
      <c r="X4" s="55">
        <f t="shared" ref="X4:X33" si="15">W4+O4</f>
        <v>35000.00004</v>
      </c>
      <c r="Y4" s="12"/>
      <c r="Z4" s="56"/>
      <c r="AA4" s="55"/>
      <c r="AB4" s="56">
        <f>'HIER Rechnung Thesaurierer '!H4</f>
        <v>0.069</v>
      </c>
      <c r="AC4" s="59">
        <f t="shared" ref="AC4:AC33" si="16">(B5*C4)-(B4*C4)</f>
        <v>187022.0986</v>
      </c>
      <c r="AD4" s="55">
        <f>IF(AC4&gt;0,MIN((D4)*AB4*0.7,AC4),0)</f>
        <v>48300</v>
      </c>
      <c r="AE4" s="55">
        <f t="shared" ref="AE4:AE33" si="17">IF(AC4&gt;0,MAX(AD4-(M4),0),0)</f>
        <v>21921.67021</v>
      </c>
      <c r="AF4" s="60">
        <f t="shared" ref="AF4:AF33" si="18">AE4*O$1</f>
        <v>4062.633532</v>
      </c>
      <c r="AG4" s="56">
        <f t="shared" ref="AG4:AG33" si="19">V4/G4</f>
        <v>0.009049662091</v>
      </c>
      <c r="AH4" s="55">
        <f t="shared" ref="AH4:AH33" si="20">IF(AI3&gt;0,(AI3/C4)*S4,0)</f>
        <v>0</v>
      </c>
      <c r="AI4" s="55">
        <f>AE4-AH4</f>
        <v>21921.67021</v>
      </c>
      <c r="AJ4" s="11"/>
      <c r="AK4" s="61">
        <f>S1</f>
        <v>0</v>
      </c>
      <c r="AL4" s="55">
        <f t="shared" ref="AL4:AL33" si="21">IF((M4+N4+S4)&lt;AK4,(M4+N4+S4)*O$1,AK4*O$1)</f>
        <v>0</v>
      </c>
      <c r="AM4" s="55">
        <f t="shared" ref="AM4:AM33" si="22">(M4+T4+AE4)*0.7</f>
        <v>39679.21563</v>
      </c>
      <c r="AN4" s="55"/>
      <c r="AO4" s="54"/>
      <c r="AP4" s="62"/>
      <c r="AQ4" s="54"/>
      <c r="AR4" s="62"/>
      <c r="AS4" s="62"/>
      <c r="AT4" s="62"/>
    </row>
    <row r="5" ht="12.75" customHeight="1">
      <c r="A5" s="11">
        <v>2.0</v>
      </c>
      <c r="B5" s="44">
        <f t="shared" ref="B5:B34" si="23">B4*(1+E4)</f>
        <v>1.187022099</v>
      </c>
      <c r="C5" s="45">
        <f t="shared" ref="C5:C34" si="24">C4-R4</f>
        <v>983886.7847</v>
      </c>
      <c r="D5" s="12">
        <f t="shared" ref="D5:D33" si="25">I4</f>
        <v>1167895.356</v>
      </c>
      <c r="E5" s="46">
        <f t="shared" si="1"/>
        <v>0.117233208</v>
      </c>
      <c r="F5" s="47">
        <v>0.117233208040529</v>
      </c>
      <c r="G5" s="12">
        <f t="shared" ref="G5:G33" si="26">D5*(1+E5-K$1)</f>
        <v>1304811.475</v>
      </c>
      <c r="H5" s="16">
        <f>'HIER Einzelaktien'!G5-('HIER Einzelaktien'!G5*M$1)</f>
        <v>0.01931805741</v>
      </c>
      <c r="I5" s="48">
        <f t="shared" si="2"/>
        <v>1281392.762</v>
      </c>
      <c r="J5" s="53">
        <f t="shared" si="3"/>
        <v>0.09718114341</v>
      </c>
      <c r="K5" s="53">
        <f t="shared" si="4"/>
        <v>0.9892697663</v>
      </c>
      <c r="L5" s="54"/>
      <c r="M5" s="55">
        <f t="shared" si="5"/>
        <v>25206.42299</v>
      </c>
      <c r="N5" s="55">
        <f t="shared" si="6"/>
        <v>4671.380341</v>
      </c>
      <c r="O5" s="55">
        <f t="shared" si="7"/>
        <v>20535.04265</v>
      </c>
      <c r="P5" s="56">
        <f t="shared" si="8"/>
        <v>0.03726602447</v>
      </c>
      <c r="Q5" s="55">
        <f>Q4*(1+'HIER Rechnung Thesaurierer '!I5)</f>
        <v>37170</v>
      </c>
      <c r="R5" s="57">
        <f t="shared" si="9"/>
        <v>17658.76761</v>
      </c>
      <c r="S5" s="58">
        <f t="shared" si="10"/>
        <v>23418.71346</v>
      </c>
      <c r="T5" s="55">
        <f t="shared" si="11"/>
        <v>11124.411</v>
      </c>
      <c r="U5" s="55">
        <f t="shared" si="12"/>
        <v>2061.631469</v>
      </c>
      <c r="V5" s="55">
        <f t="shared" si="13"/>
        <v>12294.30257</v>
      </c>
      <c r="W5" s="55">
        <f t="shared" si="14"/>
        <v>16634.95735</v>
      </c>
      <c r="X5" s="55">
        <f t="shared" si="15"/>
        <v>37170.00001</v>
      </c>
      <c r="Y5" s="12"/>
      <c r="Z5" s="56"/>
      <c r="AA5" s="55"/>
      <c r="AB5" s="56">
        <f>'HIER Rechnung Thesaurierer '!H5</f>
        <v>0.062</v>
      </c>
      <c r="AC5" s="59">
        <f t="shared" si="16"/>
        <v>136916.1192</v>
      </c>
      <c r="AD5" s="55">
        <f t="shared" ref="AD5:AD33" si="27">IF(AB5&gt;0, IF(AC5&gt;0,MIN((D5)*AB5*0.7,AC5),0),0)</f>
        <v>50686.65846</v>
      </c>
      <c r="AE5" s="55">
        <f t="shared" si="17"/>
        <v>25480.23546</v>
      </c>
      <c r="AF5" s="60">
        <f t="shared" si="18"/>
        <v>4722.124637</v>
      </c>
      <c r="AG5" s="56">
        <f t="shared" si="19"/>
        <v>0.009422282682</v>
      </c>
      <c r="AH5" s="55">
        <f t="shared" si="20"/>
        <v>521.7849464</v>
      </c>
      <c r="AI5" s="55">
        <f t="shared" ref="AI5:AI33" si="28">AI4+AE5-AH5</f>
        <v>46880.12073</v>
      </c>
      <c r="AJ5" s="11"/>
      <c r="AK5" s="61">
        <f>AK4*(1+'HIER Rechnung Thesaurierer '!I4)</f>
        <v>0</v>
      </c>
      <c r="AL5" s="55">
        <f t="shared" si="21"/>
        <v>0</v>
      </c>
      <c r="AM5" s="55">
        <f t="shared" si="22"/>
        <v>43267.74862</v>
      </c>
      <c r="AN5" s="55"/>
      <c r="AO5" s="54"/>
      <c r="AP5" s="62"/>
      <c r="AQ5" s="54"/>
      <c r="AR5" s="62"/>
      <c r="AS5" s="62"/>
      <c r="AT5" s="62"/>
    </row>
    <row r="6" ht="12.75" customHeight="1">
      <c r="A6" s="11">
        <v>3.0</v>
      </c>
      <c r="B6" s="44">
        <f t="shared" si="23"/>
        <v>1.326180507</v>
      </c>
      <c r="C6" s="45">
        <f t="shared" si="24"/>
        <v>966228.0171</v>
      </c>
      <c r="D6" s="12">
        <f t="shared" si="25"/>
        <v>1281392.762</v>
      </c>
      <c r="E6" s="46">
        <f t="shared" si="1"/>
        <v>0.1416801363</v>
      </c>
      <c r="F6" s="47">
        <v>0.141680136330059</v>
      </c>
      <c r="G6" s="12">
        <f t="shared" si="26"/>
        <v>1462940.663</v>
      </c>
      <c r="H6" s="16">
        <f>'HIER Einzelaktien'!G6-('HIER Einzelaktien'!G6*M$1)</f>
        <v>0.01750231633</v>
      </c>
      <c r="I6" s="48">
        <f t="shared" si="2"/>
        <v>1437582.803</v>
      </c>
      <c r="J6" s="53">
        <f t="shared" si="3"/>
        <v>0.1218908403</v>
      </c>
      <c r="K6" s="53">
        <f t="shared" si="4"/>
        <v>1.271109778</v>
      </c>
      <c r="L6" s="54"/>
      <c r="M6" s="55">
        <f t="shared" si="5"/>
        <v>25604.85026</v>
      </c>
      <c r="N6" s="55">
        <f t="shared" si="6"/>
        <v>4745.218874</v>
      </c>
      <c r="O6" s="55">
        <f t="shared" si="7"/>
        <v>20859.63138</v>
      </c>
      <c r="P6" s="56">
        <f t="shared" si="8"/>
        <v>0.03483580185</v>
      </c>
      <c r="Q6" s="55">
        <f>Q5*(1+'HIER Rechnung Thesaurierer '!I6)</f>
        <v>39251.52</v>
      </c>
      <c r="R6" s="57">
        <f t="shared" si="9"/>
        <v>16748.09935</v>
      </c>
      <c r="S6" s="58">
        <f t="shared" si="10"/>
        <v>25357.8609</v>
      </c>
      <c r="T6" s="55">
        <f t="shared" si="11"/>
        <v>12962.12556</v>
      </c>
      <c r="U6" s="55">
        <f t="shared" si="12"/>
        <v>2402.20592</v>
      </c>
      <c r="V6" s="55">
        <f t="shared" si="13"/>
        <v>12395.73542</v>
      </c>
      <c r="W6" s="55">
        <f t="shared" si="14"/>
        <v>18391.8886</v>
      </c>
      <c r="X6" s="55">
        <f t="shared" si="15"/>
        <v>39251.51999</v>
      </c>
      <c r="Y6" s="12"/>
      <c r="Z6" s="56"/>
      <c r="AA6" s="55"/>
      <c r="AB6" s="56">
        <f>'HIER Rechnung Thesaurierer '!H6</f>
        <v>0.056</v>
      </c>
      <c r="AC6" s="59">
        <f t="shared" si="16"/>
        <v>181547.9012</v>
      </c>
      <c r="AD6" s="55">
        <f t="shared" si="27"/>
        <v>50230.59628</v>
      </c>
      <c r="AE6" s="55">
        <f t="shared" si="17"/>
        <v>24625.74602</v>
      </c>
      <c r="AF6" s="60">
        <f t="shared" si="18"/>
        <v>4563.766381</v>
      </c>
      <c r="AG6" s="56">
        <f t="shared" si="19"/>
        <v>0.008473163491</v>
      </c>
      <c r="AH6" s="55">
        <f t="shared" si="20"/>
        <v>1230.330273</v>
      </c>
      <c r="AI6" s="55">
        <f t="shared" si="28"/>
        <v>70275.53647</v>
      </c>
      <c r="AJ6" s="11"/>
      <c r="AK6" s="61">
        <f>AK5*(1+'HIER Rechnung Thesaurierer '!I5)</f>
        <v>0</v>
      </c>
      <c r="AL6" s="55">
        <f t="shared" si="21"/>
        <v>0</v>
      </c>
      <c r="AM6" s="55">
        <f t="shared" si="22"/>
        <v>44234.90529</v>
      </c>
      <c r="AN6" s="55"/>
      <c r="AO6" s="54"/>
      <c r="AP6" s="62"/>
      <c r="AQ6" s="54"/>
      <c r="AR6" s="62"/>
      <c r="AS6" s="62"/>
      <c r="AT6" s="62"/>
    </row>
    <row r="7" ht="12.75" customHeight="1">
      <c r="A7" s="11">
        <v>4.0</v>
      </c>
      <c r="B7" s="44">
        <f t="shared" si="23"/>
        <v>1.514073942</v>
      </c>
      <c r="C7" s="45">
        <f t="shared" si="24"/>
        <v>949479.9178</v>
      </c>
      <c r="D7" s="12">
        <f t="shared" si="25"/>
        <v>1437582.803</v>
      </c>
      <c r="E7" s="46">
        <f t="shared" si="1"/>
        <v>0.2278059473</v>
      </c>
      <c r="F7" s="47">
        <v>0.227805947313181</v>
      </c>
      <c r="G7" s="12">
        <f t="shared" si="26"/>
        <v>1765072.715</v>
      </c>
      <c r="H7" s="16">
        <f>'HIER Einzelaktien'!G7-('HIER Einzelaktien'!G7*M$1)</f>
        <v>0.01712459737</v>
      </c>
      <c r="I7" s="48">
        <f t="shared" si="2"/>
        <v>1743382.379</v>
      </c>
      <c r="J7" s="53">
        <f t="shared" si="3"/>
        <v>0.212717887</v>
      </c>
      <c r="K7" s="53">
        <f t="shared" si="4"/>
        <v>1.788482092</v>
      </c>
      <c r="L7" s="54"/>
      <c r="M7" s="55">
        <f t="shared" si="5"/>
        <v>30226.15957</v>
      </c>
      <c r="N7" s="55">
        <f t="shared" si="6"/>
        <v>5601.663023</v>
      </c>
      <c r="O7" s="55">
        <f t="shared" si="7"/>
        <v>24624.49655</v>
      </c>
      <c r="P7" s="56">
        <f t="shared" si="8"/>
        <v>0.02941323337</v>
      </c>
      <c r="Q7" s="55">
        <f>Q6*(1+'HIER Rechnung Thesaurierer '!I7)</f>
        <v>41057.08992</v>
      </c>
      <c r="R7" s="57">
        <f t="shared" si="9"/>
        <v>11667.8131</v>
      </c>
      <c r="S7" s="58">
        <f t="shared" si="10"/>
        <v>21690.33618</v>
      </c>
      <c r="T7" s="55">
        <f t="shared" si="11"/>
        <v>12306.38504</v>
      </c>
      <c r="U7" s="55">
        <f t="shared" si="12"/>
        <v>2280.680808</v>
      </c>
      <c r="V7" s="55">
        <f t="shared" si="13"/>
        <v>9383.951165</v>
      </c>
      <c r="W7" s="55">
        <f t="shared" si="14"/>
        <v>16432.59334</v>
      </c>
      <c r="X7" s="55">
        <f t="shared" si="15"/>
        <v>41057.08989</v>
      </c>
      <c r="Y7" s="12"/>
      <c r="Z7" s="56"/>
      <c r="AA7" s="55"/>
      <c r="AB7" s="56">
        <f>'HIER Rechnung Thesaurierer '!H7</f>
        <v>0.046</v>
      </c>
      <c r="AC7" s="59">
        <f t="shared" si="16"/>
        <v>327489.9121</v>
      </c>
      <c r="AD7" s="55">
        <f t="shared" si="27"/>
        <v>46290.16625</v>
      </c>
      <c r="AE7" s="55">
        <f t="shared" si="17"/>
        <v>16064.00668</v>
      </c>
      <c r="AF7" s="60">
        <f t="shared" si="18"/>
        <v>2977.062037</v>
      </c>
      <c r="AG7" s="56">
        <f t="shared" si="19"/>
        <v>0.005316467183</v>
      </c>
      <c r="AH7" s="55">
        <f t="shared" si="20"/>
        <v>1605.405215</v>
      </c>
      <c r="AI7" s="55">
        <f t="shared" si="28"/>
        <v>84734.13793</v>
      </c>
      <c r="AJ7" s="11"/>
      <c r="AK7" s="61">
        <f>AK6*(1+'HIER Rechnung Thesaurierer '!I6)</f>
        <v>0</v>
      </c>
      <c r="AL7" s="55">
        <f t="shared" si="21"/>
        <v>0</v>
      </c>
      <c r="AM7" s="55">
        <f t="shared" si="22"/>
        <v>41017.5859</v>
      </c>
      <c r="AN7" s="55"/>
      <c r="AO7" s="54"/>
      <c r="AP7" s="62"/>
      <c r="AQ7" s="54"/>
      <c r="AR7" s="62"/>
      <c r="AS7" s="62"/>
      <c r="AT7" s="62"/>
    </row>
    <row r="8" ht="12.75" customHeight="1">
      <c r="A8" s="11">
        <v>5.0</v>
      </c>
      <c r="B8" s="44">
        <f t="shared" si="23"/>
        <v>1.858988991</v>
      </c>
      <c r="C8" s="45">
        <f t="shared" si="24"/>
        <v>937812.1047</v>
      </c>
      <c r="D8" s="12">
        <f t="shared" si="25"/>
        <v>1743382.379</v>
      </c>
      <c r="E8" s="46">
        <f t="shared" si="1"/>
        <v>0.2356037469</v>
      </c>
      <c r="F8" s="47">
        <v>0.235603746939003</v>
      </c>
      <c r="G8" s="12">
        <f t="shared" si="26"/>
        <v>2154129.8</v>
      </c>
      <c r="H8" s="16">
        <f>'HIER Einzelaktien'!G8-('HIER Einzelaktien'!G8*M$1)</f>
        <v>0.01512551027</v>
      </c>
      <c r="I8" s="48">
        <f t="shared" si="2"/>
        <v>2130971.674</v>
      </c>
      <c r="J8" s="53">
        <f t="shared" si="3"/>
        <v>0.2223203007</v>
      </c>
      <c r="K8" s="53">
        <f t="shared" si="4"/>
        <v>2.445458922</v>
      </c>
      <c r="L8" s="54"/>
      <c r="M8" s="55">
        <f t="shared" si="5"/>
        <v>32582.31242</v>
      </c>
      <c r="N8" s="55">
        <f t="shared" si="6"/>
        <v>6038.317049</v>
      </c>
      <c r="O8" s="55">
        <f t="shared" si="7"/>
        <v>26543.99537</v>
      </c>
      <c r="P8" s="56">
        <f t="shared" si="8"/>
        <v>0.02587608157</v>
      </c>
      <c r="Q8" s="55">
        <f>Q7*(1+'HIER Rechnung Thesaurierer '!I8)</f>
        <v>42904.65897</v>
      </c>
      <c r="R8" s="57">
        <f t="shared" si="9"/>
        <v>10082.0159</v>
      </c>
      <c r="S8" s="58">
        <f t="shared" si="10"/>
        <v>23158.12606</v>
      </c>
      <c r="T8" s="55">
        <f t="shared" si="11"/>
        <v>14344.37258</v>
      </c>
      <c r="U8" s="55">
        <f t="shared" si="12"/>
        <v>2658.370848</v>
      </c>
      <c r="V8" s="55">
        <f t="shared" si="13"/>
        <v>8813.753474</v>
      </c>
      <c r="W8" s="55">
        <f t="shared" si="14"/>
        <v>16360.66357</v>
      </c>
      <c r="X8" s="55">
        <f t="shared" si="15"/>
        <v>42904.65894</v>
      </c>
      <c r="Y8" s="12"/>
      <c r="Z8" s="56"/>
      <c r="AA8" s="55"/>
      <c r="AB8" s="56">
        <f>'HIER Rechnung Thesaurierer '!H8</f>
        <v>0.045</v>
      </c>
      <c r="AC8" s="59">
        <f t="shared" si="16"/>
        <v>410747.4207</v>
      </c>
      <c r="AD8" s="55">
        <f t="shared" si="27"/>
        <v>54916.54494</v>
      </c>
      <c r="AE8" s="55">
        <f t="shared" si="17"/>
        <v>22334.23252</v>
      </c>
      <c r="AF8" s="60">
        <f t="shared" si="18"/>
        <v>4139.091641</v>
      </c>
      <c r="AG8" s="56">
        <f t="shared" si="19"/>
        <v>0.004091560998</v>
      </c>
      <c r="AH8" s="55">
        <f t="shared" si="20"/>
        <v>2092.406184</v>
      </c>
      <c r="AI8" s="55">
        <f t="shared" si="28"/>
        <v>104975.9643</v>
      </c>
      <c r="AJ8" s="11"/>
      <c r="AK8" s="61">
        <f>AK7*(1+'HIER Rechnung Thesaurierer '!I7)</f>
        <v>0</v>
      </c>
      <c r="AL8" s="55">
        <f t="shared" si="21"/>
        <v>0</v>
      </c>
      <c r="AM8" s="55">
        <f t="shared" si="22"/>
        <v>48482.64226</v>
      </c>
      <c r="AN8" s="55"/>
      <c r="AO8" s="54"/>
      <c r="AP8" s="62"/>
      <c r="AQ8" s="54"/>
      <c r="AR8" s="62"/>
      <c r="AS8" s="62"/>
      <c r="AT8" s="62"/>
    </row>
    <row r="9" ht="12.75" customHeight="1">
      <c r="A9" s="11">
        <v>6.0</v>
      </c>
      <c r="B9" s="44">
        <f t="shared" si="23"/>
        <v>2.296973763</v>
      </c>
      <c r="C9" s="45">
        <f t="shared" si="24"/>
        <v>927730.0888</v>
      </c>
      <c r="D9" s="12">
        <f t="shared" si="25"/>
        <v>2130971.674</v>
      </c>
      <c r="E9" s="46">
        <f t="shared" si="1"/>
        <v>-0.1404983514</v>
      </c>
      <c r="F9" s="47">
        <v>-0.140498351379598</v>
      </c>
      <c r="G9" s="12">
        <f t="shared" si="26"/>
        <v>1831573.667</v>
      </c>
      <c r="H9" s="16">
        <f>'HIER Einzelaktien'!G9-('HIER Einzelaktien'!G9*M$1)</f>
        <v>0.009619867846</v>
      </c>
      <c r="I9" s="48">
        <f t="shared" si="2"/>
        <v>1797256.638</v>
      </c>
      <c r="J9" s="53">
        <f t="shared" si="3"/>
        <v>-0.1566022861</v>
      </c>
      <c r="K9" s="53">
        <f t="shared" si="4"/>
        <v>1.961377623</v>
      </c>
      <c r="L9" s="54"/>
      <c r="M9" s="55">
        <f t="shared" si="5"/>
        <v>17619.49662</v>
      </c>
      <c r="N9" s="55">
        <f t="shared" si="6"/>
        <v>3265.333212</v>
      </c>
      <c r="O9" s="55">
        <f t="shared" si="7"/>
        <v>14354.16341</v>
      </c>
      <c r="P9" s="56">
        <f t="shared" si="8"/>
        <v>0.02835623063</v>
      </c>
      <c r="Q9" s="55">
        <f>Q8*(1+'HIER Rechnung Thesaurierer '!I9)</f>
        <v>45178.60589</v>
      </c>
      <c r="R9" s="57">
        <f t="shared" si="9"/>
        <v>17382.28752</v>
      </c>
      <c r="S9" s="58">
        <f t="shared" si="10"/>
        <v>34317.0287</v>
      </c>
      <c r="T9" s="55">
        <f t="shared" si="11"/>
        <v>18845.73715</v>
      </c>
      <c r="U9" s="55">
        <f t="shared" si="12"/>
        <v>3492.586237</v>
      </c>
      <c r="V9" s="55">
        <f t="shared" si="13"/>
        <v>15471.29151</v>
      </c>
      <c r="W9" s="55">
        <f t="shared" si="14"/>
        <v>30824.44246</v>
      </c>
      <c r="X9" s="55">
        <f t="shared" si="15"/>
        <v>45178.60587</v>
      </c>
      <c r="Y9" s="12"/>
      <c r="Z9" s="56"/>
      <c r="AA9" s="55"/>
      <c r="AB9" s="56">
        <f>'HIER Rechnung Thesaurierer '!H9</f>
        <v>0.053</v>
      </c>
      <c r="AC9" s="59">
        <f t="shared" si="16"/>
        <v>-299398.0069</v>
      </c>
      <c r="AD9" s="55">
        <f t="shared" si="27"/>
        <v>0</v>
      </c>
      <c r="AE9" s="55">
        <f t="shared" si="17"/>
        <v>0</v>
      </c>
      <c r="AF9" s="60">
        <f t="shared" si="18"/>
        <v>0</v>
      </c>
      <c r="AG9" s="56">
        <f t="shared" si="19"/>
        <v>0.008446993857</v>
      </c>
      <c r="AH9" s="55">
        <f t="shared" si="20"/>
        <v>3883.09404</v>
      </c>
      <c r="AI9" s="55">
        <f t="shared" si="28"/>
        <v>101092.8702</v>
      </c>
      <c r="AJ9" s="11"/>
      <c r="AK9" s="61">
        <f>AK8*(1+'HIER Rechnung Thesaurierer '!I8)</f>
        <v>0</v>
      </c>
      <c r="AL9" s="55">
        <f t="shared" si="21"/>
        <v>0</v>
      </c>
      <c r="AM9" s="55">
        <f t="shared" si="22"/>
        <v>25525.66364</v>
      </c>
      <c r="AN9" s="55"/>
      <c r="AO9" s="54"/>
      <c r="AP9" s="62"/>
      <c r="AQ9" s="54"/>
      <c r="AR9" s="62"/>
      <c r="AS9" s="62"/>
      <c r="AT9" s="62"/>
    </row>
    <row r="10" ht="12.75" customHeight="1">
      <c r="A10" s="11">
        <v>7.0</v>
      </c>
      <c r="B10" s="44">
        <f t="shared" si="23"/>
        <v>1.974252736</v>
      </c>
      <c r="C10" s="45">
        <f t="shared" si="24"/>
        <v>910347.8012</v>
      </c>
      <c r="D10" s="12">
        <f t="shared" si="25"/>
        <v>1797256.638</v>
      </c>
      <c r="E10" s="46">
        <f t="shared" si="1"/>
        <v>-0.1782898384</v>
      </c>
      <c r="F10" s="47">
        <v>-0.178289838387296</v>
      </c>
      <c r="G10" s="12">
        <f t="shared" si="26"/>
        <v>1476824.042</v>
      </c>
      <c r="H10" s="16">
        <f>'HIER Einzelaktien'!G10-('HIER Einzelaktien'!G10*M$1)</f>
        <v>0.01111708907</v>
      </c>
      <c r="I10" s="48">
        <f t="shared" si="2"/>
        <v>1439550.254</v>
      </c>
      <c r="J10" s="53">
        <f t="shared" si="3"/>
        <v>-0.1990291069</v>
      </c>
      <c r="K10" s="53">
        <f t="shared" si="4"/>
        <v>1.433394086</v>
      </c>
      <c r="L10" s="54"/>
      <c r="M10" s="55">
        <f t="shared" si="5"/>
        <v>16417.98443</v>
      </c>
      <c r="N10" s="55">
        <f t="shared" si="6"/>
        <v>3042.662964</v>
      </c>
      <c r="O10" s="55">
        <f t="shared" si="7"/>
        <v>13375.32146</v>
      </c>
      <c r="P10" s="56">
        <f t="shared" si="8"/>
        <v>0.03635624204</v>
      </c>
      <c r="Q10" s="55">
        <f>Q9*(1+'HIER Rechnung Thesaurierer '!I10)</f>
        <v>47347.17897</v>
      </c>
      <c r="R10" s="57">
        <f t="shared" si="9"/>
        <v>22976.40742</v>
      </c>
      <c r="S10" s="58">
        <f t="shared" si="10"/>
        <v>37273.78791</v>
      </c>
      <c r="T10" s="55">
        <f t="shared" si="11"/>
        <v>17816.97242</v>
      </c>
      <c r="U10" s="55">
        <f t="shared" si="12"/>
        <v>3301.930415</v>
      </c>
      <c r="V10" s="55">
        <f t="shared" si="13"/>
        <v>19456.81545</v>
      </c>
      <c r="W10" s="55">
        <f t="shared" si="14"/>
        <v>33971.8575</v>
      </c>
      <c r="X10" s="55">
        <f t="shared" si="15"/>
        <v>47347.17896</v>
      </c>
      <c r="Y10" s="12"/>
      <c r="Z10" s="56"/>
      <c r="AA10" s="55"/>
      <c r="AB10" s="56">
        <f>'HIER Rechnung Thesaurierer '!H10</f>
        <v>0.048</v>
      </c>
      <c r="AC10" s="59">
        <f t="shared" si="16"/>
        <v>-320432.5954</v>
      </c>
      <c r="AD10" s="55">
        <f t="shared" si="27"/>
        <v>0</v>
      </c>
      <c r="AE10" s="55">
        <f t="shared" si="17"/>
        <v>0</v>
      </c>
      <c r="AF10" s="60">
        <f t="shared" si="18"/>
        <v>0</v>
      </c>
      <c r="AG10" s="56">
        <f t="shared" si="19"/>
        <v>0.01317476889</v>
      </c>
      <c r="AH10" s="55">
        <f t="shared" si="20"/>
        <v>4139.20284</v>
      </c>
      <c r="AI10" s="55">
        <f t="shared" si="28"/>
        <v>96953.66739</v>
      </c>
      <c r="AJ10" s="11"/>
      <c r="AK10" s="61">
        <f>AK9*(1+'HIER Rechnung Thesaurierer '!I9)</f>
        <v>0</v>
      </c>
      <c r="AL10" s="55">
        <f t="shared" si="21"/>
        <v>0</v>
      </c>
      <c r="AM10" s="55">
        <f t="shared" si="22"/>
        <v>23964.4698</v>
      </c>
      <c r="AN10" s="55"/>
      <c r="AO10" s="54"/>
      <c r="AP10" s="62"/>
      <c r="AQ10" s="54"/>
      <c r="AR10" s="62"/>
      <c r="AS10" s="62"/>
      <c r="AT10" s="62"/>
    </row>
    <row r="11" ht="12.75" customHeight="1">
      <c r="A11" s="11">
        <v>8.0</v>
      </c>
      <c r="B11" s="44">
        <f t="shared" si="23"/>
        <v>1.622263535</v>
      </c>
      <c r="C11" s="45">
        <f t="shared" si="24"/>
        <v>887371.3938</v>
      </c>
      <c r="D11" s="12">
        <f t="shared" si="25"/>
        <v>1439550.254</v>
      </c>
      <c r="E11" s="46">
        <f t="shared" si="1"/>
        <v>-0.2105606687</v>
      </c>
      <c r="F11" s="47">
        <v>-0.21056066868889</v>
      </c>
      <c r="G11" s="12">
        <f t="shared" si="26"/>
        <v>1136437.59</v>
      </c>
      <c r="H11" s="16">
        <f>'HIER Einzelaktien'!G11-('HIER Einzelaktien'!G11*M$1)</f>
        <v>0.01287571822</v>
      </c>
      <c r="I11" s="48">
        <f t="shared" si="2"/>
        <v>1095961.618</v>
      </c>
      <c r="J11" s="53">
        <f t="shared" si="3"/>
        <v>-0.2386777646</v>
      </c>
      <c r="K11" s="53">
        <f t="shared" si="4"/>
        <v>0.9210169997</v>
      </c>
      <c r="L11" s="54"/>
      <c r="M11" s="55">
        <f t="shared" si="5"/>
        <v>14632.45019</v>
      </c>
      <c r="N11" s="55">
        <f t="shared" si="6"/>
        <v>2711.758832</v>
      </c>
      <c r="O11" s="55">
        <f t="shared" si="7"/>
        <v>11920.69136</v>
      </c>
      <c r="P11" s="56">
        <f t="shared" si="8"/>
        <v>0.0484922562</v>
      </c>
      <c r="Q11" s="55">
        <f>Q10*(1+'HIER Rechnung Thesaurierer '!I11)</f>
        <v>49619.84357</v>
      </c>
      <c r="R11" s="57">
        <f t="shared" si="9"/>
        <v>31605.09695</v>
      </c>
      <c r="S11" s="58">
        <f t="shared" si="10"/>
        <v>40475.9725</v>
      </c>
      <c r="T11" s="55">
        <f t="shared" si="11"/>
        <v>14983.51677</v>
      </c>
      <c r="U11" s="55">
        <f t="shared" si="12"/>
        <v>2776.820246</v>
      </c>
      <c r="V11" s="55">
        <f t="shared" si="13"/>
        <v>25492.45571</v>
      </c>
      <c r="W11" s="55">
        <f t="shared" si="14"/>
        <v>37699.15225</v>
      </c>
      <c r="X11" s="55">
        <f t="shared" si="15"/>
        <v>49619.84361</v>
      </c>
      <c r="Y11" s="12"/>
      <c r="Z11" s="56"/>
      <c r="AA11" s="55"/>
      <c r="AB11" s="56">
        <f>'HIER Rechnung Thesaurierer '!H11</f>
        <v>0.048</v>
      </c>
      <c r="AC11" s="59">
        <f t="shared" si="16"/>
        <v>-303112.6641</v>
      </c>
      <c r="AD11" s="55">
        <f t="shared" si="27"/>
        <v>0</v>
      </c>
      <c r="AE11" s="55">
        <f t="shared" si="17"/>
        <v>0</v>
      </c>
      <c r="AF11" s="60">
        <f t="shared" si="18"/>
        <v>0</v>
      </c>
      <c r="AG11" s="56">
        <f t="shared" si="19"/>
        <v>0.02243190117</v>
      </c>
      <c r="AH11" s="55">
        <f t="shared" si="20"/>
        <v>4422.38053</v>
      </c>
      <c r="AI11" s="55">
        <f t="shared" si="28"/>
        <v>92531.28686</v>
      </c>
      <c r="AJ11" s="11"/>
      <c r="AK11" s="61">
        <f>AK10*(1+'HIER Rechnung Thesaurierer '!I10)</f>
        <v>0</v>
      </c>
      <c r="AL11" s="55">
        <f t="shared" si="21"/>
        <v>0</v>
      </c>
      <c r="AM11" s="55">
        <f t="shared" si="22"/>
        <v>20731.17688</v>
      </c>
      <c r="AN11" s="55"/>
      <c r="AO11" s="54"/>
      <c r="AP11" s="62"/>
      <c r="AQ11" s="54"/>
      <c r="AR11" s="62"/>
      <c r="AS11" s="62"/>
      <c r="AT11" s="62"/>
    </row>
    <row r="12" ht="12.75" customHeight="1">
      <c r="A12" s="11">
        <v>9.0</v>
      </c>
      <c r="B12" s="44">
        <f t="shared" si="23"/>
        <v>1.28067864</v>
      </c>
      <c r="C12" s="45">
        <f t="shared" si="24"/>
        <v>855766.2969</v>
      </c>
      <c r="D12" s="12">
        <f t="shared" si="25"/>
        <v>1095961.618</v>
      </c>
      <c r="E12" s="46">
        <f t="shared" si="1"/>
        <v>0.3081272129</v>
      </c>
      <c r="F12" s="47">
        <v>0.308127212940931</v>
      </c>
      <c r="G12" s="12">
        <f t="shared" si="26"/>
        <v>1433657.216</v>
      </c>
      <c r="H12" s="16">
        <f>'HIER Einzelaktien'!G12-('HIER Einzelaktien'!G12*M$1)</f>
        <v>0.02506603249</v>
      </c>
      <c r="I12" s="48">
        <f t="shared" si="2"/>
        <v>1409024.359</v>
      </c>
      <c r="J12" s="53">
        <f t="shared" si="3"/>
        <v>0.285651191</v>
      </c>
      <c r="K12" s="53">
        <f t="shared" si="4"/>
        <v>1.512934614</v>
      </c>
      <c r="L12" s="54"/>
      <c r="M12" s="55">
        <f t="shared" si="5"/>
        <v>35936.09836</v>
      </c>
      <c r="N12" s="55">
        <f t="shared" si="6"/>
        <v>6659.857429</v>
      </c>
      <c r="O12" s="55">
        <f t="shared" si="7"/>
        <v>29276.24093</v>
      </c>
      <c r="P12" s="56">
        <f t="shared" si="8"/>
        <v>0.04224786453</v>
      </c>
      <c r="Q12" s="55">
        <f>Q11*(1+'HIER Rechnung Thesaurierer '!I12)</f>
        <v>51654.25715</v>
      </c>
      <c r="R12" s="57">
        <f t="shared" si="9"/>
        <v>14703.63279</v>
      </c>
      <c r="S12" s="58">
        <f t="shared" si="10"/>
        <v>24632.8577</v>
      </c>
      <c r="T12" s="55">
        <f t="shared" si="11"/>
        <v>12166.95848</v>
      </c>
      <c r="U12" s="55">
        <f t="shared" si="12"/>
        <v>2254.841581</v>
      </c>
      <c r="V12" s="55">
        <f t="shared" si="13"/>
        <v>12465.89927</v>
      </c>
      <c r="W12" s="55">
        <f t="shared" si="14"/>
        <v>22378.01612</v>
      </c>
      <c r="X12" s="55">
        <f t="shared" si="15"/>
        <v>51654.25706</v>
      </c>
      <c r="Y12" s="12"/>
      <c r="Z12" s="56"/>
      <c r="AA12" s="55"/>
      <c r="AB12" s="56">
        <f>'HIER Rechnung Thesaurierer '!H12</f>
        <v>0.041</v>
      </c>
      <c r="AC12" s="59">
        <f t="shared" si="16"/>
        <v>337695.5986</v>
      </c>
      <c r="AD12" s="55">
        <f t="shared" si="27"/>
        <v>31454.09843</v>
      </c>
      <c r="AE12" s="55">
        <f t="shared" si="17"/>
        <v>0</v>
      </c>
      <c r="AF12" s="60">
        <f t="shared" si="18"/>
        <v>0</v>
      </c>
      <c r="AG12" s="56">
        <f t="shared" si="19"/>
        <v>0.008695174218</v>
      </c>
      <c r="AH12" s="55">
        <f t="shared" si="20"/>
        <v>2663.472528</v>
      </c>
      <c r="AI12" s="55">
        <f t="shared" si="28"/>
        <v>89867.81433</v>
      </c>
      <c r="AJ12" s="11"/>
      <c r="AK12" s="61">
        <f>AK11*(1+'HIER Rechnung Thesaurierer '!I11)</f>
        <v>0</v>
      </c>
      <c r="AL12" s="55">
        <f t="shared" si="21"/>
        <v>0</v>
      </c>
      <c r="AM12" s="55">
        <f t="shared" si="22"/>
        <v>33672.13979</v>
      </c>
      <c r="AN12" s="55"/>
      <c r="AO12" s="54"/>
      <c r="AP12" s="62"/>
      <c r="AQ12" s="54"/>
      <c r="AR12" s="62"/>
      <c r="AS12" s="62"/>
      <c r="AT12" s="62"/>
    </row>
    <row r="13" ht="12.75" customHeight="1">
      <c r="A13" s="11">
        <v>10.0</v>
      </c>
      <c r="B13" s="44">
        <f t="shared" si="23"/>
        <v>1.67529058</v>
      </c>
      <c r="C13" s="45">
        <f t="shared" si="24"/>
        <v>841062.6641</v>
      </c>
      <c r="D13" s="12">
        <f t="shared" si="25"/>
        <v>1409024.359</v>
      </c>
      <c r="E13" s="46">
        <f t="shared" si="1"/>
        <v>0.1283611787</v>
      </c>
      <c r="F13" s="47">
        <v>0.128361178711554</v>
      </c>
      <c r="G13" s="12">
        <f t="shared" si="26"/>
        <v>1589888.387</v>
      </c>
      <c r="H13" s="16">
        <f>'HIER Einzelaktien'!G13-('HIER Einzelaktien'!G13*M$1)</f>
        <v>0.02048920175</v>
      </c>
      <c r="I13" s="48">
        <f t="shared" si="2"/>
        <v>1558264.342</v>
      </c>
      <c r="J13" s="53">
        <f t="shared" si="3"/>
        <v>0.1059172481</v>
      </c>
      <c r="K13" s="53">
        <f t="shared" si="4"/>
        <v>1.835497863</v>
      </c>
      <c r="L13" s="54"/>
      <c r="M13" s="55">
        <f t="shared" si="5"/>
        <v>32575.54392</v>
      </c>
      <c r="N13" s="55">
        <f t="shared" si="6"/>
        <v>6037.062677</v>
      </c>
      <c r="O13" s="55">
        <f t="shared" si="7"/>
        <v>26538.48124</v>
      </c>
      <c r="P13" s="56">
        <f t="shared" si="8"/>
        <v>0.04037993437</v>
      </c>
      <c r="Q13" s="55">
        <f>Q12*(1+'HIER Rechnung Thesaurierer '!I13)</f>
        <v>53720.42744</v>
      </c>
      <c r="R13" s="57">
        <f t="shared" si="9"/>
        <v>16729.35257</v>
      </c>
      <c r="S13" s="58">
        <f t="shared" si="10"/>
        <v>31624.04484</v>
      </c>
      <c r="T13" s="55">
        <f t="shared" si="11"/>
        <v>17092.09817</v>
      </c>
      <c r="U13" s="55">
        <f t="shared" si="12"/>
        <v>3167.593093</v>
      </c>
      <c r="V13" s="55">
        <f t="shared" si="13"/>
        <v>14531.94658</v>
      </c>
      <c r="W13" s="55">
        <f t="shared" si="14"/>
        <v>27181.94612</v>
      </c>
      <c r="X13" s="55">
        <f t="shared" si="15"/>
        <v>53720.42736</v>
      </c>
      <c r="Y13" s="12"/>
      <c r="Z13" s="56"/>
      <c r="AA13" s="55"/>
      <c r="AB13" s="56">
        <f>'HIER Rechnung Thesaurierer '!H13</f>
        <v>0.04</v>
      </c>
      <c r="AC13" s="59">
        <f t="shared" si="16"/>
        <v>180864.0275</v>
      </c>
      <c r="AD13" s="55">
        <f t="shared" si="27"/>
        <v>39452.68205</v>
      </c>
      <c r="AE13" s="55">
        <f t="shared" si="17"/>
        <v>6877.138135</v>
      </c>
      <c r="AF13" s="60">
        <f t="shared" si="18"/>
        <v>1274.505625</v>
      </c>
      <c r="AG13" s="56">
        <f t="shared" si="19"/>
        <v>0.009140230662</v>
      </c>
      <c r="AH13" s="55">
        <f t="shared" si="20"/>
        <v>3379.039293</v>
      </c>
      <c r="AI13" s="55">
        <f t="shared" si="28"/>
        <v>93365.91317</v>
      </c>
      <c r="AJ13" s="11"/>
      <c r="AK13" s="61">
        <f>AK12*(1+'HIER Rechnung Thesaurierer '!I12)</f>
        <v>0</v>
      </c>
      <c r="AL13" s="55">
        <f t="shared" si="21"/>
        <v>0</v>
      </c>
      <c r="AM13" s="55">
        <f t="shared" si="22"/>
        <v>39581.34615</v>
      </c>
      <c r="AN13" s="55"/>
      <c r="AO13" s="54"/>
      <c r="AP13" s="62"/>
      <c r="AQ13" s="54"/>
      <c r="AR13" s="62"/>
      <c r="AS13" s="62"/>
      <c r="AT13" s="62"/>
    </row>
    <row r="14" ht="12.75" customHeight="1">
      <c r="A14" s="11">
        <v>11.0</v>
      </c>
      <c r="B14" s="44">
        <f t="shared" si="23"/>
        <v>1.890332854</v>
      </c>
      <c r="C14" s="45">
        <f t="shared" si="24"/>
        <v>824333.3115</v>
      </c>
      <c r="D14" s="12">
        <f t="shared" si="25"/>
        <v>1558264.342</v>
      </c>
      <c r="E14" s="46">
        <f t="shared" si="1"/>
        <v>0.07562721225</v>
      </c>
      <c r="F14" s="47">
        <v>0.075627212250319</v>
      </c>
      <c r="G14" s="12">
        <f t="shared" si="26"/>
        <v>1676111.53</v>
      </c>
      <c r="H14" s="16">
        <f>'HIER Einzelaktien'!G14-('HIER Einzelaktien'!G14*M$1)</f>
        <v>0.02091422686</v>
      </c>
      <c r="I14" s="48">
        <f t="shared" si="2"/>
        <v>1645584.359</v>
      </c>
      <c r="J14" s="53">
        <f t="shared" si="3"/>
        <v>0.05603671685</v>
      </c>
      <c r="K14" s="53">
        <f t="shared" si="4"/>
        <v>2.049938662</v>
      </c>
      <c r="L14" s="54"/>
      <c r="M14" s="55">
        <f t="shared" si="5"/>
        <v>35054.57678</v>
      </c>
      <c r="N14" s="55">
        <f t="shared" si="6"/>
        <v>6496.489442</v>
      </c>
      <c r="O14" s="55">
        <f t="shared" si="7"/>
        <v>28558.08734</v>
      </c>
      <c r="P14" s="56">
        <f t="shared" si="8"/>
        <v>0.0391273168</v>
      </c>
      <c r="Q14" s="55">
        <f>Q13*(1+'HIER Rechnung Thesaurierer '!I14)</f>
        <v>55546.92197</v>
      </c>
      <c r="R14" s="57">
        <f t="shared" si="9"/>
        <v>15013.65674</v>
      </c>
      <c r="S14" s="58">
        <f t="shared" si="10"/>
        <v>30527.17</v>
      </c>
      <c r="T14" s="55">
        <f t="shared" si="11"/>
        <v>17060.48186</v>
      </c>
      <c r="U14" s="55">
        <f t="shared" si="12"/>
        <v>3161.7338</v>
      </c>
      <c r="V14" s="55">
        <f t="shared" si="13"/>
        <v>13466.68797</v>
      </c>
      <c r="W14" s="55">
        <f t="shared" si="14"/>
        <v>26988.83457</v>
      </c>
      <c r="X14" s="55">
        <f t="shared" si="15"/>
        <v>55546.92191</v>
      </c>
      <c r="Y14" s="12"/>
      <c r="Z14" s="56"/>
      <c r="AA14" s="55"/>
      <c r="AB14" s="56">
        <f>'HIER Rechnung Thesaurierer '!H14</f>
        <v>0.034</v>
      </c>
      <c r="AC14" s="59">
        <f t="shared" si="16"/>
        <v>117847.1881</v>
      </c>
      <c r="AD14" s="55">
        <f t="shared" si="27"/>
        <v>37086.69133</v>
      </c>
      <c r="AE14" s="55">
        <f t="shared" si="17"/>
        <v>2032.114551</v>
      </c>
      <c r="AF14" s="60">
        <f t="shared" si="18"/>
        <v>376.6016291</v>
      </c>
      <c r="AG14" s="56">
        <f t="shared" si="19"/>
        <v>0.008034482032</v>
      </c>
      <c r="AH14" s="55">
        <f t="shared" si="20"/>
        <v>3457.578462</v>
      </c>
      <c r="AI14" s="55">
        <f t="shared" si="28"/>
        <v>91940.44926</v>
      </c>
      <c r="AJ14" s="11"/>
      <c r="AK14" s="61">
        <f>AK13*(1+'HIER Rechnung Thesaurierer '!I13)</f>
        <v>0</v>
      </c>
      <c r="AL14" s="55">
        <f t="shared" si="21"/>
        <v>0</v>
      </c>
      <c r="AM14" s="55">
        <f t="shared" si="22"/>
        <v>37903.02123</v>
      </c>
      <c r="AN14" s="55"/>
      <c r="AO14" s="54"/>
      <c r="AP14" s="62"/>
      <c r="AQ14" s="54"/>
      <c r="AR14" s="62"/>
      <c r="AS14" s="62"/>
      <c r="AT14" s="62"/>
    </row>
    <row r="15" ht="12.75" customHeight="1">
      <c r="A15" s="11">
        <v>12.0</v>
      </c>
      <c r="B15" s="44">
        <f t="shared" si="23"/>
        <v>2.033293458</v>
      </c>
      <c r="C15" s="45">
        <f t="shared" si="24"/>
        <v>809319.6548</v>
      </c>
      <c r="D15" s="12">
        <f t="shared" si="25"/>
        <v>1645584.359</v>
      </c>
      <c r="E15" s="46">
        <f t="shared" si="1"/>
        <v>0.1795257498</v>
      </c>
      <c r="F15" s="47">
        <v>0.17952574983602</v>
      </c>
      <c r="G15" s="12">
        <f t="shared" si="26"/>
        <v>1941009.125</v>
      </c>
      <c r="H15" s="16">
        <f>'HIER Einzelaktien'!G15-('HIER Einzelaktien'!G15*M$1)</f>
        <v>0.02294701769</v>
      </c>
      <c r="I15" s="48">
        <f t="shared" si="2"/>
        <v>1916921.287</v>
      </c>
      <c r="J15" s="53">
        <f t="shared" si="3"/>
        <v>0.1648878867</v>
      </c>
      <c r="K15" s="53">
        <f t="shared" si="4"/>
        <v>2.597481187</v>
      </c>
      <c r="L15" s="54"/>
      <c r="M15" s="55">
        <f t="shared" si="5"/>
        <v>44540.37074</v>
      </c>
      <c r="N15" s="55">
        <f t="shared" si="6"/>
        <v>8254.444207</v>
      </c>
      <c r="O15" s="55">
        <f t="shared" si="7"/>
        <v>36285.92653</v>
      </c>
      <c r="P15" s="56">
        <f t="shared" si="8"/>
        <v>0.03535697387</v>
      </c>
      <c r="Q15" s="55">
        <f>Q14*(1+'HIER Rechnung Thesaurierer '!I15)</f>
        <v>57657.70501</v>
      </c>
      <c r="R15" s="57">
        <f t="shared" si="9"/>
        <v>10043.62145</v>
      </c>
      <c r="S15" s="58">
        <f t="shared" si="10"/>
        <v>24087.83804</v>
      </c>
      <c r="T15" s="55">
        <f t="shared" si="11"/>
        <v>14655.65676</v>
      </c>
      <c r="U15" s="55">
        <f t="shared" si="12"/>
        <v>2716.059589</v>
      </c>
      <c r="V15" s="55">
        <f t="shared" si="13"/>
        <v>9432.181082</v>
      </c>
      <c r="W15" s="55">
        <f t="shared" si="14"/>
        <v>21371.77845</v>
      </c>
      <c r="X15" s="55">
        <f t="shared" si="15"/>
        <v>57657.70498</v>
      </c>
      <c r="Y15" s="12"/>
      <c r="Z15" s="56"/>
      <c r="AA15" s="55"/>
      <c r="AB15" s="56">
        <f>'HIER Rechnung Thesaurierer '!H15</f>
        <v>0.038</v>
      </c>
      <c r="AC15" s="59">
        <f t="shared" si="16"/>
        <v>295424.766</v>
      </c>
      <c r="AD15" s="55">
        <f t="shared" si="27"/>
        <v>43772.54396</v>
      </c>
      <c r="AE15" s="55">
        <f t="shared" si="17"/>
        <v>0</v>
      </c>
      <c r="AF15" s="60">
        <f t="shared" si="18"/>
        <v>0</v>
      </c>
      <c r="AG15" s="56">
        <f t="shared" si="19"/>
        <v>0.004859421297</v>
      </c>
      <c r="AH15" s="55">
        <f t="shared" si="20"/>
        <v>2736.430084</v>
      </c>
      <c r="AI15" s="55">
        <f t="shared" si="28"/>
        <v>89204.01918</v>
      </c>
      <c r="AJ15" s="11"/>
      <c r="AK15" s="61">
        <f>AK14*(1+'HIER Rechnung Thesaurierer '!I14)</f>
        <v>0</v>
      </c>
      <c r="AL15" s="55">
        <f t="shared" si="21"/>
        <v>0</v>
      </c>
      <c r="AM15" s="55">
        <f t="shared" si="22"/>
        <v>41437.21925</v>
      </c>
      <c r="AN15" s="55"/>
      <c r="AO15" s="54"/>
      <c r="AP15" s="62"/>
      <c r="AQ15" s="54"/>
      <c r="AR15" s="62"/>
      <c r="AS15" s="62"/>
      <c r="AT15" s="62"/>
    </row>
    <row r="16" ht="12.75" customHeight="1">
      <c r="A16" s="11">
        <v>13.0</v>
      </c>
      <c r="B16" s="44">
        <f t="shared" si="23"/>
        <v>2.39832199</v>
      </c>
      <c r="C16" s="45">
        <f t="shared" si="24"/>
        <v>799276.0333</v>
      </c>
      <c r="D16" s="12">
        <f t="shared" si="25"/>
        <v>1916921.287</v>
      </c>
      <c r="E16" s="46">
        <f t="shared" si="1"/>
        <v>0.07092650336</v>
      </c>
      <c r="F16" s="47">
        <v>0.0709265033587718</v>
      </c>
      <c r="G16" s="12">
        <f t="shared" si="26"/>
        <v>2052881.811</v>
      </c>
      <c r="H16" s="16">
        <f>'HIER Einzelaktien'!G16-('HIER Einzelaktien'!G16*M$1)</f>
        <v>0.02102326914</v>
      </c>
      <c r="I16" s="48">
        <f t="shared" si="2"/>
        <v>2021906.511</v>
      </c>
      <c r="J16" s="53">
        <f t="shared" si="3"/>
        <v>0.05476762428</v>
      </c>
      <c r="K16" s="53">
        <f t="shared" si="4"/>
        <v>2.852637948</v>
      </c>
      <c r="L16" s="54"/>
      <c r="M16" s="55">
        <f t="shared" si="5"/>
        <v>43158.28682</v>
      </c>
      <c r="N16" s="55">
        <f t="shared" si="6"/>
        <v>7998.309505</v>
      </c>
      <c r="O16" s="55">
        <f t="shared" si="7"/>
        <v>35159.97731</v>
      </c>
      <c r="P16" s="56">
        <f t="shared" si="8"/>
        <v>0.03611195991</v>
      </c>
      <c r="Q16" s="55">
        <f>Q15*(1+'HIER Rechnung Thesaurierer '!I16)</f>
        <v>60079.32862</v>
      </c>
      <c r="R16" s="57">
        <f t="shared" si="9"/>
        <v>12060.0289</v>
      </c>
      <c r="S16" s="58">
        <f t="shared" si="10"/>
        <v>30975.29866</v>
      </c>
      <c r="T16" s="55">
        <f t="shared" si="11"/>
        <v>19478.2453</v>
      </c>
      <c r="U16" s="55">
        <f t="shared" si="12"/>
        <v>3609.80581</v>
      </c>
      <c r="V16" s="55">
        <f t="shared" si="13"/>
        <v>11497.0532</v>
      </c>
      <c r="W16" s="55">
        <f t="shared" si="14"/>
        <v>24919.3513</v>
      </c>
      <c r="X16" s="55">
        <f t="shared" si="15"/>
        <v>60079.32861</v>
      </c>
      <c r="Y16" s="12"/>
      <c r="Z16" s="56"/>
      <c r="AA16" s="55"/>
      <c r="AB16" s="56">
        <f>'HIER Rechnung Thesaurierer '!H16</f>
        <v>0.042</v>
      </c>
      <c r="AC16" s="59">
        <f t="shared" si="16"/>
        <v>135960.5241</v>
      </c>
      <c r="AD16" s="55">
        <f t="shared" si="27"/>
        <v>56357.48583</v>
      </c>
      <c r="AE16" s="55">
        <f t="shared" si="17"/>
        <v>13199.19901</v>
      </c>
      <c r="AF16" s="60">
        <f t="shared" si="18"/>
        <v>2446.141556</v>
      </c>
      <c r="AG16" s="56">
        <f t="shared" si="19"/>
        <v>0.005600445744</v>
      </c>
      <c r="AH16" s="55">
        <f t="shared" si="20"/>
        <v>3457.029888</v>
      </c>
      <c r="AI16" s="55">
        <f t="shared" si="28"/>
        <v>98946.18829</v>
      </c>
      <c r="AJ16" s="11"/>
      <c r="AK16" s="61">
        <f>AK15*(1+'HIER Rechnung Thesaurierer '!I15)</f>
        <v>0</v>
      </c>
      <c r="AL16" s="55">
        <f t="shared" si="21"/>
        <v>0</v>
      </c>
      <c r="AM16" s="55">
        <f t="shared" si="22"/>
        <v>53085.01179</v>
      </c>
      <c r="AN16" s="55"/>
      <c r="AO16" s="54"/>
      <c r="AP16" s="62"/>
      <c r="AQ16" s="54"/>
      <c r="AR16" s="62"/>
      <c r="AS16" s="62"/>
      <c r="AT16" s="62"/>
    </row>
    <row r="17" ht="12.75" customHeight="1">
      <c r="A17" s="11">
        <v>14.0</v>
      </c>
      <c r="B17" s="44">
        <f t="shared" si="23"/>
        <v>2.568426583</v>
      </c>
      <c r="C17" s="45">
        <f t="shared" si="24"/>
        <v>787216.0044</v>
      </c>
      <c r="D17" s="12">
        <f t="shared" si="25"/>
        <v>2021906.511</v>
      </c>
      <c r="E17" s="46">
        <f t="shared" si="1"/>
        <v>-0.4208054743</v>
      </c>
      <c r="F17" s="47">
        <v>-0.420805474309905</v>
      </c>
      <c r="G17" s="12">
        <f t="shared" si="26"/>
        <v>1171077.183</v>
      </c>
      <c r="H17" s="16">
        <f>'HIER Einzelaktien'!G17-('HIER Einzelaktien'!G17*M$1)</f>
        <v>0.01484593692</v>
      </c>
      <c r="I17" s="48">
        <f t="shared" si="2"/>
        <v>1118614.994</v>
      </c>
      <c r="J17" s="53">
        <f t="shared" si="3"/>
        <v>-0.4467523657</v>
      </c>
      <c r="K17" s="53">
        <f t="shared" si="4"/>
        <v>1.231426809</v>
      </c>
      <c r="L17" s="54"/>
      <c r="M17" s="55">
        <f t="shared" si="5"/>
        <v>17385.73799</v>
      </c>
      <c r="N17" s="55">
        <f t="shared" si="6"/>
        <v>3222.011892</v>
      </c>
      <c r="O17" s="55">
        <f t="shared" si="7"/>
        <v>14163.72609</v>
      </c>
      <c r="P17" s="56">
        <f t="shared" si="8"/>
        <v>0.05964416974</v>
      </c>
      <c r="Q17" s="55">
        <f>Q16*(1+'HIER Rechnung Thesaurierer '!I17)</f>
        <v>62482.50176</v>
      </c>
      <c r="R17" s="57">
        <f t="shared" si="9"/>
        <v>35265.88583</v>
      </c>
      <c r="S17" s="58">
        <f t="shared" si="10"/>
        <v>52462.18794</v>
      </c>
      <c r="T17" s="55">
        <f t="shared" si="11"/>
        <v>22357.54576</v>
      </c>
      <c r="U17" s="55">
        <f t="shared" si="12"/>
        <v>4143.412169</v>
      </c>
      <c r="V17" s="55">
        <f t="shared" si="13"/>
        <v>30104.64198</v>
      </c>
      <c r="W17" s="55">
        <f t="shared" si="14"/>
        <v>48318.77577</v>
      </c>
      <c r="X17" s="55">
        <f t="shared" si="15"/>
        <v>62482.50187</v>
      </c>
      <c r="Y17" s="12"/>
      <c r="Z17" s="56"/>
      <c r="AA17" s="55"/>
      <c r="AB17" s="56">
        <f>'HIER Rechnung Thesaurierer '!H17</f>
        <v>0.04</v>
      </c>
      <c r="AC17" s="59">
        <f t="shared" si="16"/>
        <v>-850829.3289</v>
      </c>
      <c r="AD17" s="55">
        <f t="shared" si="27"/>
        <v>0</v>
      </c>
      <c r="AE17" s="55">
        <f t="shared" si="17"/>
        <v>0</v>
      </c>
      <c r="AF17" s="60">
        <f t="shared" si="18"/>
        <v>0</v>
      </c>
      <c r="AG17" s="56">
        <f t="shared" si="19"/>
        <v>0.02570679577</v>
      </c>
      <c r="AH17" s="55">
        <f t="shared" si="20"/>
        <v>6594.039625</v>
      </c>
      <c r="AI17" s="55">
        <f t="shared" si="28"/>
        <v>92352.14867</v>
      </c>
      <c r="AJ17" s="11"/>
      <c r="AK17" s="61">
        <f>AK16*(1+'HIER Rechnung Thesaurierer '!I16)</f>
        <v>0</v>
      </c>
      <c r="AL17" s="55">
        <f t="shared" si="21"/>
        <v>0</v>
      </c>
      <c r="AM17" s="55">
        <f t="shared" si="22"/>
        <v>27820.29862</v>
      </c>
      <c r="AN17" s="55"/>
      <c r="AO17" s="54"/>
      <c r="AP17" s="62"/>
      <c r="AQ17" s="54"/>
      <c r="AR17" s="62"/>
      <c r="AS17" s="62"/>
      <c r="AT17" s="62"/>
    </row>
    <row r="18" ht="12.75" customHeight="1">
      <c r="A18" s="11">
        <v>15.0</v>
      </c>
      <c r="B18" s="44">
        <f t="shared" si="23"/>
        <v>1.487618617</v>
      </c>
      <c r="C18" s="45">
        <f t="shared" si="24"/>
        <v>751950.1186</v>
      </c>
      <c r="D18" s="12">
        <f t="shared" si="25"/>
        <v>1118614.994</v>
      </c>
      <c r="E18" s="46">
        <f t="shared" si="1"/>
        <v>0.2697619932</v>
      </c>
      <c r="F18" s="47">
        <v>0.269761993249484</v>
      </c>
      <c r="G18" s="12">
        <f t="shared" si="26"/>
        <v>1420374.805</v>
      </c>
      <c r="H18" s="16">
        <f>'HIER Einzelaktien'!G18-('HIER Einzelaktien'!G18*M$1)</f>
        <v>0.03243908549</v>
      </c>
      <c r="I18" s="48">
        <f t="shared" si="2"/>
        <v>1390529.935</v>
      </c>
      <c r="J18" s="53">
        <f t="shared" si="3"/>
        <v>0.2430817952</v>
      </c>
      <c r="K18" s="53">
        <f t="shared" si="4"/>
        <v>1.833380953</v>
      </c>
      <c r="L18" s="54"/>
      <c r="M18" s="55">
        <f t="shared" si="5"/>
        <v>46075.65972</v>
      </c>
      <c r="N18" s="55">
        <f t="shared" si="6"/>
        <v>8538.971638</v>
      </c>
      <c r="O18" s="55">
        <f t="shared" si="7"/>
        <v>37536.68808</v>
      </c>
      <c r="P18" s="56">
        <f t="shared" si="8"/>
        <v>0.0534510529</v>
      </c>
      <c r="Q18" s="55">
        <f>Q17*(1+'HIER Rechnung Thesaurierer '!I18)</f>
        <v>64481.94182</v>
      </c>
      <c r="R18" s="57">
        <f t="shared" si="9"/>
        <v>15799.95137</v>
      </c>
      <c r="S18" s="58">
        <f t="shared" si="10"/>
        <v>29844.86895</v>
      </c>
      <c r="T18" s="55">
        <f t="shared" si="11"/>
        <v>15646.10956</v>
      </c>
      <c r="U18" s="55">
        <f t="shared" si="12"/>
        <v>2899.615254</v>
      </c>
      <c r="V18" s="55">
        <f t="shared" si="13"/>
        <v>14198.75915</v>
      </c>
      <c r="W18" s="55">
        <f t="shared" si="14"/>
        <v>26945.25369</v>
      </c>
      <c r="X18" s="55">
        <f t="shared" si="15"/>
        <v>64481.94178</v>
      </c>
      <c r="Y18" s="12"/>
      <c r="Z18" s="56"/>
      <c r="AA18" s="55"/>
      <c r="AB18" s="56">
        <f>'HIER Rechnung Thesaurierer '!H18</f>
        <v>0.032</v>
      </c>
      <c r="AC18" s="59">
        <f t="shared" si="16"/>
        <v>301759.8108</v>
      </c>
      <c r="AD18" s="55">
        <f t="shared" si="27"/>
        <v>25056.97587</v>
      </c>
      <c r="AE18" s="55">
        <f t="shared" si="17"/>
        <v>0</v>
      </c>
      <c r="AF18" s="60">
        <f t="shared" si="18"/>
        <v>0</v>
      </c>
      <c r="AG18" s="56">
        <f t="shared" si="19"/>
        <v>0.009996487616</v>
      </c>
      <c r="AH18" s="55">
        <f t="shared" si="20"/>
        <v>3665.452941</v>
      </c>
      <c r="AI18" s="55">
        <f t="shared" si="28"/>
        <v>88686.69573</v>
      </c>
      <c r="AJ18" s="11"/>
      <c r="AK18" s="61">
        <f>AK17*(1+'HIER Rechnung Thesaurierer '!I17)</f>
        <v>0</v>
      </c>
      <c r="AL18" s="55">
        <f t="shared" si="21"/>
        <v>0</v>
      </c>
      <c r="AM18" s="55">
        <f t="shared" si="22"/>
        <v>43205.2385</v>
      </c>
      <c r="AN18" s="55"/>
      <c r="AO18" s="54"/>
      <c r="AP18" s="62"/>
      <c r="AQ18" s="54"/>
      <c r="AR18" s="62"/>
      <c r="AS18" s="62"/>
      <c r="AT18" s="62"/>
    </row>
    <row r="19" ht="12.75" customHeight="1">
      <c r="A19" s="11">
        <v>16.0</v>
      </c>
      <c r="B19" s="44">
        <f t="shared" si="23"/>
        <v>1.88892158</v>
      </c>
      <c r="C19" s="45">
        <f t="shared" si="24"/>
        <v>736150.1672</v>
      </c>
      <c r="D19" s="12">
        <f t="shared" si="25"/>
        <v>1390529.935</v>
      </c>
      <c r="E19" s="46">
        <f t="shared" si="1"/>
        <v>0.09551224338</v>
      </c>
      <c r="F19" s="47">
        <v>0.0955122433819324</v>
      </c>
      <c r="G19" s="12">
        <f t="shared" si="26"/>
        <v>1523342.569</v>
      </c>
      <c r="H19" s="16">
        <f>'HIER Einzelaktien'!G19-('HIER Einzelaktien'!G19*M$1)</f>
        <v>0.02369097112</v>
      </c>
      <c r="I19" s="48">
        <f t="shared" si="2"/>
        <v>1482279.241</v>
      </c>
      <c r="J19" s="53">
        <f t="shared" si="3"/>
        <v>0.06598153982</v>
      </c>
      <c r="K19" s="53">
        <f t="shared" si="4"/>
        <v>2.104003524</v>
      </c>
      <c r="L19" s="54"/>
      <c r="M19" s="55">
        <f t="shared" si="5"/>
        <v>36089.4648</v>
      </c>
      <c r="N19" s="55">
        <f t="shared" si="6"/>
        <v>6688.280065</v>
      </c>
      <c r="O19" s="55">
        <f t="shared" si="7"/>
        <v>29401.18474</v>
      </c>
      <c r="P19" s="56">
        <f t="shared" si="8"/>
        <v>0.05064703977</v>
      </c>
      <c r="Q19" s="55">
        <f>Q18*(1+'HIER Rechnung Thesaurierer '!I19)</f>
        <v>66222.95425</v>
      </c>
      <c r="R19" s="57">
        <f t="shared" si="9"/>
        <v>19843.71442</v>
      </c>
      <c r="S19" s="58">
        <f t="shared" si="10"/>
        <v>41063.32656</v>
      </c>
      <c r="T19" s="55">
        <f t="shared" si="11"/>
        <v>22887.12804</v>
      </c>
      <c r="U19" s="55">
        <f t="shared" si="12"/>
        <v>4241.557005</v>
      </c>
      <c r="V19" s="55">
        <f t="shared" si="13"/>
        <v>18176.19833</v>
      </c>
      <c r="W19" s="55">
        <f t="shared" si="14"/>
        <v>36821.76956</v>
      </c>
      <c r="X19" s="55">
        <f t="shared" si="15"/>
        <v>66222.9543</v>
      </c>
      <c r="Y19" s="12"/>
      <c r="Z19" s="56"/>
      <c r="AA19" s="55"/>
      <c r="AB19" s="56">
        <f>'HIER Rechnung Thesaurierer '!H19</f>
        <v>0.027</v>
      </c>
      <c r="AC19" s="59">
        <f t="shared" si="16"/>
        <v>132812.6338</v>
      </c>
      <c r="AD19" s="55">
        <f t="shared" si="27"/>
        <v>26281.01577</v>
      </c>
      <c r="AE19" s="55">
        <f t="shared" si="17"/>
        <v>0</v>
      </c>
      <c r="AF19" s="60">
        <f t="shared" si="18"/>
        <v>0</v>
      </c>
      <c r="AG19" s="56">
        <f t="shared" si="19"/>
        <v>0.01193178652</v>
      </c>
      <c r="AH19" s="55">
        <f t="shared" si="20"/>
        <v>4947.048728</v>
      </c>
      <c r="AI19" s="55">
        <f t="shared" si="28"/>
        <v>83739.647</v>
      </c>
      <c r="AJ19" s="11"/>
      <c r="AK19" s="61">
        <f>AK18*(1+'HIER Rechnung Thesaurierer '!I18)</f>
        <v>0</v>
      </c>
      <c r="AL19" s="55">
        <f t="shared" si="21"/>
        <v>0</v>
      </c>
      <c r="AM19" s="55">
        <f t="shared" si="22"/>
        <v>41283.61499</v>
      </c>
      <c r="AN19" s="55"/>
      <c r="AO19" s="54"/>
      <c r="AP19" s="62"/>
      <c r="AQ19" s="54"/>
      <c r="AR19" s="62"/>
      <c r="AS19" s="62"/>
      <c r="AT19" s="62"/>
    </row>
    <row r="20" ht="12.75" customHeight="1">
      <c r="A20" s="11">
        <v>17.0</v>
      </c>
      <c r="B20" s="44">
        <f t="shared" si="23"/>
        <v>2.069336717</v>
      </c>
      <c r="C20" s="45">
        <f t="shared" si="24"/>
        <v>716306.4528</v>
      </c>
      <c r="D20" s="12">
        <f t="shared" si="25"/>
        <v>1482279.241</v>
      </c>
      <c r="E20" s="46">
        <f t="shared" si="1"/>
        <v>-0.07614890112</v>
      </c>
      <c r="F20" s="47">
        <v>-0.0761489011156412</v>
      </c>
      <c r="G20" s="12">
        <f t="shared" si="26"/>
        <v>1369405.306</v>
      </c>
      <c r="H20" s="16">
        <f>'HIER Einzelaktien'!G20-('HIER Einzelaktien'!G20*M$1)</f>
        <v>0.0220861391</v>
      </c>
      <c r="I20" s="48">
        <f t="shared" si="2"/>
        <v>1321340.261</v>
      </c>
      <c r="J20" s="53">
        <f t="shared" si="3"/>
        <v>-0.108575345</v>
      </c>
      <c r="K20" s="53">
        <f t="shared" si="4"/>
        <v>1.867637067</v>
      </c>
      <c r="L20" s="54"/>
      <c r="M20" s="55">
        <f t="shared" si="5"/>
        <v>30244.87607</v>
      </c>
      <c r="N20" s="55">
        <f t="shared" si="6"/>
        <v>5605.131658</v>
      </c>
      <c r="O20" s="55">
        <f t="shared" si="7"/>
        <v>24639.74441</v>
      </c>
      <c r="P20" s="56">
        <f t="shared" si="8"/>
        <v>0.05718534892</v>
      </c>
      <c r="Q20" s="55">
        <f>Q19*(1+'HIER Rechnung Thesaurierer '!I20)</f>
        <v>67944.75106</v>
      </c>
      <c r="R20" s="57">
        <f t="shared" si="9"/>
        <v>25141.79045</v>
      </c>
      <c r="S20" s="58">
        <f t="shared" si="10"/>
        <v>48065.04383</v>
      </c>
      <c r="T20" s="55">
        <f t="shared" si="11"/>
        <v>25684.80831</v>
      </c>
      <c r="U20" s="55">
        <f t="shared" si="12"/>
        <v>4760.037101</v>
      </c>
      <c r="V20" s="55">
        <f t="shared" si="13"/>
        <v>22380.23534</v>
      </c>
      <c r="W20" s="55">
        <f t="shared" si="14"/>
        <v>43305.00673</v>
      </c>
      <c r="X20" s="55">
        <f t="shared" si="15"/>
        <v>67944.75114</v>
      </c>
      <c r="Y20" s="12"/>
      <c r="Z20" s="56"/>
      <c r="AA20" s="55"/>
      <c r="AB20" s="56">
        <f>'HIER Rechnung Thesaurierer '!H20</f>
        <v>0.026</v>
      </c>
      <c r="AC20" s="59">
        <f t="shared" si="16"/>
        <v>-112873.9356</v>
      </c>
      <c r="AD20" s="55">
        <f t="shared" si="27"/>
        <v>0</v>
      </c>
      <c r="AE20" s="55">
        <f t="shared" si="17"/>
        <v>0</v>
      </c>
      <c r="AF20" s="60">
        <f t="shared" si="18"/>
        <v>0</v>
      </c>
      <c r="AG20" s="56">
        <f t="shared" si="19"/>
        <v>0.01634303244</v>
      </c>
      <c r="AH20" s="55">
        <f t="shared" si="20"/>
        <v>5619.033289</v>
      </c>
      <c r="AI20" s="55">
        <f t="shared" si="28"/>
        <v>78120.61371</v>
      </c>
      <c r="AJ20" s="11"/>
      <c r="AK20" s="61">
        <f>AK19*(1+'HIER Rechnung Thesaurierer '!I19)</f>
        <v>0</v>
      </c>
      <c r="AL20" s="55">
        <f t="shared" si="21"/>
        <v>0</v>
      </c>
      <c r="AM20" s="55">
        <f t="shared" si="22"/>
        <v>39150.77907</v>
      </c>
      <c r="AN20" s="55"/>
      <c r="AO20" s="54"/>
      <c r="AP20" s="62"/>
      <c r="AQ20" s="54"/>
      <c r="AR20" s="62"/>
      <c r="AS20" s="62"/>
      <c r="AT20" s="62"/>
    </row>
    <row r="21" ht="12.75" customHeight="1">
      <c r="A21" s="11">
        <v>18.0</v>
      </c>
      <c r="B21" s="44">
        <f t="shared" si="23"/>
        <v>1.911759</v>
      </c>
      <c r="C21" s="45">
        <f t="shared" si="24"/>
        <v>691164.6624</v>
      </c>
      <c r="D21" s="12">
        <f t="shared" si="25"/>
        <v>1321340.261</v>
      </c>
      <c r="E21" s="46">
        <f t="shared" si="1"/>
        <v>0.1318329606</v>
      </c>
      <c r="F21" s="47">
        <v>0.131832960565536</v>
      </c>
      <c r="G21" s="12">
        <f t="shared" si="26"/>
        <v>1495536.46</v>
      </c>
      <c r="H21" s="16">
        <f>'HIER Einzelaktien'!G21-('HIER Einzelaktien'!G21*M$1)</f>
        <v>0.02850850721</v>
      </c>
      <c r="I21" s="48">
        <f t="shared" si="2"/>
        <v>1457193.182</v>
      </c>
      <c r="J21" s="53">
        <f t="shared" si="3"/>
        <v>0.1028144867</v>
      </c>
      <c r="K21" s="53">
        <f t="shared" si="4"/>
        <v>2.245686151</v>
      </c>
      <c r="L21" s="54"/>
      <c r="M21" s="55">
        <f t="shared" si="5"/>
        <v>42635.51195</v>
      </c>
      <c r="N21" s="55">
        <f t="shared" si="6"/>
        <v>7901.426253</v>
      </c>
      <c r="O21" s="55">
        <f t="shared" si="7"/>
        <v>34734.0857</v>
      </c>
      <c r="P21" s="56">
        <f t="shared" si="8"/>
        <v>0.05414698445</v>
      </c>
      <c r="Q21" s="55">
        <f>Q20*(1+'HIER Rechnung Thesaurierer '!I21)</f>
        <v>68963.92232</v>
      </c>
      <c r="R21" s="57">
        <f t="shared" si="9"/>
        <v>17720.40943</v>
      </c>
      <c r="S21" s="58">
        <f t="shared" si="10"/>
        <v>38343.2771</v>
      </c>
      <c r="T21" s="55">
        <f t="shared" si="11"/>
        <v>22195.82001</v>
      </c>
      <c r="U21" s="55">
        <f t="shared" si="12"/>
        <v>4113.440343</v>
      </c>
      <c r="V21" s="55">
        <f t="shared" si="13"/>
        <v>16147.45698</v>
      </c>
      <c r="W21" s="55">
        <f t="shared" si="14"/>
        <v>34229.83675</v>
      </c>
      <c r="X21" s="55">
        <f t="shared" si="15"/>
        <v>68963.92246</v>
      </c>
      <c r="Y21" s="12"/>
      <c r="Z21" s="56"/>
      <c r="AA21" s="55"/>
      <c r="AB21" s="56">
        <f>'HIER Rechnung Thesaurierer '!H21</f>
        <v>0.015</v>
      </c>
      <c r="AC21" s="59">
        <f t="shared" si="16"/>
        <v>174196.1989</v>
      </c>
      <c r="AD21" s="55">
        <f t="shared" si="27"/>
        <v>13874.07275</v>
      </c>
      <c r="AE21" s="55">
        <f t="shared" si="17"/>
        <v>0</v>
      </c>
      <c r="AF21" s="60">
        <f t="shared" si="18"/>
        <v>0</v>
      </c>
      <c r="AG21" s="56">
        <f t="shared" si="19"/>
        <v>0.01079710018</v>
      </c>
      <c r="AH21" s="55">
        <f t="shared" si="20"/>
        <v>4333.844743</v>
      </c>
      <c r="AI21" s="55">
        <f t="shared" si="28"/>
        <v>73786.76897</v>
      </c>
      <c r="AJ21" s="11"/>
      <c r="AK21" s="61">
        <f>AK20*(1+'HIER Rechnung Thesaurierer '!I20)</f>
        <v>0</v>
      </c>
      <c r="AL21" s="55">
        <f t="shared" si="21"/>
        <v>0</v>
      </c>
      <c r="AM21" s="55">
        <f t="shared" si="22"/>
        <v>45381.93237</v>
      </c>
      <c r="AN21" s="55"/>
      <c r="AO21" s="54"/>
      <c r="AP21" s="62"/>
      <c r="AQ21" s="54"/>
      <c r="AR21" s="62"/>
      <c r="AS21" s="62"/>
      <c r="AT21" s="62"/>
    </row>
    <row r="22" ht="12.75" customHeight="1">
      <c r="A22" s="11">
        <v>19.0</v>
      </c>
      <c r="B22" s="44">
        <f t="shared" si="23"/>
        <v>2.163791849</v>
      </c>
      <c r="C22" s="45">
        <f t="shared" si="24"/>
        <v>673444.2529</v>
      </c>
      <c r="D22" s="12">
        <f t="shared" si="25"/>
        <v>1457193.182</v>
      </c>
      <c r="E22" s="46">
        <f t="shared" si="1"/>
        <v>0.2409929025</v>
      </c>
      <c r="F22" s="47">
        <v>0.240992902502802</v>
      </c>
      <c r="G22" s="12">
        <f t="shared" si="26"/>
        <v>1808366.397</v>
      </c>
      <c r="H22" s="16">
        <f>'HIER Einzelaktien'!G22-('HIER Einzelaktien'!G22*M$1)</f>
        <v>0.02775862571</v>
      </c>
      <c r="I22" s="48">
        <f t="shared" si="2"/>
        <v>1775253.141</v>
      </c>
      <c r="J22" s="53">
        <f t="shared" si="3"/>
        <v>0.2182689038</v>
      </c>
      <c r="K22" s="53">
        <f t="shared" si="4"/>
        <v>3.027873477</v>
      </c>
      <c r="L22" s="54"/>
      <c r="M22" s="55">
        <f t="shared" si="5"/>
        <v>50197.76595</v>
      </c>
      <c r="N22" s="55">
        <f t="shared" si="6"/>
        <v>9302.900975</v>
      </c>
      <c r="O22" s="55">
        <f t="shared" si="7"/>
        <v>40894.86498</v>
      </c>
      <c r="P22" s="56">
        <f t="shared" si="8"/>
        <v>0.04606976895</v>
      </c>
      <c r="Q22" s="55">
        <f>Q21*(1+'HIER Rechnung Thesaurierer '!I22)</f>
        <v>70067.34508</v>
      </c>
      <c r="R22" s="57">
        <f t="shared" si="9"/>
        <v>12331.53416</v>
      </c>
      <c r="S22" s="58">
        <f t="shared" si="10"/>
        <v>33113.25578</v>
      </c>
      <c r="T22" s="55">
        <f t="shared" si="11"/>
        <v>21264.13329</v>
      </c>
      <c r="U22" s="55">
        <f t="shared" si="12"/>
        <v>3940.775502</v>
      </c>
      <c r="V22" s="55">
        <f t="shared" si="13"/>
        <v>11849.12255</v>
      </c>
      <c r="W22" s="55">
        <f t="shared" si="14"/>
        <v>29172.48028</v>
      </c>
      <c r="X22" s="55">
        <f t="shared" si="15"/>
        <v>70067.34526</v>
      </c>
      <c r="Y22" s="12"/>
      <c r="Z22" s="56"/>
      <c r="AA22" s="55"/>
      <c r="AB22" s="56">
        <f>'HIER Rechnung Thesaurierer '!H22</f>
        <v>0.016</v>
      </c>
      <c r="AC22" s="59">
        <f t="shared" si="16"/>
        <v>351173.2152</v>
      </c>
      <c r="AD22" s="55">
        <f t="shared" si="27"/>
        <v>16320.56364</v>
      </c>
      <c r="AE22" s="55">
        <f t="shared" si="17"/>
        <v>0</v>
      </c>
      <c r="AF22" s="60">
        <f t="shared" si="18"/>
        <v>0</v>
      </c>
      <c r="AG22" s="56">
        <f t="shared" si="19"/>
        <v>0.006552390364</v>
      </c>
      <c r="AH22" s="55">
        <f t="shared" si="20"/>
        <v>3628.095635</v>
      </c>
      <c r="AI22" s="55">
        <f t="shared" si="28"/>
        <v>70158.67333</v>
      </c>
      <c r="AJ22" s="11"/>
      <c r="AK22" s="61">
        <f>AK21*(1+'HIER Rechnung Thesaurierer '!I21)</f>
        <v>0</v>
      </c>
      <c r="AL22" s="55">
        <f t="shared" si="21"/>
        <v>0</v>
      </c>
      <c r="AM22" s="55">
        <f t="shared" si="22"/>
        <v>50023.32947</v>
      </c>
      <c r="AN22" s="55"/>
      <c r="AO22" s="54"/>
      <c r="AP22" s="62"/>
      <c r="AQ22" s="54"/>
      <c r="AR22" s="62"/>
      <c r="AS22" s="62"/>
      <c r="AT22" s="62"/>
    </row>
    <row r="23" ht="12.75" customHeight="1">
      <c r="A23" s="11">
        <v>20.0</v>
      </c>
      <c r="B23" s="44">
        <f t="shared" si="23"/>
        <v>2.685250327</v>
      </c>
      <c r="C23" s="45">
        <f t="shared" si="24"/>
        <v>661112.7188</v>
      </c>
      <c r="D23" s="12">
        <f t="shared" si="25"/>
        <v>1775253.141</v>
      </c>
      <c r="E23" s="46">
        <f t="shared" si="1"/>
        <v>0.02926007288</v>
      </c>
      <c r="F23" s="47">
        <v>0.0292600728807775</v>
      </c>
      <c r="G23" s="12">
        <f t="shared" si="26"/>
        <v>1827197.177</v>
      </c>
      <c r="H23" s="16">
        <f>'HIER Einzelaktien'!G23-('HIER Einzelaktien'!G23*M$1)</f>
        <v>0.02191028438</v>
      </c>
      <c r="I23" s="48">
        <f t="shared" si="2"/>
        <v>1783634.978</v>
      </c>
      <c r="J23" s="53">
        <f t="shared" si="3"/>
        <v>0.004721488486</v>
      </c>
      <c r="K23" s="53">
        <f t="shared" si="4"/>
        <v>3.145729349</v>
      </c>
      <c r="L23" s="54"/>
      <c r="M23" s="55">
        <f t="shared" si="5"/>
        <v>40034.40976</v>
      </c>
      <c r="N23" s="55">
        <f t="shared" si="6"/>
        <v>7419.376989</v>
      </c>
      <c r="O23" s="55">
        <f t="shared" si="7"/>
        <v>32615.03277</v>
      </c>
      <c r="P23" s="56">
        <f t="shared" si="8"/>
        <v>0.04575127971</v>
      </c>
      <c r="Q23" s="55">
        <f>Q22*(1+'HIER Rechnung Thesaurierer '!I23)</f>
        <v>70908.15322</v>
      </c>
      <c r="R23" s="57">
        <f t="shared" si="9"/>
        <v>15761.58521</v>
      </c>
      <c r="S23" s="58">
        <f t="shared" si="10"/>
        <v>43562.19915</v>
      </c>
      <c r="T23" s="55">
        <f t="shared" si="11"/>
        <v>28431.55828</v>
      </c>
      <c r="U23" s="55">
        <f t="shared" si="12"/>
        <v>5269.078537</v>
      </c>
      <c r="V23" s="55">
        <f t="shared" si="13"/>
        <v>15130.64101</v>
      </c>
      <c r="W23" s="55">
        <f t="shared" si="14"/>
        <v>38293.12061</v>
      </c>
      <c r="X23" s="55">
        <f t="shared" si="15"/>
        <v>70908.15338</v>
      </c>
      <c r="Y23" s="12"/>
      <c r="Z23" s="56"/>
      <c r="AA23" s="55"/>
      <c r="AB23" s="56">
        <f>'HIER Rechnung Thesaurierer '!H23</f>
        <v>0.012</v>
      </c>
      <c r="AC23" s="59">
        <f t="shared" si="16"/>
        <v>51944.03639</v>
      </c>
      <c r="AD23" s="55">
        <f t="shared" si="27"/>
        <v>14912.12638</v>
      </c>
      <c r="AE23" s="55">
        <f t="shared" si="17"/>
        <v>0</v>
      </c>
      <c r="AF23" s="60">
        <f t="shared" si="18"/>
        <v>0</v>
      </c>
      <c r="AG23" s="56">
        <f t="shared" si="19"/>
        <v>0.008280792683</v>
      </c>
      <c r="AH23" s="55">
        <f t="shared" si="20"/>
        <v>4622.91227</v>
      </c>
      <c r="AI23" s="55">
        <f t="shared" si="28"/>
        <v>65535.76106</v>
      </c>
      <c r="AJ23" s="11"/>
      <c r="AK23" s="61">
        <f>AK22*(1+'HIER Rechnung Thesaurierer '!I22)</f>
        <v>0</v>
      </c>
      <c r="AL23" s="55">
        <f t="shared" si="21"/>
        <v>0</v>
      </c>
      <c r="AM23" s="55">
        <f t="shared" si="22"/>
        <v>47926.17763</v>
      </c>
      <c r="AN23" s="55"/>
      <c r="AO23" s="54"/>
      <c r="AP23" s="62"/>
      <c r="AQ23" s="54"/>
      <c r="AR23" s="62"/>
      <c r="AS23" s="62"/>
      <c r="AT23" s="62"/>
    </row>
    <row r="24" ht="12.75" customHeight="1">
      <c r="A24" s="11">
        <v>21.0</v>
      </c>
      <c r="B24" s="44">
        <f t="shared" si="23"/>
        <v>2.763820948</v>
      </c>
      <c r="C24" s="45">
        <f t="shared" si="24"/>
        <v>645351.1336</v>
      </c>
      <c r="D24" s="12">
        <f t="shared" si="25"/>
        <v>1783634.978</v>
      </c>
      <c r="E24" s="46">
        <f t="shared" si="1"/>
        <v>-0.02741929446</v>
      </c>
      <c r="F24" s="47">
        <v>-0.0274192944611598</v>
      </c>
      <c r="G24" s="12">
        <f t="shared" si="26"/>
        <v>1734728.965</v>
      </c>
      <c r="H24" s="16">
        <f>'HIER Einzelaktien'!G24-('HIER Einzelaktien'!G24*M$1)</f>
        <v>0.02057845754</v>
      </c>
      <c r="I24" s="48">
        <f t="shared" si="2"/>
        <v>1686767.153</v>
      </c>
      <c r="J24" s="53">
        <f t="shared" si="3"/>
        <v>-0.05430922043</v>
      </c>
      <c r="K24" s="53">
        <f t="shared" si="4"/>
        <v>3.032056375</v>
      </c>
      <c r="L24" s="54"/>
      <c r="M24" s="55">
        <f t="shared" si="5"/>
        <v>35698.04636</v>
      </c>
      <c r="N24" s="55">
        <f t="shared" si="6"/>
        <v>6615.740442</v>
      </c>
      <c r="O24" s="55">
        <f t="shared" si="7"/>
        <v>29082.30592</v>
      </c>
      <c r="P24" s="56">
        <f t="shared" si="8"/>
        <v>0.04822647287</v>
      </c>
      <c r="Q24" s="55">
        <f>Q23*(1+'HIER Rechnung Thesaurierer '!I24)</f>
        <v>71262.69399</v>
      </c>
      <c r="R24" s="57">
        <f t="shared" si="9"/>
        <v>17842.678</v>
      </c>
      <c r="S24" s="58">
        <f t="shared" si="10"/>
        <v>47961.81289</v>
      </c>
      <c r="T24" s="55">
        <f t="shared" si="11"/>
        <v>31196.1401</v>
      </c>
      <c r="U24" s="55">
        <f t="shared" si="12"/>
        <v>5781.424665</v>
      </c>
      <c r="V24" s="55">
        <f t="shared" si="13"/>
        <v>16765.67298</v>
      </c>
      <c r="W24" s="55">
        <f t="shared" si="14"/>
        <v>42180.38822</v>
      </c>
      <c r="X24" s="55">
        <f t="shared" si="15"/>
        <v>71262.69414</v>
      </c>
      <c r="Y24" s="12"/>
      <c r="Z24" s="56"/>
      <c r="AA24" s="55"/>
      <c r="AB24" s="56">
        <f>'HIER Rechnung Thesaurierer '!H24</f>
        <v>0.005</v>
      </c>
      <c r="AC24" s="59">
        <f t="shared" si="16"/>
        <v>-48906.01277</v>
      </c>
      <c r="AD24" s="55">
        <f t="shared" si="27"/>
        <v>0</v>
      </c>
      <c r="AE24" s="55">
        <f t="shared" si="17"/>
        <v>0</v>
      </c>
      <c r="AF24" s="60">
        <f t="shared" si="18"/>
        <v>0</v>
      </c>
      <c r="AG24" s="56">
        <f t="shared" si="19"/>
        <v>0.009664721878</v>
      </c>
      <c r="AH24" s="55">
        <f t="shared" si="20"/>
        <v>4870.548367</v>
      </c>
      <c r="AI24" s="55">
        <f t="shared" si="28"/>
        <v>60665.2127</v>
      </c>
      <c r="AJ24" s="11"/>
      <c r="AK24" s="61">
        <f>AK23*(1+'HIER Rechnung Thesaurierer '!I23)</f>
        <v>0</v>
      </c>
      <c r="AL24" s="55">
        <f t="shared" si="21"/>
        <v>0</v>
      </c>
      <c r="AM24" s="55">
        <f t="shared" si="22"/>
        <v>46825.93052</v>
      </c>
      <c r="AN24" s="55"/>
      <c r="AO24" s="54"/>
      <c r="AP24" s="62"/>
      <c r="AQ24" s="54"/>
      <c r="AR24" s="62"/>
      <c r="AS24" s="62"/>
      <c r="AT24" s="62"/>
    </row>
    <row r="25" ht="12.75" customHeight="1">
      <c r="A25" s="11">
        <v>22.0</v>
      </c>
      <c r="B25" s="44">
        <f t="shared" si="23"/>
        <v>2.688038927</v>
      </c>
      <c r="C25" s="45">
        <f t="shared" si="24"/>
        <v>627508.4556</v>
      </c>
      <c r="D25" s="12">
        <f t="shared" si="25"/>
        <v>1686767.153</v>
      </c>
      <c r="E25" s="46">
        <f t="shared" si="1"/>
        <v>0.05317856572</v>
      </c>
      <c r="F25" s="47">
        <v>0.0531785657152961</v>
      </c>
      <c r="G25" s="12">
        <f t="shared" si="26"/>
        <v>1776467.011</v>
      </c>
      <c r="H25" s="16">
        <f>'HIER Einzelaktien'!G25-('HIER Einzelaktien'!G25*M$1)</f>
        <v>0.02409996466</v>
      </c>
      <c r="I25" s="48">
        <f t="shared" si="2"/>
        <v>1734862.302</v>
      </c>
      <c r="J25" s="53">
        <f t="shared" si="3"/>
        <v>0.0285132116</v>
      </c>
      <c r="K25" s="53">
        <f t="shared" si="4"/>
        <v>3.24647535</v>
      </c>
      <c r="L25" s="54"/>
      <c r="M25" s="55">
        <f t="shared" si="5"/>
        <v>42812.79218</v>
      </c>
      <c r="N25" s="55">
        <f t="shared" si="6"/>
        <v>7934.28071</v>
      </c>
      <c r="O25" s="55">
        <f t="shared" si="7"/>
        <v>34878.51147</v>
      </c>
      <c r="P25" s="56">
        <f t="shared" si="8"/>
        <v>0.04751988166</v>
      </c>
      <c r="Q25" s="55">
        <f>Q24*(1+'HIER Rechnung Thesaurierer '!I25)</f>
        <v>71333.95668</v>
      </c>
      <c r="R25" s="57">
        <f t="shared" si="9"/>
        <v>14696.19592</v>
      </c>
      <c r="S25" s="58">
        <f t="shared" si="10"/>
        <v>41604.70991</v>
      </c>
      <c r="T25" s="55">
        <f t="shared" si="11"/>
        <v>27785.05082</v>
      </c>
      <c r="U25" s="55">
        <f t="shared" si="12"/>
        <v>5149.264543</v>
      </c>
      <c r="V25" s="55">
        <f t="shared" si="13"/>
        <v>13819.65938</v>
      </c>
      <c r="W25" s="55">
        <f t="shared" si="14"/>
        <v>36455.44537</v>
      </c>
      <c r="X25" s="55">
        <f t="shared" si="15"/>
        <v>71333.95683</v>
      </c>
      <c r="Y25" s="12"/>
      <c r="Z25" s="56"/>
      <c r="AA25" s="55"/>
      <c r="AB25" s="56">
        <f>'HIER Rechnung Thesaurierer '!H25</f>
        <v>0.001</v>
      </c>
      <c r="AC25" s="59">
        <f t="shared" si="16"/>
        <v>89699.85804</v>
      </c>
      <c r="AD25" s="55">
        <f t="shared" si="27"/>
        <v>1180.737007</v>
      </c>
      <c r="AE25" s="55">
        <f t="shared" si="17"/>
        <v>0</v>
      </c>
      <c r="AF25" s="60">
        <f t="shared" si="18"/>
        <v>0</v>
      </c>
      <c r="AG25" s="56">
        <f t="shared" si="19"/>
        <v>0.007779294126</v>
      </c>
      <c r="AH25" s="55">
        <f t="shared" si="20"/>
        <v>4022.190543</v>
      </c>
      <c r="AI25" s="55">
        <f t="shared" si="28"/>
        <v>56643.02215</v>
      </c>
      <c r="AJ25" s="11"/>
      <c r="AK25" s="61">
        <f>AK24*(1+'HIER Rechnung Thesaurierer '!I24)</f>
        <v>0</v>
      </c>
      <c r="AL25" s="55">
        <f t="shared" si="21"/>
        <v>0</v>
      </c>
      <c r="AM25" s="55">
        <f t="shared" si="22"/>
        <v>49418.4901</v>
      </c>
      <c r="AN25" s="55"/>
      <c r="AO25" s="54"/>
      <c r="AP25" s="62"/>
      <c r="AQ25" s="54"/>
      <c r="AR25" s="62"/>
      <c r="AS25" s="62"/>
      <c r="AT25" s="62"/>
    </row>
    <row r="26" ht="12.75" customHeight="1">
      <c r="A26" s="11">
        <v>23.0</v>
      </c>
      <c r="B26" s="44">
        <f t="shared" si="23"/>
        <v>2.830984982</v>
      </c>
      <c r="C26" s="45">
        <f t="shared" si="24"/>
        <v>612812.2596</v>
      </c>
      <c r="D26" s="12">
        <f t="shared" si="25"/>
        <v>1734862.302</v>
      </c>
      <c r="E26" s="46">
        <f t="shared" si="1"/>
        <v>0.2011336104</v>
      </c>
      <c r="F26" s="47">
        <v>0.201133610359412</v>
      </c>
      <c r="G26" s="12">
        <f t="shared" si="26"/>
        <v>2083801.42</v>
      </c>
      <c r="H26" s="16">
        <f>'HIER Einzelaktien'!G26-('HIER Einzelaktien'!G26*M$1)</f>
        <v>0.0251512414</v>
      </c>
      <c r="I26" s="48">
        <f t="shared" si="2"/>
        <v>2050568.623</v>
      </c>
      <c r="J26" s="53">
        <f t="shared" si="3"/>
        <v>0.1819777401</v>
      </c>
      <c r="K26" s="53">
        <f t="shared" si="4"/>
        <v>4.100584268</v>
      </c>
      <c r="L26" s="54"/>
      <c r="M26" s="55">
        <f t="shared" si="5"/>
        <v>52410.19254</v>
      </c>
      <c r="N26" s="55">
        <f t="shared" si="6"/>
        <v>9712.918932</v>
      </c>
      <c r="O26" s="55">
        <f t="shared" si="7"/>
        <v>42697.27361</v>
      </c>
      <c r="P26" s="56">
        <f t="shared" si="8"/>
        <v>0.04109940135</v>
      </c>
      <c r="Q26" s="55">
        <f>Q25*(1+'HIER Rechnung Thesaurierer '!I26)</f>
        <v>71547.95855</v>
      </c>
      <c r="R26" s="57">
        <f t="shared" si="9"/>
        <v>9773.227922</v>
      </c>
      <c r="S26" s="58">
        <f t="shared" si="10"/>
        <v>33232.79851</v>
      </c>
      <c r="T26" s="55">
        <f t="shared" si="11"/>
        <v>23645.56023</v>
      </c>
      <c r="U26" s="55">
        <f t="shared" si="12"/>
        <v>4382.11345</v>
      </c>
      <c r="V26" s="55">
        <f t="shared" si="13"/>
        <v>9587.238651</v>
      </c>
      <c r="W26" s="55">
        <f t="shared" si="14"/>
        <v>28850.68506</v>
      </c>
      <c r="X26" s="55">
        <f t="shared" si="15"/>
        <v>71547.95866</v>
      </c>
      <c r="Y26" s="12"/>
      <c r="Z26" s="56"/>
      <c r="AA26" s="55"/>
      <c r="AB26" s="56">
        <f>'HIER Rechnung Thesaurierer '!H26</f>
        <v>0.003</v>
      </c>
      <c r="AC26" s="59">
        <f t="shared" si="16"/>
        <v>348939.1186</v>
      </c>
      <c r="AD26" s="55">
        <f t="shared" si="27"/>
        <v>3643.210833</v>
      </c>
      <c r="AE26" s="55">
        <f t="shared" si="17"/>
        <v>0</v>
      </c>
      <c r="AF26" s="60">
        <f t="shared" si="18"/>
        <v>0</v>
      </c>
      <c r="AG26" s="56">
        <f t="shared" si="19"/>
        <v>0.004600840829</v>
      </c>
      <c r="AH26" s="55">
        <f t="shared" si="20"/>
        <v>3071.750136</v>
      </c>
      <c r="AI26" s="55">
        <f t="shared" si="28"/>
        <v>53571.27202</v>
      </c>
      <c r="AJ26" s="11"/>
      <c r="AK26" s="61">
        <f>AK25*(1+'HIER Rechnung Thesaurierer '!I25)</f>
        <v>0</v>
      </c>
      <c r="AL26" s="55">
        <f t="shared" si="21"/>
        <v>0</v>
      </c>
      <c r="AM26" s="55">
        <f t="shared" si="22"/>
        <v>53239.02694</v>
      </c>
      <c r="AN26" s="55"/>
      <c r="AO26" s="54"/>
      <c r="AP26" s="62"/>
      <c r="AQ26" s="54"/>
      <c r="AR26" s="62"/>
      <c r="AS26" s="62"/>
      <c r="AT26" s="62"/>
    </row>
    <row r="27" ht="12.75" customHeight="1">
      <c r="A27" s="11">
        <v>24.0</v>
      </c>
      <c r="B27" s="44">
        <f t="shared" si="23"/>
        <v>3.400391212</v>
      </c>
      <c r="C27" s="45">
        <f t="shared" si="24"/>
        <v>603039.0317</v>
      </c>
      <c r="D27" s="12">
        <f t="shared" si="25"/>
        <v>2050568.623</v>
      </c>
      <c r="E27" s="46">
        <f t="shared" si="1"/>
        <v>-0.104374817</v>
      </c>
      <c r="F27" s="47">
        <v>-0.104374816967189</v>
      </c>
      <c r="G27" s="12">
        <f t="shared" si="26"/>
        <v>1836540.898</v>
      </c>
      <c r="H27" s="16">
        <f>'HIER Einzelaktien'!G27-('HIER Einzelaktien'!G27*M$1)</f>
        <v>0.01897896652</v>
      </c>
      <c r="I27" s="48">
        <f t="shared" si="2"/>
        <v>1786709.782</v>
      </c>
      <c r="J27" s="53">
        <f t="shared" si="3"/>
        <v>-0.1286759379</v>
      </c>
      <c r="K27" s="53">
        <f t="shared" si="4"/>
        <v>3.568211719</v>
      </c>
      <c r="L27" s="54"/>
      <c r="M27" s="55">
        <f t="shared" si="5"/>
        <v>34855.64821</v>
      </c>
      <c r="N27" s="55">
        <f t="shared" si="6"/>
        <v>6459.623005</v>
      </c>
      <c r="O27" s="55">
        <f t="shared" si="7"/>
        <v>28396.02521</v>
      </c>
      <c r="P27" s="56">
        <f t="shared" si="8"/>
        <v>0.04611210426</v>
      </c>
      <c r="Q27" s="55">
        <f>Q26*(1+'HIER Rechnung Thesaurierer '!I27)</f>
        <v>71834.15038</v>
      </c>
      <c r="R27" s="57">
        <f t="shared" si="9"/>
        <v>16362.3411</v>
      </c>
      <c r="S27" s="58">
        <f t="shared" si="10"/>
        <v>49831.11736</v>
      </c>
      <c r="T27" s="55">
        <f t="shared" si="11"/>
        <v>34496.1128</v>
      </c>
      <c r="U27" s="55">
        <f t="shared" si="12"/>
        <v>6392.992105</v>
      </c>
      <c r="V27" s="55">
        <f t="shared" si="13"/>
        <v>15335.00489</v>
      </c>
      <c r="W27" s="55">
        <f t="shared" si="14"/>
        <v>43438.12525</v>
      </c>
      <c r="X27" s="55">
        <f t="shared" si="15"/>
        <v>71834.15046</v>
      </c>
      <c r="Y27" s="12"/>
      <c r="Z27" s="56"/>
      <c r="AA27" s="55"/>
      <c r="AB27" s="56">
        <f>'HIER Rechnung Thesaurierer '!H27</f>
        <v>0.004</v>
      </c>
      <c r="AC27" s="59">
        <f t="shared" si="16"/>
        <v>-214027.7248</v>
      </c>
      <c r="AD27" s="55">
        <f t="shared" si="27"/>
        <v>0</v>
      </c>
      <c r="AE27" s="55">
        <f t="shared" si="17"/>
        <v>0</v>
      </c>
      <c r="AF27" s="60">
        <f t="shared" si="18"/>
        <v>0</v>
      </c>
      <c r="AG27" s="56">
        <f t="shared" si="19"/>
        <v>0.00834993923</v>
      </c>
      <c r="AH27" s="55">
        <f t="shared" si="20"/>
        <v>4426.77207</v>
      </c>
      <c r="AI27" s="55">
        <f t="shared" si="28"/>
        <v>49144.49995</v>
      </c>
      <c r="AJ27" s="11"/>
      <c r="AK27" s="61">
        <f>AK26*(1+'HIER Rechnung Thesaurierer '!I26)</f>
        <v>0</v>
      </c>
      <c r="AL27" s="55">
        <f t="shared" si="21"/>
        <v>0</v>
      </c>
      <c r="AM27" s="55">
        <f t="shared" si="22"/>
        <v>48546.23271</v>
      </c>
      <c r="AN27" s="55"/>
      <c r="AO27" s="54"/>
      <c r="AP27" s="62"/>
      <c r="AQ27" s="54"/>
      <c r="AR27" s="62"/>
      <c r="AS27" s="62"/>
      <c r="AT27" s="62"/>
    </row>
    <row r="28" ht="12.75" customHeight="1">
      <c r="A28" s="11">
        <v>25.0</v>
      </c>
      <c r="B28" s="44">
        <f t="shared" si="23"/>
        <v>3.045476002</v>
      </c>
      <c r="C28" s="45">
        <f t="shared" si="24"/>
        <v>586676.6906</v>
      </c>
      <c r="D28" s="12">
        <f t="shared" si="25"/>
        <v>1786709.782</v>
      </c>
      <c r="E28" s="46">
        <f t="shared" si="1"/>
        <v>0.2519065492</v>
      </c>
      <c r="F28" s="47">
        <v>0.251906549229498</v>
      </c>
      <c r="G28" s="12">
        <f t="shared" si="26"/>
        <v>2236793.677</v>
      </c>
      <c r="H28" s="16">
        <f>'HIER Einzelaktien'!G28-('HIER Einzelaktien'!G28*M$1)</f>
        <v>0.02729675315</v>
      </c>
      <c r="I28" s="48">
        <f t="shared" si="2"/>
        <v>2211432.266</v>
      </c>
      <c r="J28" s="53">
        <f t="shared" si="3"/>
        <v>0.2377120721</v>
      </c>
      <c r="K28" s="53">
        <f t="shared" si="4"/>
        <v>4.718974169</v>
      </c>
      <c r="L28" s="54"/>
      <c r="M28" s="55">
        <f t="shared" si="5"/>
        <v>61057.20487</v>
      </c>
      <c r="N28" s="55">
        <f t="shared" si="6"/>
        <v>11315.42649</v>
      </c>
      <c r="O28" s="55">
        <f t="shared" si="7"/>
        <v>49741.77838</v>
      </c>
      <c r="P28" s="56">
        <f t="shared" si="8"/>
        <v>0.038635042</v>
      </c>
      <c r="Q28" s="55">
        <f>Q27*(1+'HIER Rechnung Thesaurierer '!I28)</f>
        <v>71618.64793</v>
      </c>
      <c r="R28" s="57">
        <f t="shared" si="9"/>
        <v>6651.909775</v>
      </c>
      <c r="S28" s="58">
        <f t="shared" si="10"/>
        <v>25361.41331</v>
      </c>
      <c r="T28" s="55">
        <f t="shared" si="11"/>
        <v>18802.34029</v>
      </c>
      <c r="U28" s="55">
        <f t="shared" si="12"/>
        <v>3484.543713</v>
      </c>
      <c r="V28" s="55">
        <f t="shared" si="13"/>
        <v>6559.073477</v>
      </c>
      <c r="W28" s="55">
        <f t="shared" si="14"/>
        <v>21876.86959</v>
      </c>
      <c r="X28" s="55">
        <f t="shared" si="15"/>
        <v>71618.64797</v>
      </c>
      <c r="Y28" s="12"/>
      <c r="Z28" s="56"/>
      <c r="AA28" s="55"/>
      <c r="AB28" s="56">
        <f>'HIER Rechnung Thesaurierer '!H28</f>
        <v>-0.003</v>
      </c>
      <c r="AC28" s="59">
        <f t="shared" si="16"/>
        <v>450083.8957</v>
      </c>
      <c r="AD28" s="55">
        <f t="shared" si="27"/>
        <v>0</v>
      </c>
      <c r="AE28" s="55">
        <f t="shared" si="17"/>
        <v>0</v>
      </c>
      <c r="AF28" s="60">
        <f t="shared" si="18"/>
        <v>0</v>
      </c>
      <c r="AG28" s="56">
        <f t="shared" si="19"/>
        <v>0.002932355158</v>
      </c>
      <c r="AH28" s="55">
        <f t="shared" si="20"/>
        <v>2124.464794</v>
      </c>
      <c r="AI28" s="55">
        <f t="shared" si="28"/>
        <v>47020.03515</v>
      </c>
      <c r="AJ28" s="11"/>
      <c r="AK28" s="61">
        <f>AK27*(1+'HIER Rechnung Thesaurierer '!I27)</f>
        <v>0</v>
      </c>
      <c r="AL28" s="55">
        <f t="shared" si="21"/>
        <v>0</v>
      </c>
      <c r="AM28" s="55">
        <f t="shared" si="22"/>
        <v>55901.68161</v>
      </c>
      <c r="AN28" s="55"/>
      <c r="AO28" s="54"/>
      <c r="AP28" s="62"/>
      <c r="AQ28" s="54"/>
      <c r="AR28" s="62"/>
      <c r="AS28" s="62"/>
      <c r="AT28" s="62"/>
    </row>
    <row r="29" ht="12.75" customHeight="1">
      <c r="A29" s="11">
        <v>26.0</v>
      </c>
      <c r="B29" s="44">
        <f t="shared" si="23"/>
        <v>3.812651352</v>
      </c>
      <c r="C29" s="45">
        <f t="shared" si="24"/>
        <v>580024.7808</v>
      </c>
      <c r="D29" s="12">
        <f t="shared" si="25"/>
        <v>2211432.266</v>
      </c>
      <c r="E29" s="46">
        <f t="shared" si="1"/>
        <v>0.1405895692</v>
      </c>
      <c r="F29" s="47">
        <v>0.140589569160998</v>
      </c>
      <c r="G29" s="12">
        <f t="shared" si="26"/>
        <v>2522336.576</v>
      </c>
      <c r="H29" s="16">
        <f>'HIER Einzelaktien'!G29-('HIER Einzelaktien'!G29*M$1)</f>
        <v>0.02071687228</v>
      </c>
      <c r="I29" s="48">
        <f t="shared" si="2"/>
        <v>2488902.879</v>
      </c>
      <c r="J29" s="53">
        <f t="shared" si="3"/>
        <v>0.1254709975</v>
      </c>
      <c r="K29" s="53">
        <f t="shared" si="4"/>
        <v>5.523002283</v>
      </c>
      <c r="L29" s="54"/>
      <c r="M29" s="55">
        <f t="shared" si="5"/>
        <v>52254.9247</v>
      </c>
      <c r="N29" s="55">
        <f t="shared" si="6"/>
        <v>9684.143921</v>
      </c>
      <c r="O29" s="55">
        <f t="shared" si="7"/>
        <v>42570.78078</v>
      </c>
      <c r="P29" s="56">
        <f t="shared" si="8"/>
        <v>0.03397192275</v>
      </c>
      <c r="Q29" s="55">
        <f>Q28*(1+'HIER Rechnung Thesaurierer '!I29)</f>
        <v>71260.55469</v>
      </c>
      <c r="R29" s="57">
        <f t="shared" si="9"/>
        <v>7688.257748</v>
      </c>
      <c r="S29" s="58">
        <f t="shared" si="10"/>
        <v>33433.69919</v>
      </c>
      <c r="T29" s="55">
        <f t="shared" si="11"/>
        <v>25597.87024</v>
      </c>
      <c r="U29" s="55">
        <f t="shared" si="12"/>
        <v>4743.925303</v>
      </c>
      <c r="V29" s="55">
        <f t="shared" si="13"/>
        <v>7835.829304</v>
      </c>
      <c r="W29" s="55">
        <f t="shared" si="14"/>
        <v>28689.77388</v>
      </c>
      <c r="X29" s="55">
        <f t="shared" si="15"/>
        <v>71260.55467</v>
      </c>
      <c r="Y29" s="12"/>
      <c r="Z29" s="56"/>
      <c r="AA29" s="55"/>
      <c r="AB29" s="56">
        <f>'HIER Rechnung Thesaurierer '!H29</f>
        <v>-0.005</v>
      </c>
      <c r="AC29" s="59">
        <f t="shared" si="16"/>
        <v>310904.3094</v>
      </c>
      <c r="AD29" s="55">
        <f t="shared" si="27"/>
        <v>0</v>
      </c>
      <c r="AE29" s="55">
        <f t="shared" si="17"/>
        <v>0</v>
      </c>
      <c r="AF29" s="60">
        <f t="shared" si="18"/>
        <v>0</v>
      </c>
      <c r="AG29" s="56">
        <f t="shared" si="19"/>
        <v>0.003106575617</v>
      </c>
      <c r="AH29" s="55">
        <f t="shared" si="20"/>
        <v>2710.321633</v>
      </c>
      <c r="AI29" s="55">
        <f t="shared" si="28"/>
        <v>44309.71352</v>
      </c>
      <c r="AJ29" s="11"/>
      <c r="AK29" s="61">
        <f>AK28*(1+'HIER Rechnung Thesaurierer '!I28)</f>
        <v>0</v>
      </c>
      <c r="AL29" s="55">
        <f t="shared" si="21"/>
        <v>0</v>
      </c>
      <c r="AM29" s="55">
        <f t="shared" si="22"/>
        <v>54496.95646</v>
      </c>
      <c r="AN29" s="55"/>
      <c r="AO29" s="54"/>
      <c r="AP29" s="62"/>
      <c r="AQ29" s="54"/>
      <c r="AR29" s="62"/>
      <c r="AS29" s="62"/>
      <c r="AT29" s="62"/>
    </row>
    <row r="30" ht="12.75" customHeight="1">
      <c r="A30" s="11">
        <v>27.0</v>
      </c>
      <c r="B30" s="44">
        <f t="shared" si="23"/>
        <v>4.348670363</v>
      </c>
      <c r="C30" s="45">
        <f t="shared" si="24"/>
        <v>572336.5231</v>
      </c>
      <c r="D30" s="12">
        <f t="shared" si="25"/>
        <v>2488902.879</v>
      </c>
      <c r="E30" s="46">
        <f t="shared" si="1"/>
        <v>0.2013658513</v>
      </c>
      <c r="F30" s="47">
        <v>0.201365851264886</v>
      </c>
      <c r="G30" s="12">
        <f t="shared" si="26"/>
        <v>2990082.926</v>
      </c>
      <c r="H30" s="16">
        <f>'HIER Einzelaktien'!G30-('HIER Einzelaktien'!G30*M$1)</f>
        <v>0.01879253174</v>
      </c>
      <c r="I30" s="48">
        <f t="shared" si="2"/>
        <v>2960531.194</v>
      </c>
      <c r="J30" s="53">
        <f t="shared" si="3"/>
        <v>0.1894924545</v>
      </c>
      <c r="K30" s="53">
        <f t="shared" si="4"/>
        <v>6.836512191</v>
      </c>
      <c r="L30" s="54"/>
      <c r="M30" s="55">
        <f t="shared" si="5"/>
        <v>56191.22828</v>
      </c>
      <c r="N30" s="55">
        <f t="shared" si="6"/>
        <v>10413.63938</v>
      </c>
      <c r="O30" s="55">
        <f t="shared" si="7"/>
        <v>45777.5889</v>
      </c>
      <c r="P30" s="56">
        <f t="shared" si="8"/>
        <v>0.02867578034</v>
      </c>
      <c r="Q30" s="55">
        <f>Q29*(1+'HIER Rechnung Thesaurierer '!I30)</f>
        <v>70975.51247</v>
      </c>
      <c r="R30" s="57">
        <f t="shared" si="9"/>
        <v>5656.544151</v>
      </c>
      <c r="S30" s="58">
        <f t="shared" si="10"/>
        <v>29551.73359</v>
      </c>
      <c r="T30" s="55">
        <f t="shared" si="11"/>
        <v>23492.83738</v>
      </c>
      <c r="U30" s="55">
        <f t="shared" si="12"/>
        <v>4353.810087</v>
      </c>
      <c r="V30" s="55">
        <f t="shared" si="13"/>
        <v>6058.896522</v>
      </c>
      <c r="W30" s="55">
        <f t="shared" si="14"/>
        <v>25197.9235</v>
      </c>
      <c r="X30" s="55">
        <f t="shared" si="15"/>
        <v>70975.5124</v>
      </c>
      <c r="Y30" s="12"/>
      <c r="Z30" s="56"/>
      <c r="AA30" s="55"/>
      <c r="AB30" s="56">
        <f>'HIER Rechnung Thesaurierer '!H30</f>
        <v>-0.004</v>
      </c>
      <c r="AC30" s="59">
        <f t="shared" si="16"/>
        <v>501180.0463</v>
      </c>
      <c r="AD30" s="55">
        <f t="shared" si="27"/>
        <v>0</v>
      </c>
      <c r="AE30" s="55">
        <f t="shared" si="17"/>
        <v>0</v>
      </c>
      <c r="AF30" s="60">
        <f t="shared" si="18"/>
        <v>0</v>
      </c>
      <c r="AG30" s="56">
        <f t="shared" si="19"/>
        <v>0.002026330598</v>
      </c>
      <c r="AH30" s="55">
        <f t="shared" si="20"/>
        <v>2287.865262</v>
      </c>
      <c r="AI30" s="55">
        <f t="shared" si="28"/>
        <v>42021.84826</v>
      </c>
      <c r="AJ30" s="11"/>
      <c r="AK30" s="61">
        <f>AK29*(1+'HIER Rechnung Thesaurierer '!I29)</f>
        <v>0</v>
      </c>
      <c r="AL30" s="55">
        <f t="shared" si="21"/>
        <v>0</v>
      </c>
      <c r="AM30" s="55">
        <f t="shared" si="22"/>
        <v>55778.84596</v>
      </c>
      <c r="AN30" s="55"/>
      <c r="AO30" s="54"/>
      <c r="AP30" s="62"/>
      <c r="AQ30" s="54"/>
      <c r="AR30" s="62"/>
      <c r="AS30" s="62"/>
      <c r="AT30" s="62"/>
    </row>
    <row r="31" ht="12.75" customHeight="1">
      <c r="A31" s="11">
        <v>28.0</v>
      </c>
      <c r="B31" s="44">
        <f t="shared" si="23"/>
        <v>5.224344073</v>
      </c>
      <c r="C31" s="45">
        <f t="shared" si="24"/>
        <v>566679.9789</v>
      </c>
      <c r="D31" s="12">
        <f t="shared" si="25"/>
        <v>2960531.194</v>
      </c>
      <c r="E31" s="46">
        <f t="shared" si="1"/>
        <v>-0.194645773</v>
      </c>
      <c r="F31" s="47">
        <v>-0.194645772987632</v>
      </c>
      <c r="G31" s="12">
        <f t="shared" si="26"/>
        <v>2384276.312</v>
      </c>
      <c r="H31" s="16">
        <f>'HIER Einzelaktien'!G31-('HIER Einzelaktien'!G31*M$1)</f>
        <v>0.01472102964</v>
      </c>
      <c r="I31" s="48">
        <f t="shared" si="2"/>
        <v>2333925.129</v>
      </c>
      <c r="J31" s="53">
        <f t="shared" si="3"/>
        <v>-0.2116532554</v>
      </c>
      <c r="K31" s="53">
        <f t="shared" si="4"/>
        <v>5.311168218</v>
      </c>
      <c r="L31" s="54"/>
      <c r="M31" s="55">
        <f t="shared" si="5"/>
        <v>35099.00225</v>
      </c>
      <c r="N31" s="55">
        <f t="shared" si="6"/>
        <v>6504.722592</v>
      </c>
      <c r="O31" s="55">
        <f t="shared" si="7"/>
        <v>28594.27966</v>
      </c>
      <c r="P31" s="56">
        <f t="shared" si="8"/>
        <v>0.03583904484</v>
      </c>
      <c r="Q31" s="55">
        <f>Q30*(1+'HIER Rechnung Thesaurierer '!I31)</f>
        <v>71784.63332</v>
      </c>
      <c r="R31" s="57">
        <f t="shared" si="9"/>
        <v>11967.15643</v>
      </c>
      <c r="S31" s="58">
        <f t="shared" si="10"/>
        <v>50351.1839</v>
      </c>
      <c r="T31" s="55">
        <f t="shared" si="11"/>
        <v>38639.31101</v>
      </c>
      <c r="U31" s="55">
        <f t="shared" si="12"/>
        <v>7160.830313</v>
      </c>
      <c r="V31" s="55">
        <f t="shared" si="13"/>
        <v>11711.87312</v>
      </c>
      <c r="W31" s="55">
        <f t="shared" si="14"/>
        <v>43190.35359</v>
      </c>
      <c r="X31" s="55">
        <f t="shared" si="15"/>
        <v>71784.63325</v>
      </c>
      <c r="Y31" s="12"/>
      <c r="Z31" s="56"/>
      <c r="AA31" s="55"/>
      <c r="AB31" s="56">
        <f>'HIER Rechnung Thesaurierer '!H31</f>
        <v>0.0114</v>
      </c>
      <c r="AC31" s="59">
        <f t="shared" si="16"/>
        <v>-576254.8818</v>
      </c>
      <c r="AD31" s="55">
        <f t="shared" si="27"/>
        <v>0</v>
      </c>
      <c r="AE31" s="55">
        <f t="shared" si="17"/>
        <v>0</v>
      </c>
      <c r="AF31" s="60">
        <f t="shared" si="18"/>
        <v>0</v>
      </c>
      <c r="AG31" s="56">
        <f t="shared" si="19"/>
        <v>0.004912129129</v>
      </c>
      <c r="AH31" s="55">
        <f t="shared" si="20"/>
        <v>3733.764891</v>
      </c>
      <c r="AI31" s="55">
        <f t="shared" si="28"/>
        <v>38288.08337</v>
      </c>
      <c r="AJ31" s="11"/>
      <c r="AK31" s="61">
        <f>AK30*(1+'HIER Rechnung Thesaurierer '!I30)</f>
        <v>0</v>
      </c>
      <c r="AL31" s="55">
        <f t="shared" si="21"/>
        <v>0</v>
      </c>
      <c r="AM31" s="55">
        <f t="shared" si="22"/>
        <v>51616.81928</v>
      </c>
      <c r="AN31" s="55"/>
      <c r="AO31" s="54"/>
      <c r="AP31" s="62"/>
      <c r="AQ31" s="54"/>
      <c r="AR31" s="62"/>
      <c r="AS31" s="62"/>
      <c r="AT31" s="62"/>
    </row>
    <row r="32" ht="12.75" customHeight="1">
      <c r="A32" s="11">
        <v>29.0</v>
      </c>
      <c r="B32" s="44">
        <f t="shared" si="23"/>
        <v>4.207447582</v>
      </c>
      <c r="C32" s="45">
        <f t="shared" si="24"/>
        <v>554712.8225</v>
      </c>
      <c r="D32" s="12">
        <f t="shared" si="25"/>
        <v>2333925.129</v>
      </c>
      <c r="E32" s="46">
        <f t="shared" si="1"/>
        <v>0.2176579186</v>
      </c>
      <c r="F32" s="47">
        <v>0.217657918649395</v>
      </c>
      <c r="G32" s="12">
        <f t="shared" si="26"/>
        <v>2841922.415</v>
      </c>
      <c r="H32" s="16">
        <f>'HIER Einzelaktien'!G32-('HIER Einzelaktien'!G32*M$1)</f>
        <v>0.02252094266</v>
      </c>
      <c r="I32" s="48">
        <f t="shared" si="2"/>
        <v>2816807.359</v>
      </c>
      <c r="J32" s="53">
        <f t="shared" si="3"/>
        <v>0.2068970522</v>
      </c>
      <c r="K32" s="53">
        <f t="shared" si="4"/>
        <v>6.684843957</v>
      </c>
      <c r="L32" s="54"/>
      <c r="M32" s="55">
        <f t="shared" si="5"/>
        <v>64002.77175</v>
      </c>
      <c r="N32" s="55">
        <f t="shared" si="6"/>
        <v>11861.31367</v>
      </c>
      <c r="O32" s="55">
        <f t="shared" si="7"/>
        <v>52141.45808</v>
      </c>
      <c r="P32" s="56">
        <f t="shared" si="8"/>
        <v>0.03135829092</v>
      </c>
      <c r="Q32" s="55">
        <f>Q31*(1+'HIER Rechnung Thesaurierer '!I32)</f>
        <v>73528.99991</v>
      </c>
      <c r="R32" s="57">
        <f t="shared" si="9"/>
        <v>4902.19041</v>
      </c>
      <c r="S32" s="58">
        <f t="shared" si="10"/>
        <v>25115.05898</v>
      </c>
      <c r="T32" s="55">
        <f t="shared" si="11"/>
        <v>20113.40771</v>
      </c>
      <c r="U32" s="55">
        <f t="shared" si="12"/>
        <v>3727.517285</v>
      </c>
      <c r="V32" s="55">
        <f t="shared" si="13"/>
        <v>5001.651576</v>
      </c>
      <c r="W32" s="55">
        <f t="shared" si="14"/>
        <v>21387.54169</v>
      </c>
      <c r="X32" s="55">
        <f t="shared" si="15"/>
        <v>73528.99977</v>
      </c>
      <c r="Y32" s="12"/>
      <c r="Z32" s="56"/>
      <c r="AA32" s="55"/>
      <c r="AB32" s="56">
        <f>'HIER Rechnung Thesaurierer '!H32</f>
        <v>0.0243</v>
      </c>
      <c r="AC32" s="59">
        <f t="shared" si="16"/>
        <v>507997.2848</v>
      </c>
      <c r="AD32" s="55">
        <f t="shared" si="27"/>
        <v>39700.06645</v>
      </c>
      <c r="AE32" s="55">
        <f t="shared" si="17"/>
        <v>0</v>
      </c>
      <c r="AF32" s="60">
        <f t="shared" si="18"/>
        <v>0</v>
      </c>
      <c r="AG32" s="56">
        <f t="shared" si="19"/>
        <v>0.001759953597</v>
      </c>
      <c r="AH32" s="55">
        <f t="shared" si="20"/>
        <v>1733.523064</v>
      </c>
      <c r="AI32" s="55">
        <f t="shared" si="28"/>
        <v>36554.5603</v>
      </c>
      <c r="AJ32" s="11"/>
      <c r="AK32" s="61">
        <f>AK31*(1+'HIER Rechnung Thesaurierer '!I31)</f>
        <v>0</v>
      </c>
      <c r="AL32" s="55">
        <f t="shared" si="21"/>
        <v>0</v>
      </c>
      <c r="AM32" s="55">
        <f t="shared" si="22"/>
        <v>58881.32563</v>
      </c>
      <c r="AN32" s="55"/>
      <c r="AO32" s="54"/>
      <c r="AP32" s="62"/>
      <c r="AQ32" s="54"/>
      <c r="AR32" s="62"/>
      <c r="AS32" s="62"/>
      <c r="AT32" s="62"/>
    </row>
    <row r="33" ht="12.75" customHeight="1">
      <c r="A33" s="11">
        <v>30.0</v>
      </c>
      <c r="B33" s="44">
        <f t="shared" si="23"/>
        <v>5.123231866</v>
      </c>
      <c r="C33" s="45">
        <f t="shared" si="24"/>
        <v>549810.6321</v>
      </c>
      <c r="D33" s="12">
        <f t="shared" si="25"/>
        <v>2816807.359</v>
      </c>
      <c r="E33" s="46">
        <f t="shared" si="1"/>
        <v>0.1699673102</v>
      </c>
      <c r="F33" s="47">
        <v>0.169967310155939</v>
      </c>
      <c r="G33" s="12">
        <f t="shared" si="26"/>
        <v>3295572.529</v>
      </c>
      <c r="H33" s="16">
        <f>'HIER Einzelaktien'!G33-('HIER Einzelaktien'!G33*M$1)</f>
        <v>0.01868028249</v>
      </c>
      <c r="I33" s="48">
        <f t="shared" si="2"/>
        <v>3265981.44</v>
      </c>
      <c r="J33" s="53">
        <f t="shared" si="3"/>
        <v>0.1594621229</v>
      </c>
      <c r="K33" s="53">
        <f t="shared" si="4"/>
        <v>7.991016213</v>
      </c>
      <c r="L33" s="54"/>
      <c r="M33" s="55">
        <f t="shared" si="5"/>
        <v>61562.2258</v>
      </c>
      <c r="N33" s="55">
        <f t="shared" si="6"/>
        <v>11409.0195</v>
      </c>
      <c r="O33" s="55">
        <f t="shared" si="7"/>
        <v>50153.2063</v>
      </c>
      <c r="P33" s="56">
        <f t="shared" si="8"/>
        <v>0.02765932627</v>
      </c>
      <c r="Q33" s="55">
        <f>Q32*(1+'HIER Rechnung Thesaurierer '!I33)</f>
        <v>75234.8727</v>
      </c>
      <c r="R33" s="57">
        <f t="shared" si="9"/>
        <v>4936.773749</v>
      </c>
      <c r="S33" s="58">
        <f t="shared" si="10"/>
        <v>29591.09083</v>
      </c>
      <c r="T33" s="55">
        <f t="shared" si="11"/>
        <v>24332.52174</v>
      </c>
      <c r="U33" s="55">
        <f t="shared" si="12"/>
        <v>4509.424591</v>
      </c>
      <c r="V33" s="55">
        <f t="shared" si="13"/>
        <v>5258.569314</v>
      </c>
      <c r="W33" s="55">
        <f t="shared" si="14"/>
        <v>25081.66624</v>
      </c>
      <c r="X33" s="55">
        <f t="shared" si="15"/>
        <v>75234.87255</v>
      </c>
      <c r="Y33" s="12"/>
      <c r="Z33" s="56"/>
      <c r="AA33" s="55"/>
      <c r="AB33" s="56">
        <f>'HIER Rechnung Thesaurierer '!H33</f>
        <v>0.0232</v>
      </c>
      <c r="AC33" s="59">
        <f t="shared" si="16"/>
        <v>478765.1686</v>
      </c>
      <c r="AD33" s="55">
        <f t="shared" si="27"/>
        <v>45744.95151</v>
      </c>
      <c r="AE33" s="55">
        <f t="shared" si="17"/>
        <v>0</v>
      </c>
      <c r="AF33" s="60">
        <f t="shared" si="18"/>
        <v>0</v>
      </c>
      <c r="AG33" s="56">
        <f t="shared" si="19"/>
        <v>0.001595646665</v>
      </c>
      <c r="AH33" s="55">
        <f t="shared" si="20"/>
        <v>1967.385225</v>
      </c>
      <c r="AI33" s="55">
        <f t="shared" si="28"/>
        <v>34587.17508</v>
      </c>
      <c r="AJ33" s="11"/>
      <c r="AK33" s="61">
        <f>AK32*(1+'HIER Rechnung Thesaurierer '!I32)</f>
        <v>0</v>
      </c>
      <c r="AL33" s="55">
        <f t="shared" si="21"/>
        <v>0</v>
      </c>
      <c r="AM33" s="55">
        <f t="shared" si="22"/>
        <v>60126.32328</v>
      </c>
      <c r="AN33" s="55"/>
      <c r="AO33" s="54"/>
      <c r="AP33" s="62"/>
      <c r="AQ33" s="54"/>
      <c r="AR33" s="62"/>
      <c r="AS33" s="62"/>
      <c r="AT33" s="62"/>
    </row>
    <row r="34" ht="12.75" customHeight="1">
      <c r="B34" s="44">
        <f t="shared" si="23"/>
        <v>5.994013806</v>
      </c>
      <c r="C34" s="45">
        <f t="shared" si="24"/>
        <v>544873.8583</v>
      </c>
      <c r="E34" s="46"/>
      <c r="Y34" s="16"/>
    </row>
    <row r="35" ht="12.75" customHeight="1">
      <c r="E35" s="16"/>
      <c r="L35" s="12"/>
      <c r="M35" s="12">
        <f t="shared" ref="M35:N35" si="29">SUM(M2:M34)</f>
        <v>1138540.346</v>
      </c>
      <c r="N35" s="12">
        <f t="shared" si="29"/>
        <v>210999.9896</v>
      </c>
      <c r="O35" s="12">
        <f>SUM(O4:O34)</f>
        <v>927540.3564</v>
      </c>
      <c r="P35" s="25">
        <f>AVERAGE(P4:P34)</f>
        <v>0.04060494401</v>
      </c>
      <c r="Q35" s="12">
        <f>SUM(Q4:Q34)</f>
        <v>1807641.088</v>
      </c>
      <c r="S35" s="50">
        <f>SUM(S4:S34)</f>
        <v>1019154.555</v>
      </c>
      <c r="W35" s="12">
        <f t="shared" ref="W35:X35" si="30">SUM(W4:W34)</f>
        <v>880100.7316</v>
      </c>
      <c r="X35" s="48">
        <f t="shared" si="30"/>
        <v>1807641.088</v>
      </c>
      <c r="AE35" s="12">
        <f>SUM(AE4:AE34)</f>
        <v>132534.3426</v>
      </c>
      <c r="AM35" s="12">
        <f>SUM(AM4:AM34)</f>
        <v>1322205.149</v>
      </c>
    </row>
    <row r="36" ht="12.75" customHeight="1">
      <c r="A36" s="19"/>
      <c r="B36" s="1" t="s">
        <v>72</v>
      </c>
      <c r="C36" s="19"/>
      <c r="D36" s="27">
        <f>I33/D4-1</f>
        <v>2.26598144</v>
      </c>
      <c r="E36" s="27"/>
      <c r="F36" s="19"/>
      <c r="G36" s="19"/>
      <c r="H36" s="27">
        <f>AVERAGE(H4:H33)</f>
        <v>0.020604059</v>
      </c>
      <c r="I36" s="19"/>
      <c r="J36" s="19"/>
      <c r="K36" s="27"/>
      <c r="L36" s="1"/>
      <c r="M36" s="19"/>
      <c r="N36" s="19"/>
      <c r="O36" s="63"/>
      <c r="P36" s="63"/>
      <c r="Q36" s="33"/>
      <c r="R36" s="33"/>
      <c r="S36" s="33"/>
      <c r="T36" s="19"/>
      <c r="U36" s="36"/>
      <c r="V36" s="36"/>
      <c r="W36" s="19"/>
      <c r="X36" s="19"/>
      <c r="Y36" s="27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</row>
    <row r="37" ht="12.75" customHeight="1">
      <c r="A37" s="19"/>
      <c r="B37" s="1" t="s">
        <v>73</v>
      </c>
      <c r="C37" s="19"/>
      <c r="D37" s="27">
        <f>(I33/C4)^(1/29)-1</f>
        <v>0.04165669799</v>
      </c>
      <c r="E37" s="27"/>
      <c r="F37" s="1"/>
      <c r="G37" s="19"/>
      <c r="H37" s="19"/>
      <c r="I37" s="19"/>
      <c r="J37" s="19"/>
      <c r="K37" s="27"/>
      <c r="L37" s="19"/>
      <c r="M37" s="19"/>
      <c r="N37" s="19"/>
      <c r="O37" s="63"/>
      <c r="P37" s="63"/>
      <c r="Q37" s="33"/>
      <c r="R37" s="33"/>
      <c r="S37" s="19"/>
      <c r="T37" s="19"/>
      <c r="U37" s="36"/>
      <c r="V37" s="36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</row>
    <row r="38" ht="12.75" customHeight="1">
      <c r="A38" s="19"/>
      <c r="B38" s="19"/>
      <c r="C38" s="19"/>
      <c r="D38" s="19"/>
      <c r="E38" s="27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33"/>
      <c r="R38" s="33"/>
      <c r="S38" s="19"/>
      <c r="T38" s="19"/>
      <c r="U38" s="36"/>
      <c r="V38" s="36"/>
      <c r="W38" s="27"/>
      <c r="X38" s="27"/>
      <c r="Y38" s="19"/>
      <c r="Z38" s="19"/>
      <c r="AA38" s="64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</row>
    <row r="39" ht="12.75" customHeight="1">
      <c r="A39" s="19"/>
      <c r="B39" s="28" t="s">
        <v>74</v>
      </c>
      <c r="C39" s="29">
        <f>D37-'HIER Rechnung Thesaurierer '!D37</f>
        <v>0.002288018131</v>
      </c>
      <c r="D39" s="23" t="s">
        <v>17</v>
      </c>
      <c r="E39" s="27"/>
      <c r="F39" s="19"/>
      <c r="G39" s="19"/>
      <c r="H39" s="19"/>
      <c r="I39" s="19"/>
      <c r="J39" s="19"/>
      <c r="K39" s="19"/>
      <c r="L39" s="19"/>
      <c r="M39" s="19"/>
      <c r="N39" s="19"/>
      <c r="O39" s="27"/>
      <c r="P39" s="27"/>
      <c r="Q39" s="1"/>
      <c r="R39" s="1"/>
      <c r="S39" s="19"/>
      <c r="T39" s="19"/>
      <c r="U39" s="36"/>
      <c r="V39" s="36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</row>
    <row r="40" ht="12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33"/>
      <c r="R40" s="33"/>
      <c r="S40" s="63"/>
      <c r="T40" s="19"/>
      <c r="U40" s="36"/>
      <c r="V40" s="36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</row>
    <row r="41" ht="12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"/>
      <c r="R41" s="1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</row>
    <row r="42" ht="12.75" customHeight="1">
      <c r="A42" s="19"/>
      <c r="B42" s="65" t="s">
        <v>75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</row>
    <row r="43" ht="12.75" customHeight="1">
      <c r="A43" s="19"/>
      <c r="B43" s="14" t="s">
        <v>76</v>
      </c>
      <c r="C43" s="33">
        <f>(B34-D1)*C34-AI33</f>
        <v>2868144.834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27"/>
      <c r="R43" s="27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</row>
    <row r="44" ht="12.75" customHeight="1">
      <c r="A44" s="19"/>
      <c r="B44" s="14" t="s">
        <v>77</v>
      </c>
      <c r="C44" s="33">
        <f>C43*O1</f>
        <v>531538.9413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</row>
    <row r="45" ht="12.75" customHeight="1">
      <c r="A45" s="19"/>
      <c r="B45" s="14" t="s">
        <v>78</v>
      </c>
      <c r="C45" s="33">
        <f>I33-C44</f>
        <v>2734442.499</v>
      </c>
      <c r="D45" s="19"/>
      <c r="E45" s="19"/>
      <c r="F45" s="19"/>
      <c r="G45" s="19"/>
      <c r="H45" s="66"/>
      <c r="I45" s="19"/>
      <c r="J45" s="19"/>
      <c r="K45" s="19"/>
      <c r="L45" s="19"/>
      <c r="M45" s="19"/>
      <c r="N45" s="19"/>
      <c r="O45" s="19"/>
      <c r="P45" s="19"/>
      <c r="Q45" s="36"/>
      <c r="R45" s="36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</row>
    <row r="46" ht="12.75" customHeight="1">
      <c r="A46" s="19"/>
      <c r="B46" s="1" t="s">
        <v>73</v>
      </c>
      <c r="C46" s="27">
        <f>(C45/C4)^(1/29)-1</f>
        <v>0.0352957739</v>
      </c>
      <c r="D46" s="1" t="s">
        <v>17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36"/>
      <c r="R46" s="36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</row>
    <row r="48" ht="12.75" customHeight="1">
      <c r="A48" s="19"/>
      <c r="B48" s="23" t="s">
        <v>79</v>
      </c>
      <c r="C48" s="29">
        <f>C46-'HIER Rechnung Thesaurierer '!C46</f>
        <v>0.001974427621</v>
      </c>
      <c r="D48" s="23" t="s">
        <v>17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</row>
    <row r="49" ht="12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27"/>
      <c r="R49" s="27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</row>
    <row r="51" ht="12.75" customHeight="1">
      <c r="Q51" s="67"/>
      <c r="R51" s="67"/>
    </row>
    <row r="52" ht="12.75" customHeight="1">
      <c r="Q52" s="68"/>
      <c r="R52" s="68"/>
    </row>
    <row r="53" ht="12.75" customHeight="1">
      <c r="Q53" s="68"/>
      <c r="R53" s="68"/>
    </row>
    <row r="54" ht="12.75" customHeight="1">
      <c r="Q54" s="68"/>
      <c r="R54" s="68"/>
    </row>
    <row r="55" ht="12.75" customHeight="1">
      <c r="Q55" s="68"/>
      <c r="R55" s="68"/>
    </row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>
      <c r="B69" s="11" t="s">
        <v>80</v>
      </c>
    </row>
    <row r="70" ht="12.75" customHeight="1">
      <c r="B70" s="47">
        <v>0.07</v>
      </c>
    </row>
    <row r="71" ht="12.75" customHeight="1">
      <c r="B71" s="47">
        <v>0.08</v>
      </c>
    </row>
    <row r="72" ht="12.75" customHeight="1">
      <c r="B72" s="47">
        <v>0.147463331364728</v>
      </c>
    </row>
    <row r="73" ht="12.75" customHeight="1">
      <c r="B73" s="47">
        <v>-0.186504341327392</v>
      </c>
    </row>
    <row r="74" ht="12.75" customHeight="1">
      <c r="B74" s="47">
        <v>0.159984139606134</v>
      </c>
    </row>
    <row r="75" ht="12.75" customHeight="1">
      <c r="B75" s="47">
        <v>-0.0714130946421501</v>
      </c>
    </row>
    <row r="76" ht="12.75" customHeight="1">
      <c r="B76" s="47">
        <v>0.08</v>
      </c>
    </row>
    <row r="77" ht="12.75" customHeight="1">
      <c r="B77" s="47">
        <v>0.0335741592257928</v>
      </c>
    </row>
    <row r="78" ht="12.75" customHeight="1">
      <c r="B78" s="47">
        <v>0.18702209864369</v>
      </c>
    </row>
    <row r="79" ht="12.75" customHeight="1">
      <c r="B79" s="47">
        <v>0.117233208040529</v>
      </c>
    </row>
    <row r="80" ht="12.75" customHeight="1">
      <c r="B80" s="47">
        <v>0.141680136330059</v>
      </c>
    </row>
    <row r="81" ht="12.75" customHeight="1">
      <c r="B81" s="47">
        <v>0.08</v>
      </c>
    </row>
    <row r="82" ht="12.75" customHeight="1">
      <c r="B82" s="47">
        <v>0.08</v>
      </c>
    </row>
    <row r="83" ht="12.75" customHeight="1">
      <c r="B83" s="47">
        <v>-0.140498351379598</v>
      </c>
    </row>
    <row r="84" ht="12.75" customHeight="1">
      <c r="B84" s="47">
        <v>-0.178289838387296</v>
      </c>
    </row>
    <row r="85" ht="12.75" customHeight="1">
      <c r="B85" s="47">
        <v>-0.21056066868889</v>
      </c>
    </row>
    <row r="86" ht="12.75" customHeight="1">
      <c r="B86" s="47">
        <v>0.08</v>
      </c>
    </row>
    <row r="87" ht="12.75" customHeight="1">
      <c r="B87" s="47">
        <v>0.128361178711554</v>
      </c>
    </row>
    <row r="88" ht="12.75" customHeight="1">
      <c r="B88" s="47">
        <v>0.075627212250319</v>
      </c>
    </row>
    <row r="89" ht="12.75" customHeight="1">
      <c r="B89" s="47">
        <v>0.17952574983602</v>
      </c>
    </row>
    <row r="90" ht="12.75" customHeight="1">
      <c r="B90" s="47">
        <v>0.0709265033587718</v>
      </c>
    </row>
    <row r="91" ht="12.75" customHeight="1">
      <c r="B91" s="47">
        <v>-0.420805474309905</v>
      </c>
    </row>
    <row r="92" ht="12.75" customHeight="1">
      <c r="B92" s="47">
        <v>0.269761993249484</v>
      </c>
    </row>
    <row r="93" ht="12.75" customHeight="1">
      <c r="B93" s="47">
        <v>0.0955122433819324</v>
      </c>
    </row>
    <row r="94" ht="12.75" customHeight="1">
      <c r="B94" s="47">
        <v>-0.0761489011156412</v>
      </c>
    </row>
    <row r="95" ht="12.75" customHeight="1">
      <c r="B95" s="47">
        <v>0.131832960565536</v>
      </c>
    </row>
    <row r="96" ht="12.75" customHeight="1">
      <c r="B96" s="47">
        <v>0.08</v>
      </c>
    </row>
    <row r="97" ht="12.75" customHeight="1">
      <c r="B97" s="47">
        <v>0.0292600728807775</v>
      </c>
    </row>
    <row r="98" ht="12.75" customHeight="1">
      <c r="B98" s="47">
        <v>-0.0274192944611598</v>
      </c>
    </row>
    <row r="99" ht="12.75" customHeight="1">
      <c r="B99" s="47">
        <v>0.0531785657152961</v>
      </c>
    </row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53" width="12.75"/>
  </cols>
  <sheetData>
    <row r="1" ht="12.75" customHeight="1">
      <c r="A1" s="23" t="s">
        <v>81</v>
      </c>
      <c r="B1" s="33"/>
      <c r="C1" s="14" t="s">
        <v>33</v>
      </c>
      <c r="D1" s="31">
        <f>'HIER Rechnung Ausschütter'!D1</f>
        <v>0.666667</v>
      </c>
      <c r="E1" s="1" t="s">
        <v>34</v>
      </c>
      <c r="F1" s="1"/>
      <c r="G1" s="33">
        <f>'HIER Rechnung Ausschütter'!H1</f>
        <v>1000000</v>
      </c>
      <c r="H1" s="38">
        <f>(F4-D4)/D4</f>
        <v>0.2134004284</v>
      </c>
      <c r="I1" s="14"/>
      <c r="J1" s="69" t="s">
        <v>82</v>
      </c>
      <c r="K1" s="14" t="str">
        <f>Ergebnis!B10</f>
        <v>Nein</v>
      </c>
      <c r="L1" s="27">
        <f>E4+G4</f>
        <v>0.2092443722</v>
      </c>
      <c r="M1" s="33"/>
      <c r="N1" s="27"/>
      <c r="O1" s="27"/>
      <c r="P1" s="1"/>
      <c r="Q1" s="27"/>
      <c r="R1" s="14"/>
      <c r="S1" s="14"/>
      <c r="T1" s="14"/>
      <c r="U1" s="14" t="s">
        <v>11</v>
      </c>
      <c r="V1" s="35">
        <f>'HIER Rechnung Ausschütter'!O1</f>
        <v>0.185325</v>
      </c>
      <c r="W1" s="19"/>
      <c r="X1" s="34"/>
      <c r="Y1" s="14"/>
      <c r="Z1" s="14" t="s">
        <v>39</v>
      </c>
      <c r="AA1" s="33">
        <f>'HIER Rechnung Ausschütter'!X1</f>
        <v>35000</v>
      </c>
      <c r="AB1" s="1"/>
      <c r="AC1" s="34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</row>
    <row r="2" ht="92.25" customHeight="1">
      <c r="A2" s="1" t="s">
        <v>3</v>
      </c>
      <c r="B2" s="14" t="s">
        <v>40</v>
      </c>
      <c r="C2" s="14" t="s">
        <v>41</v>
      </c>
      <c r="D2" s="14" t="s">
        <v>42</v>
      </c>
      <c r="E2" s="1" t="s">
        <v>83</v>
      </c>
      <c r="F2" s="14" t="s">
        <v>84</v>
      </c>
      <c r="G2" s="14" t="s">
        <v>85</v>
      </c>
      <c r="H2" s="14" t="s">
        <v>61</v>
      </c>
      <c r="I2" s="14" t="s">
        <v>86</v>
      </c>
      <c r="J2" s="28" t="s">
        <v>81</v>
      </c>
      <c r="K2" s="14" t="s">
        <v>47</v>
      </c>
      <c r="L2" s="14" t="s">
        <v>87</v>
      </c>
      <c r="M2" s="14" t="s">
        <v>88</v>
      </c>
      <c r="N2" s="14" t="s">
        <v>48</v>
      </c>
      <c r="O2" s="14" t="s">
        <v>89</v>
      </c>
      <c r="P2" s="14" t="s">
        <v>62</v>
      </c>
      <c r="Q2" s="14" t="s">
        <v>90</v>
      </c>
      <c r="R2" s="14" t="s">
        <v>64</v>
      </c>
      <c r="S2" s="14" t="s">
        <v>91</v>
      </c>
      <c r="T2" s="14" t="s">
        <v>68</v>
      </c>
      <c r="U2" s="14" t="s">
        <v>92</v>
      </c>
      <c r="V2" s="14" t="s">
        <v>93</v>
      </c>
      <c r="W2" s="14" t="s">
        <v>54</v>
      </c>
      <c r="X2" s="70" t="s">
        <v>94</v>
      </c>
      <c r="Y2" s="40"/>
      <c r="Z2" s="14" t="s">
        <v>95</v>
      </c>
      <c r="AA2" s="14" t="s">
        <v>56</v>
      </c>
      <c r="AB2" s="14" t="s">
        <v>57</v>
      </c>
      <c r="AC2" s="6" t="s">
        <v>67</v>
      </c>
      <c r="AD2" s="1" t="s">
        <v>69</v>
      </c>
      <c r="AE2" s="14" t="s">
        <v>70</v>
      </c>
      <c r="AF2" s="14" t="s">
        <v>96</v>
      </c>
      <c r="AG2" s="14" t="s">
        <v>71</v>
      </c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</row>
    <row r="3" ht="12.75" hidden="1" customHeight="1">
      <c r="A3" s="11">
        <v>0.0</v>
      </c>
      <c r="B3" s="44"/>
      <c r="C3" s="45"/>
      <c r="D3" s="12"/>
      <c r="E3" s="16"/>
      <c r="F3" s="12"/>
      <c r="G3" s="16"/>
      <c r="H3" s="7"/>
      <c r="I3" s="71"/>
      <c r="J3" s="48">
        <f>D4</f>
        <v>1000000</v>
      </c>
      <c r="K3" s="16"/>
      <c r="L3" s="16"/>
      <c r="M3" s="12"/>
      <c r="N3" s="16"/>
      <c r="O3" s="16"/>
      <c r="P3" s="67"/>
      <c r="Q3" s="67"/>
      <c r="R3" s="72"/>
      <c r="S3" s="12"/>
      <c r="T3" s="11"/>
      <c r="V3" s="11"/>
      <c r="W3" s="50"/>
      <c r="X3" s="12"/>
      <c r="Y3" s="12"/>
      <c r="Z3" s="12"/>
      <c r="AA3" s="12"/>
      <c r="AC3" s="73"/>
      <c r="AD3" s="74"/>
      <c r="AE3" s="12"/>
      <c r="AH3" s="12"/>
      <c r="AI3" s="12"/>
    </row>
    <row r="4" ht="12.75" customHeight="1">
      <c r="A4" s="11">
        <v>1.0</v>
      </c>
      <c r="B4" s="44">
        <v>1.0</v>
      </c>
      <c r="C4" s="45">
        <f>G1</f>
        <v>1000000</v>
      </c>
      <c r="D4" s="12">
        <f>B4*C4</f>
        <v>1000000</v>
      </c>
      <c r="E4" s="16">
        <f>'HIER Rechnung Ausschütter'!E4</f>
        <v>0.1870220986</v>
      </c>
      <c r="F4" s="12">
        <f t="shared" ref="F4:F33" si="1">D4*(1+E4)*(1+G4)</f>
        <v>1213400.428</v>
      </c>
      <c r="G4" s="16">
        <f>'HIER Rechnung Ausschütter'!H4</f>
        <v>0.02222227355</v>
      </c>
      <c r="H4" s="56">
        <f t="shared" ref="H4:H33" si="2">IF(K$1="Ja",(IF(E4&gt;0,I4+(E4*0.3),I4)),I4)</f>
        <v>0.069</v>
      </c>
      <c r="I4" s="71">
        <v>0.069</v>
      </c>
      <c r="J4" s="48">
        <f t="shared" ref="J4:J33" si="3">B5*C5</f>
        <v>1165444.757</v>
      </c>
      <c r="K4" s="56">
        <f t="shared" ref="K4:K33" si="4">J4/D4-1</f>
        <v>0.165444757</v>
      </c>
      <c r="L4" s="56">
        <f>K4-'HIER Rechnung Ausschütter'!J4</f>
        <v>-0.002450599115</v>
      </c>
      <c r="M4" s="55">
        <f>J4-'HIER Rechnung Ausschütter'!I4</f>
        <v>-2450.599115</v>
      </c>
      <c r="N4" s="56">
        <f t="shared" ref="N4:N33" si="5">B5/D$1-1</f>
        <v>0.8200997326</v>
      </c>
      <c r="O4" s="56">
        <f t="shared" ref="O4:O33" si="6">U4/F4</f>
        <v>0.03952171953</v>
      </c>
      <c r="P4" s="61">
        <f t="shared" ref="P4:P33" si="7">(B5*C4)-(B4*C4)</f>
        <v>213400.4284</v>
      </c>
      <c r="Q4" s="61">
        <f t="shared" ref="Q4:Q33" si="8">IF(H4&gt;0, IF(P4&gt;0,D4*H4*0.7,0),0)</f>
        <v>48300</v>
      </c>
      <c r="R4" s="75">
        <f t="shared" ref="R4:R33" si="9">IF(P4&gt;0,MIN(P4,Q4),0)</f>
        <v>48300</v>
      </c>
      <c r="S4" s="55">
        <f t="shared" ref="S4:S33" si="10">R4*V$1</f>
        <v>8951.1975</v>
      </c>
      <c r="T4" s="55">
        <f>R4-AC4</f>
        <v>48300</v>
      </c>
      <c r="U4" s="55">
        <f t="shared" ref="U4:U33" si="11">V4+AB4+S4-AE4</f>
        <v>47955.67142</v>
      </c>
      <c r="V4" s="55">
        <f>AA1</f>
        <v>35000</v>
      </c>
      <c r="W4" s="76">
        <f t="shared" ref="W4:W33" si="12">U4/B5</f>
        <v>39521.71953</v>
      </c>
      <c r="X4" s="55">
        <f t="shared" ref="X4:X33" si="13">U4-S4-AB4+AE4</f>
        <v>35000</v>
      </c>
      <c r="Y4" s="54"/>
      <c r="Z4" s="55">
        <f t="shared" ref="Z4:Z33" si="14">W4*D$1+AC4</f>
        <v>26347.8262</v>
      </c>
      <c r="AA4" s="55">
        <f t="shared" ref="AA4:AA33" si="15">U4-Z4</f>
        <v>21607.84522</v>
      </c>
      <c r="AB4" s="55">
        <f t="shared" ref="AB4:AB33" si="16">AA4*V$1</f>
        <v>4004.473915</v>
      </c>
      <c r="AC4" s="77">
        <f t="shared" ref="AC4:AC33" si="17">IF(T3&gt;0,(T3/C4)*W4,0)</f>
        <v>0</v>
      </c>
      <c r="AD4" s="78">
        <f>'HIER Rechnung Ausschütter'!S1</f>
        <v>0</v>
      </c>
      <c r="AE4" s="55">
        <f>IF((R4+U4)&lt;AD4,(R4+U4)*'HIER Rechnung Ausschütter'!O$1,AD4*'HIER Rechnung Ausschütter'!O$1)</f>
        <v>0</v>
      </c>
      <c r="AF4" s="79">
        <f>AG4-'HIER Rechnung Ausschütter'!AM4</f>
        <v>9256.276024</v>
      </c>
      <c r="AG4" s="55">
        <f t="shared" ref="AG4:AG33" si="18">(AA4+R4)*0.7</f>
        <v>48935.49165</v>
      </c>
      <c r="AH4" s="12"/>
      <c r="AI4" s="12"/>
    </row>
    <row r="5" ht="12.75" customHeight="1">
      <c r="A5" s="11">
        <v>2.0</v>
      </c>
      <c r="B5" s="44">
        <f t="shared" ref="B5:B34" si="19">B4*(1+E4)*(1+G4)</f>
        <v>1.213400428</v>
      </c>
      <c r="C5" s="45">
        <f t="shared" ref="C5:C34" si="20">C4-W4</f>
        <v>960478.2805</v>
      </c>
      <c r="D5" s="12">
        <f t="shared" ref="D5:D34" si="21">J4</f>
        <v>1165444.757</v>
      </c>
      <c r="E5" s="16">
        <f>'HIER Rechnung Ausschütter'!E5</f>
        <v>0.117233208</v>
      </c>
      <c r="F5" s="12">
        <f t="shared" si="1"/>
        <v>1327227.117</v>
      </c>
      <c r="G5" s="16">
        <f>'HIER Rechnung Ausschütter'!H5</f>
        <v>0.01931805741</v>
      </c>
      <c r="H5" s="56">
        <f t="shared" si="2"/>
        <v>0.062</v>
      </c>
      <c r="I5" s="71">
        <v>0.062</v>
      </c>
      <c r="J5" s="48">
        <f t="shared" si="3"/>
        <v>1276126.648</v>
      </c>
      <c r="K5" s="56">
        <f t="shared" si="4"/>
        <v>0.09496965916</v>
      </c>
      <c r="L5" s="56">
        <f>K5-'HIER Rechnung Ausschütter'!J5</f>
        <v>-0.002211484242</v>
      </c>
      <c r="M5" s="55">
        <f>J5-'HIER Rechnung Ausschütter'!I5</f>
        <v>-5266.113855</v>
      </c>
      <c r="N5" s="56">
        <f t="shared" si="5"/>
        <v>1.072758667</v>
      </c>
      <c r="O5" s="56">
        <f t="shared" si="6"/>
        <v>0.03850167611</v>
      </c>
      <c r="P5" s="61">
        <f t="shared" si="7"/>
        <v>161782.3599</v>
      </c>
      <c r="Q5" s="61">
        <f t="shared" si="8"/>
        <v>50580.30245</v>
      </c>
      <c r="R5" s="75">
        <f t="shared" si="9"/>
        <v>50580.30245</v>
      </c>
      <c r="S5" s="55">
        <f t="shared" si="10"/>
        <v>9373.794552</v>
      </c>
      <c r="T5" s="55">
        <f t="shared" ref="T5:T33" si="22">T4+R5-AC5</f>
        <v>97020.6715</v>
      </c>
      <c r="U5" s="55">
        <f t="shared" si="11"/>
        <v>51100.46858</v>
      </c>
      <c r="V5" s="55">
        <f t="shared" ref="V5:V33" si="23">V4*(1+I5)</f>
        <v>37170</v>
      </c>
      <c r="W5" s="76">
        <f t="shared" si="12"/>
        <v>36980.02366</v>
      </c>
      <c r="X5" s="55">
        <f t="shared" si="13"/>
        <v>37170</v>
      </c>
      <c r="Y5" s="54"/>
      <c r="Z5" s="55">
        <f t="shared" si="14"/>
        <v>26512.99239</v>
      </c>
      <c r="AA5" s="55">
        <f t="shared" si="15"/>
        <v>24587.47619</v>
      </c>
      <c r="AB5" s="55">
        <f t="shared" si="16"/>
        <v>4556.674024</v>
      </c>
      <c r="AC5" s="77">
        <f t="shared" si="17"/>
        <v>1859.630956</v>
      </c>
      <c r="AD5" s="78">
        <f t="shared" ref="AD5:AD33" si="24">AD4*(1+I5)</f>
        <v>0</v>
      </c>
      <c r="AE5" s="55">
        <f>IF((R5+U5)&lt;AD5,(R5+U5)*'HIER Rechnung Ausschütter'!O$1,AD5*'HIER Rechnung Ausschütter'!O$1)</f>
        <v>0</v>
      </c>
      <c r="AF5" s="80">
        <f>AG5-'HIER Rechnung Ausschütter'!AM5</f>
        <v>9349.696426</v>
      </c>
      <c r="AG5" s="55">
        <f t="shared" si="18"/>
        <v>52617.44505</v>
      </c>
      <c r="AH5" s="12"/>
      <c r="AI5" s="12"/>
    </row>
    <row r="6" ht="12.75" customHeight="1">
      <c r="A6" s="11">
        <v>3.0</v>
      </c>
      <c r="B6" s="44">
        <f t="shared" si="19"/>
        <v>1.381839802</v>
      </c>
      <c r="C6" s="45">
        <f t="shared" si="20"/>
        <v>923498.2568</v>
      </c>
      <c r="D6" s="12">
        <f t="shared" si="21"/>
        <v>1276126.648</v>
      </c>
      <c r="E6" s="16">
        <f>'HIER Rechnung Ausschütter'!E6</f>
        <v>0.1416801363</v>
      </c>
      <c r="F6" s="12">
        <f t="shared" si="1"/>
        <v>1482428.068</v>
      </c>
      <c r="G6" s="16">
        <f>'HIER Rechnung Ausschütter'!H6</f>
        <v>0.01750231633</v>
      </c>
      <c r="H6" s="56">
        <f t="shared" si="2"/>
        <v>0.056</v>
      </c>
      <c r="I6" s="71">
        <v>0.056</v>
      </c>
      <c r="J6" s="48">
        <f t="shared" si="3"/>
        <v>1428739.423</v>
      </c>
      <c r="K6" s="56">
        <f t="shared" si="4"/>
        <v>0.1195906182</v>
      </c>
      <c r="L6" s="56">
        <f>K6-'HIER Rechnung Ausschütter'!J6</f>
        <v>-0.002300222167</v>
      </c>
      <c r="M6" s="55">
        <f>J6-'HIER Rechnung Ausschütter'!I6</f>
        <v>-8843.379703</v>
      </c>
      <c r="N6" s="56">
        <f t="shared" si="5"/>
        <v>1.407845358</v>
      </c>
      <c r="O6" s="56">
        <f t="shared" si="6"/>
        <v>0.03621669506</v>
      </c>
      <c r="P6" s="61">
        <f t="shared" si="7"/>
        <v>206301.42</v>
      </c>
      <c r="Q6" s="61">
        <f t="shared" si="8"/>
        <v>50024.16462</v>
      </c>
      <c r="R6" s="75">
        <f t="shared" si="9"/>
        <v>50024.16462</v>
      </c>
      <c r="S6" s="55">
        <f t="shared" si="10"/>
        <v>9270.728307</v>
      </c>
      <c r="T6" s="55">
        <f t="shared" si="22"/>
        <v>143531.068</v>
      </c>
      <c r="U6" s="55">
        <f t="shared" si="11"/>
        <v>53688.6453</v>
      </c>
      <c r="V6" s="55">
        <f t="shared" si="23"/>
        <v>39251.52</v>
      </c>
      <c r="W6" s="76">
        <f t="shared" si="12"/>
        <v>33446.05475</v>
      </c>
      <c r="X6" s="55">
        <f t="shared" si="13"/>
        <v>39251.52</v>
      </c>
      <c r="Y6" s="54"/>
      <c r="Z6" s="55">
        <f t="shared" si="14"/>
        <v>25811.14906</v>
      </c>
      <c r="AA6" s="55">
        <f t="shared" si="15"/>
        <v>27877.49624</v>
      </c>
      <c r="AB6" s="55">
        <f t="shared" si="16"/>
        <v>5166.396991</v>
      </c>
      <c r="AC6" s="77">
        <f t="shared" si="17"/>
        <v>3513.768074</v>
      </c>
      <c r="AD6" s="78">
        <f t="shared" si="24"/>
        <v>0</v>
      </c>
      <c r="AE6" s="55">
        <f>IF((R6+U6)&lt;AD6,(R6+U6)*'HIER Rechnung Ausschütter'!O$1,AD6*'HIER Rechnung Ausschütter'!O$1)</f>
        <v>0</v>
      </c>
      <c r="AF6" s="81">
        <f>AG6-'HIER Rechnung Ausschütter'!AM6</f>
        <v>10296.25731</v>
      </c>
      <c r="AG6" s="55">
        <f t="shared" si="18"/>
        <v>54531.1626</v>
      </c>
      <c r="AH6" s="12"/>
      <c r="AI6" s="12"/>
    </row>
    <row r="7" ht="12.75" customHeight="1">
      <c r="A7" s="11">
        <v>4.0</v>
      </c>
      <c r="B7" s="44">
        <f t="shared" si="19"/>
        <v>1.605231041</v>
      </c>
      <c r="C7" s="45">
        <f t="shared" si="20"/>
        <v>890052.2021</v>
      </c>
      <c r="D7" s="12">
        <f t="shared" si="21"/>
        <v>1428739.423</v>
      </c>
      <c r="E7" s="16">
        <f>'HIER Rechnung Ausschütter'!E7</f>
        <v>0.2278059473</v>
      </c>
      <c r="F7" s="12">
        <f t="shared" si="1"/>
        <v>1784254.982</v>
      </c>
      <c r="G7" s="16">
        <f>'HIER Rechnung Ausschütter'!H7</f>
        <v>0.01712459737</v>
      </c>
      <c r="H7" s="56">
        <f t="shared" si="2"/>
        <v>0.046</v>
      </c>
      <c r="I7" s="71">
        <v>0.046</v>
      </c>
      <c r="J7" s="48">
        <f t="shared" si="3"/>
        <v>1728619.616</v>
      </c>
      <c r="K7" s="56">
        <f t="shared" si="4"/>
        <v>0.2098914527</v>
      </c>
      <c r="L7" s="56">
        <f>K7-'HIER Rechnung Ausschütter'!J7</f>
        <v>-0.002826434292</v>
      </c>
      <c r="M7" s="55">
        <f>J7-'HIER Rechnung Ausschütter'!I7</f>
        <v>-14762.76285</v>
      </c>
      <c r="N7" s="56">
        <f t="shared" si="5"/>
        <v>2.006993443</v>
      </c>
      <c r="O7" s="56">
        <f t="shared" si="6"/>
        <v>0.03118128672</v>
      </c>
      <c r="P7" s="61">
        <f t="shared" si="7"/>
        <v>355515.5592</v>
      </c>
      <c r="Q7" s="61">
        <f t="shared" si="8"/>
        <v>46005.40942</v>
      </c>
      <c r="R7" s="75">
        <f t="shared" si="9"/>
        <v>46005.40942</v>
      </c>
      <c r="S7" s="55">
        <f t="shared" si="10"/>
        <v>8525.952502</v>
      </c>
      <c r="T7" s="55">
        <f t="shared" si="22"/>
        <v>185060.9941</v>
      </c>
      <c r="U7" s="55">
        <f t="shared" si="11"/>
        <v>55635.36618</v>
      </c>
      <c r="V7" s="55">
        <f t="shared" si="23"/>
        <v>41057.08992</v>
      </c>
      <c r="W7" s="76">
        <f t="shared" si="12"/>
        <v>27752.97291</v>
      </c>
      <c r="X7" s="55">
        <f t="shared" si="13"/>
        <v>41057.08992</v>
      </c>
      <c r="Y7" s="54"/>
      <c r="Z7" s="55">
        <f t="shared" si="14"/>
        <v>22977.47457</v>
      </c>
      <c r="AA7" s="55">
        <f t="shared" si="15"/>
        <v>32657.89161</v>
      </c>
      <c r="AB7" s="55">
        <f t="shared" si="16"/>
        <v>6052.323762</v>
      </c>
      <c r="AC7" s="77">
        <f t="shared" si="17"/>
        <v>4475.483386</v>
      </c>
      <c r="AD7" s="78">
        <f t="shared" si="24"/>
        <v>0</v>
      </c>
      <c r="AE7" s="55">
        <f>IF((R7+U7)&lt;AD7,(R7+U7)*'HIER Rechnung Ausschütter'!O$1,AD7*'HIER Rechnung Ausschütter'!O$1)</f>
        <v>0</v>
      </c>
      <c r="AF7" s="82">
        <f>AG7-'HIER Rechnung Ausschütter'!AM7</f>
        <v>14046.72482</v>
      </c>
      <c r="AG7" s="55">
        <f t="shared" si="18"/>
        <v>55064.31072</v>
      </c>
      <c r="AH7" s="12"/>
      <c r="AI7" s="12"/>
    </row>
    <row r="8" ht="12.75" customHeight="1">
      <c r="A8" s="11">
        <v>5.0</v>
      </c>
      <c r="B8" s="44">
        <f t="shared" si="19"/>
        <v>2.004663298</v>
      </c>
      <c r="C8" s="45">
        <f t="shared" si="20"/>
        <v>862299.2291</v>
      </c>
      <c r="D8" s="12">
        <f t="shared" si="21"/>
        <v>1728619.616</v>
      </c>
      <c r="E8" s="16">
        <f>'HIER Rechnung Ausschütter'!E8</f>
        <v>0.2356037469</v>
      </c>
      <c r="F8" s="12">
        <f t="shared" si="1"/>
        <v>2168195.284</v>
      </c>
      <c r="G8" s="16">
        <f>'HIER Rechnung Ausschütter'!H8</f>
        <v>0.01512551027</v>
      </c>
      <c r="H8" s="56">
        <f t="shared" si="2"/>
        <v>0.045</v>
      </c>
      <c r="I8" s="71">
        <v>0.045</v>
      </c>
      <c r="J8" s="48">
        <f t="shared" si="3"/>
        <v>2107947.304</v>
      </c>
      <c r="K8" s="56">
        <f t="shared" si="4"/>
        <v>0.2194396527</v>
      </c>
      <c r="L8" s="56">
        <f>K8-'HIER Rechnung Ausschütter'!J8</f>
        <v>-0.002880648064</v>
      </c>
      <c r="M8" s="55">
        <f>J8-'HIER Rechnung Ausschütter'!I8</f>
        <v>-23024.36947</v>
      </c>
      <c r="N8" s="56">
        <f t="shared" si="5"/>
        <v>2.771650478</v>
      </c>
      <c r="O8" s="56">
        <f t="shared" si="6"/>
        <v>0.02778715551</v>
      </c>
      <c r="P8" s="61">
        <f t="shared" si="7"/>
        <v>439575.6677</v>
      </c>
      <c r="Q8" s="61">
        <f t="shared" si="8"/>
        <v>54451.51791</v>
      </c>
      <c r="R8" s="75">
        <f t="shared" si="9"/>
        <v>54451.51791</v>
      </c>
      <c r="S8" s="55">
        <f t="shared" si="10"/>
        <v>10091.22756</v>
      </c>
      <c r="T8" s="55">
        <f t="shared" si="22"/>
        <v>234370.1934</v>
      </c>
      <c r="U8" s="55">
        <f t="shared" si="11"/>
        <v>60247.97952</v>
      </c>
      <c r="V8" s="55">
        <f t="shared" si="23"/>
        <v>42904.65897</v>
      </c>
      <c r="W8" s="76">
        <f t="shared" si="12"/>
        <v>23960.84277</v>
      </c>
      <c r="X8" s="55">
        <f t="shared" si="13"/>
        <v>42904.65897</v>
      </c>
      <c r="Y8" s="54"/>
      <c r="Z8" s="55">
        <f t="shared" si="14"/>
        <v>21116.22179</v>
      </c>
      <c r="AA8" s="55">
        <f t="shared" si="15"/>
        <v>39131.75773</v>
      </c>
      <c r="AB8" s="55">
        <f t="shared" si="16"/>
        <v>7252.093002</v>
      </c>
      <c r="AC8" s="77">
        <f t="shared" si="17"/>
        <v>5142.318621</v>
      </c>
      <c r="AD8" s="78">
        <f t="shared" si="24"/>
        <v>0</v>
      </c>
      <c r="AE8" s="55">
        <f>IF((R8+U8)&lt;AD8,(R8+U8)*'HIER Rechnung Ausschütter'!O$1,AD8*'HIER Rechnung Ausschütter'!O$1)</f>
        <v>0</v>
      </c>
      <c r="AF8" s="83">
        <f>AG8-'HIER Rechnung Ausschütter'!AM8</f>
        <v>17025.65069</v>
      </c>
      <c r="AG8" s="55">
        <f t="shared" si="18"/>
        <v>65508.29295</v>
      </c>
      <c r="AH8" s="12"/>
      <c r="AI8" s="12"/>
    </row>
    <row r="9" ht="12.75" customHeight="1">
      <c r="A9" s="11">
        <v>6.0</v>
      </c>
      <c r="B9" s="44">
        <f t="shared" si="19"/>
        <v>2.514434909</v>
      </c>
      <c r="C9" s="45">
        <f t="shared" si="20"/>
        <v>838338.3864</v>
      </c>
      <c r="D9" s="12">
        <f t="shared" si="21"/>
        <v>2107947.304</v>
      </c>
      <c r="E9" s="16">
        <f>'HIER Rechnung Ausschütter'!E9</f>
        <v>-0.1404983514</v>
      </c>
      <c r="F9" s="12">
        <f t="shared" si="1"/>
        <v>1829213.308</v>
      </c>
      <c r="G9" s="16">
        <f>'HIER Rechnung Ausschütter'!H9</f>
        <v>0.009619867846</v>
      </c>
      <c r="H9" s="56">
        <f t="shared" si="2"/>
        <v>0.053</v>
      </c>
      <c r="I9" s="71">
        <v>0.053</v>
      </c>
      <c r="J9" s="48">
        <f t="shared" si="3"/>
        <v>1778736.881</v>
      </c>
      <c r="K9" s="56">
        <f t="shared" si="4"/>
        <v>-0.1561758319</v>
      </c>
      <c r="L9" s="56">
        <f>K9-'HIER Rechnung Ausschütter'!J9</f>
        <v>0.0004264542614</v>
      </c>
      <c r="M9" s="55">
        <f>J9-'HIER Rechnung Ausschütter'!I9</f>
        <v>-18519.75747</v>
      </c>
      <c r="N9" s="56">
        <f t="shared" si="5"/>
        <v>2.272924912</v>
      </c>
      <c r="O9" s="56">
        <f t="shared" si="6"/>
        <v>0.02759460962</v>
      </c>
      <c r="P9" s="61">
        <f t="shared" si="7"/>
        <v>-278733.9966</v>
      </c>
      <c r="Q9" s="61">
        <f t="shared" si="8"/>
        <v>0</v>
      </c>
      <c r="R9" s="75">
        <f t="shared" si="9"/>
        <v>0</v>
      </c>
      <c r="S9" s="55">
        <f t="shared" si="10"/>
        <v>0</v>
      </c>
      <c r="T9" s="55">
        <f t="shared" si="22"/>
        <v>227902.8394</v>
      </c>
      <c r="U9" s="55">
        <f t="shared" si="11"/>
        <v>50476.42713</v>
      </c>
      <c r="V9" s="55">
        <f t="shared" si="23"/>
        <v>45178.60589</v>
      </c>
      <c r="W9" s="76">
        <f t="shared" si="12"/>
        <v>23133.6205</v>
      </c>
      <c r="X9" s="55">
        <f t="shared" si="13"/>
        <v>45178.60589</v>
      </c>
      <c r="Y9" s="54"/>
      <c r="Z9" s="55">
        <f t="shared" si="14"/>
        <v>21889.77537</v>
      </c>
      <c r="AA9" s="55">
        <f t="shared" si="15"/>
        <v>28586.65176</v>
      </c>
      <c r="AB9" s="55">
        <f t="shared" si="16"/>
        <v>5297.821238</v>
      </c>
      <c r="AC9" s="77">
        <f t="shared" si="17"/>
        <v>6467.353991</v>
      </c>
      <c r="AD9" s="78">
        <f t="shared" si="24"/>
        <v>0</v>
      </c>
      <c r="AE9" s="55">
        <f>IF((R9+U9)&lt;AD9,(R9+U9)*'HIER Rechnung Ausschütter'!O$1,AD9*'HIER Rechnung Ausschütter'!O$1)</f>
        <v>0</v>
      </c>
      <c r="AF9" s="84">
        <f>AG9-'HIER Rechnung Ausschütter'!AM9</f>
        <v>-5515.007408</v>
      </c>
      <c r="AG9" s="55">
        <f t="shared" si="18"/>
        <v>20010.65623</v>
      </c>
      <c r="AH9" s="12"/>
      <c r="AI9" s="12"/>
    </row>
    <row r="10" ht="12.75" customHeight="1">
      <c r="A10" s="11">
        <v>7.0</v>
      </c>
      <c r="B10" s="44">
        <f t="shared" si="19"/>
        <v>2.181951032</v>
      </c>
      <c r="C10" s="45">
        <f t="shared" si="20"/>
        <v>815204.7659</v>
      </c>
      <c r="D10" s="12">
        <f t="shared" si="21"/>
        <v>1778736.881</v>
      </c>
      <c r="E10" s="16">
        <f>'HIER Rechnung Ausschütter'!E10</f>
        <v>-0.1782898384</v>
      </c>
      <c r="F10" s="12">
        <f t="shared" si="1"/>
        <v>1477854.976</v>
      </c>
      <c r="G10" s="16">
        <f>'HIER Rechnung Ausschütter'!H10</f>
        <v>0.01111708907</v>
      </c>
      <c r="H10" s="56">
        <f t="shared" si="2"/>
        <v>0.048</v>
      </c>
      <c r="I10" s="71">
        <v>0.048</v>
      </c>
      <c r="J10" s="48">
        <f t="shared" si="3"/>
        <v>1425905.385</v>
      </c>
      <c r="K10" s="56">
        <f t="shared" si="4"/>
        <v>-0.1983607014</v>
      </c>
      <c r="L10" s="56">
        <f>K10-'HIER Rechnung Ausschütter'!J10</f>
        <v>0.0006684054549</v>
      </c>
      <c r="M10" s="55">
        <f>J10-'HIER Rechnung Ausschütter'!I10</f>
        <v>-13644.86924</v>
      </c>
      <c r="N10" s="56">
        <f t="shared" si="5"/>
        <v>1.71929391</v>
      </c>
      <c r="O10" s="56">
        <f t="shared" si="6"/>
        <v>0.0351520218</v>
      </c>
      <c r="P10" s="61">
        <f t="shared" si="7"/>
        <v>-300881.905</v>
      </c>
      <c r="Q10" s="61">
        <f t="shared" si="8"/>
        <v>0</v>
      </c>
      <c r="R10" s="75">
        <f t="shared" si="9"/>
        <v>0</v>
      </c>
      <c r="S10" s="55">
        <f t="shared" si="10"/>
        <v>0</v>
      </c>
      <c r="T10" s="55">
        <f t="shared" si="22"/>
        <v>219891.5938</v>
      </c>
      <c r="U10" s="55">
        <f t="shared" si="11"/>
        <v>51949.59032</v>
      </c>
      <c r="V10" s="55">
        <f t="shared" si="23"/>
        <v>47347.17897</v>
      </c>
      <c r="W10" s="76">
        <f t="shared" si="12"/>
        <v>28656.0957</v>
      </c>
      <c r="X10" s="55">
        <f t="shared" si="13"/>
        <v>47347.17897</v>
      </c>
      <c r="Y10" s="54"/>
      <c r="Z10" s="55">
        <f t="shared" si="14"/>
        <v>27115.31893</v>
      </c>
      <c r="AA10" s="55">
        <f t="shared" si="15"/>
        <v>24834.27139</v>
      </c>
      <c r="AB10" s="55">
        <f t="shared" si="16"/>
        <v>4602.411345</v>
      </c>
      <c r="AC10" s="77">
        <f t="shared" si="17"/>
        <v>8011.245578</v>
      </c>
      <c r="AD10" s="78">
        <f t="shared" si="24"/>
        <v>0</v>
      </c>
      <c r="AE10" s="55">
        <f>IF((R10+U10)&lt;AD10,(R10+U10)*'HIER Rechnung Ausschütter'!O$1,AD10*'HIER Rechnung Ausschütter'!O$1)</f>
        <v>0</v>
      </c>
      <c r="AF10" s="85">
        <f>AG10-'HIER Rechnung Ausschütter'!AM10</f>
        <v>-6580.479824</v>
      </c>
      <c r="AG10" s="55">
        <f t="shared" si="18"/>
        <v>17383.98997</v>
      </c>
      <c r="AH10" s="12"/>
      <c r="AI10" s="12"/>
    </row>
    <row r="11" ht="12.75" customHeight="1">
      <c r="A11" s="11">
        <v>8.0</v>
      </c>
      <c r="B11" s="44">
        <f t="shared" si="19"/>
        <v>1.812863513</v>
      </c>
      <c r="C11" s="45">
        <f t="shared" si="20"/>
        <v>786548.6702</v>
      </c>
      <c r="D11" s="12">
        <f t="shared" si="21"/>
        <v>1425905.385</v>
      </c>
      <c r="E11" s="16">
        <f>'HIER Rechnung Ausschütter'!E11</f>
        <v>-0.2105606687</v>
      </c>
      <c r="F11" s="12">
        <f t="shared" si="1"/>
        <v>1140159.549</v>
      </c>
      <c r="G11" s="16">
        <f>'HIER Rechnung Ausschütter'!H11</f>
        <v>0.01287571822</v>
      </c>
      <c r="H11" s="56">
        <f t="shared" si="2"/>
        <v>0.048</v>
      </c>
      <c r="I11" s="71">
        <v>0.048</v>
      </c>
      <c r="J11" s="48">
        <f t="shared" si="3"/>
        <v>1087127.003</v>
      </c>
      <c r="K11" s="56">
        <f t="shared" si="4"/>
        <v>-0.2375882619</v>
      </c>
      <c r="L11" s="56">
        <f>K11-'HIER Rechnung Ausschütter'!J11</f>
        <v>0.001089502716</v>
      </c>
      <c r="M11" s="55">
        <f>J11-'HIER Rechnung Ausschütter'!I11</f>
        <v>-8834.614564</v>
      </c>
      <c r="N11" s="56">
        <f t="shared" si="5"/>
        <v>1.174358096</v>
      </c>
      <c r="O11" s="56">
        <f t="shared" si="6"/>
        <v>0.04651326766</v>
      </c>
      <c r="P11" s="61">
        <f t="shared" si="7"/>
        <v>-285745.8358</v>
      </c>
      <c r="Q11" s="61">
        <f t="shared" si="8"/>
        <v>0</v>
      </c>
      <c r="R11" s="75">
        <f t="shared" si="9"/>
        <v>0</v>
      </c>
      <c r="S11" s="55">
        <f t="shared" si="10"/>
        <v>0</v>
      </c>
      <c r="T11" s="55">
        <f t="shared" si="22"/>
        <v>209663.7172</v>
      </c>
      <c r="U11" s="55">
        <f t="shared" si="11"/>
        <v>53032.5463</v>
      </c>
      <c r="V11" s="55">
        <f t="shared" si="23"/>
        <v>49619.84357</v>
      </c>
      <c r="W11" s="76">
        <f t="shared" si="12"/>
        <v>36584.94882</v>
      </c>
      <c r="X11" s="55">
        <f t="shared" si="13"/>
        <v>49619.84357</v>
      </c>
      <c r="Y11" s="54"/>
      <c r="Z11" s="55">
        <f t="shared" si="14"/>
        <v>34617.85464</v>
      </c>
      <c r="AA11" s="55">
        <f t="shared" si="15"/>
        <v>18414.69166</v>
      </c>
      <c r="AB11" s="55">
        <f t="shared" si="16"/>
        <v>3412.702732</v>
      </c>
      <c r="AC11" s="77">
        <f t="shared" si="17"/>
        <v>10227.87656</v>
      </c>
      <c r="AD11" s="78">
        <f t="shared" si="24"/>
        <v>0</v>
      </c>
      <c r="AE11" s="55">
        <f>IF((R11+U11)&lt;AD11,(R11+U11)*'HIER Rechnung Ausschütter'!O$1,AD11*'HIER Rechnung Ausschütter'!O$1)</f>
        <v>0</v>
      </c>
      <c r="AF11" s="86">
        <f>AG11-'HIER Rechnung Ausschütter'!AM11</f>
        <v>-7840.892712</v>
      </c>
      <c r="AG11" s="55">
        <f t="shared" si="18"/>
        <v>12890.28416</v>
      </c>
      <c r="AH11" s="12"/>
      <c r="AI11" s="12"/>
    </row>
    <row r="12" ht="12.75" customHeight="1">
      <c r="A12" s="11">
        <v>9.0</v>
      </c>
      <c r="B12" s="44">
        <f t="shared" si="19"/>
        <v>1.449572789</v>
      </c>
      <c r="C12" s="45">
        <f t="shared" si="20"/>
        <v>749963.7213</v>
      </c>
      <c r="D12" s="12">
        <f t="shared" si="21"/>
        <v>1087127.003</v>
      </c>
      <c r="E12" s="16">
        <f>'HIER Rechnung Ausschütter'!E12</f>
        <v>0.3081272129</v>
      </c>
      <c r="F12" s="12">
        <f t="shared" si="1"/>
        <v>1440410.981</v>
      </c>
      <c r="G12" s="16">
        <f>G11</f>
        <v>0.01287571822</v>
      </c>
      <c r="H12" s="56">
        <f t="shared" si="2"/>
        <v>0.041</v>
      </c>
      <c r="I12" s="71">
        <v>0.041</v>
      </c>
      <c r="J12" s="48">
        <f t="shared" si="3"/>
        <v>1377013.755</v>
      </c>
      <c r="K12" s="56">
        <f t="shared" si="4"/>
        <v>0.2666539893</v>
      </c>
      <c r="L12" s="56">
        <f>K12-'HIER Rechnung Ausschütter'!J12</f>
        <v>-0.01899720163</v>
      </c>
      <c r="M12" s="55">
        <f>J12-'HIER Rechnung Ausschütter'!I12</f>
        <v>-32010.60361</v>
      </c>
      <c r="N12" s="56">
        <f t="shared" si="5"/>
        <v>1.880959878</v>
      </c>
      <c r="O12" s="56">
        <f t="shared" si="6"/>
        <v>0.04401328953</v>
      </c>
      <c r="P12" s="61">
        <f t="shared" si="7"/>
        <v>353283.9778</v>
      </c>
      <c r="Q12" s="61">
        <f t="shared" si="8"/>
        <v>31200.54499</v>
      </c>
      <c r="R12" s="75">
        <f t="shared" si="9"/>
        <v>31200.54499</v>
      </c>
      <c r="S12" s="55">
        <f t="shared" si="10"/>
        <v>5782.241</v>
      </c>
      <c r="T12" s="55">
        <f t="shared" si="22"/>
        <v>231636.2723</v>
      </c>
      <c r="U12" s="55">
        <f t="shared" si="11"/>
        <v>63397.22555</v>
      </c>
      <c r="V12" s="55">
        <f t="shared" si="23"/>
        <v>51654.25715</v>
      </c>
      <c r="W12" s="76">
        <f t="shared" si="12"/>
        <v>33008.3704</v>
      </c>
      <c r="X12" s="55">
        <f t="shared" si="13"/>
        <v>51654.25715</v>
      </c>
      <c r="Y12" s="54"/>
      <c r="Z12" s="55">
        <f t="shared" si="14"/>
        <v>31233.58116</v>
      </c>
      <c r="AA12" s="55">
        <f t="shared" si="15"/>
        <v>32163.64438</v>
      </c>
      <c r="AB12" s="55">
        <f t="shared" si="16"/>
        <v>5960.727395</v>
      </c>
      <c r="AC12" s="77">
        <f t="shared" si="17"/>
        <v>9227.989891</v>
      </c>
      <c r="AD12" s="78">
        <f t="shared" si="24"/>
        <v>0</v>
      </c>
      <c r="AE12" s="55">
        <f>IF((R12+U12)&lt;AD12,(R12+U12)*'HIER Rechnung Ausschütter'!O$1,AD12*'HIER Rechnung Ausschütter'!O$1)</f>
        <v>0</v>
      </c>
      <c r="AF12" s="87">
        <f>AG12-'HIER Rechnung Ausschütter'!AM12</f>
        <v>10682.79277</v>
      </c>
      <c r="AG12" s="55">
        <f t="shared" si="18"/>
        <v>44354.93256</v>
      </c>
      <c r="AH12" s="12"/>
      <c r="AI12" s="12"/>
    </row>
    <row r="13" ht="12.75" customHeight="1">
      <c r="A13" s="11">
        <v>10.0</v>
      </c>
      <c r="B13" s="44">
        <f t="shared" si="19"/>
        <v>1.920640879</v>
      </c>
      <c r="C13" s="45">
        <f t="shared" si="20"/>
        <v>716955.3509</v>
      </c>
      <c r="D13" s="12">
        <f t="shared" si="21"/>
        <v>1377013.755</v>
      </c>
      <c r="E13" s="16">
        <f>'HIER Rechnung Ausschütter'!E13</f>
        <v>0.1283611787</v>
      </c>
      <c r="F13" s="12">
        <f t="shared" si="1"/>
        <v>1585604.348</v>
      </c>
      <c r="G13" s="16">
        <f>'HIER Rechnung Ausschütter'!H13</f>
        <v>0.02048920175</v>
      </c>
      <c r="H13" s="56">
        <f t="shared" si="2"/>
        <v>0.04</v>
      </c>
      <c r="I13" s="71">
        <v>0.04</v>
      </c>
      <c r="J13" s="48">
        <f t="shared" si="3"/>
        <v>1517795.787</v>
      </c>
      <c r="K13" s="56">
        <f t="shared" si="4"/>
        <v>0.1022372004</v>
      </c>
      <c r="L13" s="56">
        <f>K13-'HIER Rechnung Ausschütter'!J13</f>
        <v>-0.003680047648</v>
      </c>
      <c r="M13" s="55">
        <f>J13-'HIER Rechnung Ausschütter'!I13</f>
        <v>-40468.55488</v>
      </c>
      <c r="N13" s="56">
        <f t="shared" si="5"/>
        <v>2.317368829</v>
      </c>
      <c r="O13" s="56">
        <f t="shared" si="6"/>
        <v>0.04276512062</v>
      </c>
      <c r="P13" s="61">
        <f t="shared" si="7"/>
        <v>208590.5925</v>
      </c>
      <c r="Q13" s="61">
        <f t="shared" si="8"/>
        <v>38556.38515</v>
      </c>
      <c r="R13" s="75">
        <f t="shared" si="9"/>
        <v>38556.38515</v>
      </c>
      <c r="S13" s="55">
        <f t="shared" si="10"/>
        <v>7145.462078</v>
      </c>
      <c r="T13" s="55">
        <f t="shared" si="22"/>
        <v>260286.7044</v>
      </c>
      <c r="U13" s="55">
        <f t="shared" si="11"/>
        <v>67808.56119</v>
      </c>
      <c r="V13" s="55">
        <f t="shared" si="23"/>
        <v>53720.42744</v>
      </c>
      <c r="W13" s="76">
        <f t="shared" si="12"/>
        <v>30660.68206</v>
      </c>
      <c r="X13" s="55">
        <f t="shared" si="13"/>
        <v>53720.42744</v>
      </c>
      <c r="Y13" s="54"/>
      <c r="Z13" s="55">
        <f t="shared" si="14"/>
        <v>30346.41805</v>
      </c>
      <c r="AA13" s="55">
        <f t="shared" si="15"/>
        <v>37462.14314</v>
      </c>
      <c r="AB13" s="55">
        <f t="shared" si="16"/>
        <v>6942.671677</v>
      </c>
      <c r="AC13" s="77">
        <f t="shared" si="17"/>
        <v>9905.953126</v>
      </c>
      <c r="AD13" s="78">
        <f t="shared" si="24"/>
        <v>0</v>
      </c>
      <c r="AE13" s="55">
        <f>IF((R13+U13)&lt;AD13,(R13+U13)*'HIER Rechnung Ausschütter'!O$1,AD13*'HIER Rechnung Ausschütter'!O$1)</f>
        <v>0</v>
      </c>
      <c r="AF13" s="88">
        <f>AG13-'HIER Rechnung Ausschütter'!AM13</f>
        <v>13631.62365</v>
      </c>
      <c r="AG13" s="55">
        <f t="shared" si="18"/>
        <v>53212.9698</v>
      </c>
      <c r="AH13" s="12"/>
      <c r="AI13" s="12"/>
    </row>
    <row r="14" ht="12.75" customHeight="1">
      <c r="A14" s="11">
        <v>11.0</v>
      </c>
      <c r="B14" s="44">
        <f t="shared" si="19"/>
        <v>2.211580325</v>
      </c>
      <c r="C14" s="45">
        <f t="shared" si="20"/>
        <v>686294.6689</v>
      </c>
      <c r="D14" s="12">
        <f t="shared" si="21"/>
        <v>1517795.787</v>
      </c>
      <c r="E14" s="16">
        <f>'HIER Rechnung Ausschütter'!E14</f>
        <v>0.07562721225</v>
      </c>
      <c r="F14" s="12">
        <f t="shared" si="1"/>
        <v>1666726.651</v>
      </c>
      <c r="G14" s="16">
        <f>'HIER Rechnung Ausschütter'!H14</f>
        <v>0.02091422686</v>
      </c>
      <c r="H14" s="56">
        <f t="shared" si="2"/>
        <v>0.034</v>
      </c>
      <c r="I14" s="71">
        <v>0.034</v>
      </c>
      <c r="J14" s="48">
        <f t="shared" si="3"/>
        <v>1597143.386</v>
      </c>
      <c r="K14" s="56">
        <f t="shared" si="4"/>
        <v>0.05227817897</v>
      </c>
      <c r="L14" s="56">
        <f>K14-'HIER Rechnung Ausschütter'!J14</f>
        <v>-0.003758537877</v>
      </c>
      <c r="M14" s="55">
        <f>J14-'HIER Rechnung Ausschütter'!I14</f>
        <v>-48440.97279</v>
      </c>
      <c r="N14" s="56">
        <f t="shared" si="5"/>
        <v>2.642879421</v>
      </c>
      <c r="O14" s="56">
        <f t="shared" si="6"/>
        <v>0.04174845591</v>
      </c>
      <c r="P14" s="61">
        <f t="shared" si="7"/>
        <v>148930.8639</v>
      </c>
      <c r="Q14" s="61">
        <f t="shared" si="8"/>
        <v>36123.53972</v>
      </c>
      <c r="R14" s="75">
        <f t="shared" si="9"/>
        <v>36123.53972</v>
      </c>
      <c r="S14" s="55">
        <f t="shared" si="10"/>
        <v>6694.594999</v>
      </c>
      <c r="T14" s="55">
        <f t="shared" si="22"/>
        <v>285543.6761</v>
      </c>
      <c r="U14" s="55">
        <f t="shared" si="11"/>
        <v>69583.26409</v>
      </c>
      <c r="V14" s="55">
        <f t="shared" si="23"/>
        <v>55546.92197</v>
      </c>
      <c r="W14" s="76">
        <f t="shared" si="12"/>
        <v>28651.74273</v>
      </c>
      <c r="X14" s="55">
        <f t="shared" si="13"/>
        <v>55546.92197</v>
      </c>
      <c r="Y14" s="54"/>
      <c r="Z14" s="55">
        <f t="shared" si="14"/>
        <v>29967.73937</v>
      </c>
      <c r="AA14" s="55">
        <f t="shared" si="15"/>
        <v>39615.52472</v>
      </c>
      <c r="AB14" s="55">
        <f t="shared" si="16"/>
        <v>7341.747118</v>
      </c>
      <c r="AC14" s="77">
        <f t="shared" si="17"/>
        <v>10866.568</v>
      </c>
      <c r="AD14" s="78">
        <f t="shared" si="24"/>
        <v>0</v>
      </c>
      <c r="AE14" s="55">
        <f>IF((R14+U14)&lt;AD14,(R14+U14)*'HIER Rechnung Ausschütter'!O$1,AD14*'HIER Rechnung Ausschütter'!O$1)</f>
        <v>0</v>
      </c>
      <c r="AF14" s="89">
        <f>AG14-'HIER Rechnung Ausschütter'!AM14</f>
        <v>15114.32388</v>
      </c>
      <c r="AG14" s="55">
        <f t="shared" si="18"/>
        <v>53017.34511</v>
      </c>
      <c r="AH14" s="12"/>
      <c r="AI14" s="12"/>
    </row>
    <row r="15" ht="12.75" customHeight="1">
      <c r="A15" s="11">
        <v>12.0</v>
      </c>
      <c r="B15" s="44">
        <f t="shared" si="19"/>
        <v>2.428587495</v>
      </c>
      <c r="C15" s="45">
        <f t="shared" si="20"/>
        <v>657642.9262</v>
      </c>
      <c r="D15" s="12">
        <f t="shared" si="21"/>
        <v>1597143.386</v>
      </c>
      <c r="E15" s="16">
        <f>'HIER Rechnung Ausschütter'!E15</f>
        <v>0.1795257498</v>
      </c>
      <c r="F15" s="12">
        <f t="shared" si="1"/>
        <v>1927100.989</v>
      </c>
      <c r="G15" s="16">
        <f>'HIER Rechnung Ausschütter'!H15</f>
        <v>0.02294701769</v>
      </c>
      <c r="H15" s="56">
        <f t="shared" si="2"/>
        <v>0.038</v>
      </c>
      <c r="I15" s="71">
        <v>0.038</v>
      </c>
      <c r="J15" s="48">
        <f t="shared" si="3"/>
        <v>1852995.802</v>
      </c>
      <c r="K15" s="56">
        <f t="shared" si="4"/>
        <v>0.1601937673</v>
      </c>
      <c r="L15" s="56">
        <f>K15-'HIER Rechnung Ausschütter'!J15</f>
        <v>-0.004694119419</v>
      </c>
      <c r="M15" s="55">
        <f>J15-'HIER Rechnung Ausschütter'!I15</f>
        <v>-63925.4842</v>
      </c>
      <c r="N15" s="56">
        <f t="shared" si="5"/>
        <v>3.395470434</v>
      </c>
      <c r="O15" s="56">
        <f t="shared" si="6"/>
        <v>0.03845423096</v>
      </c>
      <c r="P15" s="61">
        <f t="shared" si="7"/>
        <v>329957.6024</v>
      </c>
      <c r="Q15" s="61">
        <f t="shared" si="8"/>
        <v>42484.01408</v>
      </c>
      <c r="R15" s="75">
        <f t="shared" si="9"/>
        <v>42484.01408</v>
      </c>
      <c r="S15" s="55">
        <f t="shared" si="10"/>
        <v>7873.349909</v>
      </c>
      <c r="T15" s="55">
        <f t="shared" si="22"/>
        <v>317047.3277</v>
      </c>
      <c r="U15" s="55">
        <f t="shared" si="11"/>
        <v>74105.18652</v>
      </c>
      <c r="V15" s="55">
        <f t="shared" si="23"/>
        <v>57657.70501</v>
      </c>
      <c r="W15" s="76">
        <f t="shared" si="12"/>
        <v>25289.15297</v>
      </c>
      <c r="X15" s="55">
        <f t="shared" si="13"/>
        <v>57657.70501</v>
      </c>
      <c r="Y15" s="54"/>
      <c r="Z15" s="55">
        <f t="shared" si="14"/>
        <v>27839.80622</v>
      </c>
      <c r="AA15" s="55">
        <f t="shared" si="15"/>
        <v>46265.3803</v>
      </c>
      <c r="AB15" s="55">
        <f t="shared" si="16"/>
        <v>8574.131605</v>
      </c>
      <c r="AC15" s="77">
        <f t="shared" si="17"/>
        <v>10980.36247</v>
      </c>
      <c r="AD15" s="78">
        <f t="shared" si="24"/>
        <v>0</v>
      </c>
      <c r="AE15" s="55">
        <f>IF((R15+U15)&lt;AD15,(R15+U15)*'HIER Rechnung Ausschütter'!O$1,AD15*'HIER Rechnung Ausschütter'!O$1)</f>
        <v>0</v>
      </c>
      <c r="AF15" s="90">
        <f>AG15-'HIER Rechnung Ausschütter'!AM15</f>
        <v>20687.35682</v>
      </c>
      <c r="AG15" s="55">
        <f t="shared" si="18"/>
        <v>62124.57607</v>
      </c>
      <c r="AH15" s="12"/>
      <c r="AI15" s="12"/>
    </row>
    <row r="16" ht="12.75" customHeight="1">
      <c r="A16" s="11">
        <v>13.0</v>
      </c>
      <c r="B16" s="44">
        <f t="shared" si="19"/>
        <v>2.930315088</v>
      </c>
      <c r="C16" s="45">
        <f t="shared" si="20"/>
        <v>632353.7732</v>
      </c>
      <c r="D16" s="12">
        <f t="shared" si="21"/>
        <v>1852995.802</v>
      </c>
      <c r="E16" s="16">
        <f>'HIER Rechnung Ausschütter'!E16</f>
        <v>0.07092650336</v>
      </c>
      <c r="F16" s="12">
        <f t="shared" si="1"/>
        <v>2026141.36</v>
      </c>
      <c r="G16" s="16">
        <f>'HIER Rechnung Ausschütter'!H16</f>
        <v>0.02102326914</v>
      </c>
      <c r="H16" s="56">
        <f t="shared" si="2"/>
        <v>0.042</v>
      </c>
      <c r="I16" s="71">
        <v>0.042</v>
      </c>
      <c r="J16" s="48">
        <f t="shared" si="3"/>
        <v>1946598.432</v>
      </c>
      <c r="K16" s="56">
        <f t="shared" si="4"/>
        <v>0.05051421541</v>
      </c>
      <c r="L16" s="56">
        <f>K16-'HIER Rechnung Ausschütter'!J16</f>
        <v>-0.004253408874</v>
      </c>
      <c r="M16" s="55">
        <f>J16-'HIER Rechnung Ausschütter'!I16</f>
        <v>-75308.07989</v>
      </c>
      <c r="N16" s="56">
        <f t="shared" si="5"/>
        <v>3.806187057</v>
      </c>
      <c r="O16" s="56">
        <f t="shared" si="6"/>
        <v>0.03925833108</v>
      </c>
      <c r="P16" s="61">
        <f t="shared" si="7"/>
        <v>173145.5574</v>
      </c>
      <c r="Q16" s="61">
        <f t="shared" si="8"/>
        <v>54478.07659</v>
      </c>
      <c r="R16" s="75">
        <f t="shared" si="9"/>
        <v>54478.07659</v>
      </c>
      <c r="S16" s="55">
        <f t="shared" si="10"/>
        <v>10096.14954</v>
      </c>
      <c r="T16" s="55">
        <f t="shared" si="22"/>
        <v>359078.6553</v>
      </c>
      <c r="U16" s="55">
        <f t="shared" si="11"/>
        <v>79542.92832</v>
      </c>
      <c r="V16" s="55">
        <f t="shared" si="23"/>
        <v>60079.32862</v>
      </c>
      <c r="W16" s="76">
        <f t="shared" si="12"/>
        <v>24825.15379</v>
      </c>
      <c r="X16" s="55">
        <f t="shared" si="13"/>
        <v>60079.32862</v>
      </c>
      <c r="Y16" s="54"/>
      <c r="Z16" s="55">
        <f t="shared" si="14"/>
        <v>28996.85976</v>
      </c>
      <c r="AA16" s="55">
        <f t="shared" si="15"/>
        <v>50546.06856</v>
      </c>
      <c r="AB16" s="55">
        <f t="shared" si="16"/>
        <v>9367.450156</v>
      </c>
      <c r="AC16" s="77">
        <f t="shared" si="17"/>
        <v>12446.74896</v>
      </c>
      <c r="AD16" s="78">
        <f t="shared" si="24"/>
        <v>0</v>
      </c>
      <c r="AE16" s="55">
        <f>IF((R16+U16)&lt;AD16,(R16+U16)*'HIER Rechnung Ausschütter'!O$1,AD16*'HIER Rechnung Ausschütter'!O$1)</f>
        <v>0</v>
      </c>
      <c r="AF16" s="91">
        <f>AG16-'HIER Rechnung Ausschütter'!AM16</f>
        <v>20431.88982</v>
      </c>
      <c r="AG16" s="55">
        <f t="shared" si="18"/>
        <v>73516.9016</v>
      </c>
      <c r="AH16" s="12"/>
      <c r="AI16" s="12"/>
    </row>
    <row r="17" ht="12.75" customHeight="1">
      <c r="A17" s="11">
        <v>14.0</v>
      </c>
      <c r="B17" s="44">
        <f t="shared" si="19"/>
        <v>3.204126307</v>
      </c>
      <c r="C17" s="45">
        <f t="shared" si="20"/>
        <v>607528.6194</v>
      </c>
      <c r="D17" s="12">
        <f t="shared" si="21"/>
        <v>1946598.432</v>
      </c>
      <c r="E17" s="16">
        <f>'HIER Rechnung Ausschütter'!E17</f>
        <v>-0.4208054743</v>
      </c>
      <c r="F17" s="12">
        <f t="shared" si="1"/>
        <v>1144197.343</v>
      </c>
      <c r="G17" s="16">
        <f>'HIER Rechnung Ausschütter'!H17</f>
        <v>0.01484593692</v>
      </c>
      <c r="H17" s="56">
        <f t="shared" si="2"/>
        <v>0.04</v>
      </c>
      <c r="I17" s="71">
        <v>0.04</v>
      </c>
      <c r="J17" s="48">
        <f t="shared" si="3"/>
        <v>1077615.781</v>
      </c>
      <c r="K17" s="56">
        <f t="shared" si="4"/>
        <v>-0.4464108447</v>
      </c>
      <c r="L17" s="56">
        <f>K17-'HIER Rechnung Ausschütter'!J17</f>
        <v>0.0003415209504</v>
      </c>
      <c r="M17" s="55">
        <f>J17-'HIER Rechnung Ausschütter'!I17</f>
        <v>-40999.2129</v>
      </c>
      <c r="N17" s="56">
        <f t="shared" si="5"/>
        <v>1.825044123</v>
      </c>
      <c r="O17" s="56">
        <f t="shared" si="6"/>
        <v>0.05819062756</v>
      </c>
      <c r="P17" s="61">
        <f t="shared" si="7"/>
        <v>-802401.0888</v>
      </c>
      <c r="Q17" s="61">
        <f t="shared" si="8"/>
        <v>0</v>
      </c>
      <c r="R17" s="75">
        <f t="shared" si="9"/>
        <v>0</v>
      </c>
      <c r="S17" s="55">
        <f t="shared" si="10"/>
        <v>0</v>
      </c>
      <c r="T17" s="55">
        <f t="shared" si="22"/>
        <v>338183.643</v>
      </c>
      <c r="U17" s="55">
        <f t="shared" si="11"/>
        <v>66581.56142</v>
      </c>
      <c r="V17" s="55">
        <f t="shared" si="23"/>
        <v>62482.50176</v>
      </c>
      <c r="W17" s="76">
        <f t="shared" si="12"/>
        <v>35352.47162</v>
      </c>
      <c r="X17" s="55">
        <f t="shared" si="13"/>
        <v>62482.50176</v>
      </c>
      <c r="Y17" s="54"/>
      <c r="Z17" s="55">
        <f t="shared" si="14"/>
        <v>44463.33849</v>
      </c>
      <c r="AA17" s="55">
        <f t="shared" si="15"/>
        <v>22118.22293</v>
      </c>
      <c r="AB17" s="55">
        <f t="shared" si="16"/>
        <v>4099.059664</v>
      </c>
      <c r="AC17" s="77">
        <f t="shared" si="17"/>
        <v>20895.0123</v>
      </c>
      <c r="AD17" s="78">
        <f t="shared" si="24"/>
        <v>0</v>
      </c>
      <c r="AE17" s="55">
        <f>IF((R17+U17)&lt;AD17,(R17+U17)*'HIER Rechnung Ausschütter'!O$1,AD17*'HIER Rechnung Ausschütter'!O$1)</f>
        <v>0</v>
      </c>
      <c r="AF17" s="92">
        <f>AG17-'HIER Rechnung Ausschütter'!AM17</f>
        <v>-12337.54257</v>
      </c>
      <c r="AG17" s="55">
        <f t="shared" si="18"/>
        <v>15482.75605</v>
      </c>
      <c r="AH17" s="12"/>
      <c r="AI17" s="12"/>
    </row>
    <row r="18" ht="12.75" customHeight="1">
      <c r="A18" s="11">
        <v>15.0</v>
      </c>
      <c r="B18" s="44">
        <f t="shared" si="19"/>
        <v>1.883363691</v>
      </c>
      <c r="C18" s="45">
        <f t="shared" si="20"/>
        <v>572176.1478</v>
      </c>
      <c r="D18" s="12">
        <f t="shared" si="21"/>
        <v>1077615.781</v>
      </c>
      <c r="E18" s="16">
        <f>'HIER Rechnung Ausschütter'!E18</f>
        <v>0.2697619932</v>
      </c>
      <c r="F18" s="12">
        <f t="shared" si="1"/>
        <v>1412702.468</v>
      </c>
      <c r="G18" s="16">
        <f>'HIER Rechnung Ausschütter'!H18</f>
        <v>0.03243908549</v>
      </c>
      <c r="H18" s="56">
        <f t="shared" si="2"/>
        <v>0.032</v>
      </c>
      <c r="I18" s="71">
        <v>0.032</v>
      </c>
      <c r="J18" s="48">
        <f t="shared" si="3"/>
        <v>1336850.595</v>
      </c>
      <c r="K18" s="56">
        <f t="shared" si="4"/>
        <v>0.2405633045</v>
      </c>
      <c r="L18" s="56">
        <f>K18-'HIER Rechnung Ausschütter'!J18</f>
        <v>-0.002518490676</v>
      </c>
      <c r="M18" s="55">
        <f>J18-'HIER Rechnung Ausschütter'!I18</f>
        <v>-53679.34047</v>
      </c>
      <c r="N18" s="56">
        <f t="shared" si="5"/>
        <v>2.703496992</v>
      </c>
      <c r="O18" s="56">
        <f t="shared" si="6"/>
        <v>0.05369274496</v>
      </c>
      <c r="P18" s="61">
        <f t="shared" si="7"/>
        <v>335086.6866</v>
      </c>
      <c r="Q18" s="61">
        <f t="shared" si="8"/>
        <v>24138.5935</v>
      </c>
      <c r="R18" s="75">
        <f t="shared" si="9"/>
        <v>24138.5935</v>
      </c>
      <c r="S18" s="55">
        <f t="shared" si="10"/>
        <v>4473.484841</v>
      </c>
      <c r="T18" s="55">
        <f t="shared" si="22"/>
        <v>344164.2284</v>
      </c>
      <c r="U18" s="55">
        <f t="shared" si="11"/>
        <v>75851.87331</v>
      </c>
      <c r="V18" s="55">
        <f t="shared" si="23"/>
        <v>64481.94182</v>
      </c>
      <c r="W18" s="76">
        <f t="shared" si="12"/>
        <v>30721.70797</v>
      </c>
      <c r="X18" s="55">
        <f t="shared" si="13"/>
        <v>64481.94182</v>
      </c>
      <c r="Y18" s="54"/>
      <c r="Z18" s="55">
        <f t="shared" si="14"/>
        <v>38639.15698</v>
      </c>
      <c r="AA18" s="55">
        <f t="shared" si="15"/>
        <v>37212.71633</v>
      </c>
      <c r="AB18" s="55">
        <f t="shared" si="16"/>
        <v>6896.446654</v>
      </c>
      <c r="AC18" s="77">
        <f t="shared" si="17"/>
        <v>18158.00809</v>
      </c>
      <c r="AD18" s="78">
        <f t="shared" si="24"/>
        <v>0</v>
      </c>
      <c r="AE18" s="55">
        <f>IF((R18+U18)&lt;AD18,(R18+U18)*'HIER Rechnung Ausschütter'!O$1,AD18*'HIER Rechnung Ausschütter'!O$1)</f>
        <v>0</v>
      </c>
      <c r="AF18" s="93">
        <f>AG18-'HIER Rechnung Ausschütter'!AM18</f>
        <v>-259.3216164</v>
      </c>
      <c r="AG18" s="55">
        <f t="shared" si="18"/>
        <v>42945.91688</v>
      </c>
      <c r="AH18" s="12"/>
      <c r="AI18" s="12"/>
    </row>
    <row r="19" ht="12.75" customHeight="1">
      <c r="A19" s="11">
        <v>16.0</v>
      </c>
      <c r="B19" s="44">
        <f t="shared" si="19"/>
        <v>2.468999229</v>
      </c>
      <c r="C19" s="45">
        <f t="shared" si="20"/>
        <v>541454.4398</v>
      </c>
      <c r="D19" s="12">
        <f t="shared" si="21"/>
        <v>1336850.595</v>
      </c>
      <c r="E19" s="16">
        <f>'HIER Rechnung Ausschütter'!E19</f>
        <v>0.09551224338</v>
      </c>
      <c r="F19" s="12">
        <f t="shared" si="1"/>
        <v>1499232.479</v>
      </c>
      <c r="G19" s="16">
        <f>'HIER Rechnung Ausschütter'!H19</f>
        <v>0.02369097112</v>
      </c>
      <c r="H19" s="56">
        <f t="shared" si="2"/>
        <v>0.027</v>
      </c>
      <c r="I19" s="71">
        <v>0.027</v>
      </c>
      <c r="J19" s="48">
        <f t="shared" si="3"/>
        <v>1420609.275</v>
      </c>
      <c r="K19" s="56">
        <f t="shared" si="4"/>
        <v>0.06265373341</v>
      </c>
      <c r="L19" s="56">
        <f>K19-'HIER Rechnung Ausschütter'!J19</f>
        <v>-0.003327806405</v>
      </c>
      <c r="M19" s="55">
        <f>J19-'HIER Rechnung Ausschütter'!I19</f>
        <v>-61669.96598</v>
      </c>
      <c r="N19" s="56">
        <f t="shared" si="5"/>
        <v>3.15334593</v>
      </c>
      <c r="O19" s="56">
        <f t="shared" si="6"/>
        <v>0.05244230257</v>
      </c>
      <c r="P19" s="61">
        <f t="shared" si="7"/>
        <v>162381.884</v>
      </c>
      <c r="Q19" s="61">
        <f t="shared" si="8"/>
        <v>25266.47624</v>
      </c>
      <c r="R19" s="75">
        <f t="shared" si="9"/>
        <v>25266.47624</v>
      </c>
      <c r="S19" s="55">
        <f t="shared" si="10"/>
        <v>4682.509709</v>
      </c>
      <c r="T19" s="55">
        <f t="shared" si="22"/>
        <v>351381.9401</v>
      </c>
      <c r="U19" s="55">
        <f t="shared" si="11"/>
        <v>78623.20327</v>
      </c>
      <c r="V19" s="55">
        <f t="shared" si="23"/>
        <v>66222.95425</v>
      </c>
      <c r="W19" s="76">
        <f t="shared" si="12"/>
        <v>28395.11756</v>
      </c>
      <c r="X19" s="55">
        <f t="shared" si="13"/>
        <v>66222.95425</v>
      </c>
      <c r="Y19" s="54"/>
      <c r="Z19" s="55">
        <f t="shared" si="14"/>
        <v>36978.85244</v>
      </c>
      <c r="AA19" s="55">
        <f t="shared" si="15"/>
        <v>41644.35083</v>
      </c>
      <c r="AB19" s="55">
        <f t="shared" si="16"/>
        <v>7717.739318</v>
      </c>
      <c r="AC19" s="77">
        <f t="shared" si="17"/>
        <v>18048.7646</v>
      </c>
      <c r="AD19" s="78">
        <f t="shared" si="24"/>
        <v>0</v>
      </c>
      <c r="AE19" s="55">
        <f>IF((R19+U19)&lt;AD19,(R19+U19)*'HIER Rechnung Ausschütter'!O$1,AD19*'HIER Rechnung Ausschütter'!O$1)</f>
        <v>0</v>
      </c>
      <c r="AF19" s="94">
        <f>AG19-'HIER Rechnung Ausschütter'!AM19</f>
        <v>5553.963955</v>
      </c>
      <c r="AG19" s="55">
        <f t="shared" si="18"/>
        <v>46837.57895</v>
      </c>
      <c r="AH19" s="12"/>
      <c r="AI19" s="12"/>
    </row>
    <row r="20" ht="12.75" customHeight="1">
      <c r="A20" s="11">
        <v>17.0</v>
      </c>
      <c r="B20" s="44">
        <f t="shared" si="19"/>
        <v>2.768898671</v>
      </c>
      <c r="C20" s="45">
        <f t="shared" si="20"/>
        <v>513059.3222</v>
      </c>
      <c r="D20" s="12">
        <f t="shared" si="21"/>
        <v>1420609.275</v>
      </c>
      <c r="E20" s="16">
        <f>'HIER Rechnung Ausschütter'!E20</f>
        <v>-0.07614890112</v>
      </c>
      <c r="F20" s="12">
        <f t="shared" si="1"/>
        <v>1341417.984</v>
      </c>
      <c r="G20" s="16">
        <f>'HIER Rechnung Ausschütter'!H20</f>
        <v>0.0220861391</v>
      </c>
      <c r="H20" s="56">
        <f t="shared" si="2"/>
        <v>0.026</v>
      </c>
      <c r="I20" s="71">
        <v>0.026</v>
      </c>
      <c r="J20" s="48">
        <f t="shared" si="3"/>
        <v>1266792.407</v>
      </c>
      <c r="K20" s="56">
        <f t="shared" si="4"/>
        <v>-0.1082752809</v>
      </c>
      <c r="L20" s="56">
        <f>K20-'HIER Rechnung Ausschütter'!J20</f>
        <v>0.0003000640043</v>
      </c>
      <c r="M20" s="55">
        <f>J20-'HIER Rechnung Ausschütter'!I20</f>
        <v>-54547.85444</v>
      </c>
      <c r="N20" s="56">
        <f t="shared" si="5"/>
        <v>2.921819334</v>
      </c>
      <c r="O20" s="56">
        <f t="shared" si="6"/>
        <v>0.0556318593</v>
      </c>
      <c r="P20" s="61">
        <f t="shared" si="7"/>
        <v>-79191.29189</v>
      </c>
      <c r="Q20" s="61">
        <f t="shared" si="8"/>
        <v>0</v>
      </c>
      <c r="R20" s="75">
        <f t="shared" si="9"/>
        <v>0</v>
      </c>
      <c r="S20" s="55">
        <f t="shared" si="10"/>
        <v>0</v>
      </c>
      <c r="T20" s="55">
        <f t="shared" si="22"/>
        <v>331833.9094</v>
      </c>
      <c r="U20" s="55">
        <f t="shared" si="11"/>
        <v>74625.57652</v>
      </c>
      <c r="V20" s="55">
        <f t="shared" si="23"/>
        <v>67944.75106</v>
      </c>
      <c r="W20" s="76">
        <f t="shared" si="12"/>
        <v>28542.44403</v>
      </c>
      <c r="X20" s="55">
        <f t="shared" si="13"/>
        <v>67944.75106</v>
      </c>
      <c r="Y20" s="54"/>
      <c r="Z20" s="55">
        <f t="shared" si="14"/>
        <v>38576.33618</v>
      </c>
      <c r="AA20" s="55">
        <f t="shared" si="15"/>
        <v>36049.24034</v>
      </c>
      <c r="AB20" s="55">
        <f t="shared" si="16"/>
        <v>6680.825466</v>
      </c>
      <c r="AC20" s="77">
        <f t="shared" si="17"/>
        <v>19548.03065</v>
      </c>
      <c r="AD20" s="78">
        <f t="shared" si="24"/>
        <v>0</v>
      </c>
      <c r="AE20" s="55">
        <f>IF((R20+U20)&lt;AD20,(R20+U20)*'HIER Rechnung Ausschütter'!O$1,AD20*'HIER Rechnung Ausschütter'!O$1)</f>
        <v>0</v>
      </c>
      <c r="AF20" s="95">
        <f>AG20-'HIER Rechnung Ausschütter'!AM20</f>
        <v>-13916.31083</v>
      </c>
      <c r="AG20" s="55">
        <f t="shared" si="18"/>
        <v>25234.46824</v>
      </c>
      <c r="AH20" s="12"/>
      <c r="AI20" s="12"/>
    </row>
    <row r="21" ht="12.75" customHeight="1">
      <c r="A21" s="11">
        <v>18.0</v>
      </c>
      <c r="B21" s="44">
        <f t="shared" si="19"/>
        <v>2.61454753</v>
      </c>
      <c r="C21" s="45">
        <f t="shared" si="20"/>
        <v>484516.8782</v>
      </c>
      <c r="D21" s="12">
        <f t="shared" si="21"/>
        <v>1266792.407</v>
      </c>
      <c r="E21" s="16">
        <f>'HIER Rechnung Ausschütter'!E21</f>
        <v>0.1318329606</v>
      </c>
      <c r="F21" s="12">
        <f t="shared" si="1"/>
        <v>1474672.824</v>
      </c>
      <c r="G21" s="16">
        <f>'HIER Rechnung Ausschütter'!H21</f>
        <v>0.02850850721</v>
      </c>
      <c r="H21" s="56">
        <f t="shared" si="2"/>
        <v>0.015</v>
      </c>
      <c r="I21" s="71">
        <v>0.015</v>
      </c>
      <c r="J21" s="48">
        <f t="shared" si="3"/>
        <v>1395039.241</v>
      </c>
      <c r="K21" s="56">
        <f t="shared" si="4"/>
        <v>0.1012374508</v>
      </c>
      <c r="L21" s="56">
        <f>K21-'HIER Rechnung Ausschütter'!J21</f>
        <v>-0.001577035999</v>
      </c>
      <c r="M21" s="55">
        <f>J21-'HIER Rechnung Ausschütter'!I21</f>
        <v>-62153.94133</v>
      </c>
      <c r="N21" s="56">
        <f t="shared" si="5"/>
        <v>3.565389214</v>
      </c>
      <c r="O21" s="56">
        <f t="shared" si="6"/>
        <v>0.05400084802</v>
      </c>
      <c r="P21" s="61">
        <f t="shared" si="7"/>
        <v>207880.417</v>
      </c>
      <c r="Q21" s="61">
        <f t="shared" si="8"/>
        <v>13301.32027</v>
      </c>
      <c r="R21" s="75">
        <f t="shared" si="9"/>
        <v>13301.32027</v>
      </c>
      <c r="S21" s="55">
        <f t="shared" si="10"/>
        <v>2465.06718</v>
      </c>
      <c r="T21" s="55">
        <f t="shared" si="22"/>
        <v>327215.9172</v>
      </c>
      <c r="U21" s="55">
        <f t="shared" si="11"/>
        <v>79633.58305</v>
      </c>
      <c r="V21" s="55">
        <f t="shared" si="23"/>
        <v>68963.92232</v>
      </c>
      <c r="W21" s="76">
        <f t="shared" si="12"/>
        <v>26164.32231</v>
      </c>
      <c r="X21" s="55">
        <f t="shared" si="13"/>
        <v>68963.92232</v>
      </c>
      <c r="Y21" s="54"/>
      <c r="Z21" s="55">
        <f t="shared" si="14"/>
        <v>35362.20277</v>
      </c>
      <c r="AA21" s="55">
        <f t="shared" si="15"/>
        <v>44271.38028</v>
      </c>
      <c r="AB21" s="55">
        <f t="shared" si="16"/>
        <v>8204.593551</v>
      </c>
      <c r="AC21" s="77">
        <f t="shared" si="17"/>
        <v>17919.31251</v>
      </c>
      <c r="AD21" s="78">
        <f t="shared" si="24"/>
        <v>0</v>
      </c>
      <c r="AE21" s="55">
        <f>IF((R21+U21)&lt;AD21,(R21+U21)*'HIER Rechnung Ausschütter'!O$1,AD21*'HIER Rechnung Ausschütter'!O$1)</f>
        <v>0</v>
      </c>
      <c r="AF21" s="96">
        <f>AG21-'HIER Rechnung Ausschütter'!AM21</f>
        <v>-5081.041985</v>
      </c>
      <c r="AG21" s="55">
        <f t="shared" si="18"/>
        <v>40300.89039</v>
      </c>
      <c r="AH21" s="12"/>
      <c r="AI21" s="12"/>
    </row>
    <row r="22" ht="12.75" customHeight="1">
      <c r="A22" s="11">
        <v>19.0</v>
      </c>
      <c r="B22" s="44">
        <f t="shared" si="19"/>
        <v>3.043594331</v>
      </c>
      <c r="C22" s="45">
        <f t="shared" si="20"/>
        <v>458352.5559</v>
      </c>
      <c r="D22" s="12">
        <f t="shared" si="21"/>
        <v>1395039.241</v>
      </c>
      <c r="E22" s="16">
        <f>'HIER Rechnung Ausschütter'!E22</f>
        <v>0.2409929025</v>
      </c>
      <c r="F22" s="12">
        <f t="shared" si="1"/>
        <v>1779290.468</v>
      </c>
      <c r="G22" s="16">
        <f>'HIER Rechnung Ausschütter'!H22</f>
        <v>0.02775862571</v>
      </c>
      <c r="H22" s="56">
        <f t="shared" si="2"/>
        <v>0.016</v>
      </c>
      <c r="I22" s="71">
        <v>0.016</v>
      </c>
      <c r="J22" s="48">
        <f t="shared" si="3"/>
        <v>1696432.993</v>
      </c>
      <c r="K22" s="56">
        <f t="shared" si="4"/>
        <v>0.2160467914</v>
      </c>
      <c r="L22" s="56">
        <f>K22-'HIER Rechnung Ausschütter'!J22</f>
        <v>-0.002222112369</v>
      </c>
      <c r="M22" s="55">
        <f>J22-'HIER Rechnung Ausschütter'!I22</f>
        <v>-78820.14792</v>
      </c>
      <c r="N22" s="56">
        <f t="shared" si="5"/>
        <v>4.822885315</v>
      </c>
      <c r="O22" s="56">
        <f t="shared" si="6"/>
        <v>0.0465677057</v>
      </c>
      <c r="P22" s="61">
        <f t="shared" si="7"/>
        <v>384251.2268</v>
      </c>
      <c r="Q22" s="61">
        <f t="shared" si="8"/>
        <v>15624.4395</v>
      </c>
      <c r="R22" s="75">
        <f t="shared" si="9"/>
        <v>15624.4395</v>
      </c>
      <c r="S22" s="55">
        <f t="shared" si="10"/>
        <v>2895.59925</v>
      </c>
      <c r="T22" s="55">
        <f t="shared" si="22"/>
        <v>327602.6622</v>
      </c>
      <c r="U22" s="55">
        <f t="shared" si="11"/>
        <v>82857.47485</v>
      </c>
      <c r="V22" s="55">
        <f t="shared" si="23"/>
        <v>70067.34508</v>
      </c>
      <c r="W22" s="76">
        <f t="shared" si="12"/>
        <v>21344.42693</v>
      </c>
      <c r="X22" s="55">
        <f t="shared" si="13"/>
        <v>70067.34508</v>
      </c>
      <c r="Y22" s="54"/>
      <c r="Z22" s="55">
        <f t="shared" si="14"/>
        <v>29467.3196</v>
      </c>
      <c r="AA22" s="55">
        <f t="shared" si="15"/>
        <v>53390.15525</v>
      </c>
      <c r="AB22" s="55">
        <f t="shared" si="16"/>
        <v>9894.530522</v>
      </c>
      <c r="AC22" s="77">
        <f t="shared" si="17"/>
        <v>15237.69453</v>
      </c>
      <c r="AD22" s="78">
        <f t="shared" si="24"/>
        <v>0</v>
      </c>
      <c r="AE22" s="55">
        <f>IF((R22+U22)&lt;AD22,(R22+U22)*'HIER Rechnung Ausschütter'!O$1,AD22*'HIER Rechnung Ausschütter'!O$1)</f>
        <v>0</v>
      </c>
      <c r="AF22" s="97">
        <f>AG22-'HIER Rechnung Ausschütter'!AM22</f>
        <v>-1713.113145</v>
      </c>
      <c r="AG22" s="55">
        <f t="shared" si="18"/>
        <v>48310.21632</v>
      </c>
      <c r="AH22" s="12"/>
      <c r="AI22" s="12"/>
    </row>
    <row r="23" ht="12.75" customHeight="1">
      <c r="A23" s="11">
        <v>20.0</v>
      </c>
      <c r="B23" s="44">
        <f t="shared" si="19"/>
        <v>3.881925485</v>
      </c>
      <c r="C23" s="45">
        <f t="shared" si="20"/>
        <v>437008.129</v>
      </c>
      <c r="D23" s="12">
        <f t="shared" si="21"/>
        <v>1696432.993</v>
      </c>
      <c r="E23" s="16">
        <f>'HIER Rechnung Ausschütter'!E23</f>
        <v>0.02926007288</v>
      </c>
      <c r="F23" s="12">
        <f t="shared" si="1"/>
        <v>1784327.652</v>
      </c>
      <c r="G23" s="16">
        <f>'HIER Rechnung Ausschütter'!H23</f>
        <v>0.02191028438</v>
      </c>
      <c r="H23" s="56">
        <f t="shared" si="2"/>
        <v>0.012</v>
      </c>
      <c r="I23" s="71">
        <v>0.012</v>
      </c>
      <c r="J23" s="48">
        <f t="shared" si="3"/>
        <v>1700650.296</v>
      </c>
      <c r="K23" s="56">
        <f t="shared" si="4"/>
        <v>0.002485983037</v>
      </c>
      <c r="L23" s="56">
        <f>K23-'HIER Rechnung Ausschütter'!J23</f>
        <v>-0.002235505448</v>
      </c>
      <c r="M23" s="55">
        <f>J23-'HIER Rechnung Ausschütter'!I23</f>
        <v>-82984.68154</v>
      </c>
      <c r="N23" s="56">
        <f t="shared" si="5"/>
        <v>5.124577469</v>
      </c>
      <c r="O23" s="56">
        <f t="shared" si="6"/>
        <v>0.04689573455</v>
      </c>
      <c r="P23" s="61">
        <f t="shared" si="7"/>
        <v>87894.65959</v>
      </c>
      <c r="Q23" s="61">
        <f t="shared" si="8"/>
        <v>14250.03714</v>
      </c>
      <c r="R23" s="75">
        <f t="shared" si="9"/>
        <v>14250.03714</v>
      </c>
      <c r="S23" s="55">
        <f t="shared" si="10"/>
        <v>2640.888133</v>
      </c>
      <c r="T23" s="55">
        <f t="shared" si="22"/>
        <v>326489.5318</v>
      </c>
      <c r="U23" s="55">
        <f t="shared" si="11"/>
        <v>83677.35595</v>
      </c>
      <c r="V23" s="55">
        <f t="shared" si="23"/>
        <v>70908.15322</v>
      </c>
      <c r="W23" s="76">
        <f t="shared" si="12"/>
        <v>20493.81721</v>
      </c>
      <c r="X23" s="55">
        <f t="shared" si="13"/>
        <v>70908.15322</v>
      </c>
      <c r="Y23" s="54"/>
      <c r="Z23" s="55">
        <f t="shared" si="14"/>
        <v>29025.71913</v>
      </c>
      <c r="AA23" s="55">
        <f t="shared" si="15"/>
        <v>54651.63682</v>
      </c>
      <c r="AB23" s="55">
        <f t="shared" si="16"/>
        <v>10128.31459</v>
      </c>
      <c r="AC23" s="77">
        <f t="shared" si="17"/>
        <v>15363.16748</v>
      </c>
      <c r="AD23" s="78">
        <f t="shared" si="24"/>
        <v>0</v>
      </c>
      <c r="AE23" s="55">
        <f>IF((R23+U23)&lt;AD23,(R23+U23)*'HIER Rechnung Ausschütter'!O$1,AD23*'HIER Rechnung Ausschütter'!O$1)</f>
        <v>0</v>
      </c>
      <c r="AF23" s="98">
        <f>AG23-'HIER Rechnung Ausschütter'!AM23</f>
        <v>304.9941471</v>
      </c>
      <c r="AG23" s="55">
        <f t="shared" si="18"/>
        <v>48231.17177</v>
      </c>
      <c r="AH23" s="12"/>
      <c r="AI23" s="12"/>
    </row>
    <row r="24" ht="12.75" customHeight="1">
      <c r="A24" s="11">
        <v>21.0</v>
      </c>
      <c r="B24" s="44">
        <f t="shared" si="19"/>
        <v>4.083053687</v>
      </c>
      <c r="C24" s="45">
        <f t="shared" si="20"/>
        <v>416514.3118</v>
      </c>
      <c r="D24" s="12">
        <f t="shared" si="21"/>
        <v>1700650.296</v>
      </c>
      <c r="E24" s="16">
        <f>'HIER Rechnung Ausschütter'!E24</f>
        <v>-0.02741929446</v>
      </c>
      <c r="F24" s="12">
        <f t="shared" si="1"/>
        <v>1688056.839</v>
      </c>
      <c r="G24" s="16">
        <f>'HIER Rechnung Ausschütter'!H24</f>
        <v>0.02057845754</v>
      </c>
      <c r="H24" s="56">
        <f t="shared" si="2"/>
        <v>0.005</v>
      </c>
      <c r="I24" s="71">
        <v>0.005</v>
      </c>
      <c r="J24" s="48">
        <f t="shared" si="3"/>
        <v>1607168.786</v>
      </c>
      <c r="K24" s="56">
        <f t="shared" si="4"/>
        <v>-0.05496809694</v>
      </c>
      <c r="L24" s="56">
        <f>K24-'HIER Rechnung Ausschütter'!J24</f>
        <v>-0.000658876505</v>
      </c>
      <c r="M24" s="55">
        <f>J24-'HIER Rechnung Ausschütter'!I24</f>
        <v>-79598.3667</v>
      </c>
      <c r="N24" s="56">
        <f t="shared" si="5"/>
        <v>5.07922446</v>
      </c>
      <c r="O24" s="56">
        <f t="shared" si="6"/>
        <v>0.04791784891</v>
      </c>
      <c r="P24" s="61">
        <f t="shared" si="7"/>
        <v>-12593.4578</v>
      </c>
      <c r="Q24" s="61">
        <f t="shared" si="8"/>
        <v>0</v>
      </c>
      <c r="R24" s="75">
        <f t="shared" si="9"/>
        <v>0</v>
      </c>
      <c r="S24" s="55">
        <f t="shared" si="10"/>
        <v>0</v>
      </c>
      <c r="T24" s="55">
        <f t="shared" si="22"/>
        <v>310844.8558</v>
      </c>
      <c r="U24" s="55">
        <f t="shared" si="11"/>
        <v>80888.05255</v>
      </c>
      <c r="V24" s="55">
        <f t="shared" si="23"/>
        <v>71262.69399</v>
      </c>
      <c r="W24" s="76">
        <f t="shared" si="12"/>
        <v>19958.46986</v>
      </c>
      <c r="X24" s="55">
        <f t="shared" si="13"/>
        <v>71262.69399</v>
      </c>
      <c r="Y24" s="54"/>
      <c r="Z24" s="55">
        <f t="shared" si="14"/>
        <v>28950.32928</v>
      </c>
      <c r="AA24" s="55">
        <f t="shared" si="15"/>
        <v>51937.72327</v>
      </c>
      <c r="AB24" s="55">
        <f t="shared" si="16"/>
        <v>9625.358564</v>
      </c>
      <c r="AC24" s="77">
        <f t="shared" si="17"/>
        <v>15644.67606</v>
      </c>
      <c r="AD24" s="78">
        <f t="shared" si="24"/>
        <v>0</v>
      </c>
      <c r="AE24" s="55">
        <f>IF((R24+U24)&lt;AD24,(R24+U24)*'HIER Rechnung Ausschütter'!O$1,AD24*'HIER Rechnung Ausschütter'!O$1)</f>
        <v>0</v>
      </c>
      <c r="AF24" s="99">
        <f>AG24-'HIER Rechnung Ausschütter'!AM24</f>
        <v>-10469.52424</v>
      </c>
      <c r="AG24" s="55">
        <f t="shared" si="18"/>
        <v>36356.40629</v>
      </c>
      <c r="AH24" s="12"/>
      <c r="AI24" s="12"/>
    </row>
    <row r="25" ht="12.75" customHeight="1">
      <c r="A25" s="11">
        <v>22.0</v>
      </c>
      <c r="B25" s="44">
        <f t="shared" si="19"/>
        <v>4.052818333</v>
      </c>
      <c r="C25" s="45">
        <f t="shared" si="20"/>
        <v>396555.8419</v>
      </c>
      <c r="D25" s="12">
        <f t="shared" si="21"/>
        <v>1607168.786</v>
      </c>
      <c r="E25" s="16">
        <f>'HIER Rechnung Ausschütter'!E25</f>
        <v>0.05317856572</v>
      </c>
      <c r="F25" s="12">
        <f t="shared" si="1"/>
        <v>1733428.178</v>
      </c>
      <c r="G25" s="16">
        <f>'HIER Rechnung Ausschütter'!H25</f>
        <v>0.02409996466</v>
      </c>
      <c r="H25" s="56">
        <f t="shared" si="2"/>
        <v>0.001</v>
      </c>
      <c r="I25" s="71">
        <v>0.001</v>
      </c>
      <c r="J25" s="48">
        <f t="shared" si="3"/>
        <v>1651774.81</v>
      </c>
      <c r="K25" s="56">
        <f t="shared" si="4"/>
        <v>0.02775441158</v>
      </c>
      <c r="L25" s="56">
        <f>K25-'HIER Rechnung Ausschütter'!J25</f>
        <v>-0.0007588000223</v>
      </c>
      <c r="M25" s="55">
        <f>J25-'HIER Rechnung Ausschütter'!I25</f>
        <v>-83087.49149</v>
      </c>
      <c r="N25" s="56">
        <f t="shared" si="5"/>
        <v>5.556809135</v>
      </c>
      <c r="O25" s="56">
        <f t="shared" si="6"/>
        <v>0.04710513475</v>
      </c>
      <c r="P25" s="61">
        <f t="shared" si="7"/>
        <v>126259.3919</v>
      </c>
      <c r="Q25" s="61">
        <f t="shared" si="8"/>
        <v>1125.01815</v>
      </c>
      <c r="R25" s="75">
        <f t="shared" si="9"/>
        <v>1125.01815</v>
      </c>
      <c r="S25" s="55">
        <f t="shared" si="10"/>
        <v>208.4939887</v>
      </c>
      <c r="T25" s="55">
        <f t="shared" si="22"/>
        <v>297327.4851</v>
      </c>
      <c r="U25" s="55">
        <f t="shared" si="11"/>
        <v>81653.3679</v>
      </c>
      <c r="V25" s="55">
        <f t="shared" si="23"/>
        <v>71333.95668</v>
      </c>
      <c r="W25" s="76">
        <f t="shared" si="12"/>
        <v>18679.81637</v>
      </c>
      <c r="X25" s="55">
        <f t="shared" si="13"/>
        <v>71333.95668</v>
      </c>
      <c r="Y25" s="54"/>
      <c r="Z25" s="55">
        <f t="shared" si="14"/>
        <v>27095.60595</v>
      </c>
      <c r="AA25" s="55">
        <f t="shared" si="15"/>
        <v>54557.76195</v>
      </c>
      <c r="AB25" s="55">
        <f t="shared" si="16"/>
        <v>10110.91723</v>
      </c>
      <c r="AC25" s="77">
        <f t="shared" si="17"/>
        <v>14642.38882</v>
      </c>
      <c r="AD25" s="78">
        <f t="shared" si="24"/>
        <v>0</v>
      </c>
      <c r="AE25" s="55">
        <f>IF((R25+U25)&lt;AD25,(R25+U25)*'HIER Rechnung Ausschütter'!O$1,AD25*'HIER Rechnung Ausschütter'!O$1)</f>
        <v>0</v>
      </c>
      <c r="AF25" s="100">
        <f>AG25-'HIER Rechnung Ausschütter'!AM25</f>
        <v>-10440.54403</v>
      </c>
      <c r="AG25" s="55">
        <f t="shared" si="18"/>
        <v>38977.94607</v>
      </c>
      <c r="AH25" s="12"/>
      <c r="AI25" s="12"/>
    </row>
    <row r="26" ht="12.75" customHeight="1">
      <c r="A26" s="11">
        <v>23.0</v>
      </c>
      <c r="B26" s="44">
        <f t="shared" si="19"/>
        <v>4.371208276</v>
      </c>
      <c r="C26" s="45">
        <f t="shared" si="20"/>
        <v>377876.0255</v>
      </c>
      <c r="D26" s="12">
        <f t="shared" si="21"/>
        <v>1651774.81</v>
      </c>
      <c r="E26" s="16">
        <f>'HIER Rechnung Ausschütter'!E26</f>
        <v>0.2011336104</v>
      </c>
      <c r="F26" s="12">
        <f t="shared" si="1"/>
        <v>2033902.36</v>
      </c>
      <c r="G26" s="16">
        <f>'HIER Rechnung Ausschütter'!H26</f>
        <v>0.0251512414</v>
      </c>
      <c r="H26" s="56">
        <f t="shared" si="2"/>
        <v>0.003</v>
      </c>
      <c r="I26" s="71">
        <v>0.003</v>
      </c>
      <c r="J26" s="48">
        <f t="shared" si="3"/>
        <v>1950417.867</v>
      </c>
      <c r="K26" s="56">
        <f t="shared" si="4"/>
        <v>0.1808013146</v>
      </c>
      <c r="L26" s="56">
        <f>K26-'HIER Rechnung Ausschütter'!J26</f>
        <v>-0.001176425495</v>
      </c>
      <c r="M26" s="55">
        <f>J26-'HIER Rechnung Ausschütter'!I26</f>
        <v>-100150.7554</v>
      </c>
      <c r="N26" s="56">
        <f t="shared" si="5"/>
        <v>7.073685042</v>
      </c>
      <c r="O26" s="56">
        <f t="shared" si="6"/>
        <v>0.04104646065</v>
      </c>
      <c r="P26" s="61">
        <f t="shared" si="7"/>
        <v>382127.5504</v>
      </c>
      <c r="Q26" s="61">
        <f t="shared" si="8"/>
        <v>3468.727101</v>
      </c>
      <c r="R26" s="75">
        <f t="shared" si="9"/>
        <v>3468.727101</v>
      </c>
      <c r="S26" s="55">
        <f t="shared" si="10"/>
        <v>642.84185</v>
      </c>
      <c r="T26" s="55">
        <f t="shared" si="22"/>
        <v>288591.9713</v>
      </c>
      <c r="U26" s="55">
        <f t="shared" si="11"/>
        <v>83484.49321</v>
      </c>
      <c r="V26" s="55">
        <f t="shared" si="23"/>
        <v>71547.95855</v>
      </c>
      <c r="W26" s="76">
        <f t="shared" si="12"/>
        <v>15510.47341</v>
      </c>
      <c r="X26" s="55">
        <f t="shared" si="13"/>
        <v>71547.95855</v>
      </c>
      <c r="Y26" s="54"/>
      <c r="Z26" s="55">
        <f t="shared" si="14"/>
        <v>22544.5617</v>
      </c>
      <c r="AA26" s="55">
        <f t="shared" si="15"/>
        <v>60939.93151</v>
      </c>
      <c r="AB26" s="55">
        <f t="shared" si="16"/>
        <v>11293.69281</v>
      </c>
      <c r="AC26" s="77">
        <f t="shared" si="17"/>
        <v>12204.24092</v>
      </c>
      <c r="AD26" s="78">
        <f t="shared" si="24"/>
        <v>0</v>
      </c>
      <c r="AE26" s="55">
        <f>IF((R26+U26)&lt;AD26,(R26+U26)*'HIER Rechnung Ausschütter'!O$1,AD26*'HIER Rechnung Ausschütter'!O$1)</f>
        <v>0</v>
      </c>
      <c r="AF26" s="101">
        <f>AG26-'HIER Rechnung Ausschütter'!AM26</f>
        <v>-8152.965909</v>
      </c>
      <c r="AG26" s="55">
        <f t="shared" si="18"/>
        <v>45086.06103</v>
      </c>
      <c r="AH26" s="12"/>
      <c r="AI26" s="12"/>
    </row>
    <row r="27" ht="12.75" customHeight="1">
      <c r="A27" s="11">
        <v>24.0</v>
      </c>
      <c r="B27" s="44">
        <f t="shared" si="19"/>
        <v>5.382459386</v>
      </c>
      <c r="C27" s="45">
        <f t="shared" si="20"/>
        <v>362365.5521</v>
      </c>
      <c r="D27" s="12">
        <f t="shared" si="21"/>
        <v>1950417.867</v>
      </c>
      <c r="E27" s="16">
        <f>'HIER Rechnung Ausschütter'!E27</f>
        <v>-0.104374817</v>
      </c>
      <c r="F27" s="12">
        <f t="shared" si="1"/>
        <v>1779996.641</v>
      </c>
      <c r="G27" s="16">
        <f>'HIER Rechnung Ausschütter'!H27</f>
        <v>0.01897896652</v>
      </c>
      <c r="H27" s="56">
        <f t="shared" si="2"/>
        <v>0.004</v>
      </c>
      <c r="I27" s="71">
        <v>0.004</v>
      </c>
      <c r="J27" s="48">
        <f t="shared" si="3"/>
        <v>1697416.669</v>
      </c>
      <c r="K27" s="56">
        <f t="shared" si="4"/>
        <v>-0.1297164074</v>
      </c>
      <c r="L27" s="56">
        <f>K27-'HIER Rechnung Ausschütter'!J27</f>
        <v>-0.001040469443</v>
      </c>
      <c r="M27" s="55">
        <f>J27-'HIER Rechnung Ausschütter'!I27</f>
        <v>-89293.11322</v>
      </c>
      <c r="N27" s="56">
        <f t="shared" si="5"/>
        <v>6.368232468</v>
      </c>
      <c r="O27" s="56">
        <f t="shared" si="6"/>
        <v>0.04639333043</v>
      </c>
      <c r="P27" s="61">
        <f t="shared" si="7"/>
        <v>-170421.2263</v>
      </c>
      <c r="Q27" s="61">
        <f t="shared" si="8"/>
        <v>0</v>
      </c>
      <c r="R27" s="75">
        <f t="shared" si="9"/>
        <v>0</v>
      </c>
      <c r="S27" s="55">
        <f t="shared" si="10"/>
        <v>0</v>
      </c>
      <c r="T27" s="55">
        <f t="shared" si="22"/>
        <v>275203.2286</v>
      </c>
      <c r="U27" s="55">
        <f t="shared" si="11"/>
        <v>82579.97233</v>
      </c>
      <c r="V27" s="55">
        <f t="shared" si="23"/>
        <v>71834.15038</v>
      </c>
      <c r="W27" s="76">
        <f t="shared" si="12"/>
        <v>16811.3448</v>
      </c>
      <c r="X27" s="55">
        <f t="shared" si="13"/>
        <v>71834.15038</v>
      </c>
      <c r="Y27" s="54"/>
      <c r="Z27" s="55">
        <f t="shared" si="14"/>
        <v>24596.31148</v>
      </c>
      <c r="AA27" s="55">
        <f t="shared" si="15"/>
        <v>57983.66085</v>
      </c>
      <c r="AB27" s="55">
        <f t="shared" si="16"/>
        <v>10745.82195</v>
      </c>
      <c r="AC27" s="77">
        <f t="shared" si="17"/>
        <v>13388.74268</v>
      </c>
      <c r="AD27" s="78">
        <f t="shared" si="24"/>
        <v>0</v>
      </c>
      <c r="AE27" s="55">
        <f>IF((R27+U27)&lt;AD27,(R27+U27)*'HIER Rechnung Ausschütter'!O$1,AD27*'HIER Rechnung Ausschütter'!O$1)</f>
        <v>0</v>
      </c>
      <c r="AF27" s="102">
        <f>AG27-'HIER Rechnung Ausschütter'!AM27</f>
        <v>-7957.67012</v>
      </c>
      <c r="AG27" s="55">
        <f t="shared" si="18"/>
        <v>40588.56259</v>
      </c>
      <c r="AH27" s="12"/>
      <c r="AI27" s="12"/>
    </row>
    <row r="28" ht="12.75" customHeight="1">
      <c r="A28" s="11">
        <v>25.0</v>
      </c>
      <c r="B28" s="44">
        <f t="shared" si="19"/>
        <v>4.912157435</v>
      </c>
      <c r="C28" s="45">
        <f t="shared" si="20"/>
        <v>345554.2073</v>
      </c>
      <c r="D28" s="12">
        <f t="shared" si="21"/>
        <v>1697416.669</v>
      </c>
      <c r="E28" s="16">
        <f>'HIER Rechnung Ausschütter'!E28</f>
        <v>0.2519065492</v>
      </c>
      <c r="F28" s="12">
        <f t="shared" si="1"/>
        <v>2183012.837</v>
      </c>
      <c r="G28" s="16">
        <f>'HIER Rechnung Ausschütter'!H28</f>
        <v>0.02729675315</v>
      </c>
      <c r="H28" s="56">
        <f t="shared" si="2"/>
        <v>-0.003</v>
      </c>
      <c r="I28" s="71">
        <v>-0.003</v>
      </c>
      <c r="J28" s="48">
        <f t="shared" si="3"/>
        <v>2099501.816</v>
      </c>
      <c r="K28" s="56">
        <f t="shared" si="4"/>
        <v>0.2368806405</v>
      </c>
      <c r="L28" s="56">
        <f>K28-'HIER Rechnung Ausschütter'!J28</f>
        <v>-0.0008314316197</v>
      </c>
      <c r="M28" s="55">
        <f>J28-'HIER Rechnung Ausschütter'!I28</f>
        <v>-111930.4501</v>
      </c>
      <c r="N28" s="56">
        <f t="shared" si="5"/>
        <v>8.476132974</v>
      </c>
      <c r="O28" s="56">
        <f t="shared" si="6"/>
        <v>0.03825493795</v>
      </c>
      <c r="P28" s="61">
        <f t="shared" si="7"/>
        <v>485596.1683</v>
      </c>
      <c r="Q28" s="61">
        <f t="shared" si="8"/>
        <v>0</v>
      </c>
      <c r="R28" s="75">
        <f t="shared" si="9"/>
        <v>0</v>
      </c>
      <c r="S28" s="55">
        <f t="shared" si="10"/>
        <v>0</v>
      </c>
      <c r="T28" s="55">
        <f t="shared" si="22"/>
        <v>264675.3462</v>
      </c>
      <c r="U28" s="55">
        <f t="shared" si="11"/>
        <v>83511.02063</v>
      </c>
      <c r="V28" s="55">
        <f t="shared" si="23"/>
        <v>71618.64793</v>
      </c>
      <c r="W28" s="76">
        <f t="shared" si="12"/>
        <v>13219.15476</v>
      </c>
      <c r="X28" s="55">
        <f t="shared" si="13"/>
        <v>71618.64793</v>
      </c>
      <c r="Y28" s="54"/>
      <c r="Z28" s="55">
        <f t="shared" si="14"/>
        <v>19340.65668</v>
      </c>
      <c r="AA28" s="55">
        <f t="shared" si="15"/>
        <v>64170.36395</v>
      </c>
      <c r="AB28" s="55">
        <f t="shared" si="16"/>
        <v>11892.3727</v>
      </c>
      <c r="AC28" s="77">
        <f t="shared" si="17"/>
        <v>10527.88243</v>
      </c>
      <c r="AD28" s="78">
        <f t="shared" si="24"/>
        <v>0</v>
      </c>
      <c r="AE28" s="55">
        <f>IF((R28+U28)&lt;AD28,(R28+U28)*'HIER Rechnung Ausschütter'!O$1,AD28*'HIER Rechnung Ausschütter'!O$1)</f>
        <v>0</v>
      </c>
      <c r="AF28" s="103">
        <f>AG28-'HIER Rechnung Ausschütter'!AM28</f>
        <v>-10982.42684</v>
      </c>
      <c r="AG28" s="55">
        <f t="shared" si="18"/>
        <v>44919.25477</v>
      </c>
      <c r="AH28" s="12"/>
      <c r="AI28" s="12"/>
    </row>
    <row r="29" ht="12.75" customHeight="1">
      <c r="A29" s="11">
        <v>26.0</v>
      </c>
      <c r="B29" s="44">
        <f t="shared" si="19"/>
        <v>6.317425141</v>
      </c>
      <c r="C29" s="45">
        <f t="shared" si="20"/>
        <v>332335.0526</v>
      </c>
      <c r="D29" s="12">
        <f t="shared" si="21"/>
        <v>2099501.816</v>
      </c>
      <c r="E29" s="16">
        <f>'HIER Rechnung Ausschütter'!E29</f>
        <v>0.1405895692</v>
      </c>
      <c r="F29" s="12">
        <f t="shared" si="1"/>
        <v>2444279.942</v>
      </c>
      <c r="G29" s="16">
        <f>'HIER Rechnung Ausschütter'!H29</f>
        <v>0.02071687228</v>
      </c>
      <c r="H29" s="56">
        <f t="shared" si="2"/>
        <v>-0.005</v>
      </c>
      <c r="I29" s="71">
        <v>-0.005</v>
      </c>
      <c r="J29" s="48">
        <f t="shared" si="3"/>
        <v>2360595.716</v>
      </c>
      <c r="K29" s="56">
        <f t="shared" si="4"/>
        <v>0.1243599304</v>
      </c>
      <c r="L29" s="56">
        <f>K29-'HIER Rechnung Ausschütter'!J29</f>
        <v>-0.001111067195</v>
      </c>
      <c r="M29" s="55">
        <f>J29-'HIER Rechnung Ausschütter'!I29</f>
        <v>-128307.1629</v>
      </c>
      <c r="N29" s="56">
        <f t="shared" si="5"/>
        <v>10.03229422</v>
      </c>
      <c r="O29" s="56">
        <f t="shared" si="6"/>
        <v>0.03423676013</v>
      </c>
      <c r="P29" s="61">
        <f t="shared" si="7"/>
        <v>344778.1257</v>
      </c>
      <c r="Q29" s="61">
        <f t="shared" si="8"/>
        <v>0</v>
      </c>
      <c r="R29" s="75">
        <f t="shared" si="9"/>
        <v>0</v>
      </c>
      <c r="S29" s="55">
        <f t="shared" si="10"/>
        <v>0</v>
      </c>
      <c r="T29" s="55">
        <f t="shared" si="22"/>
        <v>255613.7198</v>
      </c>
      <c r="U29" s="55">
        <f t="shared" si="11"/>
        <v>83684.22606</v>
      </c>
      <c r="V29" s="55">
        <f t="shared" si="23"/>
        <v>71260.55469</v>
      </c>
      <c r="W29" s="76">
        <f t="shared" si="12"/>
        <v>11378.07548</v>
      </c>
      <c r="X29" s="55">
        <f t="shared" si="13"/>
        <v>71260.55469</v>
      </c>
      <c r="Y29" s="54"/>
      <c r="Z29" s="55">
        <f t="shared" si="14"/>
        <v>16647.01378</v>
      </c>
      <c r="AA29" s="55">
        <f t="shared" si="15"/>
        <v>67037.21228</v>
      </c>
      <c r="AB29" s="55">
        <f t="shared" si="16"/>
        <v>12423.67137</v>
      </c>
      <c r="AC29" s="77">
        <f t="shared" si="17"/>
        <v>9061.626338</v>
      </c>
      <c r="AD29" s="78">
        <f t="shared" si="24"/>
        <v>0</v>
      </c>
      <c r="AE29" s="55">
        <f>IF((R29+U29)&lt;AD29,(R29+U29)*'HIER Rechnung Ausschütter'!O$1,AD29*'HIER Rechnung Ausschütter'!O$1)</f>
        <v>0</v>
      </c>
      <c r="AF29" s="104">
        <f>AG29-'HIER Rechnung Ausschütter'!AM29</f>
        <v>-7570.907869</v>
      </c>
      <c r="AG29" s="55">
        <f t="shared" si="18"/>
        <v>46926.04859</v>
      </c>
      <c r="AH29" s="12"/>
      <c r="AI29" s="12"/>
    </row>
    <row r="30" ht="12.75" customHeight="1">
      <c r="A30" s="11">
        <v>27.0</v>
      </c>
      <c r="B30" s="44">
        <f t="shared" si="19"/>
        <v>7.354866492</v>
      </c>
      <c r="C30" s="45">
        <f t="shared" si="20"/>
        <v>320956.9771</v>
      </c>
      <c r="D30" s="12">
        <f t="shared" si="21"/>
        <v>2360595.716</v>
      </c>
      <c r="E30" s="16">
        <f>'HIER Rechnung Ausschütter'!E30</f>
        <v>0.2013658513</v>
      </c>
      <c r="F30" s="12">
        <f t="shared" si="1"/>
        <v>2889233.557</v>
      </c>
      <c r="G30" s="16">
        <f>'HIER Rechnung Ausschütter'!H30</f>
        <v>0.01879253174</v>
      </c>
      <c r="H30" s="56">
        <f t="shared" si="2"/>
        <v>-0.004</v>
      </c>
      <c r="I30" s="71">
        <v>-0.004</v>
      </c>
      <c r="J30" s="48">
        <f t="shared" si="3"/>
        <v>2805218.559</v>
      </c>
      <c r="K30" s="56">
        <f t="shared" si="4"/>
        <v>0.1883519658</v>
      </c>
      <c r="L30" s="56">
        <f>K30-'HIER Rechnung Ausschütter'!J30</f>
        <v>-0.001140488753</v>
      </c>
      <c r="M30" s="55">
        <f>J30-'HIER Rechnung Ausschütter'!I30</f>
        <v>-155312.635</v>
      </c>
      <c r="N30" s="56">
        <f t="shared" si="5"/>
        <v>12.5028944</v>
      </c>
      <c r="O30" s="56">
        <f t="shared" si="6"/>
        <v>0.02907864523</v>
      </c>
      <c r="P30" s="61">
        <f t="shared" si="7"/>
        <v>528637.841</v>
      </c>
      <c r="Q30" s="61">
        <f t="shared" si="8"/>
        <v>0</v>
      </c>
      <c r="R30" s="75">
        <f t="shared" si="9"/>
        <v>0</v>
      </c>
      <c r="S30" s="55">
        <f t="shared" si="10"/>
        <v>0</v>
      </c>
      <c r="T30" s="55">
        <f t="shared" si="22"/>
        <v>248180.8191</v>
      </c>
      <c r="U30" s="55">
        <f t="shared" si="11"/>
        <v>84014.99759</v>
      </c>
      <c r="V30" s="55">
        <f t="shared" si="23"/>
        <v>70975.51247</v>
      </c>
      <c r="W30" s="76">
        <f t="shared" si="12"/>
        <v>9332.994071</v>
      </c>
      <c r="X30" s="55">
        <f t="shared" si="13"/>
        <v>70975.51247</v>
      </c>
      <c r="Y30" s="54"/>
      <c r="Z30" s="55">
        <f t="shared" si="14"/>
        <v>13654.89983</v>
      </c>
      <c r="AA30" s="55">
        <f t="shared" si="15"/>
        <v>70360.09776</v>
      </c>
      <c r="AB30" s="55">
        <f t="shared" si="16"/>
        <v>13039.48512</v>
      </c>
      <c r="AC30" s="77">
        <f t="shared" si="17"/>
        <v>7432.900674</v>
      </c>
      <c r="AD30" s="78">
        <f t="shared" si="24"/>
        <v>0</v>
      </c>
      <c r="AE30" s="55">
        <f>IF((R30+U30)&lt;AD30,(R30+U30)*'HIER Rechnung Ausschütter'!O$1,AD30*'HIER Rechnung Ausschütter'!O$1)</f>
        <v>0</v>
      </c>
      <c r="AF30" s="104">
        <f>AG30-'HIER Rechnung Ausschütter'!AM30</f>
        <v>-6526.777528</v>
      </c>
      <c r="AG30" s="55">
        <f t="shared" si="18"/>
        <v>49252.06843</v>
      </c>
      <c r="AH30" s="12"/>
      <c r="AI30" s="12"/>
    </row>
    <row r="31" ht="12.75" customHeight="1">
      <c r="A31" s="11">
        <v>28.0</v>
      </c>
      <c r="B31" s="44">
        <f t="shared" si="19"/>
        <v>9.001934101</v>
      </c>
      <c r="C31" s="45">
        <f t="shared" si="20"/>
        <v>311623.983</v>
      </c>
      <c r="D31" s="12">
        <f t="shared" si="21"/>
        <v>2805218.559</v>
      </c>
      <c r="E31" s="16">
        <f>'HIER Rechnung Ausschütter'!E31</f>
        <v>-0.194645773</v>
      </c>
      <c r="F31" s="12">
        <f t="shared" si="1"/>
        <v>2292452.296</v>
      </c>
      <c r="G31" s="16">
        <f>'HIER Rechnung Ausschütter'!H31</f>
        <v>0.01472102964</v>
      </c>
      <c r="H31" s="56">
        <f t="shared" si="2"/>
        <v>0.0114</v>
      </c>
      <c r="I31" s="71">
        <v>0.0114</v>
      </c>
      <c r="J31" s="48">
        <f t="shared" si="3"/>
        <v>2208151.827</v>
      </c>
      <c r="K31" s="56">
        <f t="shared" si="4"/>
        <v>-0.212841431</v>
      </c>
      <c r="L31" s="56">
        <f>K31-'HIER Rechnung Ausschütter'!J31</f>
        <v>-0.001188175544</v>
      </c>
      <c r="M31" s="55">
        <f>J31-'HIER Rechnung Ausschütter'!I31</f>
        <v>-125773.3023</v>
      </c>
      <c r="N31" s="56">
        <f t="shared" si="5"/>
        <v>10.03469858</v>
      </c>
      <c r="O31" s="56">
        <f t="shared" si="6"/>
        <v>0.03677305247</v>
      </c>
      <c r="P31" s="61">
        <f t="shared" si="7"/>
        <v>-512766.2639</v>
      </c>
      <c r="Q31" s="61">
        <f t="shared" si="8"/>
        <v>0</v>
      </c>
      <c r="R31" s="75">
        <f t="shared" si="9"/>
        <v>0</v>
      </c>
      <c r="S31" s="55">
        <f t="shared" si="10"/>
        <v>0</v>
      </c>
      <c r="T31" s="55">
        <f t="shared" si="22"/>
        <v>239054.4529</v>
      </c>
      <c r="U31" s="55">
        <f t="shared" si="11"/>
        <v>84300.46856</v>
      </c>
      <c r="V31" s="55">
        <f t="shared" si="23"/>
        <v>71784.63332</v>
      </c>
      <c r="W31" s="76">
        <f t="shared" si="12"/>
        <v>11459.36508</v>
      </c>
      <c r="X31" s="55">
        <f t="shared" si="13"/>
        <v>71784.63332</v>
      </c>
      <c r="Y31" s="54"/>
      <c r="Z31" s="55">
        <f t="shared" si="14"/>
        <v>16765.94682</v>
      </c>
      <c r="AA31" s="55">
        <f t="shared" si="15"/>
        <v>67534.52173</v>
      </c>
      <c r="AB31" s="55">
        <f t="shared" si="16"/>
        <v>12515.83524</v>
      </c>
      <c r="AC31" s="77">
        <f t="shared" si="17"/>
        <v>9126.366285</v>
      </c>
      <c r="AD31" s="78">
        <f t="shared" si="24"/>
        <v>0</v>
      </c>
      <c r="AE31" s="55">
        <f>IF((R31+U31)&lt;AD31,(R31+U31)*'HIER Rechnung Ausschütter'!O$1,AD31*'HIER Rechnung Ausschütter'!O$1)</f>
        <v>0</v>
      </c>
      <c r="AF31" s="104">
        <f>AG31-'HIER Rechnung Ausschütter'!AM31</f>
        <v>-4342.65407</v>
      </c>
      <c r="AG31" s="55">
        <f t="shared" si="18"/>
        <v>47274.16521</v>
      </c>
      <c r="AH31" s="12"/>
      <c r="AI31" s="12"/>
    </row>
    <row r="32" ht="12.75" customHeight="1">
      <c r="A32" s="11">
        <v>29.0</v>
      </c>
      <c r="B32" s="44">
        <f t="shared" si="19"/>
        <v>7.356469401</v>
      </c>
      <c r="C32" s="45">
        <f t="shared" si="20"/>
        <v>300164.6179</v>
      </c>
      <c r="D32" s="12">
        <f t="shared" si="21"/>
        <v>2208151.827</v>
      </c>
      <c r="E32" s="16">
        <f>'HIER Rechnung Ausschütter'!E32</f>
        <v>0.2176579186</v>
      </c>
      <c r="F32" s="12">
        <f t="shared" si="1"/>
        <v>2749327.273</v>
      </c>
      <c r="G32" s="16">
        <f>'HIER Rechnung Ausschütter'!H32</f>
        <v>0.02252094266</v>
      </c>
      <c r="H32" s="56">
        <f t="shared" si="2"/>
        <v>0.0243</v>
      </c>
      <c r="I32" s="71">
        <v>0.0243</v>
      </c>
      <c r="J32" s="48">
        <f t="shared" si="3"/>
        <v>2653991.451</v>
      </c>
      <c r="K32" s="56">
        <f t="shared" si="4"/>
        <v>0.201906236</v>
      </c>
      <c r="L32" s="56">
        <f>K32-'HIER Rechnung Ausschütter'!J32</f>
        <v>-0.004990816229</v>
      </c>
      <c r="M32" s="55">
        <f>J32-'HIER Rechnung Ausschütter'!I32</f>
        <v>-162815.9077</v>
      </c>
      <c r="N32" s="56">
        <f t="shared" si="5"/>
        <v>12.73909049</v>
      </c>
      <c r="O32" s="56">
        <f t="shared" si="6"/>
        <v>0.03467605433</v>
      </c>
      <c r="P32" s="61">
        <f t="shared" si="7"/>
        <v>541175.4458</v>
      </c>
      <c r="Q32" s="61">
        <f t="shared" si="8"/>
        <v>37560.66258</v>
      </c>
      <c r="R32" s="75">
        <f t="shared" si="9"/>
        <v>37560.66258</v>
      </c>
      <c r="S32" s="55">
        <f t="shared" si="10"/>
        <v>6960.929792</v>
      </c>
      <c r="T32" s="55">
        <f t="shared" si="22"/>
        <v>268325.6502</v>
      </c>
      <c r="U32" s="55">
        <f t="shared" si="11"/>
        <v>95335.8219</v>
      </c>
      <c r="V32" s="55">
        <f t="shared" si="23"/>
        <v>73528.99991</v>
      </c>
      <c r="W32" s="76">
        <f t="shared" si="12"/>
        <v>10408.5246</v>
      </c>
      <c r="X32" s="55">
        <f t="shared" si="13"/>
        <v>73528.99991</v>
      </c>
      <c r="Y32" s="54"/>
      <c r="Z32" s="55">
        <f t="shared" si="14"/>
        <v>15228.48507</v>
      </c>
      <c r="AA32" s="55">
        <f t="shared" si="15"/>
        <v>80107.33683</v>
      </c>
      <c r="AB32" s="55">
        <f t="shared" si="16"/>
        <v>14845.8922</v>
      </c>
      <c r="AC32" s="77">
        <f t="shared" si="17"/>
        <v>8289.465196</v>
      </c>
      <c r="AD32" s="78">
        <f t="shared" si="24"/>
        <v>0</v>
      </c>
      <c r="AE32" s="55">
        <f>IF((R32+U32)&lt;AD32,(R32+U32)*'HIER Rechnung Ausschütter'!O$1,AD32*'HIER Rechnung Ausschütter'!O$1)</f>
        <v>0</v>
      </c>
      <c r="AF32" s="104">
        <f>AG32-'HIER Rechnung Ausschütter'!AM32</f>
        <v>23486.27396</v>
      </c>
      <c r="AG32" s="55">
        <f t="shared" si="18"/>
        <v>82367.59959</v>
      </c>
      <c r="AH32" s="12"/>
      <c r="AI32" s="12"/>
    </row>
    <row r="33" ht="12.75" customHeight="1">
      <c r="A33" s="11">
        <v>30.0</v>
      </c>
      <c r="B33" s="44">
        <f t="shared" si="19"/>
        <v>9.159398239</v>
      </c>
      <c r="C33" s="45">
        <f t="shared" si="20"/>
        <v>289756.0933</v>
      </c>
      <c r="D33" s="12">
        <f t="shared" si="21"/>
        <v>2653991.451</v>
      </c>
      <c r="E33" s="16">
        <f>'HIER Rechnung Ausschütter'!E33</f>
        <v>0.1699673102</v>
      </c>
      <c r="F33" s="12">
        <f t="shared" si="1"/>
        <v>3163087.071</v>
      </c>
      <c r="G33" s="16">
        <f>'HIER Rechnung Ausschütter'!H33</f>
        <v>0.01868028249</v>
      </c>
      <c r="H33" s="56">
        <f t="shared" si="2"/>
        <v>0.0232</v>
      </c>
      <c r="I33" s="71">
        <v>0.0232</v>
      </c>
      <c r="J33" s="48">
        <f t="shared" si="3"/>
        <v>3064214.38</v>
      </c>
      <c r="K33" s="56">
        <f t="shared" si="4"/>
        <v>0.1545682932</v>
      </c>
      <c r="L33" s="56">
        <f>K33-'HIER Rechnung Ausschütter'!J33</f>
        <v>-0.004893829713</v>
      </c>
      <c r="M33" s="55">
        <f>J33-'HIER Rechnung Ausschütter'!I33</f>
        <v>-201767.0603</v>
      </c>
      <c r="N33" s="56">
        <f t="shared" si="5"/>
        <v>15.37455896</v>
      </c>
      <c r="O33" s="56">
        <f t="shared" si="6"/>
        <v>0.03125828949</v>
      </c>
      <c r="P33" s="61">
        <f t="shared" si="7"/>
        <v>509095.6202</v>
      </c>
      <c r="Q33" s="61">
        <f t="shared" si="8"/>
        <v>43100.82116</v>
      </c>
      <c r="R33" s="75">
        <f t="shared" si="9"/>
        <v>43100.82116</v>
      </c>
      <c r="S33" s="55">
        <f t="shared" si="10"/>
        <v>7987.659682</v>
      </c>
      <c r="T33" s="55">
        <f t="shared" si="22"/>
        <v>303039.0705</v>
      </c>
      <c r="U33" s="55">
        <f t="shared" si="11"/>
        <v>98872.69137</v>
      </c>
      <c r="V33" s="55">
        <f t="shared" si="23"/>
        <v>75234.8727</v>
      </c>
      <c r="W33" s="76">
        <f t="shared" si="12"/>
        <v>9057.279848</v>
      </c>
      <c r="X33" s="55">
        <f t="shared" si="13"/>
        <v>75234.8727</v>
      </c>
      <c r="Y33" s="54"/>
      <c r="Z33" s="55">
        <f t="shared" si="14"/>
        <v>14425.59044</v>
      </c>
      <c r="AA33" s="55">
        <f t="shared" si="15"/>
        <v>84447.10093</v>
      </c>
      <c r="AB33" s="55">
        <f t="shared" si="16"/>
        <v>15650.15898</v>
      </c>
      <c r="AC33" s="77">
        <f t="shared" si="17"/>
        <v>8387.400854</v>
      </c>
      <c r="AD33" s="78">
        <f t="shared" si="24"/>
        <v>0</v>
      </c>
      <c r="AE33" s="55">
        <f>IF((R33+U33)&lt;AD33,(R33+U33)*'HIER Rechnung Ausschütter'!O$1,AD33*'HIER Rechnung Ausschütter'!O$1)</f>
        <v>0</v>
      </c>
      <c r="AF33" s="104">
        <f>AG33-'HIER Rechnung Ausschütter'!AM33</f>
        <v>29157.22219</v>
      </c>
      <c r="AG33" s="55">
        <f t="shared" si="18"/>
        <v>89283.54546</v>
      </c>
      <c r="AH33" s="12"/>
      <c r="AI33" s="12"/>
    </row>
    <row r="34" ht="12.75" customHeight="1">
      <c r="B34" s="44">
        <f t="shared" si="19"/>
        <v>10.9163781</v>
      </c>
      <c r="C34" s="45">
        <f t="shared" si="20"/>
        <v>280698.8135</v>
      </c>
      <c r="D34" s="12">
        <f t="shared" si="21"/>
        <v>3064214.38</v>
      </c>
      <c r="E34" s="16" t="str">
        <f>'HIER Rechnung Ausschütter'!E34</f>
        <v/>
      </c>
      <c r="F34" s="12"/>
      <c r="H34" s="56"/>
      <c r="I34" s="56"/>
      <c r="J34" s="12"/>
    </row>
    <row r="35" ht="12.75" customHeight="1">
      <c r="A35" s="19"/>
      <c r="B35" s="19"/>
      <c r="C35" s="19"/>
      <c r="D35" s="19"/>
      <c r="E35" s="19"/>
      <c r="F35" s="19"/>
      <c r="G35" s="19"/>
      <c r="H35" s="27"/>
      <c r="I35" s="27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33">
        <f t="shared" ref="U35:V35" si="25">SUM(U4:U34)</f>
        <v>2178699.601</v>
      </c>
      <c r="V35" s="33">
        <f t="shared" si="25"/>
        <v>1807641.088</v>
      </c>
      <c r="W35" s="19"/>
      <c r="X35" s="105">
        <f>SUM(X4:X34)</f>
        <v>1807641.088</v>
      </c>
      <c r="Y35" s="19"/>
      <c r="Z35" s="19"/>
      <c r="AA35" s="33"/>
      <c r="AB35" s="19"/>
      <c r="AC35" s="19"/>
      <c r="AD35" s="19"/>
      <c r="AE35" s="19"/>
      <c r="AF35" s="19"/>
      <c r="AG35" s="33">
        <f>SUM(AG4:AG34)</f>
        <v>1401543.015</v>
      </c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</row>
    <row r="36" ht="12.75" customHeight="1">
      <c r="A36" s="19"/>
      <c r="B36" s="1" t="s">
        <v>72</v>
      </c>
      <c r="C36" s="19"/>
      <c r="D36" s="27">
        <f>J33/D4-1</f>
        <v>2.06421438</v>
      </c>
      <c r="E36" s="19"/>
      <c r="F36" s="19"/>
      <c r="G36" s="19"/>
      <c r="H36" s="27">
        <f>AVERAGE(H3:H34)</f>
        <v>0.02833</v>
      </c>
      <c r="I36" s="27"/>
      <c r="J36" s="19"/>
      <c r="K36" s="19"/>
      <c r="L36" s="19"/>
      <c r="M36" s="19"/>
      <c r="N36" s="27">
        <f>(N33+1)^(1/30)-1</f>
        <v>0.09767132831</v>
      </c>
      <c r="O36" s="27">
        <f>AVERAGE(O4:O34)</f>
        <v>0.04142900657</v>
      </c>
      <c r="P36" s="19"/>
      <c r="Q36" s="19"/>
      <c r="R36" s="33">
        <f>SUM(R4:R33)</f>
        <v>630040.0506</v>
      </c>
      <c r="S36" s="33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</row>
    <row r="37" ht="12.75" customHeight="1">
      <c r="A37" s="19"/>
      <c r="B37" s="1" t="s">
        <v>73</v>
      </c>
      <c r="C37" s="19"/>
      <c r="D37" s="27">
        <f>(J33/C4)^(1/29)-1</f>
        <v>0.03936867986</v>
      </c>
      <c r="E37" s="19"/>
      <c r="F37" s="19"/>
      <c r="G37" s="19"/>
      <c r="H37" s="27"/>
      <c r="I37" s="27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63"/>
      <c r="Y37" s="63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</row>
    <row r="38" ht="12.75" customHeight="1">
      <c r="A38" s="19"/>
      <c r="B38" s="19"/>
      <c r="C38" s="19"/>
      <c r="D38" s="19"/>
      <c r="E38" s="19"/>
      <c r="F38" s="19"/>
      <c r="G38" s="19"/>
      <c r="H38" s="27"/>
      <c r="I38" s="27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06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</row>
    <row r="39" ht="12.75" customHeight="1">
      <c r="A39" s="19"/>
      <c r="B39" s="28" t="s">
        <v>74</v>
      </c>
      <c r="C39" s="23"/>
      <c r="D39" s="29">
        <f>'HIER Rechnung Ausschütter'!D37-D37</f>
        <v>0.002288018131</v>
      </c>
      <c r="E39" s="23" t="s">
        <v>17</v>
      </c>
      <c r="F39" s="19"/>
      <c r="G39" s="19"/>
      <c r="H39" s="27"/>
      <c r="I39" s="27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</row>
    <row r="42" ht="12.75" customHeight="1">
      <c r="A42" s="19"/>
      <c r="B42" s="65" t="s">
        <v>75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</row>
    <row r="43" ht="12.75" customHeight="1">
      <c r="A43" s="19"/>
      <c r="B43" s="14" t="s">
        <v>76</v>
      </c>
      <c r="C43" s="33">
        <f>((B34-D1)*C34)-T33</f>
        <v>2574042.673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</row>
    <row r="44" ht="12.75" customHeight="1">
      <c r="A44" s="19"/>
      <c r="B44" s="14" t="s">
        <v>77</v>
      </c>
      <c r="C44" s="33">
        <f>C43*V1</f>
        <v>477034.4584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</row>
    <row r="45" ht="12.75" customHeight="1">
      <c r="A45" s="19"/>
      <c r="B45" s="14" t="s">
        <v>78</v>
      </c>
      <c r="C45" s="33">
        <f>J33-C44</f>
        <v>2587179.921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</row>
    <row r="46" ht="12.75" customHeight="1">
      <c r="A46" s="19"/>
      <c r="B46" s="1" t="s">
        <v>73</v>
      </c>
      <c r="C46" s="27">
        <f>(C45/C4)^(1/29)-1</f>
        <v>0.03332134628</v>
      </c>
      <c r="D46" s="1" t="s">
        <v>17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</row>
    <row r="48" ht="12.75" customHeight="1">
      <c r="A48" s="19"/>
      <c r="B48" s="23" t="s">
        <v>79</v>
      </c>
      <c r="C48" s="29">
        <f>'HIER Rechnung Ausschütter'!C46-C46</f>
        <v>0.001974427621</v>
      </c>
      <c r="D48" s="23" t="s">
        <v>17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</row>
    <row r="49" ht="1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</row>
    <row r="50" ht="1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</row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AF3:AF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K1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2" width="12.75"/>
    <col customWidth="1" min="23" max="23" width="15.5"/>
    <col customWidth="1" min="24" max="53" width="12.75"/>
  </cols>
  <sheetData>
    <row r="1" ht="12.75" customHeight="1">
      <c r="A1" s="30" t="s">
        <v>97</v>
      </c>
      <c r="B1" s="1"/>
      <c r="C1" s="14" t="s">
        <v>33</v>
      </c>
      <c r="D1" s="31">
        <f>'HIER Rechnung Ausschütter'!D1</f>
        <v>0.666667</v>
      </c>
      <c r="E1" s="1" t="s">
        <v>34</v>
      </c>
      <c r="F1" s="1"/>
      <c r="G1" s="33">
        <f>'HIER Rechnung Ausschütter'!H1</f>
        <v>1000000</v>
      </c>
      <c r="H1" s="19"/>
      <c r="I1" s="19"/>
      <c r="J1" s="19"/>
      <c r="K1" s="1"/>
      <c r="L1" s="19"/>
      <c r="M1" s="19"/>
      <c r="N1" s="19"/>
      <c r="O1" s="14" t="s">
        <v>98</v>
      </c>
      <c r="P1" s="35">
        <f>'HIER Rechnung Ausschütter'!P1</f>
        <v>0.26375</v>
      </c>
      <c r="Q1" s="35"/>
      <c r="R1" s="35"/>
      <c r="S1" s="19"/>
      <c r="T1" s="34"/>
      <c r="U1" s="35"/>
      <c r="V1" s="14"/>
      <c r="W1" s="14"/>
      <c r="X1" s="14" t="s">
        <v>39</v>
      </c>
      <c r="Y1" s="33">
        <f>'HIER Rechnung Ausschütter'!X1</f>
        <v>35000</v>
      </c>
      <c r="Z1" s="1"/>
      <c r="AA1" s="3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</row>
    <row r="2" ht="12.75" customHeight="1">
      <c r="A2" s="1" t="s">
        <v>3</v>
      </c>
      <c r="B2" s="14" t="s">
        <v>99</v>
      </c>
      <c r="C2" s="14" t="s">
        <v>41</v>
      </c>
      <c r="D2" s="14" t="s">
        <v>42</v>
      </c>
      <c r="E2" s="1" t="s">
        <v>83</v>
      </c>
      <c r="F2" s="14" t="s">
        <v>45</v>
      </c>
      <c r="G2" s="14" t="s">
        <v>100</v>
      </c>
      <c r="H2" s="28" t="s">
        <v>101</v>
      </c>
      <c r="I2" s="14" t="s">
        <v>47</v>
      </c>
      <c r="J2" s="14" t="s">
        <v>48</v>
      </c>
      <c r="K2" s="14" t="s">
        <v>102</v>
      </c>
      <c r="L2" s="40"/>
      <c r="M2" s="14" t="s">
        <v>103</v>
      </c>
      <c r="N2" s="14" t="s">
        <v>104</v>
      </c>
      <c r="O2" s="14" t="s">
        <v>105</v>
      </c>
      <c r="P2" s="14" t="s">
        <v>52</v>
      </c>
      <c r="Q2" s="14" t="s">
        <v>106</v>
      </c>
      <c r="R2" s="14" t="s">
        <v>107</v>
      </c>
      <c r="S2" s="14"/>
      <c r="T2" s="14" t="s">
        <v>54</v>
      </c>
      <c r="U2" s="14" t="s">
        <v>108</v>
      </c>
      <c r="V2" s="14" t="s">
        <v>109</v>
      </c>
      <c r="W2" s="14" t="s">
        <v>57</v>
      </c>
      <c r="X2" s="14" t="s">
        <v>110</v>
      </c>
      <c r="Y2" s="14" t="s">
        <v>59</v>
      </c>
      <c r="Z2" s="14"/>
      <c r="AA2" s="14"/>
      <c r="AB2" s="1"/>
      <c r="AC2" s="1" t="s">
        <v>111</v>
      </c>
      <c r="AD2" s="14" t="s">
        <v>70</v>
      </c>
      <c r="AE2" s="14" t="s">
        <v>112</v>
      </c>
      <c r="AF2" s="14" t="s">
        <v>69</v>
      </c>
      <c r="AG2" s="14" t="s">
        <v>71</v>
      </c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</row>
    <row r="3" ht="12.75" hidden="1" customHeight="1">
      <c r="A3" s="11">
        <v>0.0</v>
      </c>
      <c r="B3" s="44"/>
      <c r="C3" s="45"/>
      <c r="D3" s="12"/>
      <c r="E3" s="107"/>
      <c r="F3" s="12"/>
      <c r="G3" s="108"/>
      <c r="H3" s="48">
        <f t="shared" ref="H3:H33" si="1">C4*B4</f>
        <v>1000000</v>
      </c>
      <c r="I3" s="49"/>
      <c r="J3" s="49"/>
      <c r="K3" s="55"/>
      <c r="L3" s="12"/>
      <c r="M3" s="12"/>
      <c r="N3" s="12"/>
      <c r="O3" s="12"/>
      <c r="P3" s="16"/>
      <c r="R3" s="12"/>
      <c r="S3" s="16"/>
      <c r="T3" s="45"/>
      <c r="U3" s="50"/>
      <c r="V3" s="12"/>
      <c r="W3" s="12"/>
      <c r="X3" s="12"/>
      <c r="Y3" s="12"/>
      <c r="Z3" s="12"/>
      <c r="AA3" s="16"/>
      <c r="AC3" s="12"/>
      <c r="AE3" s="12"/>
    </row>
    <row r="4" ht="12.75" customHeight="1">
      <c r="A4" s="11">
        <v>1.0</v>
      </c>
      <c r="B4" s="44">
        <v>1.0</v>
      </c>
      <c r="C4" s="45">
        <f>G1</f>
        <v>1000000</v>
      </c>
      <c r="D4" s="12">
        <f>C4*B4</f>
        <v>1000000</v>
      </c>
      <c r="E4" s="107">
        <f>'HIER Rechnung Ausschütter'!E4+'HIER Rechnung Ausschütter'!K$1</f>
        <v>0.1870220986</v>
      </c>
      <c r="F4" s="12">
        <f t="shared" ref="F4:F33" si="2">D4*(1+E4)</f>
        <v>1187022.099</v>
      </c>
      <c r="G4" s="108">
        <v>0.026143851239646</v>
      </c>
      <c r="H4" s="48">
        <f t="shared" si="1"/>
        <v>1170711.969</v>
      </c>
      <c r="I4" s="53">
        <f t="shared" ref="I4:I33" si="3">H4/D4-1</f>
        <v>0.1707119693</v>
      </c>
      <c r="J4" s="53">
        <f t="shared" ref="J4:J33" si="4">B5/B$4-1</f>
        <v>0.1870220986</v>
      </c>
      <c r="K4" s="55">
        <f>H4-'HIER Rechnung Thesaurierer '!J4</f>
        <v>5267.212269</v>
      </c>
      <c r="L4" s="54"/>
      <c r="M4" s="55">
        <f t="shared" ref="M4:M33" si="5">F4*G4</f>
        <v>31033.32917</v>
      </c>
      <c r="N4" s="55">
        <f t="shared" ref="N4:N33" si="6">M4-O4</f>
        <v>22848.2886</v>
      </c>
      <c r="O4" s="55">
        <f t="shared" ref="O4:O33" si="7">M4*P$1-AD4</f>
        <v>8185.040567</v>
      </c>
      <c r="P4" s="56">
        <f>(M4+U4)/H4</f>
        <v>0.03824485086</v>
      </c>
      <c r="Q4" s="55">
        <f>Y1</f>
        <v>35000</v>
      </c>
      <c r="R4" s="55">
        <f t="shared" ref="R4:R33" si="8">N4+Y4</f>
        <v>35000</v>
      </c>
      <c r="S4" s="16"/>
      <c r="T4" s="57">
        <f t="shared" ref="T4:T33" si="9">U4/B5</f>
        <v>11575.501</v>
      </c>
      <c r="U4" s="58">
        <f t="shared" ref="U4:U33" si="10">Q4-N4+W4</f>
        <v>13740.37549</v>
      </c>
      <c r="V4" s="55">
        <f t="shared" ref="V4:V33" si="11">U4-X4</f>
        <v>6023.370967</v>
      </c>
      <c r="W4" s="55">
        <f t="shared" ref="W4:W33" si="12">V4*P$1</f>
        <v>1588.664092</v>
      </c>
      <c r="X4" s="55">
        <f t="shared" ref="X4:X33" si="13">T4*D$1</f>
        <v>7717.004528</v>
      </c>
      <c r="Y4" s="55">
        <f t="shared" ref="Y4:Y33" si="14">U4-W4</f>
        <v>12151.7114</v>
      </c>
      <c r="Z4" s="12"/>
      <c r="AA4" s="56"/>
      <c r="AB4" s="11"/>
      <c r="AC4" s="55">
        <f>'HIER Rechnung Ausschütter'!S1</f>
        <v>0</v>
      </c>
      <c r="AD4" s="55">
        <f>IF((M4+U4)&lt;AC4,(M4+U4)*'HIER Rechnung Ausschütter'!O$1,AC4*'HIER Rechnung Ausschütter'!O$1)</f>
        <v>0</v>
      </c>
      <c r="AE4" s="12">
        <f>'HIER Rechnung Ausschütter'!AM4-AG4</f>
        <v>2622.515645</v>
      </c>
      <c r="AF4" s="67">
        <f>'HIER Rechnung Ausschütter'!S1</f>
        <v>0</v>
      </c>
      <c r="AG4" s="12">
        <f t="shared" ref="AG4:AG33" si="15">M4+V4</f>
        <v>37056.70013</v>
      </c>
    </row>
    <row r="5" ht="12.75" customHeight="1">
      <c r="A5" s="11">
        <v>2.0</v>
      </c>
      <c r="B5" s="44">
        <f t="shared" ref="B5:B34" si="16">B4*(1+E4)</f>
        <v>1.187022099</v>
      </c>
      <c r="C5" s="45">
        <f>C4-U4</f>
        <v>986259.6245</v>
      </c>
      <c r="D5" s="12">
        <f t="shared" ref="D5:D33" si="17">H4</f>
        <v>1170711.969</v>
      </c>
      <c r="E5" s="16">
        <f>'HIER Rechnung Ausschütter'!E5+'HIER Rechnung Ausschütter'!K$1</f>
        <v>0.117233208</v>
      </c>
      <c r="F5" s="12">
        <f t="shared" si="2"/>
        <v>1307958.289</v>
      </c>
      <c r="G5" s="108">
        <v>0.022727126367845</v>
      </c>
      <c r="H5" s="48">
        <f t="shared" si="1"/>
        <v>1290366.789</v>
      </c>
      <c r="I5" s="53">
        <f t="shared" si="3"/>
        <v>0.1022068819</v>
      </c>
      <c r="J5" s="53">
        <f t="shared" si="4"/>
        <v>0.3261805073</v>
      </c>
      <c r="K5" s="55">
        <f>H5-'HIER Rechnung Thesaurierer '!J5</f>
        <v>14240.14095</v>
      </c>
      <c r="L5" s="54"/>
      <c r="M5" s="55">
        <f t="shared" si="5"/>
        <v>29726.13332</v>
      </c>
      <c r="N5" s="55">
        <f t="shared" si="6"/>
        <v>21885.86566</v>
      </c>
      <c r="O5" s="55">
        <f t="shared" si="7"/>
        <v>7840.267663</v>
      </c>
      <c r="P5" s="56">
        <f t="shared" ref="P5:P33" si="18">R5/H5</f>
        <v>0.02880576307</v>
      </c>
      <c r="Q5" s="55">
        <f>Q4*(1+'HIER Rechnung Thesaurierer '!I5)</f>
        <v>37170</v>
      </c>
      <c r="R5" s="55">
        <f t="shared" si="8"/>
        <v>37170</v>
      </c>
      <c r="S5" s="16"/>
      <c r="T5" s="57">
        <f t="shared" si="9"/>
        <v>13264.78539</v>
      </c>
      <c r="U5" s="58">
        <f t="shared" si="10"/>
        <v>17591.49982</v>
      </c>
      <c r="V5" s="55">
        <f t="shared" si="11"/>
        <v>8748.305138</v>
      </c>
      <c r="W5" s="55">
        <f t="shared" si="12"/>
        <v>2307.36548</v>
      </c>
      <c r="X5" s="55">
        <f t="shared" si="13"/>
        <v>8843.194684</v>
      </c>
      <c r="Y5" s="55">
        <f t="shared" si="14"/>
        <v>15284.13434</v>
      </c>
      <c r="Z5" s="12"/>
      <c r="AA5" s="56"/>
      <c r="AB5" s="11"/>
      <c r="AC5" s="55">
        <f>AC4*(1+'HIER Rechnung Thesaurierer '!I5)</f>
        <v>0</v>
      </c>
      <c r="AD5" s="55">
        <f>IF((M5+U5)&lt;AC5,(M5+U5)*'HIER Rechnung Ausschütter'!O$1,AC5*'HIER Rechnung Ausschütter'!O$1)</f>
        <v>0</v>
      </c>
      <c r="AE5" s="12">
        <f>'HIER Rechnung Ausschütter'!AM5-AG5</f>
        <v>4793.310192</v>
      </c>
      <c r="AF5" s="67">
        <f>AF4*(1+'HIER Rechnung Thesaurierer '!I4)</f>
        <v>0</v>
      </c>
      <c r="AG5" s="12">
        <f t="shared" si="15"/>
        <v>38474.43846</v>
      </c>
    </row>
    <row r="6" ht="12.75" customHeight="1">
      <c r="A6" s="11">
        <v>3.0</v>
      </c>
      <c r="B6" s="44">
        <f t="shared" si="16"/>
        <v>1.326180507</v>
      </c>
      <c r="C6" s="45">
        <f t="shared" ref="C6:C34" si="19">C5-T5</f>
        <v>972994.8391</v>
      </c>
      <c r="D6" s="12">
        <f t="shared" si="17"/>
        <v>1290366.789</v>
      </c>
      <c r="E6" s="16">
        <f>'HIER Rechnung Ausschütter'!E6+'HIER Rechnung Ausschütter'!K$1</f>
        <v>0.1416801363</v>
      </c>
      <c r="F6" s="12">
        <f t="shared" si="2"/>
        <v>1473186.132</v>
      </c>
      <c r="G6" s="108">
        <v>0.020590960383848</v>
      </c>
      <c r="H6" s="48">
        <f t="shared" si="1"/>
        <v>1453338.381</v>
      </c>
      <c r="I6" s="53">
        <f t="shared" si="3"/>
        <v>0.126298656</v>
      </c>
      <c r="J6" s="53">
        <f t="shared" si="4"/>
        <v>0.5140739424</v>
      </c>
      <c r="K6" s="55">
        <f>H6-'HIER Rechnung Thesaurierer '!J6</f>
        <v>24598.9575</v>
      </c>
      <c r="L6" s="54"/>
      <c r="M6" s="55">
        <f t="shared" si="5"/>
        <v>30334.31728</v>
      </c>
      <c r="N6" s="55">
        <f t="shared" si="6"/>
        <v>22333.6411</v>
      </c>
      <c r="O6" s="55">
        <f t="shared" si="7"/>
        <v>8000.676183</v>
      </c>
      <c r="P6" s="56">
        <f t="shared" si="18"/>
        <v>0.02700783281</v>
      </c>
      <c r="Q6" s="55">
        <f>Q5*(1+'HIER Rechnung Thesaurierer '!I6)</f>
        <v>39251.52</v>
      </c>
      <c r="R6" s="55">
        <f t="shared" si="8"/>
        <v>39251.52</v>
      </c>
      <c r="S6" s="16"/>
      <c r="T6" s="57">
        <f t="shared" si="9"/>
        <v>13108.83886</v>
      </c>
      <c r="U6" s="58">
        <f t="shared" si="10"/>
        <v>19847.75133</v>
      </c>
      <c r="V6" s="55">
        <f t="shared" si="11"/>
        <v>11108.52105</v>
      </c>
      <c r="W6" s="55">
        <f t="shared" si="12"/>
        <v>2929.872428</v>
      </c>
      <c r="X6" s="55">
        <f t="shared" si="13"/>
        <v>8739.230275</v>
      </c>
      <c r="Y6" s="55">
        <f t="shared" si="14"/>
        <v>16917.8789</v>
      </c>
      <c r="Z6" s="12"/>
      <c r="AA6" s="56"/>
      <c r="AB6" s="11"/>
      <c r="AC6" s="55">
        <f>AC5*(1+'HIER Rechnung Thesaurierer '!I6)</f>
        <v>0</v>
      </c>
      <c r="AD6" s="55">
        <f>IF((M6+U6)&lt;AC6,(M6+U6)*'HIER Rechnung Ausschütter'!O$1,AC6*'HIER Rechnung Ausschütter'!O$1)</f>
        <v>0</v>
      </c>
      <c r="AE6" s="12">
        <f>'HIER Rechnung Ausschütter'!AM6-AG6</f>
        <v>2792.066914</v>
      </c>
      <c r="AF6" s="67">
        <f>AF5*(1+'HIER Rechnung Thesaurierer '!I5)</f>
        <v>0</v>
      </c>
      <c r="AG6" s="12">
        <f t="shared" si="15"/>
        <v>41442.83834</v>
      </c>
    </row>
    <row r="7" ht="12.75" customHeight="1">
      <c r="A7" s="11">
        <v>4.0</v>
      </c>
      <c r="B7" s="44">
        <f t="shared" si="16"/>
        <v>1.514073942</v>
      </c>
      <c r="C7" s="45">
        <f t="shared" si="19"/>
        <v>959886.0003</v>
      </c>
      <c r="D7" s="12">
        <f t="shared" si="17"/>
        <v>1453338.381</v>
      </c>
      <c r="E7" s="16">
        <f>'HIER Rechnung Ausschütter'!E7+'HIER Rechnung Ausschütter'!K$1</f>
        <v>0.2278059473</v>
      </c>
      <c r="F7" s="12">
        <f t="shared" si="2"/>
        <v>1784417.507</v>
      </c>
      <c r="G7" s="108">
        <v>0.020146585141558</v>
      </c>
      <c r="H7" s="48">
        <f t="shared" si="1"/>
        <v>1766858.121</v>
      </c>
      <c r="I7" s="53">
        <f t="shared" si="3"/>
        <v>0.2157238426</v>
      </c>
      <c r="J7" s="53">
        <f t="shared" si="4"/>
        <v>0.8589889911</v>
      </c>
      <c r="K7" s="55">
        <f>H7-'HIER Rechnung Thesaurierer '!J7</f>
        <v>38238.50447</v>
      </c>
      <c r="L7" s="54"/>
      <c r="M7" s="55">
        <f t="shared" si="5"/>
        <v>35949.91924</v>
      </c>
      <c r="N7" s="55">
        <f t="shared" si="6"/>
        <v>26468.12804</v>
      </c>
      <c r="O7" s="55">
        <f t="shared" si="7"/>
        <v>9481.791199</v>
      </c>
      <c r="P7" s="56">
        <f t="shared" si="18"/>
        <v>0.02323734398</v>
      </c>
      <c r="Q7" s="55">
        <f>Q6*(1+'HIER Rechnung Thesaurierer '!I7)</f>
        <v>41057.08992</v>
      </c>
      <c r="R7" s="55">
        <f t="shared" si="8"/>
        <v>41057.08992</v>
      </c>
      <c r="S7" s="16"/>
      <c r="T7" s="57">
        <f t="shared" si="9"/>
        <v>9445.664629</v>
      </c>
      <c r="U7" s="58">
        <f t="shared" si="10"/>
        <v>17559.38656</v>
      </c>
      <c r="V7" s="55">
        <f t="shared" si="11"/>
        <v>11262.27366</v>
      </c>
      <c r="W7" s="55">
        <f t="shared" si="12"/>
        <v>2970.424677</v>
      </c>
      <c r="X7" s="55">
        <f t="shared" si="13"/>
        <v>6297.112901</v>
      </c>
      <c r="Y7" s="55">
        <f t="shared" si="14"/>
        <v>14588.96188</v>
      </c>
      <c r="Z7" s="12"/>
      <c r="AA7" s="56"/>
      <c r="AB7" s="11"/>
      <c r="AC7" s="55">
        <f>AC6*(1+'HIER Rechnung Thesaurierer '!I7)</f>
        <v>0</v>
      </c>
      <c r="AD7" s="55">
        <f>IF((M7+U7)&lt;AC7,(M7+U7)*'HIER Rechnung Ausschütter'!O$1,AC7*'HIER Rechnung Ausschütter'!O$1)</f>
        <v>0</v>
      </c>
      <c r="AE7" s="12">
        <f>'HIER Rechnung Ausschütter'!AM7-AG7</f>
        <v>-6194.607091</v>
      </c>
      <c r="AF7" s="67">
        <f>AF6*(1+'HIER Rechnung Thesaurierer '!I6)</f>
        <v>0</v>
      </c>
      <c r="AG7" s="12">
        <f t="shared" si="15"/>
        <v>47212.19289</v>
      </c>
    </row>
    <row r="8" ht="12.75" customHeight="1">
      <c r="A8" s="11">
        <v>5.0</v>
      </c>
      <c r="B8" s="44">
        <f t="shared" si="16"/>
        <v>1.858988991</v>
      </c>
      <c r="C8" s="45">
        <f t="shared" si="19"/>
        <v>950440.3356</v>
      </c>
      <c r="D8" s="12">
        <f t="shared" si="17"/>
        <v>1766858.121</v>
      </c>
      <c r="E8" s="16">
        <f>'HIER Rechnung Ausschütter'!E8+'HIER Rechnung Ausschütter'!K$1</f>
        <v>0.2356037469</v>
      </c>
      <c r="F8" s="12">
        <f t="shared" si="2"/>
        <v>2183136.514</v>
      </c>
      <c r="G8" s="108">
        <v>0.017794717970258</v>
      </c>
      <c r="H8" s="48">
        <f t="shared" si="1"/>
        <v>2165539.813</v>
      </c>
      <c r="I8" s="53">
        <f t="shared" si="3"/>
        <v>0.2256444295</v>
      </c>
      <c r="J8" s="53">
        <f t="shared" si="4"/>
        <v>1.296973763</v>
      </c>
      <c r="K8" s="55">
        <f>H8-'HIER Rechnung Thesaurierer '!J8</f>
        <v>57592.50884</v>
      </c>
      <c r="L8" s="54"/>
      <c r="M8" s="55">
        <f t="shared" si="5"/>
        <v>38848.29856</v>
      </c>
      <c r="N8" s="55">
        <f t="shared" si="6"/>
        <v>28602.05981</v>
      </c>
      <c r="O8" s="55">
        <f t="shared" si="7"/>
        <v>10246.23875</v>
      </c>
      <c r="P8" s="56">
        <f t="shared" si="18"/>
        <v>0.01981245448</v>
      </c>
      <c r="Q8" s="55">
        <f>Q7*(1+'HIER Rechnung Thesaurierer '!I8)</f>
        <v>42904.65897</v>
      </c>
      <c r="R8" s="55">
        <f t="shared" si="8"/>
        <v>42904.65897</v>
      </c>
      <c r="S8" s="16"/>
      <c r="T8" s="57">
        <f t="shared" si="9"/>
        <v>7660.819312</v>
      </c>
      <c r="U8" s="58">
        <f t="shared" si="10"/>
        <v>17596.70096</v>
      </c>
      <c r="V8" s="55">
        <f t="shared" si="11"/>
        <v>12489.48553</v>
      </c>
      <c r="W8" s="55">
        <f t="shared" si="12"/>
        <v>3294.101809</v>
      </c>
      <c r="X8" s="55">
        <f t="shared" si="13"/>
        <v>5107.215428</v>
      </c>
      <c r="Y8" s="55">
        <f t="shared" si="14"/>
        <v>14302.59915</v>
      </c>
      <c r="Z8" s="12"/>
      <c r="AA8" s="56"/>
      <c r="AB8" s="11"/>
      <c r="AC8" s="55">
        <f>AC7*(1+'HIER Rechnung Thesaurierer '!I8)</f>
        <v>0</v>
      </c>
      <c r="AD8" s="55">
        <f>IF((M8+U8)&lt;AC8,(M8+U8)*'HIER Rechnung Ausschütter'!O$1,AC8*'HIER Rechnung Ausschütter'!O$1)</f>
        <v>0</v>
      </c>
      <c r="AE8" s="12">
        <f>'HIER Rechnung Ausschütter'!AM8-AG8</f>
        <v>-2855.141927</v>
      </c>
      <c r="AF8" s="67">
        <f>AF7*(1+'HIER Rechnung Thesaurierer '!I7)</f>
        <v>0</v>
      </c>
      <c r="AG8" s="12">
        <f t="shared" si="15"/>
        <v>51337.78409</v>
      </c>
    </row>
    <row r="9" ht="12.75" customHeight="1">
      <c r="A9" s="11">
        <v>6.0</v>
      </c>
      <c r="B9" s="44">
        <f t="shared" si="16"/>
        <v>2.296973763</v>
      </c>
      <c r="C9" s="45">
        <f t="shared" si="19"/>
        <v>942779.5163</v>
      </c>
      <c r="D9" s="12">
        <f t="shared" si="17"/>
        <v>2165539.813</v>
      </c>
      <c r="E9" s="16">
        <f>'HIER Rechnung Ausschütter'!E9+'HIER Rechnung Ausschütter'!K$1</f>
        <v>-0.1404983514</v>
      </c>
      <c r="F9" s="12">
        <f t="shared" si="2"/>
        <v>1861285.04</v>
      </c>
      <c r="G9" s="108">
        <v>0.011317491583464</v>
      </c>
      <c r="H9" s="48">
        <f t="shared" si="1"/>
        <v>1825335.73</v>
      </c>
      <c r="I9" s="53">
        <f t="shared" si="3"/>
        <v>-0.1570989741</v>
      </c>
      <c r="J9" s="53">
        <f t="shared" si="4"/>
        <v>0.9742527361</v>
      </c>
      <c r="K9" s="55">
        <f>H9-'HIER Rechnung Thesaurierer '!J9</f>
        <v>46598.84964</v>
      </c>
      <c r="L9" s="54"/>
      <c r="M9" s="55">
        <f t="shared" si="5"/>
        <v>21065.07777</v>
      </c>
      <c r="N9" s="55">
        <f t="shared" si="6"/>
        <v>15509.16351</v>
      </c>
      <c r="O9" s="55">
        <f t="shared" si="7"/>
        <v>5555.914262</v>
      </c>
      <c r="P9" s="56">
        <f t="shared" si="18"/>
        <v>0.02475084728</v>
      </c>
      <c r="Q9" s="55">
        <f>Q8*(1+'HIER Rechnung Thesaurierer '!I9)</f>
        <v>45178.60589</v>
      </c>
      <c r="R9" s="55">
        <f t="shared" si="8"/>
        <v>45178.60589</v>
      </c>
      <c r="S9" s="16"/>
      <c r="T9" s="57">
        <f t="shared" si="9"/>
        <v>18209.07158</v>
      </c>
      <c r="U9" s="58">
        <f t="shared" si="10"/>
        <v>35949.30938</v>
      </c>
      <c r="V9" s="55">
        <f t="shared" si="11"/>
        <v>23809.92226</v>
      </c>
      <c r="W9" s="55">
        <f t="shared" si="12"/>
        <v>6279.866996</v>
      </c>
      <c r="X9" s="55">
        <f t="shared" si="13"/>
        <v>12139.38712</v>
      </c>
      <c r="Y9" s="55">
        <f t="shared" si="14"/>
        <v>29669.44238</v>
      </c>
      <c r="Z9" s="12"/>
      <c r="AA9" s="56"/>
      <c r="AB9" s="11"/>
      <c r="AC9" s="55">
        <f>AC8*(1+'HIER Rechnung Thesaurierer '!I9)</f>
        <v>0</v>
      </c>
      <c r="AD9" s="55">
        <f>IF((M9+U9)&lt;AC9,(M9+U9)*'HIER Rechnung Ausschütter'!O$1,AC9*'HIER Rechnung Ausschütter'!O$1)</f>
        <v>0</v>
      </c>
      <c r="AE9" s="12">
        <f>'HIER Rechnung Ausschütter'!AM9-AG9</f>
        <v>-19349.33646</v>
      </c>
      <c r="AF9" s="67">
        <f>AF8*(1+'HIER Rechnung Thesaurierer '!I8)</f>
        <v>0</v>
      </c>
      <c r="AG9" s="12">
        <f t="shared" si="15"/>
        <v>44875.00003</v>
      </c>
    </row>
    <row r="10" ht="12.75" customHeight="1">
      <c r="A10" s="11">
        <v>7.0</v>
      </c>
      <c r="B10" s="44">
        <f t="shared" si="16"/>
        <v>1.974252736</v>
      </c>
      <c r="C10" s="45">
        <f t="shared" si="19"/>
        <v>924570.4447</v>
      </c>
      <c r="D10" s="12">
        <f t="shared" si="17"/>
        <v>1825335.73</v>
      </c>
      <c r="E10" s="16">
        <f>'HIER Rechnung Ausschütter'!E10+'HIER Rechnung Ausschütter'!K$1</f>
        <v>-0.1782898384</v>
      </c>
      <c r="F10" s="12">
        <f t="shared" si="2"/>
        <v>1499896.918</v>
      </c>
      <c r="G10" s="108">
        <v>0.013078928321695</v>
      </c>
      <c r="H10" s="48">
        <f t="shared" si="1"/>
        <v>1460940.416</v>
      </c>
      <c r="I10" s="53">
        <f t="shared" si="3"/>
        <v>-0.1996319405</v>
      </c>
      <c r="J10" s="53">
        <f t="shared" si="4"/>
        <v>0.6222635348</v>
      </c>
      <c r="K10" s="55">
        <f>H10-'HIER Rechnung Thesaurierer '!J10</f>
        <v>35035.03098</v>
      </c>
      <c r="L10" s="54"/>
      <c r="M10" s="55">
        <f t="shared" si="5"/>
        <v>19617.04428</v>
      </c>
      <c r="N10" s="55">
        <f t="shared" si="6"/>
        <v>14443.04885</v>
      </c>
      <c r="O10" s="55">
        <f t="shared" si="7"/>
        <v>5173.995428</v>
      </c>
      <c r="P10" s="56">
        <f t="shared" si="18"/>
        <v>0.03240869953</v>
      </c>
      <c r="Q10" s="55">
        <f>Q9*(1+'HIER Rechnung Thesaurierer '!I10)</f>
        <v>47347.17897</v>
      </c>
      <c r="R10" s="55">
        <f t="shared" si="8"/>
        <v>47347.17897</v>
      </c>
      <c r="S10" s="16"/>
      <c r="T10" s="57">
        <f t="shared" si="9"/>
        <v>24013.67028</v>
      </c>
      <c r="U10" s="58">
        <f t="shared" si="10"/>
        <v>38956.50163</v>
      </c>
      <c r="V10" s="55">
        <f t="shared" si="11"/>
        <v>22947.3801</v>
      </c>
      <c r="W10" s="55">
        <f t="shared" si="12"/>
        <v>6052.371503</v>
      </c>
      <c r="X10" s="55">
        <f t="shared" si="13"/>
        <v>16009.12152</v>
      </c>
      <c r="Y10" s="55">
        <f t="shared" si="14"/>
        <v>32904.13012</v>
      </c>
      <c r="Z10" s="12"/>
      <c r="AA10" s="56"/>
      <c r="AB10" s="11"/>
      <c r="AC10" s="55">
        <f>AC9*(1+'HIER Rechnung Thesaurierer '!I10)</f>
        <v>0</v>
      </c>
      <c r="AD10" s="55">
        <f>IF((M10+U10)&lt;AC10,(M10+U10)*'HIER Rechnung Ausschütter'!O$1,AC10*'HIER Rechnung Ausschütter'!O$1)</f>
        <v>0</v>
      </c>
      <c r="AE10" s="12">
        <f>'HIER Rechnung Ausschütter'!AM10-AG10</f>
        <v>-18599.95464</v>
      </c>
      <c r="AF10" s="67">
        <f>AF9*(1+'HIER Rechnung Thesaurierer '!I9)</f>
        <v>0</v>
      </c>
      <c r="AG10" s="12">
        <f t="shared" si="15"/>
        <v>42564.42438</v>
      </c>
    </row>
    <row r="11" ht="12.75" customHeight="1">
      <c r="A11" s="11">
        <v>8.0</v>
      </c>
      <c r="B11" s="44">
        <f t="shared" si="16"/>
        <v>1.622263535</v>
      </c>
      <c r="C11" s="45">
        <f t="shared" si="19"/>
        <v>900556.7745</v>
      </c>
      <c r="D11" s="12">
        <f t="shared" si="17"/>
        <v>1460940.416</v>
      </c>
      <c r="E11" s="16">
        <f>'HIER Rechnung Ausschütter'!E11+'HIER Rechnung Ausschütter'!K$1</f>
        <v>-0.2105606687</v>
      </c>
      <c r="F11" s="12">
        <f t="shared" si="2"/>
        <v>1153323.825</v>
      </c>
      <c r="G11" s="108">
        <v>0.015147903791878</v>
      </c>
      <c r="H11" s="48">
        <f t="shared" si="1"/>
        <v>1111245.688</v>
      </c>
      <c r="I11" s="53">
        <f t="shared" si="3"/>
        <v>-0.2393627586</v>
      </c>
      <c r="J11" s="53">
        <f t="shared" si="4"/>
        <v>0.2806786401</v>
      </c>
      <c r="K11" s="55">
        <f>H11-'HIER Rechnung Thesaurierer '!J11</f>
        <v>24118.68496</v>
      </c>
      <c r="L11" s="54"/>
      <c r="M11" s="55">
        <f t="shared" si="5"/>
        <v>17470.43835</v>
      </c>
      <c r="N11" s="55">
        <f t="shared" si="6"/>
        <v>12862.61023</v>
      </c>
      <c r="O11" s="55">
        <f t="shared" si="7"/>
        <v>4607.828114</v>
      </c>
      <c r="P11" s="56">
        <f t="shared" si="18"/>
        <v>0.04465245094</v>
      </c>
      <c r="Q11" s="55">
        <f>Q10*(1+'HIER Rechnung Thesaurierer '!I11)</f>
        <v>49619.84357</v>
      </c>
      <c r="R11" s="55">
        <f t="shared" si="8"/>
        <v>49619.84357</v>
      </c>
      <c r="S11" s="16"/>
      <c r="T11" s="57">
        <f t="shared" si="9"/>
        <v>32856.12477</v>
      </c>
      <c r="U11" s="58">
        <f t="shared" si="10"/>
        <v>42078.13719</v>
      </c>
      <c r="V11" s="55">
        <f t="shared" si="11"/>
        <v>20174.04306</v>
      </c>
      <c r="W11" s="55">
        <f t="shared" si="12"/>
        <v>5320.903857</v>
      </c>
      <c r="X11" s="55">
        <f t="shared" si="13"/>
        <v>21904.09413</v>
      </c>
      <c r="Y11" s="55">
        <f t="shared" si="14"/>
        <v>36757.23333</v>
      </c>
      <c r="Z11" s="12"/>
      <c r="AA11" s="56"/>
      <c r="AB11" s="11"/>
      <c r="AC11" s="55">
        <f>AC10*(1+'HIER Rechnung Thesaurierer '!I11)</f>
        <v>0</v>
      </c>
      <c r="AD11" s="55">
        <f>IF((M11+U11)&lt;AC11,(M11+U11)*'HIER Rechnung Ausschütter'!O$1,AC11*'HIER Rechnung Ausschütter'!O$1)</f>
        <v>0</v>
      </c>
      <c r="AE11" s="12">
        <f>'HIER Rechnung Ausschütter'!AM11-AG11</f>
        <v>-16913.30435</v>
      </c>
      <c r="AF11" s="67">
        <f>AF10*(1+'HIER Rechnung Thesaurierer '!I10)</f>
        <v>0</v>
      </c>
      <c r="AG11" s="12">
        <f t="shared" si="15"/>
        <v>37644.4814</v>
      </c>
    </row>
    <row r="12" ht="12.75" customHeight="1">
      <c r="A12" s="11">
        <v>9.0</v>
      </c>
      <c r="B12" s="44">
        <f t="shared" si="16"/>
        <v>1.28067864</v>
      </c>
      <c r="C12" s="45">
        <f t="shared" si="19"/>
        <v>867700.6497</v>
      </c>
      <c r="D12" s="12">
        <f t="shared" si="17"/>
        <v>1111245.688</v>
      </c>
      <c r="E12" s="16">
        <f>'HIER Rechnung Ausschütter'!E12+'HIER Rechnung Ausschütter'!K$1</f>
        <v>0.3081272129</v>
      </c>
      <c r="F12" s="12">
        <f t="shared" si="2"/>
        <v>1453650.725</v>
      </c>
      <c r="G12" s="108">
        <v>0.029489449983969</v>
      </c>
      <c r="H12" s="48">
        <f t="shared" si="1"/>
        <v>1429764.614</v>
      </c>
      <c r="I12" s="53">
        <f t="shared" si="3"/>
        <v>0.2866323164</v>
      </c>
      <c r="J12" s="53">
        <f t="shared" si="4"/>
        <v>0.6752905802</v>
      </c>
      <c r="K12" s="55">
        <f>H12-'HIER Rechnung Thesaurierer '!J12</f>
        <v>52750.85836</v>
      </c>
      <c r="L12" s="54"/>
      <c r="M12" s="55">
        <f t="shared" si="5"/>
        <v>42867.36034</v>
      </c>
      <c r="N12" s="55">
        <f t="shared" si="6"/>
        <v>31561.09405</v>
      </c>
      <c r="O12" s="55">
        <f t="shared" si="7"/>
        <v>11306.26629</v>
      </c>
      <c r="P12" s="56">
        <f t="shared" si="18"/>
        <v>0.03612780499</v>
      </c>
      <c r="Q12" s="55">
        <f>Q11*(1+'HIER Rechnung Thesaurierer '!I12)</f>
        <v>51654.25715</v>
      </c>
      <c r="R12" s="55">
        <f t="shared" si="8"/>
        <v>51654.25715</v>
      </c>
      <c r="S12" s="16"/>
      <c r="T12" s="57">
        <f t="shared" si="9"/>
        <v>14257.89135</v>
      </c>
      <c r="U12" s="58">
        <f t="shared" si="10"/>
        <v>23886.11108</v>
      </c>
      <c r="V12" s="55">
        <f t="shared" si="11"/>
        <v>14380.84542</v>
      </c>
      <c r="W12" s="55">
        <f t="shared" si="12"/>
        <v>3792.94798</v>
      </c>
      <c r="X12" s="55">
        <f t="shared" si="13"/>
        <v>9505.265655</v>
      </c>
      <c r="Y12" s="55">
        <f t="shared" si="14"/>
        <v>20093.1631</v>
      </c>
      <c r="Z12" s="12"/>
      <c r="AA12" s="56"/>
      <c r="AB12" s="11"/>
      <c r="AC12" s="55">
        <f>AC11*(1+'HIER Rechnung Thesaurierer '!I12)</f>
        <v>0</v>
      </c>
      <c r="AD12" s="55">
        <f>IF((M12+U12)&lt;AC12,(M12+U12)*'HIER Rechnung Ausschütter'!O$1,AC12*'HIER Rechnung Ausschütter'!O$1)</f>
        <v>0</v>
      </c>
      <c r="AE12" s="12">
        <f>'HIER Rechnung Ausschütter'!AM12-AG12</f>
        <v>-23576.06633</v>
      </c>
      <c r="AF12" s="67">
        <f>AF11*(1+'HIER Rechnung Thesaurierer '!I11)</f>
        <v>0</v>
      </c>
      <c r="AG12" s="12">
        <f t="shared" si="15"/>
        <v>57248.20577</v>
      </c>
    </row>
    <row r="13" ht="12.75" customHeight="1">
      <c r="A13" s="11">
        <v>10.0</v>
      </c>
      <c r="B13" s="44">
        <f t="shared" si="16"/>
        <v>1.67529058</v>
      </c>
      <c r="C13" s="45">
        <f t="shared" si="19"/>
        <v>853442.7583</v>
      </c>
      <c r="D13" s="12">
        <f t="shared" si="17"/>
        <v>1429764.614</v>
      </c>
      <c r="E13" s="16">
        <f>'HIER Rechnung Ausschütter'!E13+'HIER Rechnung Ausschütter'!K$1</f>
        <v>0.1283611787</v>
      </c>
      <c r="F13" s="12">
        <f t="shared" si="2"/>
        <v>1613290.885</v>
      </c>
      <c r="G13" s="108">
        <v>0.024104943239148</v>
      </c>
      <c r="H13" s="48">
        <f t="shared" si="1"/>
        <v>1583036.549</v>
      </c>
      <c r="I13" s="53">
        <f t="shared" si="3"/>
        <v>0.1072008175</v>
      </c>
      <c r="J13" s="53">
        <f t="shared" si="4"/>
        <v>0.8903328537</v>
      </c>
      <c r="K13" s="55">
        <f>H13-'HIER Rechnung Thesaurierer '!J13</f>
        <v>65240.76251</v>
      </c>
      <c r="L13" s="54"/>
      <c r="M13" s="55">
        <f t="shared" si="5"/>
        <v>38888.28521</v>
      </c>
      <c r="N13" s="55">
        <f t="shared" si="6"/>
        <v>28631.49998</v>
      </c>
      <c r="O13" s="55">
        <f t="shared" si="7"/>
        <v>10256.78522</v>
      </c>
      <c r="P13" s="56">
        <f t="shared" si="18"/>
        <v>0.03393505189</v>
      </c>
      <c r="Q13" s="55">
        <f>Q12*(1+'HIER Rechnung Thesaurierer '!I13)</f>
        <v>53720.42744</v>
      </c>
      <c r="R13" s="55">
        <f t="shared" si="8"/>
        <v>53720.42744</v>
      </c>
      <c r="S13" s="16"/>
      <c r="T13" s="57">
        <f t="shared" si="9"/>
        <v>16004.76636</v>
      </c>
      <c r="U13" s="58">
        <f t="shared" si="10"/>
        <v>30254.33566</v>
      </c>
      <c r="V13" s="55">
        <f t="shared" si="11"/>
        <v>19584.48609</v>
      </c>
      <c r="W13" s="55">
        <f t="shared" si="12"/>
        <v>5165.408205</v>
      </c>
      <c r="X13" s="55">
        <f t="shared" si="13"/>
        <v>10669.84957</v>
      </c>
      <c r="Y13" s="55">
        <f t="shared" si="14"/>
        <v>25088.92745</v>
      </c>
      <c r="Z13" s="12"/>
      <c r="AA13" s="56"/>
      <c r="AB13" s="11"/>
      <c r="AC13" s="55">
        <f>AC12*(1+'HIER Rechnung Thesaurierer '!I13)</f>
        <v>0</v>
      </c>
      <c r="AD13" s="55">
        <f>IF((M13+U13)&lt;AC13,(M13+U13)*'HIER Rechnung Ausschütter'!O$1,AC13*'HIER Rechnung Ausschütter'!O$1)</f>
        <v>0</v>
      </c>
      <c r="AE13" s="12">
        <f>'HIER Rechnung Ausschütter'!AM13-AG13</f>
        <v>-18891.42542</v>
      </c>
      <c r="AF13" s="67">
        <f>AF12*(1+'HIER Rechnung Thesaurierer '!I12)</f>
        <v>0</v>
      </c>
      <c r="AG13" s="12">
        <f t="shared" si="15"/>
        <v>58472.77129</v>
      </c>
    </row>
    <row r="14" ht="12.75" customHeight="1">
      <c r="A14" s="11">
        <v>11.0</v>
      </c>
      <c r="B14" s="44">
        <f t="shared" si="16"/>
        <v>1.890332854</v>
      </c>
      <c r="C14" s="45">
        <f t="shared" si="19"/>
        <v>837437.992</v>
      </c>
      <c r="D14" s="12">
        <f t="shared" si="17"/>
        <v>1583036.549</v>
      </c>
      <c r="E14" s="16">
        <f>'HIER Rechnung Ausschütter'!E14+'HIER Rechnung Ausschütter'!K$1</f>
        <v>0.07562721225</v>
      </c>
      <c r="F14" s="12">
        <f t="shared" si="2"/>
        <v>1702757.19</v>
      </c>
      <c r="G14" s="108">
        <v>0.024604972779632</v>
      </c>
      <c r="H14" s="48">
        <f t="shared" si="1"/>
        <v>1672734.144</v>
      </c>
      <c r="I14" s="53">
        <f t="shared" si="3"/>
        <v>0.05666173334</v>
      </c>
      <c r="J14" s="53">
        <f t="shared" si="4"/>
        <v>1.033293458</v>
      </c>
      <c r="K14" s="55">
        <f>H14-'HIER Rechnung Thesaurierer '!J14</f>
        <v>75590.75756</v>
      </c>
      <c r="L14" s="54"/>
      <c r="M14" s="55">
        <f t="shared" si="5"/>
        <v>41896.29432</v>
      </c>
      <c r="N14" s="55">
        <f t="shared" si="6"/>
        <v>30846.14669</v>
      </c>
      <c r="O14" s="55">
        <f t="shared" si="7"/>
        <v>11050.14763</v>
      </c>
      <c r="P14" s="56">
        <f t="shared" si="18"/>
        <v>0.03320726259</v>
      </c>
      <c r="Q14" s="55">
        <f>Q13*(1+'HIER Rechnung Thesaurierer '!I14)</f>
        <v>55546.92197</v>
      </c>
      <c r="R14" s="55">
        <f t="shared" si="8"/>
        <v>55546.92197</v>
      </c>
      <c r="S14" s="16"/>
      <c r="T14" s="57">
        <f t="shared" si="9"/>
        <v>14765.72217</v>
      </c>
      <c r="U14" s="58">
        <f t="shared" si="10"/>
        <v>30023.04629</v>
      </c>
      <c r="V14" s="55">
        <f t="shared" si="11"/>
        <v>20179.22659</v>
      </c>
      <c r="W14" s="55">
        <f t="shared" si="12"/>
        <v>5322.271012</v>
      </c>
      <c r="X14" s="55">
        <f t="shared" si="13"/>
        <v>9843.819703</v>
      </c>
      <c r="Y14" s="55">
        <f t="shared" si="14"/>
        <v>24700.77528</v>
      </c>
      <c r="Z14" s="12"/>
      <c r="AA14" s="56"/>
      <c r="AB14" s="11"/>
      <c r="AC14" s="55">
        <f>AC13*(1+'HIER Rechnung Thesaurierer '!I14)</f>
        <v>0</v>
      </c>
      <c r="AD14" s="55">
        <f>IF((M14+U14)&lt;AC14,(M14+U14)*'HIER Rechnung Ausschütter'!O$1,AC14*'HIER Rechnung Ausschütter'!O$1)</f>
        <v>0</v>
      </c>
      <c r="AE14" s="12">
        <f>'HIER Rechnung Ausschütter'!AM14-AG14</f>
        <v>-24172.49994</v>
      </c>
      <c r="AF14" s="67">
        <f>AF13*(1+'HIER Rechnung Thesaurierer '!I13)</f>
        <v>0</v>
      </c>
      <c r="AG14" s="12">
        <f t="shared" si="15"/>
        <v>62075.52091</v>
      </c>
    </row>
    <row r="15" ht="12.75" customHeight="1">
      <c r="A15" s="11">
        <v>12.0</v>
      </c>
      <c r="B15" s="44">
        <f t="shared" si="16"/>
        <v>2.033293458</v>
      </c>
      <c r="C15" s="45">
        <f t="shared" si="19"/>
        <v>822672.2698</v>
      </c>
      <c r="D15" s="12">
        <f t="shared" si="17"/>
        <v>1672734.144</v>
      </c>
      <c r="E15" s="16">
        <f>'HIER Rechnung Ausschütter'!E15+'HIER Rechnung Ausschütter'!K$1</f>
        <v>0.1795257498</v>
      </c>
      <c r="F15" s="12">
        <f t="shared" si="2"/>
        <v>1973032.996</v>
      </c>
      <c r="G15" s="108">
        <v>0.026996491401001</v>
      </c>
      <c r="H15" s="48">
        <f t="shared" si="1"/>
        <v>1950253.641</v>
      </c>
      <c r="I15" s="53">
        <f t="shared" si="3"/>
        <v>0.1659077136</v>
      </c>
      <c r="J15" s="53">
        <f t="shared" si="4"/>
        <v>1.39832199</v>
      </c>
      <c r="K15" s="55">
        <f>H15-'HIER Rechnung Thesaurierer '!J15</f>
        <v>97257.83893</v>
      </c>
      <c r="L15" s="54"/>
      <c r="M15" s="55">
        <f t="shared" si="5"/>
        <v>53264.9683</v>
      </c>
      <c r="N15" s="55">
        <f t="shared" si="6"/>
        <v>39216.33291</v>
      </c>
      <c r="O15" s="55">
        <f t="shared" si="7"/>
        <v>14048.63539</v>
      </c>
      <c r="P15" s="56">
        <f t="shared" si="18"/>
        <v>0.02956420836</v>
      </c>
      <c r="Q15" s="55">
        <f>Q14*(1+'HIER Rechnung Thesaurierer '!I15)</f>
        <v>57657.70501</v>
      </c>
      <c r="R15" s="55">
        <f t="shared" si="8"/>
        <v>57657.70501</v>
      </c>
      <c r="S15" s="16"/>
      <c r="T15" s="57">
        <f t="shared" si="9"/>
        <v>9498.038329</v>
      </c>
      <c r="U15" s="58">
        <f t="shared" si="10"/>
        <v>22779.35419</v>
      </c>
      <c r="V15" s="55">
        <f t="shared" si="11"/>
        <v>16447.32547</v>
      </c>
      <c r="W15" s="55">
        <f t="shared" si="12"/>
        <v>4337.982093</v>
      </c>
      <c r="X15" s="55">
        <f t="shared" si="13"/>
        <v>6332.028719</v>
      </c>
      <c r="Y15" s="55">
        <f t="shared" si="14"/>
        <v>18441.3721</v>
      </c>
      <c r="Z15" s="12"/>
      <c r="AA15" s="56"/>
      <c r="AB15" s="11"/>
      <c r="AC15" s="55">
        <f>AC14*(1+'HIER Rechnung Thesaurierer '!I15)</f>
        <v>0</v>
      </c>
      <c r="AD15" s="55">
        <f>IF((M15+U15)&lt;AC15,(M15+U15)*'HIER Rechnung Ausschütter'!O$1,AC15*'HIER Rechnung Ausschütter'!O$1)</f>
        <v>0</v>
      </c>
      <c r="AE15" s="12">
        <f>'HIER Rechnung Ausschütter'!AM15-AG15</f>
        <v>-28275.07466</v>
      </c>
      <c r="AF15" s="67">
        <f>AF14*(1+'HIER Rechnung Thesaurierer '!I14)</f>
        <v>0</v>
      </c>
      <c r="AG15" s="12">
        <f t="shared" si="15"/>
        <v>69712.29377</v>
      </c>
    </row>
    <row r="16" ht="12.75" customHeight="1">
      <c r="A16" s="11">
        <v>13.0</v>
      </c>
      <c r="B16" s="44">
        <f t="shared" si="16"/>
        <v>2.39832199</v>
      </c>
      <c r="C16" s="45">
        <f t="shared" si="19"/>
        <v>813174.2315</v>
      </c>
      <c r="D16" s="12">
        <f t="shared" si="17"/>
        <v>1950253.641</v>
      </c>
      <c r="E16" s="16">
        <f>'HIER Rechnung Ausschütter'!E16+'HIER Rechnung Ausschütter'!K$1</f>
        <v>0.07092650336</v>
      </c>
      <c r="F16" s="12">
        <f t="shared" si="2"/>
        <v>2088578.313</v>
      </c>
      <c r="G16" s="108">
        <v>0.0247332578125608</v>
      </c>
      <c r="H16" s="48">
        <f t="shared" si="1"/>
        <v>2061181.339</v>
      </c>
      <c r="I16" s="53">
        <f t="shared" si="3"/>
        <v>0.05687860028</v>
      </c>
      <c r="J16" s="53">
        <f t="shared" si="4"/>
        <v>1.568426583</v>
      </c>
      <c r="K16" s="55">
        <f>H16-'HIER Rechnung Thesaurierer '!J16</f>
        <v>114582.9071</v>
      </c>
      <c r="L16" s="54"/>
      <c r="M16" s="55">
        <f t="shared" si="5"/>
        <v>51657.34587</v>
      </c>
      <c r="N16" s="55">
        <f t="shared" si="6"/>
        <v>38032.7209</v>
      </c>
      <c r="O16" s="55">
        <f t="shared" si="7"/>
        <v>13624.62497</v>
      </c>
      <c r="P16" s="56">
        <f t="shared" si="18"/>
        <v>0.02914800726</v>
      </c>
      <c r="Q16" s="55">
        <f>Q15*(1+'HIER Rechnung Thesaurierer '!I16)</f>
        <v>60079.32862</v>
      </c>
      <c r="R16" s="55">
        <f t="shared" si="8"/>
        <v>60079.32862</v>
      </c>
      <c r="S16" s="16"/>
      <c r="T16" s="57">
        <f t="shared" si="9"/>
        <v>10666.83171</v>
      </c>
      <c r="U16" s="58">
        <f t="shared" si="10"/>
        <v>27396.97413</v>
      </c>
      <c r="V16" s="55">
        <f t="shared" si="11"/>
        <v>20285.74943</v>
      </c>
      <c r="W16" s="55">
        <f t="shared" si="12"/>
        <v>5350.366413</v>
      </c>
      <c r="X16" s="55">
        <f t="shared" si="13"/>
        <v>7111.224698</v>
      </c>
      <c r="Y16" s="55">
        <f t="shared" si="14"/>
        <v>22046.60772</v>
      </c>
      <c r="Z16" s="12"/>
      <c r="AA16" s="56"/>
      <c r="AB16" s="11"/>
      <c r="AC16" s="55">
        <f>AC15*(1+'HIER Rechnung Thesaurierer '!I16)</f>
        <v>0</v>
      </c>
      <c r="AD16" s="55">
        <f>IF((M16+U16)&lt;AC16,(M16+U16)*'HIER Rechnung Ausschütter'!O$1,AC16*'HIER Rechnung Ausschütter'!O$1)</f>
        <v>0</v>
      </c>
      <c r="AE16" s="12">
        <f>'HIER Rechnung Ausschütter'!AM16-AG16</f>
        <v>-18858.08359</v>
      </c>
      <c r="AF16" s="67">
        <f>AF15*(1+'HIER Rechnung Thesaurierer '!I15)</f>
        <v>0</v>
      </c>
      <c r="AG16" s="12">
        <f t="shared" si="15"/>
        <v>71943.0953</v>
      </c>
    </row>
    <row r="17" ht="12.75" customHeight="1">
      <c r="A17" s="11">
        <v>14.0</v>
      </c>
      <c r="B17" s="44">
        <f t="shared" si="16"/>
        <v>2.568426583</v>
      </c>
      <c r="C17" s="45">
        <f t="shared" si="19"/>
        <v>802507.3998</v>
      </c>
      <c r="D17" s="12">
        <f t="shared" si="17"/>
        <v>2061181.339</v>
      </c>
      <c r="E17" s="16">
        <f>'HIER Rechnung Ausschütter'!E17+'HIER Rechnung Ausschütter'!K$1</f>
        <v>-0.4208054743</v>
      </c>
      <c r="F17" s="12">
        <f t="shared" si="2"/>
        <v>1193824.948</v>
      </c>
      <c r="G17" s="108">
        <v>0.01746580814165</v>
      </c>
      <c r="H17" s="48">
        <f t="shared" si="1"/>
        <v>1138665.51</v>
      </c>
      <c r="I17" s="53">
        <f t="shared" si="3"/>
        <v>-0.4475665538</v>
      </c>
      <c r="J17" s="53">
        <f t="shared" si="4"/>
        <v>0.4876186165</v>
      </c>
      <c r="K17" s="55">
        <f>H17-'HIER Rechnung Thesaurierer '!J17</f>
        <v>61049.72891</v>
      </c>
      <c r="L17" s="54"/>
      <c r="M17" s="55">
        <f t="shared" si="5"/>
        <v>20851.11749</v>
      </c>
      <c r="N17" s="55">
        <f t="shared" si="6"/>
        <v>15351.63525</v>
      </c>
      <c r="O17" s="55">
        <f t="shared" si="7"/>
        <v>5499.482239</v>
      </c>
      <c r="P17" s="56">
        <f t="shared" si="18"/>
        <v>0.0548734472</v>
      </c>
      <c r="Q17" s="55">
        <f>Q16*(1+'HIER Rechnung Thesaurierer '!I17)</f>
        <v>62482.50176</v>
      </c>
      <c r="R17" s="55">
        <f t="shared" si="8"/>
        <v>62482.50176</v>
      </c>
      <c r="S17" s="16"/>
      <c r="T17" s="57">
        <f t="shared" si="9"/>
        <v>37079.01807</v>
      </c>
      <c r="U17" s="58">
        <f t="shared" si="10"/>
        <v>55159.43756</v>
      </c>
      <c r="V17" s="55">
        <f t="shared" si="11"/>
        <v>30440.07982</v>
      </c>
      <c r="W17" s="55">
        <f t="shared" si="12"/>
        <v>8028.571053</v>
      </c>
      <c r="X17" s="55">
        <f t="shared" si="13"/>
        <v>24719.35774</v>
      </c>
      <c r="Y17" s="55">
        <f t="shared" si="14"/>
        <v>47130.86651</v>
      </c>
      <c r="Z17" s="12"/>
      <c r="AA17" s="56"/>
      <c r="AB17" s="11"/>
      <c r="AC17" s="55">
        <f>AC16*(1+'HIER Rechnung Thesaurierer '!I17)</f>
        <v>0</v>
      </c>
      <c r="AD17" s="55">
        <f>IF((M17+U17)&lt;AC17,(M17+U17)*'HIER Rechnung Ausschütter'!O$1,AC17*'HIER Rechnung Ausschütter'!O$1)</f>
        <v>0</v>
      </c>
      <c r="AE17" s="12">
        <f>'HIER Rechnung Ausschütter'!AM17-AG17</f>
        <v>-23470.89831</v>
      </c>
      <c r="AF17" s="67">
        <f>AF16*(1+'HIER Rechnung Thesaurierer '!I16)</f>
        <v>0</v>
      </c>
      <c r="AG17" s="12">
        <f t="shared" si="15"/>
        <v>51291.19731</v>
      </c>
    </row>
    <row r="18" ht="12.75" customHeight="1">
      <c r="A18" s="11">
        <v>15.0</v>
      </c>
      <c r="B18" s="44">
        <f t="shared" si="16"/>
        <v>1.487618617</v>
      </c>
      <c r="C18" s="45">
        <f t="shared" si="19"/>
        <v>765428.3817</v>
      </c>
      <c r="D18" s="12">
        <f t="shared" si="17"/>
        <v>1138665.51</v>
      </c>
      <c r="E18" s="16">
        <f>'HIER Rechnung Ausschütter'!E18+'HIER Rechnung Ausschütter'!K$1</f>
        <v>0.2697619932</v>
      </c>
      <c r="F18" s="12">
        <f t="shared" si="2"/>
        <v>1445834.188</v>
      </c>
      <c r="G18" s="108">
        <v>0.038163629990325</v>
      </c>
      <c r="H18" s="48">
        <f t="shared" si="1"/>
        <v>1417067.906</v>
      </c>
      <c r="I18" s="53">
        <f t="shared" si="3"/>
        <v>0.2444988395</v>
      </c>
      <c r="J18" s="53">
        <f t="shared" si="4"/>
        <v>0.8889215797</v>
      </c>
      <c r="K18" s="55">
        <f>H18-'HIER Rechnung Thesaurierer '!J18</f>
        <v>80217.31139</v>
      </c>
      <c r="L18" s="54"/>
      <c r="M18" s="55">
        <f t="shared" si="5"/>
        <v>55178.28098</v>
      </c>
      <c r="N18" s="55">
        <f t="shared" si="6"/>
        <v>40625.00937</v>
      </c>
      <c r="O18" s="55">
        <f t="shared" si="7"/>
        <v>14553.27161</v>
      </c>
      <c r="P18" s="56">
        <f t="shared" si="18"/>
        <v>0.04550377688</v>
      </c>
      <c r="Q18" s="55">
        <f>Q17*(1+'HIER Rechnung Thesaurierer '!I18)</f>
        <v>64481.94182</v>
      </c>
      <c r="R18" s="55">
        <f t="shared" si="8"/>
        <v>64481.94182</v>
      </c>
      <c r="S18" s="16"/>
      <c r="T18" s="57">
        <f t="shared" si="9"/>
        <v>15228.94449</v>
      </c>
      <c r="U18" s="58">
        <f t="shared" si="10"/>
        <v>28766.28188</v>
      </c>
      <c r="V18" s="55">
        <f t="shared" si="11"/>
        <v>18613.64715</v>
      </c>
      <c r="W18" s="55">
        <f t="shared" si="12"/>
        <v>4909.349435</v>
      </c>
      <c r="X18" s="55">
        <f t="shared" si="13"/>
        <v>10152.63474</v>
      </c>
      <c r="Y18" s="55">
        <f t="shared" si="14"/>
        <v>23856.93245</v>
      </c>
      <c r="Z18" s="12"/>
      <c r="AA18" s="56"/>
      <c r="AB18" s="11"/>
      <c r="AC18" s="55">
        <f>AC17*(1+'HIER Rechnung Thesaurierer '!I18)</f>
        <v>0</v>
      </c>
      <c r="AD18" s="55">
        <f>IF((M18+U18)&lt;AC18,(M18+U18)*'HIER Rechnung Ausschütter'!O$1,AC18*'HIER Rechnung Ausschütter'!O$1)</f>
        <v>0</v>
      </c>
      <c r="AE18" s="12">
        <f>'HIER Rechnung Ausschütter'!AM18-AG18</f>
        <v>-30586.68983</v>
      </c>
      <c r="AF18" s="67">
        <f>AF17*(1+'HIER Rechnung Thesaurierer '!I17)</f>
        <v>0</v>
      </c>
      <c r="AG18" s="12">
        <f t="shared" si="15"/>
        <v>73791.92812</v>
      </c>
    </row>
    <row r="19" ht="12.75" customHeight="1">
      <c r="A19" s="11">
        <v>16.0</v>
      </c>
      <c r="B19" s="44">
        <f t="shared" si="16"/>
        <v>1.88892158</v>
      </c>
      <c r="C19" s="45">
        <f t="shared" si="19"/>
        <v>750199.4372</v>
      </c>
      <c r="D19" s="12">
        <f t="shared" si="17"/>
        <v>1417067.906</v>
      </c>
      <c r="E19" s="16">
        <f>'HIER Rechnung Ausschütter'!E19+'HIER Rechnung Ausschütter'!K$1</f>
        <v>0.09551224338</v>
      </c>
      <c r="F19" s="12">
        <f t="shared" si="2"/>
        <v>1552415.241</v>
      </c>
      <c r="G19" s="108">
        <v>0.0278717307318016</v>
      </c>
      <c r="H19" s="48">
        <f t="shared" si="1"/>
        <v>1510567.157</v>
      </c>
      <c r="I19" s="53">
        <f t="shared" si="3"/>
        <v>0.06598078363</v>
      </c>
      <c r="J19" s="53">
        <f t="shared" si="4"/>
        <v>1.069336717</v>
      </c>
      <c r="K19" s="55">
        <f>H19-'HIER Rechnung Thesaurierer '!J19</f>
        <v>89957.88152</v>
      </c>
      <c r="L19" s="54"/>
      <c r="M19" s="55">
        <f t="shared" si="5"/>
        <v>43268.49957</v>
      </c>
      <c r="N19" s="55">
        <f t="shared" si="6"/>
        <v>31856.43281</v>
      </c>
      <c r="O19" s="55">
        <f t="shared" si="7"/>
        <v>11412.06676</v>
      </c>
      <c r="P19" s="56">
        <f t="shared" si="18"/>
        <v>0.04383979484</v>
      </c>
      <c r="Q19" s="55">
        <f>Q18*(1+'HIER Rechnung Thesaurierer '!I19)</f>
        <v>66222.95425</v>
      </c>
      <c r="R19" s="55">
        <f t="shared" si="8"/>
        <v>66222.95425</v>
      </c>
      <c r="S19" s="16"/>
      <c r="T19" s="57">
        <f t="shared" si="9"/>
        <v>20222.94559</v>
      </c>
      <c r="U19" s="58">
        <f t="shared" si="10"/>
        <v>41848.08383</v>
      </c>
      <c r="V19" s="55">
        <f t="shared" si="11"/>
        <v>28366.11337</v>
      </c>
      <c r="W19" s="55">
        <f t="shared" si="12"/>
        <v>7481.562401</v>
      </c>
      <c r="X19" s="55">
        <f t="shared" si="13"/>
        <v>13481.97047</v>
      </c>
      <c r="Y19" s="55">
        <f t="shared" si="14"/>
        <v>34366.52143</v>
      </c>
      <c r="Z19" s="12"/>
      <c r="AA19" s="56"/>
      <c r="AB19" s="11"/>
      <c r="AC19" s="55">
        <f>AC18*(1+'HIER Rechnung Thesaurierer '!I19)</f>
        <v>0</v>
      </c>
      <c r="AD19" s="55">
        <f>IF((M19+U19)&lt;AC19,(M19+U19)*'HIER Rechnung Ausschütter'!O$1,AC19*'HIER Rechnung Ausschütter'!O$1)</f>
        <v>0</v>
      </c>
      <c r="AE19" s="12">
        <f>'HIER Rechnung Ausschütter'!AM19-AG19</f>
        <v>-30350.99781</v>
      </c>
      <c r="AF19" s="67">
        <f>AF18*(1+'HIER Rechnung Thesaurierer '!I18)</f>
        <v>0</v>
      </c>
      <c r="AG19" s="12">
        <f t="shared" si="15"/>
        <v>71634.61294</v>
      </c>
    </row>
    <row r="20" ht="12.75" customHeight="1">
      <c r="A20" s="11">
        <v>17.0</v>
      </c>
      <c r="B20" s="44">
        <f t="shared" si="16"/>
        <v>2.069336717</v>
      </c>
      <c r="C20" s="45">
        <f t="shared" si="19"/>
        <v>729976.4916</v>
      </c>
      <c r="D20" s="12">
        <f t="shared" si="17"/>
        <v>1510567.157</v>
      </c>
      <c r="E20" s="16">
        <f>'HIER Rechnung Ausschütter'!E20+'HIER Rechnung Ausschütter'!K$1</f>
        <v>-0.07614890112</v>
      </c>
      <c r="F20" s="12">
        <f t="shared" si="2"/>
        <v>1395539.128</v>
      </c>
      <c r="G20" s="108">
        <v>0.025983693058383</v>
      </c>
      <c r="H20" s="48">
        <f t="shared" si="1"/>
        <v>1345736.944</v>
      </c>
      <c r="I20" s="53">
        <f t="shared" si="3"/>
        <v>-0.1091180969</v>
      </c>
      <c r="J20" s="53">
        <f t="shared" si="4"/>
        <v>0.9117590003</v>
      </c>
      <c r="K20" s="55">
        <f>H20-'HIER Rechnung Thesaurierer '!J20</f>
        <v>78944.53657</v>
      </c>
      <c r="L20" s="54"/>
      <c r="M20" s="55">
        <f t="shared" si="5"/>
        <v>36261.26035</v>
      </c>
      <c r="N20" s="55">
        <f t="shared" si="6"/>
        <v>26697.35293</v>
      </c>
      <c r="O20" s="55">
        <f t="shared" si="7"/>
        <v>9563.907417</v>
      </c>
      <c r="P20" s="56">
        <f t="shared" si="18"/>
        <v>0.05048888</v>
      </c>
      <c r="Q20" s="55">
        <f>Q19*(1+'HIER Rechnung Thesaurierer '!I20)</f>
        <v>67944.75106</v>
      </c>
      <c r="R20" s="55">
        <f t="shared" si="8"/>
        <v>67944.75106</v>
      </c>
      <c r="S20" s="16"/>
      <c r="T20" s="57">
        <f t="shared" si="9"/>
        <v>26050.45107</v>
      </c>
      <c r="U20" s="58">
        <f t="shared" si="10"/>
        <v>49802.18429</v>
      </c>
      <c r="V20" s="55">
        <f t="shared" si="11"/>
        <v>32435.20823</v>
      </c>
      <c r="W20" s="55">
        <f t="shared" si="12"/>
        <v>8554.786171</v>
      </c>
      <c r="X20" s="55">
        <f t="shared" si="13"/>
        <v>17366.97606</v>
      </c>
      <c r="Y20" s="55">
        <f t="shared" si="14"/>
        <v>41247.39812</v>
      </c>
      <c r="Z20" s="12"/>
      <c r="AA20" s="56"/>
      <c r="AB20" s="11"/>
      <c r="AC20" s="55">
        <f>AC19*(1+'HIER Rechnung Thesaurierer '!I20)</f>
        <v>0</v>
      </c>
      <c r="AD20" s="55">
        <f>IF((M20+U20)&lt;AC20,(M20+U20)*'HIER Rechnung Ausschütter'!O$1,AC20*'HIER Rechnung Ausschütter'!O$1)</f>
        <v>0</v>
      </c>
      <c r="AE20" s="12">
        <f>'HIER Rechnung Ausschütter'!AM20-AG20</f>
        <v>-29545.68923</v>
      </c>
      <c r="AF20" s="67">
        <f>AF19*(1+'HIER Rechnung Thesaurierer '!I19)</f>
        <v>0</v>
      </c>
      <c r="AG20" s="12">
        <f t="shared" si="15"/>
        <v>68696.46858</v>
      </c>
    </row>
    <row r="21" ht="12.75" customHeight="1">
      <c r="A21" s="11">
        <v>18.0</v>
      </c>
      <c r="B21" s="44">
        <f t="shared" si="16"/>
        <v>1.911759</v>
      </c>
      <c r="C21" s="45">
        <f t="shared" si="19"/>
        <v>703926.0406</v>
      </c>
      <c r="D21" s="12">
        <f t="shared" si="17"/>
        <v>1345736.944</v>
      </c>
      <c r="E21" s="16">
        <f>'HIER Rechnung Ausschütter'!E21+'HIER Rechnung Ausschütter'!K$1</f>
        <v>0.1318329606</v>
      </c>
      <c r="F21" s="12">
        <f t="shared" si="2"/>
        <v>1523149.429</v>
      </c>
      <c r="G21" s="108">
        <v>0.033539420248014</v>
      </c>
      <c r="H21" s="48">
        <f t="shared" si="1"/>
        <v>1484798.679</v>
      </c>
      <c r="I21" s="53">
        <f t="shared" si="3"/>
        <v>0.1033350063</v>
      </c>
      <c r="J21" s="53">
        <f t="shared" si="4"/>
        <v>1.163791849</v>
      </c>
      <c r="K21" s="55">
        <f>H21-'HIER Rechnung Thesaurierer '!J21</f>
        <v>89759.43821</v>
      </c>
      <c r="L21" s="54"/>
      <c r="M21" s="55">
        <f t="shared" si="5"/>
        <v>51085.5488</v>
      </c>
      <c r="N21" s="55">
        <f t="shared" si="6"/>
        <v>37611.7353</v>
      </c>
      <c r="O21" s="55">
        <f t="shared" si="7"/>
        <v>13473.8135</v>
      </c>
      <c r="P21" s="56">
        <f t="shared" si="18"/>
        <v>0.04644664849</v>
      </c>
      <c r="Q21" s="55">
        <f>Q20*(1+'HIER Rechnung Thesaurierer '!I21)</f>
        <v>68963.92232</v>
      </c>
      <c r="R21" s="55">
        <f t="shared" si="8"/>
        <v>68963.92232</v>
      </c>
      <c r="S21" s="16"/>
      <c r="T21" s="57">
        <f t="shared" si="9"/>
        <v>17723.8628</v>
      </c>
      <c r="U21" s="58">
        <f t="shared" si="10"/>
        <v>38350.74986</v>
      </c>
      <c r="V21" s="55">
        <f t="shared" si="11"/>
        <v>26534.83542</v>
      </c>
      <c r="W21" s="55">
        <f t="shared" si="12"/>
        <v>6998.562842</v>
      </c>
      <c r="X21" s="55">
        <f t="shared" si="13"/>
        <v>11815.91444</v>
      </c>
      <c r="Y21" s="55">
        <f t="shared" si="14"/>
        <v>31352.18702</v>
      </c>
      <c r="Z21" s="12"/>
      <c r="AA21" s="56"/>
      <c r="AB21" s="11"/>
      <c r="AC21" s="55">
        <f>AC20*(1+'HIER Rechnung Thesaurierer '!I21)</f>
        <v>0</v>
      </c>
      <c r="AD21" s="55">
        <f>IF((M21+U21)&lt;AC21,(M21+U21)*'HIER Rechnung Ausschütter'!O$1,AC21*'HIER Rechnung Ausschütter'!O$1)</f>
        <v>0</v>
      </c>
      <c r="AE21" s="12">
        <f>'HIER Rechnung Ausschütter'!AM21-AG21</f>
        <v>-32238.45141</v>
      </c>
      <c r="AF21" s="67">
        <f>AF20*(1+'HIER Rechnung Thesaurierer '!I20)</f>
        <v>0</v>
      </c>
      <c r="AG21" s="12">
        <f t="shared" si="15"/>
        <v>77620.38422</v>
      </c>
    </row>
    <row r="22" ht="12.75" customHeight="1">
      <c r="A22" s="11">
        <v>19.0</v>
      </c>
      <c r="B22" s="44">
        <f t="shared" si="16"/>
        <v>2.163791849</v>
      </c>
      <c r="C22" s="45">
        <f t="shared" si="19"/>
        <v>686202.1778</v>
      </c>
      <c r="D22" s="12">
        <f t="shared" si="17"/>
        <v>1484798.679</v>
      </c>
      <c r="E22" s="16">
        <f>'HIER Rechnung Ausschütter'!E22+'HIER Rechnung Ausschütter'!K$1</f>
        <v>0.2409929025</v>
      </c>
      <c r="F22" s="12">
        <f t="shared" si="2"/>
        <v>1842624.622</v>
      </c>
      <c r="G22" s="108">
        <v>0.032657206716586</v>
      </c>
      <c r="H22" s="48">
        <f t="shared" si="1"/>
        <v>1810489.761</v>
      </c>
      <c r="I22" s="53">
        <f t="shared" si="3"/>
        <v>0.2193503311</v>
      </c>
      <c r="J22" s="53">
        <f t="shared" si="4"/>
        <v>1.685250327</v>
      </c>
      <c r="K22" s="55">
        <f>H22-'HIER Rechnung Thesaurierer '!J22</f>
        <v>114056.7683</v>
      </c>
      <c r="L22" s="54"/>
      <c r="M22" s="55">
        <f t="shared" si="5"/>
        <v>60174.9732</v>
      </c>
      <c r="N22" s="55">
        <f t="shared" si="6"/>
        <v>44303.82402</v>
      </c>
      <c r="O22" s="55">
        <f t="shared" si="7"/>
        <v>15871.14918</v>
      </c>
      <c r="P22" s="56">
        <f t="shared" si="18"/>
        <v>0.03870076848</v>
      </c>
      <c r="Q22" s="55">
        <f>Q21*(1+'HIER Rechnung Thesaurierer '!I22)</f>
        <v>70067.34508</v>
      </c>
      <c r="R22" s="55">
        <f t="shared" si="8"/>
        <v>70067.34508</v>
      </c>
      <c r="S22" s="16"/>
      <c r="T22" s="57">
        <f t="shared" si="9"/>
        <v>11967.17529</v>
      </c>
      <c r="U22" s="58">
        <f t="shared" si="10"/>
        <v>32134.86138</v>
      </c>
      <c r="V22" s="55">
        <f t="shared" si="11"/>
        <v>24156.74052</v>
      </c>
      <c r="W22" s="55">
        <f t="shared" si="12"/>
        <v>6371.340313</v>
      </c>
      <c r="X22" s="55">
        <f t="shared" si="13"/>
        <v>7978.120852</v>
      </c>
      <c r="Y22" s="55">
        <f t="shared" si="14"/>
        <v>25763.52106</v>
      </c>
      <c r="Z22" s="12"/>
      <c r="AA22" s="56"/>
      <c r="AB22" s="11"/>
      <c r="AC22" s="55">
        <f>AC21*(1+'HIER Rechnung Thesaurierer '!I22)</f>
        <v>0</v>
      </c>
      <c r="AD22" s="55">
        <f>IF((M22+U22)&lt;AC22,(M22+U22)*'HIER Rechnung Ausschütter'!O$1,AC22*'HIER Rechnung Ausschütter'!O$1)</f>
        <v>0</v>
      </c>
      <c r="AE22" s="12">
        <f>'HIER Rechnung Ausschütter'!AM22-AG22</f>
        <v>-34308.38365</v>
      </c>
      <c r="AF22" s="67">
        <f>AF21*(1+'HIER Rechnung Thesaurierer '!I21)</f>
        <v>0</v>
      </c>
      <c r="AG22" s="12">
        <f t="shared" si="15"/>
        <v>84331.71372</v>
      </c>
    </row>
    <row r="23" ht="12.75" customHeight="1">
      <c r="A23" s="11">
        <v>20.0</v>
      </c>
      <c r="B23" s="44">
        <f t="shared" si="16"/>
        <v>2.685250327</v>
      </c>
      <c r="C23" s="45">
        <f t="shared" si="19"/>
        <v>674235.0025</v>
      </c>
      <c r="D23" s="12">
        <f t="shared" si="17"/>
        <v>1810489.761</v>
      </c>
      <c r="E23" s="16">
        <f>'HIER Rechnung Ausschütter'!E23+'HIER Rechnung Ausschütter'!K$1</f>
        <v>0.02926007288</v>
      </c>
      <c r="F23" s="12">
        <f t="shared" si="2"/>
        <v>1863464.823</v>
      </c>
      <c r="G23" s="108">
        <v>0.0257768051491625</v>
      </c>
      <c r="H23" s="48">
        <f t="shared" si="1"/>
        <v>1819028.84</v>
      </c>
      <c r="I23" s="53">
        <f t="shared" si="3"/>
        <v>0.004716447173</v>
      </c>
      <c r="J23" s="53">
        <f t="shared" si="4"/>
        <v>1.763820948</v>
      </c>
      <c r="K23" s="55">
        <f>H23-'HIER Rechnung Thesaurierer '!J23</f>
        <v>118378.5439</v>
      </c>
      <c r="L23" s="54"/>
      <c r="M23" s="55">
        <f t="shared" si="5"/>
        <v>48034.16966</v>
      </c>
      <c r="N23" s="55">
        <f t="shared" si="6"/>
        <v>35365.15741</v>
      </c>
      <c r="O23" s="55">
        <f t="shared" si="7"/>
        <v>12669.01225</v>
      </c>
      <c r="P23" s="56">
        <f t="shared" si="18"/>
        <v>0.03898132434</v>
      </c>
      <c r="Q23" s="55">
        <f>Q22*(1+'HIER Rechnung Thesaurierer '!I23)</f>
        <v>70908.15322</v>
      </c>
      <c r="R23" s="55">
        <f t="shared" si="8"/>
        <v>70908.15322</v>
      </c>
      <c r="S23" s="16"/>
      <c r="T23" s="57">
        <f t="shared" si="9"/>
        <v>16077.73582</v>
      </c>
      <c r="U23" s="58">
        <f t="shared" si="10"/>
        <v>44435.98304</v>
      </c>
      <c r="V23" s="55">
        <f t="shared" si="11"/>
        <v>33717.48714</v>
      </c>
      <c r="W23" s="55">
        <f t="shared" si="12"/>
        <v>8892.987233</v>
      </c>
      <c r="X23" s="55">
        <f t="shared" si="13"/>
        <v>10718.4959</v>
      </c>
      <c r="Y23" s="55">
        <f t="shared" si="14"/>
        <v>35542.99581</v>
      </c>
      <c r="Z23" s="12"/>
      <c r="AA23" s="56"/>
      <c r="AB23" s="11"/>
      <c r="AC23" s="55">
        <f>AC22*(1+'HIER Rechnung Thesaurierer '!I23)</f>
        <v>0</v>
      </c>
      <c r="AD23" s="55">
        <f>IF((M23+U23)&lt;AC23,(M23+U23)*'HIER Rechnung Ausschütter'!O$1,AC23*'HIER Rechnung Ausschütter'!O$1)</f>
        <v>0</v>
      </c>
      <c r="AE23" s="12">
        <f>'HIER Rechnung Ausschütter'!AM23-AG23</f>
        <v>-33825.47859</v>
      </c>
      <c r="AF23" s="67">
        <f>AF22*(1+'HIER Rechnung Thesaurierer '!I22)</f>
        <v>0</v>
      </c>
      <c r="AG23" s="12">
        <f t="shared" si="15"/>
        <v>81751.6568</v>
      </c>
    </row>
    <row r="24" ht="12.75" customHeight="1">
      <c r="A24" s="11">
        <v>21.0</v>
      </c>
      <c r="B24" s="44">
        <f t="shared" si="16"/>
        <v>2.763820948</v>
      </c>
      <c r="C24" s="45">
        <f t="shared" si="19"/>
        <v>658157.2666</v>
      </c>
      <c r="D24" s="12">
        <f t="shared" si="17"/>
        <v>1819028.84</v>
      </c>
      <c r="E24" s="16">
        <f>'HIER Rechnung Ausschütter'!E24+'HIER Rechnung Ausschütter'!K$1</f>
        <v>-0.02741929446</v>
      </c>
      <c r="F24" s="12">
        <f t="shared" si="2"/>
        <v>1769152.353</v>
      </c>
      <c r="G24" s="108">
        <v>0.0242099500487789</v>
      </c>
      <c r="H24" s="48">
        <f t="shared" si="1"/>
        <v>1719595.007</v>
      </c>
      <c r="I24" s="53">
        <f t="shared" si="3"/>
        <v>-0.05466314272</v>
      </c>
      <c r="J24" s="53">
        <f t="shared" si="4"/>
        <v>1.688038927</v>
      </c>
      <c r="K24" s="55">
        <f>H24-'HIER Rechnung Thesaurierer '!J24</f>
        <v>112426.2212</v>
      </c>
      <c r="L24" s="54"/>
      <c r="M24" s="55">
        <f t="shared" si="5"/>
        <v>42831.09009</v>
      </c>
      <c r="N24" s="55">
        <f t="shared" si="6"/>
        <v>31534.39008</v>
      </c>
      <c r="O24" s="55">
        <f t="shared" si="7"/>
        <v>11296.70001</v>
      </c>
      <c r="P24" s="56">
        <f t="shared" si="18"/>
        <v>0.04144155669</v>
      </c>
      <c r="Q24" s="55">
        <f>Q23*(1+'HIER Rechnung Thesaurierer '!I24)</f>
        <v>71262.69399</v>
      </c>
      <c r="R24" s="55">
        <f t="shared" si="8"/>
        <v>71262.69399</v>
      </c>
      <c r="S24" s="16"/>
      <c r="T24" s="57">
        <f t="shared" si="9"/>
        <v>18436.24555</v>
      </c>
      <c r="U24" s="58">
        <f t="shared" si="10"/>
        <v>49557.3457</v>
      </c>
      <c r="V24" s="55">
        <f t="shared" si="11"/>
        <v>37266.50919</v>
      </c>
      <c r="W24" s="55">
        <f t="shared" si="12"/>
        <v>9829.0418</v>
      </c>
      <c r="X24" s="55">
        <f t="shared" si="13"/>
        <v>12290.83651</v>
      </c>
      <c r="Y24" s="55">
        <f t="shared" si="14"/>
        <v>39728.3039</v>
      </c>
      <c r="Z24" s="12"/>
      <c r="AA24" s="56"/>
      <c r="AB24" s="11"/>
      <c r="AC24" s="55">
        <f>AC23*(1+'HIER Rechnung Thesaurierer '!I24)</f>
        <v>0</v>
      </c>
      <c r="AD24" s="55">
        <f>IF((M24+U24)&lt;AC24,(M24+U24)*'HIER Rechnung Ausschütter'!O$1,AC24*'HIER Rechnung Ausschütter'!O$1)</f>
        <v>0</v>
      </c>
      <c r="AE24" s="12">
        <f>'HIER Rechnung Ausschütter'!AM24-AG24</f>
        <v>-33271.66819</v>
      </c>
      <c r="AF24" s="67">
        <f>AF23*(1+'HIER Rechnung Thesaurierer '!I23)</f>
        <v>0</v>
      </c>
      <c r="AG24" s="12">
        <f t="shared" si="15"/>
        <v>80097.59929</v>
      </c>
    </row>
    <row r="25" ht="12.75" customHeight="1">
      <c r="A25" s="11">
        <v>22.0</v>
      </c>
      <c r="B25" s="44">
        <f t="shared" si="16"/>
        <v>2.688038927</v>
      </c>
      <c r="C25" s="45">
        <f t="shared" si="19"/>
        <v>639721.0211</v>
      </c>
      <c r="D25" s="12">
        <f t="shared" si="17"/>
        <v>1719595.007</v>
      </c>
      <c r="E25" s="16">
        <f>'HIER Rechnung Ausschütter'!E25+'HIER Rechnung Ausschütter'!K$1</f>
        <v>0.05317856572</v>
      </c>
      <c r="F25" s="12">
        <f t="shared" si="2"/>
        <v>1811040.603</v>
      </c>
      <c r="G25" s="108">
        <v>0.0283528996003397</v>
      </c>
      <c r="H25" s="48">
        <f t="shared" si="1"/>
        <v>1769043.52</v>
      </c>
      <c r="I25" s="53">
        <f t="shared" si="3"/>
        <v>0.02875590593</v>
      </c>
      <c r="J25" s="53">
        <f t="shared" si="4"/>
        <v>1.830984982</v>
      </c>
      <c r="K25" s="55">
        <f>H25-'HIER Rechnung Thesaurierer '!J25</f>
        <v>117268.7095</v>
      </c>
      <c r="L25" s="54"/>
      <c r="M25" s="55">
        <f t="shared" si="5"/>
        <v>51348.2524</v>
      </c>
      <c r="N25" s="55">
        <f t="shared" si="6"/>
        <v>37805.15083</v>
      </c>
      <c r="O25" s="55">
        <f t="shared" si="7"/>
        <v>13543.10157</v>
      </c>
      <c r="P25" s="56">
        <f t="shared" si="18"/>
        <v>0.04032346061</v>
      </c>
      <c r="Q25" s="55">
        <f>Q24*(1+'HIER Rechnung Thesaurierer '!I25)</f>
        <v>71333.95668</v>
      </c>
      <c r="R25" s="55">
        <f t="shared" si="8"/>
        <v>71333.95668</v>
      </c>
      <c r="S25" s="16"/>
      <c r="T25" s="57">
        <f t="shared" si="9"/>
        <v>14834.7957</v>
      </c>
      <c r="U25" s="58">
        <f t="shared" si="10"/>
        <v>41997.08383</v>
      </c>
      <c r="V25" s="55">
        <f t="shared" si="11"/>
        <v>32107.21509</v>
      </c>
      <c r="W25" s="55">
        <f t="shared" si="12"/>
        <v>8468.277979</v>
      </c>
      <c r="X25" s="55">
        <f t="shared" si="13"/>
        <v>9889.868743</v>
      </c>
      <c r="Y25" s="55">
        <f t="shared" si="14"/>
        <v>33528.80585</v>
      </c>
      <c r="Z25" s="12"/>
      <c r="AA25" s="56"/>
      <c r="AB25" s="11"/>
      <c r="AC25" s="55">
        <f>AC24*(1+'HIER Rechnung Thesaurierer '!I25)</f>
        <v>0</v>
      </c>
      <c r="AD25" s="55">
        <f>IF((M25+U25)&lt;AC25,(M25+U25)*'HIER Rechnung Ausschütter'!O$1,AC25*'HIER Rechnung Ausschütter'!O$1)</f>
        <v>0</v>
      </c>
      <c r="AE25" s="12">
        <f>'HIER Rechnung Ausschütter'!AM25-AG25</f>
        <v>-34036.97678</v>
      </c>
      <c r="AF25" s="67">
        <f>AF24*(1+'HIER Rechnung Thesaurierer '!I24)</f>
        <v>0</v>
      </c>
      <c r="AG25" s="12">
        <f t="shared" si="15"/>
        <v>83455.46749</v>
      </c>
    </row>
    <row r="26" ht="12.75" customHeight="1">
      <c r="A26" s="11">
        <v>23.0</v>
      </c>
      <c r="B26" s="44">
        <f t="shared" si="16"/>
        <v>2.830984982</v>
      </c>
      <c r="C26" s="45">
        <f t="shared" si="19"/>
        <v>624886.2254</v>
      </c>
      <c r="D26" s="12">
        <f t="shared" si="17"/>
        <v>1769043.52</v>
      </c>
      <c r="E26" s="16">
        <f>'HIER Rechnung Ausschütter'!E26+'HIER Rechnung Ausschütter'!K$1</f>
        <v>0.2011336104</v>
      </c>
      <c r="F26" s="12">
        <f t="shared" si="2"/>
        <v>2124857.63</v>
      </c>
      <c r="G26" s="108">
        <v>0.029589695764212</v>
      </c>
      <c r="H26" s="48">
        <f t="shared" si="1"/>
        <v>2092803.891</v>
      </c>
      <c r="I26" s="53">
        <f t="shared" si="3"/>
        <v>0.183014362</v>
      </c>
      <c r="J26" s="53">
        <f t="shared" si="4"/>
        <v>2.400391212</v>
      </c>
      <c r="K26" s="55">
        <f>H26-'HIER Rechnung Thesaurierer '!J26</f>
        <v>142386.0234</v>
      </c>
      <c r="L26" s="54"/>
      <c r="M26" s="55">
        <f t="shared" si="5"/>
        <v>62873.8908</v>
      </c>
      <c r="N26" s="55">
        <f t="shared" si="6"/>
        <v>46290.9021</v>
      </c>
      <c r="O26" s="55">
        <f t="shared" si="7"/>
        <v>16582.9887</v>
      </c>
      <c r="P26" s="56">
        <f t="shared" si="18"/>
        <v>0.03418760777</v>
      </c>
      <c r="Q26" s="55">
        <f>Q25*(1+'HIER Rechnung Thesaurierer '!I26)</f>
        <v>71547.95855</v>
      </c>
      <c r="R26" s="55">
        <f t="shared" si="8"/>
        <v>71547.95855</v>
      </c>
      <c r="S26" s="16"/>
      <c r="T26" s="57">
        <f t="shared" si="9"/>
        <v>9426.485617</v>
      </c>
      <c r="U26" s="58">
        <f t="shared" si="10"/>
        <v>32053.73886</v>
      </c>
      <c r="V26" s="55">
        <f t="shared" si="11"/>
        <v>25769.41197</v>
      </c>
      <c r="W26" s="55">
        <f t="shared" si="12"/>
        <v>6796.682407</v>
      </c>
      <c r="X26" s="55">
        <f t="shared" si="13"/>
        <v>6284.326887</v>
      </c>
      <c r="Y26" s="55">
        <f t="shared" si="14"/>
        <v>25257.05645</v>
      </c>
      <c r="Z26" s="12"/>
      <c r="AA26" s="56"/>
      <c r="AB26" s="11"/>
      <c r="AC26" s="55">
        <f>AC25*(1+'HIER Rechnung Thesaurierer '!I26)</f>
        <v>0</v>
      </c>
      <c r="AD26" s="55">
        <f>IF((M26+U26)&lt;AC26,(M26+U26)*'HIER Rechnung Ausschütter'!O$1,AC26*'HIER Rechnung Ausschütter'!O$1)</f>
        <v>0</v>
      </c>
      <c r="AE26" s="12">
        <f>'HIER Rechnung Ausschütter'!AM26-AG26</f>
        <v>-35404.27531</v>
      </c>
      <c r="AF26" s="67">
        <f>AF25*(1+'HIER Rechnung Thesaurierer '!I25)</f>
        <v>0</v>
      </c>
      <c r="AG26" s="12">
        <f t="shared" si="15"/>
        <v>88643.30277</v>
      </c>
    </row>
    <row r="27" ht="12.75" customHeight="1">
      <c r="A27" s="11">
        <v>24.0</v>
      </c>
      <c r="B27" s="44">
        <f t="shared" si="16"/>
        <v>3.400391212</v>
      </c>
      <c r="C27" s="45">
        <f t="shared" si="19"/>
        <v>615459.7398</v>
      </c>
      <c r="D27" s="12">
        <f t="shared" si="17"/>
        <v>2092803.891</v>
      </c>
      <c r="E27" s="16">
        <f>'HIER Rechnung Ausschütter'!E27+'HIER Rechnung Ausschütter'!K$1</f>
        <v>-0.104374817</v>
      </c>
      <c r="F27" s="12">
        <f t="shared" si="2"/>
        <v>1874367.868</v>
      </c>
      <c r="G27" s="108">
        <v>0.0223281959046172</v>
      </c>
      <c r="H27" s="48">
        <f t="shared" si="1"/>
        <v>1822703.017</v>
      </c>
      <c r="I27" s="53">
        <f t="shared" si="3"/>
        <v>-0.1290617221</v>
      </c>
      <c r="J27" s="53">
        <f t="shared" si="4"/>
        <v>2.045476002</v>
      </c>
      <c r="K27" s="55">
        <f>H27-'HIER Rechnung Thesaurierer '!J27</f>
        <v>125286.3479</v>
      </c>
      <c r="L27" s="54"/>
      <c r="M27" s="55">
        <f t="shared" si="5"/>
        <v>41851.25295</v>
      </c>
      <c r="N27" s="55">
        <f t="shared" si="6"/>
        <v>30812.98498</v>
      </c>
      <c r="O27" s="55">
        <f t="shared" si="7"/>
        <v>11038.26796</v>
      </c>
      <c r="P27" s="56">
        <f t="shared" si="18"/>
        <v>0.03941078153</v>
      </c>
      <c r="Q27" s="55">
        <f>Q26*(1+'HIER Rechnung Thesaurierer '!I27)</f>
        <v>71834.15038</v>
      </c>
      <c r="R27" s="55">
        <f t="shared" si="8"/>
        <v>71834.15038</v>
      </c>
      <c r="S27" s="16"/>
      <c r="T27" s="57">
        <f t="shared" si="9"/>
        <v>16964.45846</v>
      </c>
      <c r="U27" s="58">
        <f t="shared" si="10"/>
        <v>51664.85111</v>
      </c>
      <c r="V27" s="55">
        <f t="shared" si="11"/>
        <v>40355.20649</v>
      </c>
      <c r="W27" s="55">
        <f t="shared" si="12"/>
        <v>10643.68571</v>
      </c>
      <c r="X27" s="55">
        <f t="shared" si="13"/>
        <v>11309.64463</v>
      </c>
      <c r="Y27" s="55">
        <f t="shared" si="14"/>
        <v>41021.1654</v>
      </c>
      <c r="Z27" s="12"/>
      <c r="AA27" s="56"/>
      <c r="AB27" s="11"/>
      <c r="AC27" s="55">
        <f>AC26*(1+'HIER Rechnung Thesaurierer '!I27)</f>
        <v>0</v>
      </c>
      <c r="AD27" s="55">
        <f>IF((M27+U27)&lt;AC27,(M27+U27)*'HIER Rechnung Ausschütter'!O$1,AC27*'HIER Rechnung Ausschütter'!O$1)</f>
        <v>0</v>
      </c>
      <c r="AE27" s="12">
        <f>'HIER Rechnung Ausschütter'!AM27-AG27</f>
        <v>-33660.22634</v>
      </c>
      <c r="AF27" s="67">
        <f>AF26*(1+'HIER Rechnung Thesaurierer '!I26)</f>
        <v>0</v>
      </c>
      <c r="AG27" s="12">
        <f t="shared" si="15"/>
        <v>82206.45943</v>
      </c>
    </row>
    <row r="28" ht="12.75" customHeight="1">
      <c r="A28" s="11">
        <v>25.0</v>
      </c>
      <c r="B28" s="44">
        <f t="shared" si="16"/>
        <v>3.045476002</v>
      </c>
      <c r="C28" s="45">
        <f t="shared" si="19"/>
        <v>598495.2813</v>
      </c>
      <c r="D28" s="12">
        <f t="shared" si="17"/>
        <v>1822703.017</v>
      </c>
      <c r="E28" s="16">
        <f>'HIER Rechnung Ausschütter'!E28+'HIER Rechnung Ausschütter'!K$1</f>
        <v>0.2519065492</v>
      </c>
      <c r="F28" s="12">
        <f t="shared" si="2"/>
        <v>2281853.844</v>
      </c>
      <c r="G28" s="108">
        <v>0.032113827238486</v>
      </c>
      <c r="H28" s="48">
        <f t="shared" si="1"/>
        <v>2259272.487</v>
      </c>
      <c r="I28" s="53">
        <f t="shared" si="3"/>
        <v>0.2395176103</v>
      </c>
      <c r="J28" s="53">
        <f t="shared" si="4"/>
        <v>2.812651352</v>
      </c>
      <c r="K28" s="55">
        <f>H28-'HIER Rechnung Thesaurierer '!J28</f>
        <v>159770.6709</v>
      </c>
      <c r="L28" s="54"/>
      <c r="M28" s="55">
        <f t="shared" si="5"/>
        <v>73279.06012</v>
      </c>
      <c r="N28" s="55">
        <f t="shared" si="6"/>
        <v>53951.70801</v>
      </c>
      <c r="O28" s="55">
        <f t="shared" si="7"/>
        <v>19327.35211</v>
      </c>
      <c r="P28" s="56">
        <f t="shared" si="18"/>
        <v>0.03169987168</v>
      </c>
      <c r="Q28" s="55">
        <f>Q27*(1+'HIER Rechnung Thesaurierer '!I28)</f>
        <v>71618.64793</v>
      </c>
      <c r="R28" s="55">
        <f t="shared" si="8"/>
        <v>71618.64793</v>
      </c>
      <c r="S28" s="16"/>
      <c r="T28" s="57">
        <f t="shared" si="9"/>
        <v>5922.743601</v>
      </c>
      <c r="U28" s="58">
        <f t="shared" si="10"/>
        <v>22581.3564</v>
      </c>
      <c r="V28" s="55">
        <f t="shared" si="11"/>
        <v>18632.85869</v>
      </c>
      <c r="W28" s="55">
        <f t="shared" si="12"/>
        <v>4914.41648</v>
      </c>
      <c r="X28" s="55">
        <f t="shared" si="13"/>
        <v>3948.497708</v>
      </c>
      <c r="Y28" s="55">
        <f t="shared" si="14"/>
        <v>17666.93992</v>
      </c>
      <c r="Z28" s="12"/>
      <c r="AA28" s="56"/>
      <c r="AB28" s="11"/>
      <c r="AC28" s="55">
        <f>AC27*(1+'HIER Rechnung Thesaurierer '!I28)</f>
        <v>0</v>
      </c>
      <c r="AD28" s="55">
        <f>IF((M28+U28)&lt;AC28,(M28+U28)*'HIER Rechnung Ausschütter'!O$1,AC28*'HIER Rechnung Ausschütter'!O$1)</f>
        <v>0</v>
      </c>
      <c r="AE28" s="12">
        <f>'HIER Rechnung Ausschütter'!AM28-AG28</f>
        <v>-36010.23686</v>
      </c>
      <c r="AF28" s="67">
        <f>AF27*(1+'HIER Rechnung Thesaurierer '!I27)</f>
        <v>0</v>
      </c>
      <c r="AG28" s="12">
        <f t="shared" si="15"/>
        <v>91911.91881</v>
      </c>
    </row>
    <row r="29" ht="12.75" customHeight="1">
      <c r="A29" s="11">
        <v>26.0</v>
      </c>
      <c r="B29" s="44">
        <f t="shared" si="16"/>
        <v>3.812651352</v>
      </c>
      <c r="C29" s="45">
        <f t="shared" si="19"/>
        <v>592572.5377</v>
      </c>
      <c r="D29" s="12">
        <f t="shared" si="17"/>
        <v>2259272.487</v>
      </c>
      <c r="E29" s="16">
        <f>'HIER Rechnung Ausschütter'!E29+'HIER Rechnung Ausschütter'!K$1</f>
        <v>0.1405895692</v>
      </c>
      <c r="F29" s="12">
        <f t="shared" si="2"/>
        <v>2576902.633</v>
      </c>
      <c r="G29" s="108">
        <v>0.024372790923155</v>
      </c>
      <c r="H29" s="48">
        <f t="shared" si="1"/>
        <v>2544689.513</v>
      </c>
      <c r="I29" s="53">
        <f t="shared" si="3"/>
        <v>0.1263313864</v>
      </c>
      <c r="J29" s="53">
        <f t="shared" si="4"/>
        <v>3.348670363</v>
      </c>
      <c r="K29" s="55">
        <f>H29-'HIER Rechnung Thesaurierer '!J29</f>
        <v>184093.7968</v>
      </c>
      <c r="L29" s="54"/>
      <c r="M29" s="55">
        <f t="shared" si="5"/>
        <v>62806.3091</v>
      </c>
      <c r="N29" s="55">
        <f t="shared" si="6"/>
        <v>46241.14508</v>
      </c>
      <c r="O29" s="55">
        <f t="shared" si="7"/>
        <v>16565.16403</v>
      </c>
      <c r="P29" s="56">
        <f t="shared" si="18"/>
        <v>0.02800363437</v>
      </c>
      <c r="Q29" s="55">
        <f>Q28*(1+'HIER Rechnung Thesaurierer '!I29)</f>
        <v>71260.55469</v>
      </c>
      <c r="R29" s="55">
        <f t="shared" si="8"/>
        <v>71260.55469</v>
      </c>
      <c r="S29" s="16"/>
      <c r="T29" s="57">
        <f t="shared" si="9"/>
        <v>7407.579179</v>
      </c>
      <c r="U29" s="58">
        <f t="shared" si="10"/>
        <v>32213.12004</v>
      </c>
      <c r="V29" s="55">
        <f t="shared" si="11"/>
        <v>27274.73145</v>
      </c>
      <c r="W29" s="55">
        <f t="shared" si="12"/>
        <v>7193.71042</v>
      </c>
      <c r="X29" s="55">
        <f t="shared" si="13"/>
        <v>4938.388588</v>
      </c>
      <c r="Y29" s="55">
        <f t="shared" si="14"/>
        <v>25019.40962</v>
      </c>
      <c r="Z29" s="12"/>
      <c r="AA29" s="56"/>
      <c r="AB29" s="11"/>
      <c r="AC29" s="55">
        <f>AC28*(1+'HIER Rechnung Thesaurierer '!I29)</f>
        <v>0</v>
      </c>
      <c r="AD29" s="55">
        <f>IF((M29+U29)&lt;AC29,(M29+U29)*'HIER Rechnung Ausschütter'!O$1,AC29*'HIER Rechnung Ausschütter'!O$1)</f>
        <v>0</v>
      </c>
      <c r="AE29" s="12">
        <f>'HIER Rechnung Ausschütter'!AM29-AG29</f>
        <v>-35584.08397</v>
      </c>
      <c r="AF29" s="67">
        <f>AF28*(1+'HIER Rechnung Thesaurierer '!I28)</f>
        <v>0</v>
      </c>
      <c r="AG29" s="12">
        <f t="shared" si="15"/>
        <v>90081.04055</v>
      </c>
    </row>
    <row r="30" ht="12.75" customHeight="1">
      <c r="A30" s="11">
        <v>27.0</v>
      </c>
      <c r="B30" s="44">
        <f t="shared" si="16"/>
        <v>4.348670363</v>
      </c>
      <c r="C30" s="45">
        <f t="shared" si="19"/>
        <v>585164.9585</v>
      </c>
      <c r="D30" s="12">
        <f t="shared" si="17"/>
        <v>2544689.513</v>
      </c>
      <c r="E30" s="16">
        <f>'HIER Rechnung Ausschütter'!E30+'HIER Rechnung Ausschütter'!K$1</f>
        <v>0.2013658513</v>
      </c>
      <c r="F30" s="12">
        <f t="shared" si="2"/>
        <v>3057103.083</v>
      </c>
      <c r="G30" s="108">
        <v>0.022108860866923</v>
      </c>
      <c r="H30" s="48">
        <f t="shared" si="1"/>
        <v>3029550.308</v>
      </c>
      <c r="I30" s="53">
        <f t="shared" si="3"/>
        <v>0.1905382926</v>
      </c>
      <c r="J30" s="53">
        <f t="shared" si="4"/>
        <v>4.224344073</v>
      </c>
      <c r="K30" s="55">
        <f>H30-'HIER Rechnung Thesaurierer '!J30</f>
        <v>224331.7483</v>
      </c>
      <c r="L30" s="54"/>
      <c r="M30" s="55">
        <f t="shared" si="5"/>
        <v>67589.06671</v>
      </c>
      <c r="N30" s="55">
        <f t="shared" si="6"/>
        <v>49762.45037</v>
      </c>
      <c r="O30" s="55">
        <f t="shared" si="7"/>
        <v>17826.61635</v>
      </c>
      <c r="P30" s="56">
        <f t="shared" si="18"/>
        <v>0.02342773853</v>
      </c>
      <c r="Q30" s="55">
        <f>Q29*(1+'HIER Rechnung Thesaurierer '!I30)</f>
        <v>70975.51247</v>
      </c>
      <c r="R30" s="55">
        <f t="shared" si="8"/>
        <v>70975.51247</v>
      </c>
      <c r="S30" s="16"/>
      <c r="T30" s="57">
        <f t="shared" si="9"/>
        <v>5273.920451</v>
      </c>
      <c r="U30" s="58">
        <f t="shared" si="10"/>
        <v>27552.77505</v>
      </c>
      <c r="V30" s="55">
        <f t="shared" si="11"/>
        <v>24036.82632</v>
      </c>
      <c r="W30" s="55">
        <f t="shared" si="12"/>
        <v>6339.712943</v>
      </c>
      <c r="X30" s="55">
        <f t="shared" si="13"/>
        <v>3515.948725</v>
      </c>
      <c r="Y30" s="55">
        <f t="shared" si="14"/>
        <v>21213.06211</v>
      </c>
      <c r="Z30" s="12"/>
      <c r="AA30" s="56"/>
      <c r="AB30" s="11"/>
      <c r="AC30" s="55">
        <f>AC29*(1+'HIER Rechnung Thesaurierer '!I30)</f>
        <v>0</v>
      </c>
      <c r="AD30" s="55">
        <f>IF((M30+U30)&lt;AC30,(M30+U30)*'HIER Rechnung Ausschütter'!O$1,AC30*'HIER Rechnung Ausschütter'!O$1)</f>
        <v>0</v>
      </c>
      <c r="AE30" s="12">
        <f>'HIER Rechnung Ausschütter'!AM30-AG30</f>
        <v>-35847.04709</v>
      </c>
      <c r="AF30" s="67">
        <f>AF29*(1+'HIER Rechnung Thesaurierer '!I29)</f>
        <v>0</v>
      </c>
      <c r="AG30" s="12">
        <f t="shared" si="15"/>
        <v>91625.89304</v>
      </c>
    </row>
    <row r="31" ht="12.75" customHeight="1">
      <c r="A31" s="11">
        <v>28.0</v>
      </c>
      <c r="B31" s="44">
        <f t="shared" si="16"/>
        <v>5.224344073</v>
      </c>
      <c r="C31" s="45">
        <f t="shared" si="19"/>
        <v>579891.0381</v>
      </c>
      <c r="D31" s="12">
        <f t="shared" si="17"/>
        <v>3029550.308</v>
      </c>
      <c r="E31" s="16">
        <f>'HIER Rechnung Ausschütter'!E31+'HIER Rechnung Ausschütter'!K$1</f>
        <v>-0.194645773</v>
      </c>
      <c r="F31" s="12">
        <f t="shared" si="2"/>
        <v>2439861.146</v>
      </c>
      <c r="G31" s="108">
        <v>0.0173188583976927</v>
      </c>
      <c r="H31" s="48">
        <f t="shared" si="1"/>
        <v>2387583.772</v>
      </c>
      <c r="I31" s="53">
        <f t="shared" si="3"/>
        <v>-0.211901593</v>
      </c>
      <c r="J31" s="53">
        <f t="shared" si="4"/>
        <v>3.207447582</v>
      </c>
      <c r="K31" s="55">
        <f>H31-'HIER Rechnung Thesaurierer '!J31</f>
        <v>179431.9445</v>
      </c>
      <c r="L31" s="54"/>
      <c r="M31" s="55">
        <f t="shared" si="5"/>
        <v>42255.6097</v>
      </c>
      <c r="N31" s="55">
        <f t="shared" si="6"/>
        <v>31110.69264</v>
      </c>
      <c r="O31" s="55">
        <f t="shared" si="7"/>
        <v>11144.91706</v>
      </c>
      <c r="P31" s="56">
        <f t="shared" si="18"/>
        <v>0.03006580719</v>
      </c>
      <c r="Q31" s="55">
        <f>Q30*(1+'HIER Rechnung Thesaurierer '!I31)</f>
        <v>71784.63332</v>
      </c>
      <c r="R31" s="55">
        <f t="shared" si="8"/>
        <v>71784.63332</v>
      </c>
      <c r="S31" s="16"/>
      <c r="T31" s="57">
        <f t="shared" si="9"/>
        <v>12424.96163</v>
      </c>
      <c r="U31" s="58">
        <f t="shared" si="10"/>
        <v>52277.37475</v>
      </c>
      <c r="V31" s="55">
        <f t="shared" si="11"/>
        <v>43994.06286</v>
      </c>
      <c r="W31" s="55">
        <f t="shared" si="12"/>
        <v>11603.43408</v>
      </c>
      <c r="X31" s="55">
        <f t="shared" si="13"/>
        <v>8283.311892</v>
      </c>
      <c r="Y31" s="55">
        <f t="shared" si="14"/>
        <v>40673.94067</v>
      </c>
      <c r="Z31" s="12"/>
      <c r="AA31" s="56"/>
      <c r="AB31" s="11"/>
      <c r="AC31" s="55">
        <f>AC30*(1+'HIER Rechnung Thesaurierer '!I31)</f>
        <v>0</v>
      </c>
      <c r="AD31" s="55">
        <f>IF((M31+U31)&lt;AC31,(M31+U31)*'HIER Rechnung Ausschütter'!O$1,AC31*'HIER Rechnung Ausschütter'!O$1)</f>
        <v>0</v>
      </c>
      <c r="AE31" s="12">
        <f>'HIER Rechnung Ausschütter'!AM31-AG31</f>
        <v>-34632.85335</v>
      </c>
      <c r="AF31" s="67">
        <f>AF30*(1+'HIER Rechnung Thesaurierer '!I30)</f>
        <v>0</v>
      </c>
      <c r="AG31" s="12">
        <f t="shared" si="15"/>
        <v>86249.67256</v>
      </c>
    </row>
    <row r="32" ht="12.75" customHeight="1">
      <c r="A32" s="11">
        <v>29.0</v>
      </c>
      <c r="B32" s="44">
        <f t="shared" si="16"/>
        <v>4.207447582</v>
      </c>
      <c r="C32" s="45">
        <f t="shared" si="19"/>
        <v>567466.0765</v>
      </c>
      <c r="D32" s="12">
        <f t="shared" si="17"/>
        <v>2387583.772</v>
      </c>
      <c r="E32" s="16">
        <f>'HIER Rechnung Ausschütter'!E32+'HIER Rechnung Ausschütter'!K$1</f>
        <v>0.2176579186</v>
      </c>
      <c r="F32" s="12">
        <f t="shared" si="2"/>
        <v>2907260.286</v>
      </c>
      <c r="G32" s="108">
        <v>0.0264952266565759</v>
      </c>
      <c r="H32" s="48">
        <f t="shared" si="1"/>
        <v>2885436.526</v>
      </c>
      <c r="I32" s="53">
        <f t="shared" si="3"/>
        <v>0.2085173977</v>
      </c>
      <c r="J32" s="53">
        <f t="shared" si="4"/>
        <v>4.123231866</v>
      </c>
      <c r="K32" s="55">
        <f>H32-'HIER Rechnung Thesaurierer '!J32</f>
        <v>231445.0753</v>
      </c>
      <c r="L32" s="54"/>
      <c r="M32" s="55">
        <f t="shared" si="5"/>
        <v>77028.52022</v>
      </c>
      <c r="N32" s="55">
        <f t="shared" si="6"/>
        <v>56712.24801</v>
      </c>
      <c r="O32" s="55">
        <f t="shared" si="7"/>
        <v>20316.27221</v>
      </c>
      <c r="P32" s="56">
        <f t="shared" si="18"/>
        <v>0.0254827993</v>
      </c>
      <c r="Q32" s="55">
        <f>Q31*(1+'HIER Rechnung Thesaurierer '!I32)</f>
        <v>73528.99991</v>
      </c>
      <c r="R32" s="55">
        <f t="shared" si="8"/>
        <v>73528.99991</v>
      </c>
      <c r="S32" s="16"/>
      <c r="T32" s="57">
        <f t="shared" si="9"/>
        <v>4259.764176</v>
      </c>
      <c r="U32" s="58">
        <f t="shared" si="10"/>
        <v>21823.75957</v>
      </c>
      <c r="V32" s="55">
        <f t="shared" si="11"/>
        <v>18983.91537</v>
      </c>
      <c r="W32" s="55">
        <f t="shared" si="12"/>
        <v>5007.007678</v>
      </c>
      <c r="X32" s="55">
        <f t="shared" si="13"/>
        <v>2839.844204</v>
      </c>
      <c r="Y32" s="55">
        <f t="shared" si="14"/>
        <v>16816.75189</v>
      </c>
      <c r="Z32" s="12"/>
      <c r="AA32" s="56"/>
      <c r="AB32" s="11"/>
      <c r="AC32" s="55">
        <f>AC31*(1+'HIER Rechnung Thesaurierer '!I32)</f>
        <v>0</v>
      </c>
      <c r="AD32" s="55">
        <f>IF((M32+U32)&lt;AC32,(M32+U32)*'HIER Rechnung Ausschütter'!O$1,AC32*'HIER Rechnung Ausschütter'!O$1)</f>
        <v>0</v>
      </c>
      <c r="AE32" s="12">
        <f>'HIER Rechnung Ausschütter'!AM32-AG32</f>
        <v>-37131.11011</v>
      </c>
      <c r="AF32" s="67">
        <f>AF31*(1+'HIER Rechnung Thesaurierer '!I31)</f>
        <v>0</v>
      </c>
      <c r="AG32" s="12">
        <f t="shared" si="15"/>
        <v>96012.43559</v>
      </c>
    </row>
    <row r="33" ht="12.75" customHeight="1">
      <c r="A33" s="11">
        <v>30.0</v>
      </c>
      <c r="B33" s="44">
        <f t="shared" si="16"/>
        <v>5.123231866</v>
      </c>
      <c r="C33" s="45">
        <f t="shared" si="19"/>
        <v>563206.3123</v>
      </c>
      <c r="D33" s="12">
        <f t="shared" si="17"/>
        <v>2885436.526</v>
      </c>
      <c r="E33" s="16">
        <f>'HIER Rechnung Ausschütter'!E33+'HIER Rechnung Ausschütter'!K$1</f>
        <v>0.1699673102</v>
      </c>
      <c r="F33" s="12">
        <f t="shared" si="2"/>
        <v>3375866.411</v>
      </c>
      <c r="G33" s="108">
        <v>0.0219768029279788</v>
      </c>
      <c r="H33" s="48">
        <f t="shared" si="1"/>
        <v>3348943.291</v>
      </c>
      <c r="I33" s="53">
        <f t="shared" si="3"/>
        <v>0.160636618</v>
      </c>
      <c r="J33" s="53">
        <f t="shared" si="4"/>
        <v>4.994013806</v>
      </c>
      <c r="K33" s="55">
        <f>H33-'HIER Rechnung Thesaurierer '!J33</f>
        <v>284728.9116</v>
      </c>
      <c r="L33" s="54"/>
      <c r="M33" s="55">
        <f t="shared" si="5"/>
        <v>74190.75083</v>
      </c>
      <c r="N33" s="55">
        <f t="shared" si="6"/>
        <v>54622.9403</v>
      </c>
      <c r="O33" s="55">
        <f t="shared" si="7"/>
        <v>19567.81053</v>
      </c>
      <c r="P33" s="56">
        <f t="shared" si="18"/>
        <v>0.02246525729</v>
      </c>
      <c r="Q33" s="55">
        <f>Q32*(1+'HIER Rechnung Thesaurierer '!I33)</f>
        <v>75234.8727</v>
      </c>
      <c r="R33" s="55">
        <f t="shared" si="8"/>
        <v>75234.8727</v>
      </c>
      <c r="S33" s="16"/>
      <c r="T33" s="57">
        <f t="shared" si="9"/>
        <v>4491.667989</v>
      </c>
      <c r="U33" s="58">
        <f t="shared" si="10"/>
        <v>26923.11994</v>
      </c>
      <c r="V33" s="55">
        <f t="shared" si="11"/>
        <v>23928.67311</v>
      </c>
      <c r="W33" s="55">
        <f t="shared" si="12"/>
        <v>6311.187534</v>
      </c>
      <c r="X33" s="55">
        <f t="shared" si="13"/>
        <v>2994.446823</v>
      </c>
      <c r="Y33" s="55">
        <f t="shared" si="14"/>
        <v>20611.9324</v>
      </c>
      <c r="Z33" s="12"/>
      <c r="AA33" s="56"/>
      <c r="AB33" s="11"/>
      <c r="AC33" s="55">
        <f>AC32*(1+'HIER Rechnung Thesaurierer '!I33)</f>
        <v>0</v>
      </c>
      <c r="AD33" s="55">
        <f>IF((M33+U33)&lt;AC33,(M33+U33)*'HIER Rechnung Ausschütter'!O$1,AC33*'HIER Rechnung Ausschütter'!O$1)</f>
        <v>0</v>
      </c>
      <c r="AE33" s="12">
        <f>'HIER Rechnung Ausschütter'!AM33-AG33</f>
        <v>-37993.10091</v>
      </c>
      <c r="AF33" s="67">
        <f>AF32*(1+'HIER Rechnung Thesaurierer '!I32)</f>
        <v>0</v>
      </c>
      <c r="AG33" s="12">
        <f t="shared" si="15"/>
        <v>98119.42395</v>
      </c>
    </row>
    <row r="34" ht="12.75" customHeight="1">
      <c r="B34" s="44">
        <f t="shared" si="16"/>
        <v>5.994013806</v>
      </c>
      <c r="C34" s="45">
        <f t="shared" si="19"/>
        <v>558714.6443</v>
      </c>
      <c r="G34" s="16"/>
      <c r="K34" s="11"/>
      <c r="Z34" s="16"/>
    </row>
    <row r="35" ht="12.75" customHeight="1">
      <c r="G35" s="16">
        <f>SUM(G4:G34)</f>
        <v>0.7272020824</v>
      </c>
      <c r="K35" s="11"/>
      <c r="M35" s="12">
        <f t="shared" ref="M35:O35" si="20">SUM(M4:M34)</f>
        <v>1363526.465</v>
      </c>
      <c r="N35" s="12">
        <f t="shared" si="20"/>
        <v>1003896.36</v>
      </c>
      <c r="O35" s="12">
        <f t="shared" si="20"/>
        <v>359630.1051</v>
      </c>
      <c r="P35" s="25">
        <f>AVERAGE(P4:P34)</f>
        <v>0.03454152444</v>
      </c>
      <c r="R35" s="48">
        <f>SUM(R4:R34)</f>
        <v>1807641.088</v>
      </c>
      <c r="U35" s="50">
        <f>SUM(U4:U34)</f>
        <v>986801.5908</v>
      </c>
      <c r="Y35" s="12">
        <f>SUM(Y4:Y34)</f>
        <v>803744.7278</v>
      </c>
      <c r="AG35" s="12">
        <f>SUM(AG4:AG34)</f>
        <v>2057580.922</v>
      </c>
    </row>
    <row r="36" ht="12.75" customHeight="1">
      <c r="B36" s="11" t="s">
        <v>72</v>
      </c>
      <c r="D36" s="16">
        <f>H33/D4-1</f>
        <v>2.348943291</v>
      </c>
      <c r="G36" s="16">
        <f>AVERAGE(G4:G33)</f>
        <v>0.02424006941</v>
      </c>
      <c r="J36" s="56">
        <f>(J33+1)^(1/30)-1</f>
        <v>0.06150959626</v>
      </c>
      <c r="K36" s="11" t="s">
        <v>17</v>
      </c>
      <c r="L36" s="11"/>
      <c r="N36" s="12"/>
      <c r="P36" s="50"/>
      <c r="Q36" s="50"/>
      <c r="R36" s="12"/>
      <c r="S36" s="12"/>
      <c r="T36" s="12"/>
      <c r="V36" s="109"/>
      <c r="W36" s="109"/>
      <c r="Z36" s="16"/>
      <c r="AA36" s="11"/>
      <c r="AB36" s="12"/>
    </row>
    <row r="37" ht="12.75" customHeight="1">
      <c r="B37" s="11" t="s">
        <v>73</v>
      </c>
      <c r="D37" s="16">
        <f>(H33/C4)^(1/29)-1</f>
        <v>0.04255810462</v>
      </c>
      <c r="F37" s="6" t="s">
        <v>113</v>
      </c>
      <c r="G37" s="12">
        <f>SUM(O4:O33)+SUM(Z4:Z33)</f>
        <v>359630.1051</v>
      </c>
      <c r="K37" s="11"/>
      <c r="P37" s="50"/>
      <c r="Q37" s="50"/>
      <c r="R37" s="12"/>
      <c r="S37" s="12"/>
      <c r="V37" s="109"/>
      <c r="W37" s="109"/>
      <c r="AA37" s="11"/>
      <c r="AB37" s="16"/>
    </row>
    <row r="38" ht="12.75" customHeight="1">
      <c r="K38" s="11"/>
      <c r="R38" s="12"/>
      <c r="S38" s="12"/>
      <c r="V38" s="110"/>
      <c r="W38" s="110"/>
      <c r="X38" s="111"/>
      <c r="Y38" s="111"/>
      <c r="AA38" s="11"/>
      <c r="AB38" s="112"/>
    </row>
    <row r="39" ht="12.75" customHeight="1">
      <c r="B39" s="28" t="s">
        <v>114</v>
      </c>
      <c r="C39" s="25">
        <f>D37-'HIER Rechnung Thesaurierer '!D37</f>
        <v>0.003189424767</v>
      </c>
      <c r="D39" s="24" t="s">
        <v>17</v>
      </c>
      <c r="K39" s="11"/>
      <c r="P39" s="16"/>
      <c r="Q39" s="16"/>
      <c r="R39" s="11"/>
      <c r="S39" s="11"/>
      <c r="V39" s="110"/>
      <c r="W39" s="110"/>
      <c r="AA39" s="11"/>
      <c r="AB39" s="44"/>
      <c r="AD39" s="44"/>
    </row>
    <row r="40" ht="12.75" customHeight="1">
      <c r="B40" s="28" t="s">
        <v>115</v>
      </c>
      <c r="C40" s="25">
        <f>D37-'HIER Rechnung Ausschütter'!D37</f>
        <v>0.00090140633</v>
      </c>
      <c r="D40" s="24" t="s">
        <v>17</v>
      </c>
      <c r="E40" s="6" t="s">
        <v>116</v>
      </c>
      <c r="F40" s="12">
        <f>H33-'HIER Rechnung Ausschütter'!I33</f>
        <v>82961.82348</v>
      </c>
      <c r="G40" s="11" t="s">
        <v>117</v>
      </c>
      <c r="H40" s="16">
        <f>F40/H33</f>
        <v>0.02477253756</v>
      </c>
      <c r="K40" s="11"/>
      <c r="R40" s="12"/>
      <c r="S40" s="12"/>
      <c r="T40" s="50"/>
      <c r="V40" s="110"/>
      <c r="W40" s="110"/>
      <c r="AA40" s="11"/>
      <c r="AB40" s="12"/>
    </row>
    <row r="41" ht="12.75" customHeight="1">
      <c r="B41" s="19"/>
      <c r="K41" s="11"/>
      <c r="R41" s="11"/>
      <c r="S41" s="11"/>
      <c r="AA41" s="11"/>
      <c r="AB41" s="12"/>
    </row>
    <row r="42" ht="12.75" customHeight="1">
      <c r="B42" s="65" t="s">
        <v>75</v>
      </c>
      <c r="K42" s="11"/>
      <c r="Z42" s="11"/>
    </row>
    <row r="43" ht="12.75" customHeight="1">
      <c r="B43" s="14" t="s">
        <v>76</v>
      </c>
      <c r="C43" s="12">
        <f>(B34-D1)*C34</f>
        <v>2976466.676</v>
      </c>
      <c r="K43" s="11"/>
      <c r="R43" s="16"/>
      <c r="S43" s="16"/>
      <c r="Z43" s="11"/>
    </row>
    <row r="44" ht="12.75" customHeight="1">
      <c r="B44" s="14" t="s">
        <v>77</v>
      </c>
      <c r="C44" s="12">
        <f>C43*P1</f>
        <v>785043.0857</v>
      </c>
      <c r="K44" s="11"/>
    </row>
    <row r="45" ht="12.75" customHeight="1">
      <c r="B45" s="14" t="s">
        <v>78</v>
      </c>
      <c r="C45" s="12">
        <f>H33-C44</f>
        <v>2563900.206</v>
      </c>
      <c r="G45" s="113"/>
      <c r="K45" s="11"/>
      <c r="R45" s="67"/>
      <c r="S45" s="67"/>
    </row>
    <row r="46" ht="12.75" customHeight="1">
      <c r="B46" s="1" t="s">
        <v>73</v>
      </c>
      <c r="C46" s="16">
        <f>(C45/C4)^(1/29)-1</f>
        <v>0.03299932687</v>
      </c>
      <c r="D46" s="11" t="s">
        <v>17</v>
      </c>
      <c r="K46" s="11"/>
      <c r="R46" s="67"/>
      <c r="S46" s="67"/>
    </row>
    <row r="47" ht="12.75" customHeight="1">
      <c r="B47" s="19"/>
      <c r="K47" s="11"/>
    </row>
    <row r="48" ht="12.75" customHeight="1">
      <c r="B48" s="28" t="s">
        <v>115</v>
      </c>
      <c r="C48" s="25">
        <f>C46-'HIER Rechnung Ausschütter'!C46</f>
        <v>-0.002296447366</v>
      </c>
      <c r="D48" s="24" t="s">
        <v>17</v>
      </c>
      <c r="K48" s="11"/>
    </row>
    <row r="49" ht="12.75" customHeight="1">
      <c r="B49" s="28" t="s">
        <v>114</v>
      </c>
      <c r="C49" s="25">
        <f>C46-'HIER Rechnung Thesaurierer '!C46</f>
        <v>-0.0003220194041</v>
      </c>
      <c r="D49" s="24" t="s">
        <v>17</v>
      </c>
      <c r="K49" s="11"/>
      <c r="R49" s="16"/>
      <c r="S49" s="16"/>
    </row>
    <row r="50" ht="12.75" customHeight="1">
      <c r="B50" s="19"/>
      <c r="K50" s="11"/>
    </row>
    <row r="51" ht="12.75" customHeight="1">
      <c r="B51" s="19"/>
      <c r="K51" s="11"/>
      <c r="R51" s="67"/>
      <c r="S51" s="67"/>
    </row>
    <row r="52" ht="12.75" customHeight="1">
      <c r="B52" s="19"/>
      <c r="K52" s="11"/>
      <c r="R52" s="68"/>
      <c r="S52" s="68"/>
    </row>
    <row r="53" ht="12.75" customHeight="1">
      <c r="B53" s="19"/>
      <c r="K53" s="11"/>
      <c r="R53" s="68"/>
      <c r="S53" s="68"/>
    </row>
    <row r="54" ht="12.75" customHeight="1">
      <c r="B54" s="19"/>
      <c r="K54" s="11"/>
      <c r="R54" s="68"/>
      <c r="S54" s="68"/>
    </row>
    <row r="55" ht="12.75" customHeight="1">
      <c r="B55" s="19"/>
      <c r="K55" s="11"/>
      <c r="R55" s="68"/>
      <c r="S55" s="68"/>
    </row>
    <row r="56" ht="12.75" customHeight="1">
      <c r="K56" s="11"/>
    </row>
    <row r="57" ht="12.75" customHeight="1">
      <c r="K57" s="11"/>
    </row>
    <row r="58" ht="12.75" customHeight="1">
      <c r="K58" s="11"/>
    </row>
    <row r="59" ht="12.75" customHeight="1">
      <c r="K59" s="11"/>
    </row>
    <row r="60" ht="12.75" customHeight="1">
      <c r="K60" s="11"/>
    </row>
    <row r="61" ht="12.75" customHeight="1">
      <c r="K61" s="11"/>
    </row>
    <row r="62" ht="12.75" customHeight="1">
      <c r="K62" s="11"/>
    </row>
    <row r="63" ht="12.75" customHeight="1">
      <c r="K63" s="11"/>
    </row>
    <row r="64" ht="12.75" customHeight="1">
      <c r="K64" s="11"/>
    </row>
    <row r="65" ht="12.75" customHeight="1">
      <c r="K65" s="11"/>
    </row>
    <row r="66" ht="12.75" customHeight="1">
      <c r="K66" s="11"/>
    </row>
    <row r="67" ht="12.75" customHeight="1">
      <c r="K67" s="11"/>
    </row>
    <row r="68" ht="12.75" customHeight="1">
      <c r="K68" s="11"/>
    </row>
    <row r="69" ht="12.75" customHeight="1">
      <c r="K69" s="11"/>
    </row>
    <row r="70" ht="12.75" customHeight="1">
      <c r="K70" s="11"/>
    </row>
    <row r="71" ht="12.75" customHeight="1">
      <c r="K71" s="11"/>
    </row>
    <row r="72" ht="12.75" customHeight="1">
      <c r="K72" s="11"/>
    </row>
    <row r="73" ht="12.75" customHeight="1">
      <c r="K73" s="11"/>
    </row>
    <row r="74" ht="12.75" customHeight="1">
      <c r="K74" s="11"/>
    </row>
    <row r="75" ht="12.75" customHeight="1">
      <c r="K75" s="11"/>
    </row>
    <row r="76" ht="12.75" customHeight="1">
      <c r="K76" s="11"/>
    </row>
    <row r="77" ht="12.75" customHeight="1">
      <c r="K77" s="11"/>
    </row>
    <row r="78" ht="12.75" customHeight="1">
      <c r="K78" s="11"/>
    </row>
    <row r="79" ht="12.75" customHeight="1">
      <c r="K79" s="11"/>
    </row>
    <row r="80" ht="12.75" customHeight="1">
      <c r="K80" s="11"/>
    </row>
    <row r="81" ht="12.75" customHeight="1">
      <c r="K81" s="11"/>
    </row>
    <row r="82" ht="12.75" customHeight="1">
      <c r="K82" s="11"/>
    </row>
    <row r="83" ht="12.75" customHeight="1">
      <c r="K83" s="11"/>
    </row>
    <row r="84" ht="12.75" customHeight="1">
      <c r="K84" s="11"/>
    </row>
    <row r="85" ht="12.75" customHeight="1">
      <c r="K85" s="11"/>
    </row>
    <row r="86" ht="12.75" customHeight="1">
      <c r="K86" s="11"/>
    </row>
    <row r="87" ht="12.75" customHeight="1">
      <c r="K87" s="11"/>
    </row>
    <row r="88" ht="12.75" customHeight="1">
      <c r="K88" s="11"/>
    </row>
    <row r="89" ht="12.75" customHeight="1">
      <c r="K89" s="11"/>
    </row>
    <row r="90" ht="12.75" customHeight="1">
      <c r="K90" s="11"/>
    </row>
    <row r="91" ht="12.75" customHeight="1">
      <c r="K91" s="11"/>
    </row>
    <row r="92" ht="12.75" customHeight="1">
      <c r="K92" s="11"/>
    </row>
    <row r="93" ht="12.75" customHeight="1">
      <c r="K93" s="11"/>
    </row>
    <row r="94" ht="12.75" customHeight="1">
      <c r="K94" s="11"/>
    </row>
    <row r="95" ht="12.75" customHeight="1">
      <c r="K95" s="11"/>
    </row>
    <row r="96" ht="12.75" customHeight="1">
      <c r="K96" s="11"/>
    </row>
    <row r="97" ht="12.75" customHeight="1">
      <c r="K97" s="11"/>
    </row>
    <row r="98" ht="12.75" customHeight="1">
      <c r="K98" s="11"/>
    </row>
    <row r="99" ht="12.75" customHeight="1">
      <c r="K99" s="11"/>
    </row>
    <row r="100" ht="12.75" customHeight="1">
      <c r="K100" s="11"/>
    </row>
    <row r="101" ht="12.75" customHeight="1">
      <c r="K101" s="11"/>
    </row>
    <row r="102" ht="12.75" customHeight="1">
      <c r="K102" s="11"/>
    </row>
    <row r="103" ht="12.75" customHeight="1">
      <c r="K103" s="11"/>
    </row>
    <row r="104" ht="12.75" customHeight="1">
      <c r="K104" s="11"/>
    </row>
    <row r="105" ht="12.75" customHeight="1">
      <c r="K105" s="11"/>
    </row>
    <row r="106" ht="12.75" customHeight="1">
      <c r="K106" s="11"/>
    </row>
    <row r="107" ht="12.75" customHeight="1">
      <c r="K107" s="11"/>
    </row>
    <row r="108" ht="12.75" customHeight="1">
      <c r="K108" s="11"/>
    </row>
    <row r="109" ht="12.75" customHeight="1">
      <c r="K109" s="11"/>
    </row>
    <row r="110" ht="12.75" customHeight="1">
      <c r="K110" s="11"/>
    </row>
    <row r="111" ht="12.75" customHeight="1">
      <c r="K111" s="11"/>
    </row>
    <row r="112" ht="12.75" customHeight="1">
      <c r="K112" s="11"/>
    </row>
    <row r="113" ht="12.75" customHeight="1">
      <c r="K113" s="11"/>
    </row>
    <row r="114" ht="12.75" customHeight="1">
      <c r="K114" s="11"/>
    </row>
    <row r="115" ht="12.75" customHeight="1">
      <c r="K115" s="11"/>
    </row>
    <row r="116" ht="12.75" customHeight="1">
      <c r="K116" s="11"/>
    </row>
    <row r="117" ht="12.75" customHeight="1">
      <c r="K117" s="11"/>
    </row>
    <row r="118" ht="12.75" customHeight="1">
      <c r="K118" s="11"/>
    </row>
    <row r="119" ht="12.75" customHeight="1">
      <c r="K119" s="11"/>
    </row>
    <row r="120" ht="12.75" customHeight="1">
      <c r="K120" s="11"/>
    </row>
    <row r="121" ht="12.75" customHeight="1">
      <c r="K121" s="11"/>
    </row>
    <row r="122" ht="12.75" customHeight="1">
      <c r="K122" s="11"/>
    </row>
    <row r="123" ht="12.75" customHeight="1">
      <c r="K123" s="11"/>
    </row>
    <row r="124" ht="12.75" customHeight="1">
      <c r="K124" s="11"/>
    </row>
    <row r="125" ht="12.75" customHeight="1">
      <c r="K125" s="11"/>
    </row>
    <row r="126" ht="12.75" customHeight="1">
      <c r="K126" s="11"/>
    </row>
    <row r="127" ht="12.75" customHeight="1">
      <c r="K127" s="11"/>
    </row>
    <row r="128" ht="12.75" customHeight="1">
      <c r="K128" s="11"/>
    </row>
    <row r="129" ht="12.75" customHeight="1">
      <c r="K129" s="11"/>
    </row>
    <row r="130" ht="12.75" customHeight="1">
      <c r="K130" s="11"/>
    </row>
    <row r="131" ht="12.75" customHeight="1">
      <c r="K131" s="11"/>
    </row>
    <row r="132" ht="12.75" customHeight="1">
      <c r="K132" s="11"/>
    </row>
    <row r="133" ht="12.75" customHeight="1">
      <c r="K133" s="11"/>
    </row>
    <row r="134" ht="12.75" customHeight="1">
      <c r="K134" s="11"/>
    </row>
    <row r="135" ht="12.75" customHeight="1">
      <c r="K135" s="11"/>
    </row>
    <row r="136" ht="12.75" customHeight="1">
      <c r="K136" s="11"/>
    </row>
    <row r="137" ht="12.75" customHeight="1">
      <c r="K137" s="11"/>
    </row>
    <row r="138" ht="12.75" customHeight="1">
      <c r="K138" s="11"/>
    </row>
    <row r="139" ht="12.75" customHeight="1">
      <c r="K139" s="11"/>
    </row>
    <row r="140" ht="12.75" customHeight="1">
      <c r="K140" s="11"/>
    </row>
    <row r="141" ht="12.75" customHeight="1">
      <c r="K141" s="11"/>
    </row>
    <row r="142" ht="12.75" customHeight="1">
      <c r="K142" s="11"/>
    </row>
    <row r="143" ht="12.75" customHeight="1">
      <c r="K143" s="11"/>
    </row>
    <row r="144" ht="12.75" customHeight="1">
      <c r="K144" s="11"/>
    </row>
    <row r="145" ht="12.75" customHeight="1">
      <c r="K145" s="11"/>
    </row>
    <row r="146" ht="12.75" customHeight="1">
      <c r="K146" s="11"/>
    </row>
    <row r="147" ht="12.75" customHeight="1">
      <c r="K147" s="11"/>
    </row>
    <row r="148" ht="12.75" customHeight="1">
      <c r="K148" s="11"/>
    </row>
    <row r="149" ht="12.75" customHeight="1">
      <c r="K149" s="11"/>
    </row>
    <row r="150" ht="12.75" customHeight="1">
      <c r="K150" s="11"/>
    </row>
    <row r="151" ht="12.75" customHeight="1">
      <c r="K151" s="11"/>
    </row>
    <row r="152" ht="12.75" customHeight="1">
      <c r="K152" s="11"/>
    </row>
    <row r="153" ht="12.75" customHeight="1">
      <c r="K153" s="11"/>
    </row>
    <row r="154" ht="12.75" customHeight="1">
      <c r="K154" s="11"/>
    </row>
    <row r="155" ht="12.75" customHeight="1">
      <c r="K155" s="11"/>
    </row>
    <row r="156" ht="12.75" customHeight="1">
      <c r="K156" s="11"/>
    </row>
    <row r="157" ht="12.75" customHeight="1">
      <c r="K157" s="11"/>
    </row>
    <row r="158" ht="12.75" customHeight="1">
      <c r="K158" s="11"/>
    </row>
    <row r="159" ht="12.75" customHeight="1">
      <c r="K159" s="11"/>
    </row>
    <row r="160" ht="12.75" customHeight="1">
      <c r="K160" s="11"/>
    </row>
    <row r="161" ht="12.75" customHeight="1">
      <c r="K161" s="11"/>
    </row>
    <row r="162" ht="12.75" customHeight="1">
      <c r="K162" s="11"/>
    </row>
    <row r="163" ht="12.75" customHeight="1">
      <c r="K163" s="11"/>
    </row>
    <row r="164" ht="12.75" customHeight="1">
      <c r="K164" s="11"/>
    </row>
    <row r="165" ht="12.75" customHeight="1">
      <c r="K165" s="11"/>
    </row>
    <row r="166" ht="12.75" customHeight="1">
      <c r="K166" s="11"/>
    </row>
    <row r="167" ht="12.75" customHeight="1">
      <c r="K167" s="11"/>
    </row>
    <row r="168" ht="12.75" customHeight="1">
      <c r="K168" s="11"/>
    </row>
    <row r="169" ht="12.75" customHeight="1">
      <c r="K169" s="11"/>
    </row>
    <row r="170" ht="12.75" customHeight="1">
      <c r="K170" s="11"/>
    </row>
    <row r="171" ht="12.75" customHeight="1">
      <c r="K171" s="11"/>
    </row>
    <row r="172" ht="12.75" customHeight="1">
      <c r="K172" s="11"/>
    </row>
    <row r="173" ht="12.75" customHeight="1">
      <c r="K173" s="11"/>
    </row>
    <row r="174" ht="12.75" customHeight="1">
      <c r="K174" s="11"/>
    </row>
    <row r="175" ht="12.75" customHeight="1">
      <c r="K175" s="11"/>
    </row>
    <row r="176" ht="12.75" customHeight="1">
      <c r="K176" s="11"/>
    </row>
    <row r="177" ht="12.75" customHeight="1">
      <c r="K177" s="11"/>
    </row>
    <row r="178" ht="12.75" customHeight="1">
      <c r="K178" s="11"/>
    </row>
    <row r="179" ht="12.75" customHeight="1">
      <c r="K179" s="11"/>
    </row>
    <row r="180" ht="12.75" customHeight="1">
      <c r="K180" s="11"/>
    </row>
    <row r="181" ht="12.75" customHeight="1">
      <c r="K181" s="11"/>
    </row>
    <row r="182" ht="12.75" customHeight="1">
      <c r="K182" s="11"/>
    </row>
    <row r="183" ht="12.75" customHeight="1">
      <c r="K183" s="11"/>
    </row>
    <row r="184" ht="12.75" customHeight="1">
      <c r="K184" s="11"/>
    </row>
    <row r="185" ht="12.75" customHeight="1">
      <c r="K185" s="11"/>
    </row>
    <row r="186" ht="12.75" customHeight="1">
      <c r="K186" s="11"/>
    </row>
    <row r="187" ht="12.75" customHeight="1">
      <c r="K187" s="11"/>
    </row>
    <row r="188" ht="12.75" customHeight="1">
      <c r="K188" s="11"/>
    </row>
    <row r="189" ht="12.75" customHeight="1">
      <c r="K189" s="11"/>
    </row>
    <row r="190" ht="12.75" customHeight="1">
      <c r="K190" s="11"/>
    </row>
    <row r="191" ht="12.75" customHeight="1">
      <c r="K191" s="11"/>
    </row>
    <row r="192" ht="12.75" customHeight="1">
      <c r="K192" s="11"/>
    </row>
    <row r="193" ht="12.75" customHeight="1">
      <c r="K193" s="11"/>
    </row>
    <row r="194" ht="12.75" customHeight="1">
      <c r="K194" s="11"/>
    </row>
    <row r="195" ht="12.75" customHeight="1">
      <c r="K195" s="11"/>
    </row>
    <row r="196" ht="12.75" customHeight="1">
      <c r="K196" s="11"/>
    </row>
    <row r="197" ht="12.75" customHeight="1">
      <c r="K197" s="11"/>
    </row>
    <row r="198" ht="12.75" customHeight="1">
      <c r="K198" s="11"/>
    </row>
    <row r="199" ht="12.75" customHeight="1">
      <c r="K199" s="11"/>
    </row>
    <row r="200" ht="12.75" customHeight="1">
      <c r="K200" s="11"/>
    </row>
    <row r="201" ht="12.75" customHeight="1">
      <c r="K201" s="11"/>
    </row>
    <row r="202" ht="12.75" customHeight="1">
      <c r="K202" s="11"/>
    </row>
    <row r="203" ht="12.75" customHeight="1">
      <c r="K203" s="11"/>
    </row>
    <row r="204" ht="12.75" customHeight="1">
      <c r="K204" s="11"/>
    </row>
    <row r="205" ht="12.75" customHeight="1">
      <c r="K205" s="11"/>
    </row>
    <row r="206" ht="12.75" customHeight="1">
      <c r="K206" s="11"/>
    </row>
    <row r="207" ht="12.75" customHeight="1">
      <c r="K207" s="11"/>
    </row>
    <row r="208" ht="12.75" customHeight="1">
      <c r="K208" s="11"/>
    </row>
    <row r="209" ht="12.75" customHeight="1">
      <c r="K209" s="11"/>
    </row>
    <row r="210" ht="12.75" customHeight="1">
      <c r="K210" s="11"/>
    </row>
    <row r="211" ht="12.75" customHeight="1">
      <c r="K211" s="11"/>
    </row>
    <row r="212" ht="12.75" customHeight="1">
      <c r="K212" s="11"/>
    </row>
    <row r="213" ht="12.75" customHeight="1">
      <c r="K213" s="11"/>
    </row>
    <row r="214" ht="12.75" customHeight="1">
      <c r="K214" s="11"/>
    </row>
    <row r="215" ht="12.75" customHeight="1">
      <c r="K215" s="11"/>
    </row>
    <row r="216" ht="12.75" customHeight="1">
      <c r="K216" s="11"/>
    </row>
    <row r="217" ht="12.75" customHeight="1">
      <c r="K217" s="11"/>
    </row>
    <row r="218" ht="12.75" customHeight="1">
      <c r="K218" s="11"/>
    </row>
    <row r="219" ht="12.75" customHeight="1">
      <c r="K219" s="11"/>
    </row>
    <row r="220" ht="12.75" customHeight="1">
      <c r="K220" s="11"/>
    </row>
    <row r="221" ht="12.75" customHeight="1">
      <c r="K221" s="11"/>
    </row>
    <row r="222" ht="12.75" customHeight="1">
      <c r="K222" s="11"/>
    </row>
    <row r="223" ht="12.75" customHeight="1">
      <c r="K223" s="11"/>
    </row>
    <row r="224" ht="12.75" customHeight="1">
      <c r="K224" s="11"/>
    </row>
    <row r="225" ht="12.75" customHeight="1">
      <c r="K225" s="11"/>
    </row>
    <row r="226" ht="12.75" customHeight="1">
      <c r="K226" s="11"/>
    </row>
    <row r="227" ht="12.75" customHeight="1">
      <c r="K227" s="11"/>
    </row>
    <row r="228" ht="12.75" customHeight="1">
      <c r="K228" s="11"/>
    </row>
    <row r="229" ht="12.75" customHeight="1">
      <c r="K229" s="11"/>
    </row>
    <row r="230" ht="12.75" customHeight="1">
      <c r="K230" s="11"/>
    </row>
    <row r="231" ht="12.75" customHeight="1">
      <c r="K231" s="11"/>
    </row>
    <row r="232" ht="12.75" customHeight="1">
      <c r="K232" s="11"/>
    </row>
    <row r="233" ht="12.75" customHeight="1">
      <c r="K233" s="11"/>
    </row>
    <row r="234" ht="12.75" customHeight="1">
      <c r="K234" s="11"/>
    </row>
    <row r="235" ht="12.75" customHeight="1">
      <c r="K235" s="11"/>
    </row>
    <row r="236" ht="12.75" customHeight="1">
      <c r="K236" s="11"/>
    </row>
    <row r="237" ht="12.75" customHeight="1">
      <c r="K237" s="11"/>
    </row>
    <row r="238" ht="12.75" customHeight="1">
      <c r="K238" s="11"/>
    </row>
    <row r="239" ht="12.75" customHeight="1">
      <c r="K239" s="11"/>
    </row>
    <row r="240" ht="12.75" customHeight="1">
      <c r="K240" s="11"/>
    </row>
    <row r="241" ht="12.75" customHeight="1">
      <c r="K241" s="11"/>
    </row>
    <row r="242" ht="12.75" customHeight="1">
      <c r="K242" s="11"/>
    </row>
    <row r="243" ht="12.75" customHeight="1">
      <c r="K243" s="11"/>
    </row>
    <row r="244" ht="12.75" customHeight="1">
      <c r="K244" s="11"/>
    </row>
    <row r="245" ht="12.75" customHeight="1">
      <c r="K245" s="11"/>
    </row>
    <row r="246" ht="12.75" customHeight="1">
      <c r="K246" s="11"/>
    </row>
    <row r="247" ht="12.75" customHeight="1">
      <c r="K247" s="11"/>
    </row>
    <row r="248" ht="12.75" customHeight="1">
      <c r="K248" s="11"/>
    </row>
    <row r="249" ht="12.75" customHeight="1">
      <c r="K249" s="11"/>
    </row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AE3:AE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conditionalFormatting sqref="AE3:AE33">
    <cfRule type="colorScale" priority="2">
      <colorScale>
        <cfvo type="min" val="0"/>
        <cfvo type="max" val="0"/>
        <color rgb="FFFF0000"/>
        <color rgb="FF57BB8A"/>
      </colorScale>
    </cfRule>
  </conditionalFormatting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13"/>
    <col customWidth="1" min="2" max="26" width="12.75"/>
  </cols>
  <sheetData>
    <row r="1" ht="15.75" customHeight="1">
      <c r="A1" s="114" t="s">
        <v>118</v>
      </c>
    </row>
    <row r="2" ht="15.75" customHeight="1">
      <c r="A2" s="115" t="s">
        <v>119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ht="15.75" customHeight="1">
      <c r="A3" s="11" t="s">
        <v>120</v>
      </c>
    </row>
    <row r="4" ht="15.75" customHeight="1">
      <c r="A4" s="117" t="s">
        <v>121</v>
      </c>
      <c r="B4" s="118"/>
      <c r="C4" s="118"/>
    </row>
    <row r="5" ht="15.75" customHeight="1">
      <c r="A5" s="11"/>
    </row>
    <row r="6" ht="15.75" customHeight="1">
      <c r="A6" s="11" t="s">
        <v>122</v>
      </c>
    </row>
    <row r="7" ht="15.75" customHeight="1">
      <c r="A7" s="11" t="s">
        <v>123</v>
      </c>
    </row>
    <row r="8" ht="15.75" customHeight="1">
      <c r="A8" s="11" t="s">
        <v>124</v>
      </c>
    </row>
    <row r="9" ht="15.75" customHeight="1">
      <c r="A9" s="11" t="s">
        <v>125</v>
      </c>
    </row>
    <row r="10" ht="15.75" customHeight="1">
      <c r="A10" s="11" t="s">
        <v>126</v>
      </c>
    </row>
    <row r="11" ht="15.75" customHeight="1"/>
    <row r="12" ht="15.75" customHeight="1">
      <c r="A12" s="119" t="s">
        <v>127</v>
      </c>
    </row>
    <row r="13" ht="15.7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120" t="s">
        <v>128</v>
      </c>
      <c r="B1" s="121" t="s">
        <v>129</v>
      </c>
      <c r="C1" s="121"/>
      <c r="D1" s="121"/>
      <c r="E1" s="121"/>
      <c r="F1" s="121"/>
      <c r="G1" s="120" t="s">
        <v>128</v>
      </c>
      <c r="H1" s="121" t="s">
        <v>130</v>
      </c>
      <c r="I1" s="121"/>
      <c r="N1" s="11"/>
    </row>
    <row r="2" ht="15.75" customHeight="1">
      <c r="A2" s="120" t="s">
        <v>131</v>
      </c>
      <c r="B2" s="121" t="s">
        <v>132</v>
      </c>
      <c r="C2" s="121"/>
      <c r="D2" s="121"/>
      <c r="E2" s="121"/>
      <c r="F2" s="121"/>
      <c r="G2" s="120" t="s">
        <v>131</v>
      </c>
      <c r="H2" s="121" t="s">
        <v>132</v>
      </c>
      <c r="I2" s="121"/>
      <c r="N2" s="11"/>
    </row>
    <row r="3" ht="15.75" customHeight="1">
      <c r="A3" s="121"/>
      <c r="B3" s="121"/>
      <c r="C3" s="121"/>
      <c r="D3" s="121"/>
      <c r="E3" s="121"/>
      <c r="F3" s="121"/>
      <c r="G3" s="121"/>
      <c r="H3" s="121"/>
      <c r="I3" s="121"/>
      <c r="N3" s="122"/>
    </row>
    <row r="4" ht="15.75" customHeight="1">
      <c r="A4" s="121"/>
      <c r="B4" s="121"/>
      <c r="C4" s="121"/>
      <c r="D4" s="121"/>
      <c r="E4" s="121"/>
      <c r="F4" s="121"/>
      <c r="G4" s="121"/>
      <c r="H4" s="121"/>
      <c r="N4" s="123"/>
    </row>
    <row r="5" ht="15.75" customHeight="1">
      <c r="A5" s="120" t="s">
        <v>133</v>
      </c>
      <c r="B5" s="120" t="s">
        <v>134</v>
      </c>
      <c r="C5" s="121"/>
      <c r="D5" s="121"/>
      <c r="E5" s="121"/>
      <c r="F5" s="121"/>
      <c r="G5" s="120" t="s">
        <v>133</v>
      </c>
      <c r="H5" s="120" t="s">
        <v>134</v>
      </c>
      <c r="I5" s="121"/>
      <c r="K5" s="11" t="s">
        <v>135</v>
      </c>
      <c r="M5" s="6" t="s">
        <v>136</v>
      </c>
      <c r="N5" s="122"/>
    </row>
    <row r="6" ht="69.75" customHeight="1">
      <c r="A6" s="121" t="s">
        <v>137</v>
      </c>
      <c r="B6" s="124">
        <v>100.0</v>
      </c>
      <c r="C6" s="121"/>
      <c r="D6" s="121"/>
      <c r="E6" s="121"/>
      <c r="F6" s="121"/>
      <c r="G6" s="121" t="s">
        <v>137</v>
      </c>
      <c r="H6" s="124">
        <v>100.0</v>
      </c>
      <c r="I6" s="125" t="s">
        <v>138</v>
      </c>
      <c r="K6" s="125" t="s">
        <v>139</v>
      </c>
      <c r="L6" s="11" t="s">
        <v>140</v>
      </c>
      <c r="M6" s="125" t="s">
        <v>141</v>
      </c>
      <c r="N6" s="126" t="s">
        <v>142</v>
      </c>
    </row>
    <row r="7" ht="15.75" customHeight="1">
      <c r="A7" s="121" t="s">
        <v>143</v>
      </c>
      <c r="B7" s="124">
        <v>98.017</v>
      </c>
      <c r="C7" s="46">
        <v>-0.01983</v>
      </c>
      <c r="D7" s="121"/>
      <c r="E7" s="121"/>
      <c r="F7" s="121"/>
      <c r="G7" s="121" t="s">
        <v>143</v>
      </c>
      <c r="H7" s="124">
        <v>94.292</v>
      </c>
      <c r="I7" s="127">
        <v>-0.05708</v>
      </c>
      <c r="K7" s="128">
        <v>0.03725</v>
      </c>
      <c r="L7" s="16">
        <f t="shared" ref="L7:L61" si="1">M7-K7</f>
        <v>0.04575</v>
      </c>
      <c r="M7" s="129">
        <v>0.083</v>
      </c>
      <c r="N7" s="122"/>
    </row>
    <row r="8" ht="15.75" customHeight="1">
      <c r="A8" s="121" t="s">
        <v>144</v>
      </c>
      <c r="B8" s="124">
        <v>117.193</v>
      </c>
      <c r="C8" s="46">
        <v>0.195639531917933</v>
      </c>
      <c r="D8" s="121"/>
      <c r="E8" s="121"/>
      <c r="F8" s="121"/>
      <c r="G8" s="121" t="s">
        <v>144</v>
      </c>
      <c r="H8" s="124">
        <v>108.993</v>
      </c>
      <c r="I8" s="127">
        <v>0.155909303016162</v>
      </c>
      <c r="K8" s="128">
        <v>0.039730228901771</v>
      </c>
      <c r="L8" s="16">
        <f t="shared" si="1"/>
        <v>0.0402697711</v>
      </c>
      <c r="M8" s="129">
        <v>0.08</v>
      </c>
      <c r="N8" s="123"/>
    </row>
    <row r="9" ht="15.75" customHeight="1">
      <c r="A9" s="121" t="s">
        <v>145</v>
      </c>
      <c r="B9" s="124">
        <v>144.79</v>
      </c>
      <c r="C9" s="46">
        <v>0.235483347981535</v>
      </c>
      <c r="D9" s="121"/>
      <c r="E9" s="121"/>
      <c r="F9" s="121"/>
      <c r="G9" s="121" t="s">
        <v>145</v>
      </c>
      <c r="H9" s="124">
        <v>130.737</v>
      </c>
      <c r="I9" s="127">
        <v>0.199499050397732</v>
      </c>
      <c r="K9" s="128">
        <v>0.035984297583803</v>
      </c>
      <c r="L9" s="16">
        <f t="shared" si="1"/>
        <v>0.04301570242</v>
      </c>
      <c r="M9" s="129">
        <v>0.079</v>
      </c>
      <c r="N9" s="122"/>
    </row>
    <row r="10" ht="15.75" customHeight="1">
      <c r="A10" s="121" t="s">
        <v>146</v>
      </c>
      <c r="B10" s="124">
        <v>123.787</v>
      </c>
      <c r="C10" s="46">
        <v>-0.145058360384004</v>
      </c>
      <c r="D10" s="121"/>
      <c r="E10" s="121"/>
      <c r="F10" s="121"/>
      <c r="G10" s="121" t="s">
        <v>146</v>
      </c>
      <c r="H10" s="124">
        <v>108.41</v>
      </c>
      <c r="I10" s="127">
        <v>-0.170777974100675</v>
      </c>
      <c r="K10" s="128">
        <v>0.025719613716671</v>
      </c>
      <c r="L10" s="16">
        <f t="shared" si="1"/>
        <v>0.06728038628</v>
      </c>
      <c r="M10" s="129">
        <v>0.093</v>
      </c>
      <c r="N10" s="123"/>
    </row>
    <row r="11" ht="15.75" customHeight="1">
      <c r="A11" s="121" t="s">
        <v>147</v>
      </c>
      <c r="B11" s="124">
        <v>93.484</v>
      </c>
      <c r="C11" s="46">
        <v>-0.244799534684579</v>
      </c>
      <c r="D11" s="121"/>
      <c r="E11" s="121"/>
      <c r="F11" s="121"/>
      <c r="G11" s="121" t="s">
        <v>147</v>
      </c>
      <c r="H11" s="124">
        <v>78.237</v>
      </c>
      <c r="I11" s="127">
        <v>-0.278323032930541</v>
      </c>
      <c r="K11" s="128">
        <v>0.033523498245962</v>
      </c>
      <c r="L11" s="16">
        <f t="shared" si="1"/>
        <v>0.07047650175</v>
      </c>
      <c r="M11" s="129">
        <v>0.104</v>
      </c>
      <c r="N11" s="122"/>
    </row>
    <row r="12" ht="15.75" customHeight="1">
      <c r="A12" s="121" t="s">
        <v>148</v>
      </c>
      <c r="B12" s="124">
        <v>125.732</v>
      </c>
      <c r="C12" s="46">
        <v>0.344957425869668</v>
      </c>
      <c r="D12" s="121"/>
      <c r="E12" s="121"/>
      <c r="F12" s="121"/>
      <c r="G12" s="121" t="s">
        <v>148</v>
      </c>
      <c r="H12" s="124">
        <v>100.863</v>
      </c>
      <c r="I12" s="127">
        <v>0.289198205452663</v>
      </c>
      <c r="K12" s="128">
        <v>0.055759220417005</v>
      </c>
      <c r="L12" s="16">
        <f t="shared" si="1"/>
        <v>0.03124077958</v>
      </c>
      <c r="M12" s="129">
        <v>0.087</v>
      </c>
      <c r="N12" s="123"/>
    </row>
    <row r="13" ht="15.75" customHeight="1">
      <c r="A13" s="121" t="s">
        <v>149</v>
      </c>
      <c r="B13" s="124">
        <v>144.228</v>
      </c>
      <c r="C13" s="46">
        <v>0.14710654407788</v>
      </c>
      <c r="D13" s="121"/>
      <c r="E13" s="121"/>
      <c r="F13" s="121"/>
      <c r="G13" s="121" t="s">
        <v>149</v>
      </c>
      <c r="H13" s="124">
        <v>111.262</v>
      </c>
      <c r="I13" s="127">
        <v>0.103100244886629</v>
      </c>
      <c r="K13" s="128">
        <v>0.044006299191251</v>
      </c>
      <c r="L13" s="16">
        <f t="shared" si="1"/>
        <v>0.03599370081</v>
      </c>
      <c r="M13" s="129">
        <v>0.08</v>
      </c>
      <c r="N13" s="122"/>
    </row>
    <row r="14" ht="15.75" customHeight="1">
      <c r="A14" s="121" t="s">
        <v>150</v>
      </c>
      <c r="B14" s="124">
        <v>147.115</v>
      </c>
      <c r="C14" s="46">
        <v>0.0200169176581524</v>
      </c>
      <c r="D14" s="121"/>
      <c r="E14" s="121"/>
      <c r="F14" s="121"/>
      <c r="G14" s="121" t="s">
        <v>150</v>
      </c>
      <c r="H14" s="124">
        <v>108.521</v>
      </c>
      <c r="I14" s="127">
        <v>-0.0246355449299851</v>
      </c>
      <c r="K14" s="128">
        <v>0.0446524625881375</v>
      </c>
      <c r="L14" s="16">
        <f t="shared" si="1"/>
        <v>0.02034753741</v>
      </c>
      <c r="M14" s="129">
        <v>0.065</v>
      </c>
      <c r="N14" s="123"/>
    </row>
    <row r="15" ht="15.75" customHeight="1">
      <c r="A15" s="121" t="s">
        <v>151</v>
      </c>
      <c r="B15" s="124">
        <v>173.914</v>
      </c>
      <c r="C15" s="46">
        <v>0.182163613499643</v>
      </c>
      <c r="D15" s="121"/>
      <c r="E15" s="121"/>
      <c r="F15" s="121"/>
      <c r="G15" s="121" t="s">
        <v>151</v>
      </c>
      <c r="H15" s="124">
        <v>122.28</v>
      </c>
      <c r="I15" s="127">
        <v>0.12678652058127</v>
      </c>
      <c r="K15" s="128">
        <v>0.055377092918373</v>
      </c>
      <c r="L15" s="16">
        <f t="shared" si="1"/>
        <v>0.005622907082</v>
      </c>
      <c r="M15" s="129">
        <v>0.061</v>
      </c>
      <c r="N15" s="122"/>
    </row>
    <row r="16" ht="15.75" customHeight="1">
      <c r="A16" s="121" t="s">
        <v>152</v>
      </c>
      <c r="B16" s="124">
        <v>195.949</v>
      </c>
      <c r="C16" s="46">
        <v>0.126700553146958</v>
      </c>
      <c r="D16" s="121"/>
      <c r="E16" s="121"/>
      <c r="F16" s="121"/>
      <c r="G16" s="121" t="s">
        <v>152</v>
      </c>
      <c r="H16" s="124">
        <v>131.101</v>
      </c>
      <c r="I16" s="127">
        <v>0.0721377167157344</v>
      </c>
      <c r="K16" s="128">
        <v>0.0545628364312236</v>
      </c>
      <c r="L16" s="16">
        <f t="shared" si="1"/>
        <v>0.02143716357</v>
      </c>
      <c r="M16" s="129">
        <v>0.076</v>
      </c>
      <c r="N16" s="123"/>
    </row>
    <row r="17" ht="15.75" customHeight="1">
      <c r="A17" s="121" t="s">
        <v>153</v>
      </c>
      <c r="B17" s="124">
        <v>250.269</v>
      </c>
      <c r="C17" s="46">
        <v>0.277214989614645</v>
      </c>
      <c r="D17" s="121"/>
      <c r="E17" s="121"/>
      <c r="F17" s="121"/>
      <c r="G17" s="121" t="s">
        <v>153</v>
      </c>
      <c r="H17" s="124">
        <v>159.228</v>
      </c>
      <c r="I17" s="127">
        <v>0.214544511483513</v>
      </c>
      <c r="K17" s="128">
        <v>0.062670478131132</v>
      </c>
      <c r="L17" s="16">
        <f t="shared" si="1"/>
        <v>0.02132952187</v>
      </c>
      <c r="M17" s="129">
        <v>0.084</v>
      </c>
      <c r="N17" s="122"/>
    </row>
    <row r="18" ht="15.75" customHeight="1">
      <c r="A18" s="121" t="s">
        <v>154</v>
      </c>
      <c r="B18" s="124">
        <v>241.998</v>
      </c>
      <c r="C18" s="46">
        <v>-0.0330484398786905</v>
      </c>
      <c r="D18" s="121"/>
      <c r="E18" s="121"/>
      <c r="F18" s="121"/>
      <c r="G18" s="121" t="s">
        <v>154</v>
      </c>
      <c r="H18" s="124">
        <v>146.62</v>
      </c>
      <c r="I18" s="127">
        <v>-0.0791820534076921</v>
      </c>
      <c r="K18" s="128">
        <v>0.0461336135290016</v>
      </c>
      <c r="L18" s="16">
        <f t="shared" si="1"/>
        <v>0.05486638647</v>
      </c>
      <c r="M18" s="129">
        <v>0.101</v>
      </c>
      <c r="N18" s="123"/>
    </row>
    <row r="19" ht="15.75" customHeight="1">
      <c r="A19" s="121" t="s">
        <v>155</v>
      </c>
      <c r="B19" s="124">
        <v>269.277</v>
      </c>
      <c r="C19" s="46">
        <v>0.112724072099769</v>
      </c>
      <c r="D19" s="121"/>
      <c r="E19" s="121"/>
      <c r="F19" s="121"/>
      <c r="G19" s="121" t="s">
        <v>155</v>
      </c>
      <c r="H19" s="124">
        <v>155.156</v>
      </c>
      <c r="I19" s="127">
        <v>0.0582185240758424</v>
      </c>
      <c r="K19" s="128">
        <v>0.0545055480239266</v>
      </c>
      <c r="L19" s="16">
        <f t="shared" si="1"/>
        <v>0.03449445198</v>
      </c>
      <c r="M19" s="129">
        <v>0.089</v>
      </c>
      <c r="N19" s="122"/>
    </row>
    <row r="20" ht="15.75" customHeight="1">
      <c r="A20" s="121" t="s">
        <v>156</v>
      </c>
      <c r="B20" s="124">
        <v>331.964</v>
      </c>
      <c r="C20" s="46">
        <v>0.232797453922912</v>
      </c>
      <c r="D20" s="121"/>
      <c r="E20" s="121"/>
      <c r="F20" s="121"/>
      <c r="G20" s="121" t="s">
        <v>156</v>
      </c>
      <c r="H20" s="124">
        <v>183.952</v>
      </c>
      <c r="I20" s="127">
        <v>0.18559385392766</v>
      </c>
      <c r="K20" s="128">
        <v>0.047203599995252</v>
      </c>
      <c r="L20" s="16">
        <f t="shared" si="1"/>
        <v>0.0337964</v>
      </c>
      <c r="M20" s="129">
        <v>0.081</v>
      </c>
      <c r="N20" s="123"/>
    </row>
    <row r="21" ht="15.75" customHeight="1">
      <c r="A21" s="121" t="s">
        <v>157</v>
      </c>
      <c r="B21" s="124">
        <v>351.132</v>
      </c>
      <c r="C21" s="46">
        <v>0.0577412008531046</v>
      </c>
      <c r="D21" s="121"/>
      <c r="E21" s="121"/>
      <c r="F21" s="121"/>
      <c r="G21" s="121" t="s">
        <v>157</v>
      </c>
      <c r="H21" s="124">
        <v>187.205</v>
      </c>
      <c r="I21" s="127">
        <v>0.017683961033313</v>
      </c>
      <c r="K21" s="128">
        <v>0.0400572398197916</v>
      </c>
      <c r="L21" s="16">
        <f t="shared" si="1"/>
        <v>0.03994276018</v>
      </c>
      <c r="M21" s="129">
        <v>0.08</v>
      </c>
      <c r="N21" s="122"/>
    </row>
    <row r="22" ht="15.75" customHeight="1">
      <c r="A22" s="121" t="s">
        <v>158</v>
      </c>
      <c r="B22" s="124">
        <v>497.798</v>
      </c>
      <c r="C22" s="46">
        <v>0.417694770057984</v>
      </c>
      <c r="D22" s="121"/>
      <c r="E22" s="121"/>
      <c r="F22" s="121"/>
      <c r="G22" s="121" t="s">
        <v>158</v>
      </c>
      <c r="H22" s="124">
        <v>256.514</v>
      </c>
      <c r="I22" s="127">
        <v>0.370230495980342</v>
      </c>
      <c r="K22" s="128">
        <v>0.047464274077642</v>
      </c>
      <c r="L22" s="16">
        <f t="shared" si="1"/>
        <v>0.02253572592</v>
      </c>
      <c r="M22" s="129">
        <v>0.07</v>
      </c>
      <c r="N22" s="123"/>
    </row>
    <row r="23" ht="15.75" customHeight="1">
      <c r="A23" s="121" t="s">
        <v>159</v>
      </c>
      <c r="B23" s="124">
        <v>710.853</v>
      </c>
      <c r="C23" s="46">
        <v>0.427994889493329</v>
      </c>
      <c r="D23" s="121"/>
      <c r="E23" s="121"/>
      <c r="F23" s="121"/>
      <c r="G23" s="121" t="s">
        <v>159</v>
      </c>
      <c r="H23" s="124">
        <v>356.825</v>
      </c>
      <c r="I23" s="127">
        <v>0.391054679276765</v>
      </c>
      <c r="K23" s="128">
        <v>0.036940210216564</v>
      </c>
      <c r="L23" s="16">
        <f t="shared" si="1"/>
        <v>0.02505978978</v>
      </c>
      <c r="M23" s="129">
        <v>0.062</v>
      </c>
      <c r="N23" s="122"/>
    </row>
    <row r="24" ht="15.75" customHeight="1">
      <c r="A24" s="121" t="s">
        <v>160</v>
      </c>
      <c r="B24" s="124">
        <v>830.015</v>
      </c>
      <c r="C24" s="46">
        <v>0.167632407825528</v>
      </c>
      <c r="D24" s="121"/>
      <c r="E24" s="121"/>
      <c r="F24" s="121"/>
      <c r="G24" s="121" t="s">
        <v>160</v>
      </c>
      <c r="H24" s="124">
        <v>407.994</v>
      </c>
      <c r="I24" s="127">
        <v>0.143400826735795</v>
      </c>
      <c r="K24" s="128">
        <v>0.024231581089733</v>
      </c>
      <c r="L24" s="16">
        <f t="shared" si="1"/>
        <v>0.03876841891</v>
      </c>
      <c r="M24" s="129">
        <v>0.063</v>
      </c>
      <c r="N24" s="123"/>
    </row>
    <row r="25" ht="15.75" customHeight="1">
      <c r="A25" s="121" t="s">
        <v>161</v>
      </c>
      <c r="B25" s="124">
        <v>1028.809</v>
      </c>
      <c r="C25" s="46">
        <v>0.239506514942501</v>
      </c>
      <c r="D25" s="121"/>
      <c r="E25" s="121"/>
      <c r="F25" s="121"/>
      <c r="G25" s="121" t="s">
        <v>161</v>
      </c>
      <c r="H25" s="124">
        <v>494.428</v>
      </c>
      <c r="I25" s="127">
        <v>0.211851154673843</v>
      </c>
      <c r="K25" s="128">
        <v>0.027655360268658</v>
      </c>
      <c r="L25" s="16">
        <f t="shared" si="1"/>
        <v>0.03734463973</v>
      </c>
      <c r="M25" s="129">
        <v>0.065</v>
      </c>
      <c r="N25" s="122"/>
    </row>
    <row r="26" ht="15.75" customHeight="1">
      <c r="A26" s="121" t="s">
        <v>162</v>
      </c>
      <c r="B26" s="124">
        <v>1205.7</v>
      </c>
      <c r="C26" s="46">
        <v>0.171937648290402</v>
      </c>
      <c r="D26" s="121"/>
      <c r="E26" s="121"/>
      <c r="F26" s="121"/>
      <c r="G26" s="121" t="s">
        <v>162</v>
      </c>
      <c r="H26" s="124">
        <v>567.338</v>
      </c>
      <c r="I26" s="127">
        <v>0.147463331364728</v>
      </c>
      <c r="K26" s="128">
        <v>0.024474316925674</v>
      </c>
      <c r="L26" s="16">
        <f t="shared" si="1"/>
        <v>0.04552568307</v>
      </c>
      <c r="M26" s="129">
        <v>0.07</v>
      </c>
      <c r="N26" s="123"/>
    </row>
    <row r="27" ht="15.75" customHeight="1">
      <c r="A27" s="121" t="s">
        <v>163</v>
      </c>
      <c r="B27" s="124">
        <v>1006.546</v>
      </c>
      <c r="C27" s="46">
        <v>-0.165177075557767</v>
      </c>
      <c r="D27" s="121"/>
      <c r="E27" s="121"/>
      <c r="F27" s="121"/>
      <c r="G27" s="121" t="s">
        <v>163</v>
      </c>
      <c r="H27" s="124">
        <v>461.527</v>
      </c>
      <c r="I27" s="127">
        <v>-0.186504341327392</v>
      </c>
      <c r="K27" s="128">
        <v>0.021327265769625</v>
      </c>
      <c r="L27" s="16">
        <f t="shared" si="1"/>
        <v>0.06567273423</v>
      </c>
      <c r="M27" s="129">
        <v>0.087</v>
      </c>
      <c r="N27" s="122"/>
    </row>
    <row r="28" ht="15.75" customHeight="1">
      <c r="A28" s="121" t="s">
        <v>164</v>
      </c>
      <c r="B28" s="124">
        <v>1197.46</v>
      </c>
      <c r="C28" s="46">
        <v>0.189672404440532</v>
      </c>
      <c r="D28" s="121"/>
      <c r="E28" s="121"/>
      <c r="F28" s="121"/>
      <c r="G28" s="121" t="s">
        <v>164</v>
      </c>
      <c r="H28" s="124">
        <v>535.364</v>
      </c>
      <c r="I28" s="127">
        <v>0.159984139606134</v>
      </c>
      <c r="K28" s="128">
        <v>0.029688264834398</v>
      </c>
      <c r="L28" s="16">
        <f t="shared" si="1"/>
        <v>0.05431173517</v>
      </c>
      <c r="M28" s="129">
        <v>0.084</v>
      </c>
      <c r="N28" s="123"/>
    </row>
    <row r="29" ht="15.75" customHeight="1">
      <c r="A29" s="121" t="s">
        <v>165</v>
      </c>
      <c r="B29" s="124">
        <v>1141.66</v>
      </c>
      <c r="C29" s="46">
        <v>-0.0465986337748233</v>
      </c>
      <c r="D29" s="121"/>
      <c r="E29" s="121"/>
      <c r="F29" s="121"/>
      <c r="G29" s="121" t="s">
        <v>165</v>
      </c>
      <c r="H29" s="124">
        <v>497.132</v>
      </c>
      <c r="I29" s="127">
        <v>-0.0714130946421501</v>
      </c>
      <c r="K29" s="128">
        <v>0.0248144608673268</v>
      </c>
      <c r="L29" s="16">
        <f t="shared" si="1"/>
        <v>0.05318553913</v>
      </c>
      <c r="M29" s="129">
        <v>0.078</v>
      </c>
      <c r="N29" s="122"/>
    </row>
    <row r="30" ht="15.75" customHeight="1">
      <c r="A30" s="121" t="s">
        <v>166</v>
      </c>
      <c r="B30" s="124">
        <v>1405.713</v>
      </c>
      <c r="C30" s="46">
        <v>0.231288649860729</v>
      </c>
      <c r="D30" s="121"/>
      <c r="E30" s="121"/>
      <c r="F30" s="121"/>
      <c r="G30" s="121" t="s">
        <v>166</v>
      </c>
      <c r="H30" s="124">
        <v>598.496</v>
      </c>
      <c r="I30" s="127">
        <v>0.203897556383415</v>
      </c>
      <c r="K30" s="128">
        <v>0.027391093477314</v>
      </c>
      <c r="L30" s="16">
        <f t="shared" si="1"/>
        <v>0.03760890652</v>
      </c>
      <c r="M30" s="129">
        <v>0.065</v>
      </c>
      <c r="N30" s="123"/>
    </row>
    <row r="31" ht="15.75" customHeight="1">
      <c r="A31" s="121" t="s">
        <v>167</v>
      </c>
      <c r="B31" s="124">
        <v>1484.177</v>
      </c>
      <c r="C31" s="46">
        <v>0.055817937231853</v>
      </c>
      <c r="D31" s="121"/>
      <c r="E31" s="121"/>
      <c r="F31" s="121"/>
      <c r="G31" s="121" t="s">
        <v>167</v>
      </c>
      <c r="H31" s="124">
        <v>618.59</v>
      </c>
      <c r="I31" s="127">
        <v>0.0335741592257928</v>
      </c>
      <c r="K31" s="128">
        <v>0.0222437780060602</v>
      </c>
      <c r="L31" s="16">
        <f t="shared" si="1"/>
        <v>0.04675622199</v>
      </c>
      <c r="M31" s="129">
        <v>0.069</v>
      </c>
      <c r="N31" s="122"/>
    </row>
    <row r="32" ht="15.75" customHeight="1">
      <c r="A32" s="121" t="s">
        <v>168</v>
      </c>
      <c r="B32" s="124">
        <v>1800.553</v>
      </c>
      <c r="C32" s="46">
        <v>0.213165949883336</v>
      </c>
      <c r="D32" s="121"/>
      <c r="E32" s="121"/>
      <c r="F32" s="121"/>
      <c r="G32" s="121" t="s">
        <v>168</v>
      </c>
      <c r="H32" s="124">
        <v>734.28</v>
      </c>
      <c r="I32" s="127">
        <v>0.18702209864369</v>
      </c>
      <c r="K32" s="128">
        <v>0.026143851239646</v>
      </c>
      <c r="L32" s="16">
        <f t="shared" si="1"/>
        <v>0.04285614876</v>
      </c>
      <c r="M32" s="129">
        <v>0.069</v>
      </c>
      <c r="N32" s="123"/>
    </row>
    <row r="33" ht="15.75" customHeight="1">
      <c r="A33" s="121" t="s">
        <v>169</v>
      </c>
      <c r="B33" s="124">
        <v>2052.559</v>
      </c>
      <c r="C33" s="46">
        <v>0.139960334408374</v>
      </c>
      <c r="D33" s="121"/>
      <c r="E33" s="121"/>
      <c r="F33" s="121"/>
      <c r="G33" s="121" t="s">
        <v>169</v>
      </c>
      <c r="H33" s="124">
        <v>820.362</v>
      </c>
      <c r="I33" s="127">
        <v>0.117233208040529</v>
      </c>
      <c r="K33" s="128">
        <v>0.022727126367845</v>
      </c>
      <c r="L33" s="16">
        <f t="shared" si="1"/>
        <v>0.03927287363</v>
      </c>
      <c r="M33" s="129">
        <v>0.062</v>
      </c>
      <c r="N33" s="122"/>
    </row>
    <row r="34" ht="15.75" customHeight="1">
      <c r="A34" s="121" t="s">
        <v>170</v>
      </c>
      <c r="B34" s="124">
        <v>2385.63</v>
      </c>
      <c r="C34" s="46">
        <v>0.162271096713907</v>
      </c>
      <c r="D34" s="121"/>
      <c r="E34" s="121"/>
      <c r="F34" s="121"/>
      <c r="G34" s="121" t="s">
        <v>170</v>
      </c>
      <c r="H34" s="124">
        <v>936.591</v>
      </c>
      <c r="I34" s="127">
        <v>0.141680136330059</v>
      </c>
      <c r="K34" s="128">
        <v>0.020590960383848</v>
      </c>
      <c r="L34" s="16">
        <f t="shared" si="1"/>
        <v>0.03540903962</v>
      </c>
      <c r="M34" s="129">
        <v>0.056</v>
      </c>
    </row>
    <row r="35" ht="15.75" customHeight="1">
      <c r="A35" s="121" t="s">
        <v>171</v>
      </c>
      <c r="B35" s="124">
        <v>2977.153</v>
      </c>
      <c r="C35" s="46">
        <v>0.247952532454739</v>
      </c>
      <c r="D35" s="121"/>
      <c r="E35" s="121"/>
      <c r="F35" s="121"/>
      <c r="G35" s="121" t="s">
        <v>171</v>
      </c>
      <c r="H35" s="124">
        <v>1149.952</v>
      </c>
      <c r="I35" s="127">
        <v>0.227805947313181</v>
      </c>
      <c r="K35" s="128">
        <v>0.020146585141558</v>
      </c>
      <c r="L35" s="16">
        <f t="shared" si="1"/>
        <v>0.02585341486</v>
      </c>
      <c r="M35" s="129">
        <v>0.046</v>
      </c>
    </row>
    <row r="36" ht="15.75" customHeight="1">
      <c r="A36" s="121" t="s">
        <v>172</v>
      </c>
      <c r="B36" s="124">
        <v>3731.559</v>
      </c>
      <c r="C36" s="46">
        <v>0.253398464909261</v>
      </c>
      <c r="D36" s="121"/>
      <c r="E36" s="121"/>
      <c r="F36" s="121"/>
      <c r="G36" s="121" t="s">
        <v>172</v>
      </c>
      <c r="H36" s="124">
        <v>1420.885</v>
      </c>
      <c r="I36" s="127">
        <v>0.235603746939003</v>
      </c>
      <c r="K36" s="128">
        <v>0.017794717970258</v>
      </c>
      <c r="L36" s="16">
        <f t="shared" si="1"/>
        <v>0.02720528203</v>
      </c>
      <c r="M36" s="129">
        <v>0.045</v>
      </c>
    </row>
    <row r="37" ht="15.75" customHeight="1">
      <c r="A37" s="121" t="s">
        <v>173</v>
      </c>
      <c r="B37" s="124">
        <v>3249.513</v>
      </c>
      <c r="C37" s="46">
        <v>-0.129180859796134</v>
      </c>
      <c r="D37" s="121"/>
      <c r="E37" s="121"/>
      <c r="F37" s="121"/>
      <c r="G37" s="121" t="s">
        <v>173</v>
      </c>
      <c r="H37" s="124">
        <v>1221.253</v>
      </c>
      <c r="I37" s="127">
        <v>-0.140498351379598</v>
      </c>
      <c r="K37" s="128">
        <v>0.011317491583464</v>
      </c>
      <c r="L37" s="16">
        <f t="shared" si="1"/>
        <v>0.04168250842</v>
      </c>
      <c r="M37" s="129">
        <v>0.053</v>
      </c>
    </row>
    <row r="38" ht="15.75" customHeight="1">
      <c r="A38" s="121" t="s">
        <v>174</v>
      </c>
      <c r="B38" s="124">
        <v>2712.658</v>
      </c>
      <c r="C38" s="46">
        <v>-0.165210910065601</v>
      </c>
      <c r="D38" s="121"/>
      <c r="E38" s="121"/>
      <c r="F38" s="121"/>
      <c r="G38" s="121" t="s">
        <v>174</v>
      </c>
      <c r="H38" s="124">
        <v>1003.516</v>
      </c>
      <c r="I38" s="127">
        <v>-0.178289838387296</v>
      </c>
      <c r="K38" s="128">
        <v>0.013078928321695</v>
      </c>
      <c r="L38" s="16">
        <f t="shared" si="1"/>
        <v>0.03492107168</v>
      </c>
      <c r="M38" s="129">
        <v>0.048</v>
      </c>
    </row>
    <row r="39" ht="15.75" customHeight="1">
      <c r="A39" s="121" t="s">
        <v>175</v>
      </c>
      <c r="B39" s="124">
        <v>2182.57</v>
      </c>
      <c r="C39" s="46">
        <v>-0.195412764897012</v>
      </c>
      <c r="D39" s="121"/>
      <c r="E39" s="121"/>
      <c r="F39" s="121"/>
      <c r="G39" s="121" t="s">
        <v>175</v>
      </c>
      <c r="H39" s="124">
        <v>792.215</v>
      </c>
      <c r="I39" s="127">
        <v>-0.21056066868889</v>
      </c>
      <c r="K39" s="128">
        <v>0.015147903791878</v>
      </c>
      <c r="L39" s="16">
        <f t="shared" si="1"/>
        <v>0.03285209621</v>
      </c>
      <c r="M39" s="129">
        <v>0.048</v>
      </c>
    </row>
    <row r="40" ht="15.75" customHeight="1">
      <c r="A40" s="121" t="s">
        <v>176</v>
      </c>
      <c r="B40" s="124">
        <v>2919.442</v>
      </c>
      <c r="C40" s="46">
        <v>0.3376166629249</v>
      </c>
      <c r="D40" s="121"/>
      <c r="E40" s="121"/>
      <c r="F40" s="121"/>
      <c r="G40" s="121" t="s">
        <v>176</v>
      </c>
      <c r="H40" s="124">
        <v>1036.318</v>
      </c>
      <c r="I40" s="127">
        <v>0.308127212940931</v>
      </c>
      <c r="K40" s="128">
        <v>0.029489449983969</v>
      </c>
      <c r="L40" s="16">
        <f t="shared" si="1"/>
        <v>0.01151055002</v>
      </c>
      <c r="M40" s="129">
        <v>0.041</v>
      </c>
    </row>
    <row r="41" ht="15.75" customHeight="1">
      <c r="A41" s="121" t="s">
        <v>177</v>
      </c>
      <c r="B41" s="124">
        <v>3364.558</v>
      </c>
      <c r="C41" s="46">
        <v>0.152466121950702</v>
      </c>
      <c r="D41" s="121"/>
      <c r="E41" s="121"/>
      <c r="F41" s="121"/>
      <c r="G41" s="121" t="s">
        <v>177</v>
      </c>
      <c r="H41" s="124">
        <v>1169.341</v>
      </c>
      <c r="I41" s="127">
        <v>0.128361178711554</v>
      </c>
      <c r="K41" s="128">
        <v>0.024104943239148</v>
      </c>
      <c r="L41" s="16">
        <f t="shared" si="1"/>
        <v>0.01589505676</v>
      </c>
      <c r="M41" s="129">
        <v>0.04</v>
      </c>
    </row>
    <row r="42" ht="15.75" customHeight="1">
      <c r="A42" s="121" t="s">
        <v>178</v>
      </c>
      <c r="B42" s="124">
        <v>3701.795</v>
      </c>
      <c r="C42" s="46">
        <v>0.100232185029951</v>
      </c>
      <c r="D42" s="121"/>
      <c r="E42" s="121"/>
      <c r="F42" s="121"/>
      <c r="G42" s="121" t="s">
        <v>178</v>
      </c>
      <c r="H42" s="124">
        <v>1257.775</v>
      </c>
      <c r="I42" s="127">
        <v>0.075627212250319</v>
      </c>
      <c r="K42" s="128">
        <v>0.024604972779632</v>
      </c>
      <c r="L42" s="16">
        <f t="shared" si="1"/>
        <v>0.00939502722</v>
      </c>
      <c r="M42" s="129">
        <v>0.034</v>
      </c>
    </row>
    <row r="43" ht="15.75" customHeight="1">
      <c r="A43" s="121" t="s">
        <v>179</v>
      </c>
      <c r="B43" s="124">
        <v>4466.298</v>
      </c>
      <c r="C43" s="46">
        <v>0.206522241237021</v>
      </c>
      <c r="D43" s="121"/>
      <c r="E43" s="121"/>
      <c r="F43" s="121"/>
      <c r="G43" s="121" t="s">
        <v>179</v>
      </c>
      <c r="H43" s="124">
        <v>1483.578</v>
      </c>
      <c r="I43" s="127">
        <v>0.17952574983602</v>
      </c>
      <c r="K43" s="128">
        <v>0.026996491401001</v>
      </c>
      <c r="L43" s="16">
        <f t="shared" si="1"/>
        <v>0.0110035086</v>
      </c>
      <c r="M43" s="129">
        <v>0.038</v>
      </c>
    </row>
    <row r="44" ht="15.75" customHeight="1">
      <c r="A44" s="121" t="s">
        <v>180</v>
      </c>
      <c r="B44" s="124">
        <v>4893.543</v>
      </c>
      <c r="C44" s="46">
        <v>0.0956597611713326</v>
      </c>
      <c r="D44" s="121"/>
      <c r="E44" s="121"/>
      <c r="F44" s="121"/>
      <c r="G44" s="121" t="s">
        <v>180</v>
      </c>
      <c r="H44" s="124">
        <v>1588.803</v>
      </c>
      <c r="I44" s="127">
        <v>0.0709265033587718</v>
      </c>
      <c r="K44" s="128">
        <v>0.0247332578125608</v>
      </c>
      <c r="L44" s="16">
        <f t="shared" si="1"/>
        <v>0.01726674219</v>
      </c>
      <c r="M44" s="129">
        <v>0.042</v>
      </c>
    </row>
    <row r="45" ht="15.75" customHeight="1">
      <c r="A45" s="121" t="s">
        <v>181</v>
      </c>
      <c r="B45" s="124">
        <v>2919.783</v>
      </c>
      <c r="C45" s="46">
        <v>-0.403339666168255</v>
      </c>
      <c r="D45" s="121"/>
      <c r="E45" s="121"/>
      <c r="F45" s="121"/>
      <c r="G45" s="121" t="s">
        <v>181</v>
      </c>
      <c r="H45" s="124">
        <v>920.226</v>
      </c>
      <c r="I45" s="127">
        <v>-0.420805474309905</v>
      </c>
      <c r="K45" s="128">
        <v>0.01746580814165</v>
      </c>
      <c r="L45" s="16">
        <f t="shared" si="1"/>
        <v>0.02253419186</v>
      </c>
      <c r="M45" s="129">
        <v>0.04</v>
      </c>
    </row>
    <row r="46" ht="15.75" customHeight="1">
      <c r="A46" s="121" t="s">
        <v>182</v>
      </c>
      <c r="B46" s="124">
        <v>3818.859</v>
      </c>
      <c r="C46" s="46">
        <v>0.307925623239809</v>
      </c>
      <c r="D46" s="121"/>
      <c r="E46" s="121"/>
      <c r="F46" s="121"/>
      <c r="G46" s="121" t="s">
        <v>182</v>
      </c>
      <c r="H46" s="124">
        <v>1168.468</v>
      </c>
      <c r="I46" s="127">
        <v>0.269761993249484</v>
      </c>
      <c r="K46" s="128">
        <v>0.038163629990325</v>
      </c>
      <c r="L46" s="16">
        <f t="shared" si="1"/>
        <v>-0.00616362999</v>
      </c>
      <c r="M46" s="129">
        <v>0.032</v>
      </c>
    </row>
    <row r="47" ht="15.75" customHeight="1">
      <c r="A47" s="121" t="s">
        <v>183</v>
      </c>
      <c r="B47" s="124">
        <v>4290.045</v>
      </c>
      <c r="C47" s="46">
        <v>0.123383974113734</v>
      </c>
      <c r="D47" s="121"/>
      <c r="E47" s="121"/>
      <c r="F47" s="121"/>
      <c r="G47" s="121" t="s">
        <v>183</v>
      </c>
      <c r="H47" s="124">
        <v>1280.071</v>
      </c>
      <c r="I47" s="127">
        <v>0.0955122433819324</v>
      </c>
      <c r="K47" s="128">
        <v>0.0278717307318016</v>
      </c>
      <c r="L47" s="16">
        <f t="shared" si="1"/>
        <v>-0.0008717307318</v>
      </c>
      <c r="M47" s="129">
        <v>0.027</v>
      </c>
    </row>
    <row r="48" ht="15.75" customHeight="1">
      <c r="A48" s="121" t="s">
        <v>184</v>
      </c>
      <c r="B48" s="124">
        <v>4074.834</v>
      </c>
      <c r="C48" s="46">
        <v>-0.0501652080572582</v>
      </c>
      <c r="D48" s="121"/>
      <c r="E48" s="121"/>
      <c r="F48" s="121"/>
      <c r="G48" s="121" t="s">
        <v>184</v>
      </c>
      <c r="H48" s="124">
        <v>1182.595</v>
      </c>
      <c r="I48" s="127">
        <v>-0.0761489011156412</v>
      </c>
      <c r="K48" s="128">
        <v>0.025983693058383</v>
      </c>
      <c r="L48" s="16">
        <f t="shared" si="1"/>
        <v>0.00001630694162</v>
      </c>
      <c r="M48" s="129">
        <v>0.026</v>
      </c>
    </row>
    <row r="49" ht="15.75" customHeight="1">
      <c r="A49" s="121" t="s">
        <v>185</v>
      </c>
      <c r="B49" s="124">
        <v>4748.699</v>
      </c>
      <c r="C49" s="46">
        <v>0.16537238081355</v>
      </c>
      <c r="D49" s="121"/>
      <c r="E49" s="121"/>
      <c r="F49" s="121"/>
      <c r="G49" s="121" t="s">
        <v>185</v>
      </c>
      <c r="H49" s="124">
        <v>1338.5</v>
      </c>
      <c r="I49" s="127">
        <v>0.131832960565536</v>
      </c>
      <c r="K49" s="128">
        <v>0.033539420248014</v>
      </c>
      <c r="L49" s="16">
        <f t="shared" si="1"/>
        <v>-0.01853942025</v>
      </c>
      <c r="M49" s="129">
        <v>0.015</v>
      </c>
    </row>
    <row r="50" ht="15.75" customHeight="1">
      <c r="A50" s="121" t="s">
        <v>186</v>
      </c>
      <c r="B50" s="124">
        <v>6048.181</v>
      </c>
      <c r="C50" s="46">
        <v>0.273650109219388</v>
      </c>
      <c r="D50" s="121"/>
      <c r="E50" s="121"/>
      <c r="F50" s="121"/>
      <c r="G50" s="121" t="s">
        <v>186</v>
      </c>
      <c r="H50" s="124">
        <v>1661.069</v>
      </c>
      <c r="I50" s="127">
        <v>0.240992902502802</v>
      </c>
      <c r="K50" s="128">
        <v>0.032657206716586</v>
      </c>
      <c r="L50" s="16">
        <f t="shared" si="1"/>
        <v>-0.01665720672</v>
      </c>
      <c r="M50" s="129">
        <v>0.016</v>
      </c>
    </row>
    <row r="51" ht="15.75" customHeight="1">
      <c r="A51" s="121" t="s">
        <v>187</v>
      </c>
      <c r="B51" s="124">
        <v>6381.054</v>
      </c>
      <c r="C51" s="46">
        <v>0.05503687802994</v>
      </c>
      <c r="D51" s="121"/>
      <c r="E51" s="121"/>
      <c r="F51" s="121"/>
      <c r="G51" s="121" t="s">
        <v>187</v>
      </c>
      <c r="H51" s="124">
        <v>1709.672</v>
      </c>
      <c r="I51" s="127">
        <v>0.0292600728807775</v>
      </c>
      <c r="K51" s="128">
        <v>0.0257768051491625</v>
      </c>
      <c r="L51" s="16">
        <f t="shared" si="1"/>
        <v>-0.01377680515</v>
      </c>
      <c r="M51" s="129">
        <v>0.012</v>
      </c>
    </row>
    <row r="52" ht="15.75" customHeight="1">
      <c r="A52" s="121" t="s">
        <v>188</v>
      </c>
      <c r="B52" s="124">
        <v>6360.575</v>
      </c>
      <c r="C52" s="46">
        <v>-0.00320934441238085</v>
      </c>
      <c r="D52" s="121"/>
      <c r="E52" s="121"/>
      <c r="F52" s="121"/>
      <c r="G52" s="121" t="s">
        <v>188</v>
      </c>
      <c r="H52" s="124">
        <v>1662.794</v>
      </c>
      <c r="I52" s="127">
        <v>-0.0274192944611598</v>
      </c>
      <c r="K52" s="128">
        <v>0.0242099500487789</v>
      </c>
      <c r="L52" s="16">
        <f t="shared" si="1"/>
        <v>-0.01920995005</v>
      </c>
      <c r="M52" s="129">
        <v>0.005</v>
      </c>
    </row>
    <row r="53" ht="15.75" customHeight="1">
      <c r="A53" s="121" t="s">
        <v>189</v>
      </c>
      <c r="B53" s="124">
        <v>6879.162</v>
      </c>
      <c r="C53" s="46">
        <v>0.0815314653156358</v>
      </c>
      <c r="D53" s="121"/>
      <c r="E53" s="121"/>
      <c r="F53" s="121"/>
      <c r="G53" s="121" t="s">
        <v>189</v>
      </c>
      <c r="H53" s="124">
        <v>1751.219</v>
      </c>
      <c r="I53" s="127">
        <v>0.0531785657152961</v>
      </c>
      <c r="K53" s="128">
        <v>0.0283528996003397</v>
      </c>
      <c r="L53" s="16">
        <f t="shared" si="1"/>
        <v>-0.0273528996</v>
      </c>
      <c r="M53" s="129">
        <v>0.001</v>
      </c>
    </row>
    <row r="54" ht="15.75" customHeight="1">
      <c r="A54" s="121" t="s">
        <v>190</v>
      </c>
      <c r="B54" s="124">
        <v>8466.345</v>
      </c>
      <c r="C54" s="46">
        <v>0.230723306123624</v>
      </c>
      <c r="D54" s="121"/>
      <c r="E54" s="121"/>
      <c r="F54" s="121"/>
      <c r="G54" s="121" t="s">
        <v>190</v>
      </c>
      <c r="H54" s="124">
        <v>2103.448</v>
      </c>
      <c r="I54" s="127">
        <v>0.201133610359412</v>
      </c>
      <c r="K54" s="128">
        <v>0.029589695764212</v>
      </c>
      <c r="L54" s="16">
        <f t="shared" si="1"/>
        <v>-0.02658969576</v>
      </c>
      <c r="M54" s="129">
        <v>0.003</v>
      </c>
    </row>
    <row r="55" ht="15.75" customHeight="1">
      <c r="A55" s="121" t="s">
        <v>191</v>
      </c>
      <c r="B55" s="124">
        <v>7771.71</v>
      </c>
      <c r="C55" s="46">
        <v>-0.0820466210625718</v>
      </c>
      <c r="D55" s="121"/>
      <c r="E55" s="121"/>
      <c r="F55" s="121"/>
      <c r="G55" s="121" t="s">
        <v>191</v>
      </c>
      <c r="H55" s="124">
        <v>1883.901</v>
      </c>
      <c r="I55" s="127">
        <v>-0.104374816967189</v>
      </c>
      <c r="K55" s="128">
        <v>0.0223281959046172</v>
      </c>
      <c r="L55" s="16">
        <f t="shared" si="1"/>
        <v>-0.0183281959</v>
      </c>
      <c r="M55" s="129">
        <v>0.004</v>
      </c>
    </row>
    <row r="56" ht="15.75" customHeight="1">
      <c r="A56" s="121" t="s">
        <v>192</v>
      </c>
      <c r="B56" s="124">
        <v>9979.034</v>
      </c>
      <c r="C56" s="46">
        <v>0.284020376467984</v>
      </c>
      <c r="D56" s="121"/>
      <c r="E56" s="121"/>
      <c r="F56" s="121"/>
      <c r="G56" s="121" t="s">
        <v>192</v>
      </c>
      <c r="H56" s="124">
        <v>2358.468</v>
      </c>
      <c r="I56" s="127">
        <v>0.251906549229498</v>
      </c>
      <c r="K56" s="128">
        <v>0.032113827238486</v>
      </c>
      <c r="L56" s="16">
        <f t="shared" si="1"/>
        <v>-0.03511382724</v>
      </c>
      <c r="M56" s="129">
        <v>-0.003</v>
      </c>
    </row>
    <row r="57" ht="15.75" customHeight="1">
      <c r="A57" s="121" t="s">
        <v>193</v>
      </c>
      <c r="B57" s="124">
        <v>11625.199</v>
      </c>
      <c r="C57" s="46">
        <v>0.164962360084153</v>
      </c>
      <c r="D57" s="121"/>
      <c r="E57" s="121"/>
      <c r="F57" s="121"/>
      <c r="G57" s="121" t="s">
        <v>193</v>
      </c>
      <c r="H57" s="124">
        <v>2690.044</v>
      </c>
      <c r="I57" s="127">
        <v>0.140589569160998</v>
      </c>
      <c r="K57" s="128">
        <v>0.024372790923155</v>
      </c>
      <c r="L57" s="16">
        <f t="shared" si="1"/>
        <v>-0.02937279092</v>
      </c>
      <c r="M57" s="129">
        <v>-0.005</v>
      </c>
    </row>
    <row r="58" ht="15.75" customHeight="1">
      <c r="A58" s="121" t="s">
        <v>194</v>
      </c>
      <c r="B58" s="124">
        <v>14223.137</v>
      </c>
      <c r="C58" s="46">
        <v>0.223474712131809</v>
      </c>
      <c r="D58" s="121"/>
      <c r="E58" s="121"/>
      <c r="F58" s="121"/>
      <c r="G58" s="121" t="s">
        <v>194</v>
      </c>
      <c r="H58" s="124">
        <v>3231.727</v>
      </c>
      <c r="I58" s="127">
        <v>0.201365851264886</v>
      </c>
      <c r="K58" s="128">
        <v>0.022108860866923</v>
      </c>
      <c r="L58" s="16">
        <f t="shared" si="1"/>
        <v>-0.02610886087</v>
      </c>
      <c r="M58" s="129">
        <v>-0.004</v>
      </c>
    </row>
    <row r="59" ht="15.75" customHeight="1">
      <c r="A59" s="121" t="s">
        <v>195</v>
      </c>
      <c r="B59" s="124">
        <v>11700.992</v>
      </c>
      <c r="C59" s="46">
        <v>-0.177326914589939</v>
      </c>
      <c r="D59" s="121"/>
      <c r="E59" s="121"/>
      <c r="F59" s="121"/>
      <c r="G59" s="121" t="s">
        <v>195</v>
      </c>
      <c r="H59" s="124">
        <v>2602.685</v>
      </c>
      <c r="I59" s="127">
        <v>-0.194645772987632</v>
      </c>
      <c r="K59" s="128">
        <v>0.0173188583976927</v>
      </c>
      <c r="L59" s="16">
        <f t="shared" si="1"/>
        <v>-0.005918858398</v>
      </c>
      <c r="M59" s="129">
        <v>0.0114</v>
      </c>
    </row>
    <row r="60" ht="15.75" customHeight="1">
      <c r="A60" s="121" t="s">
        <v>196</v>
      </c>
      <c r="B60" s="124">
        <v>14557.826</v>
      </c>
      <c r="C60" s="46">
        <v>0.244153145305971</v>
      </c>
      <c r="D60" s="121"/>
      <c r="E60" s="121"/>
      <c r="F60" s="121"/>
      <c r="G60" s="121" t="s">
        <v>196</v>
      </c>
      <c r="H60" s="124">
        <v>3169.18</v>
      </c>
      <c r="I60" s="127">
        <v>0.217657918649395</v>
      </c>
      <c r="K60" s="128">
        <v>0.0264952266565759</v>
      </c>
      <c r="L60" s="16">
        <f t="shared" si="1"/>
        <v>-0.002195226657</v>
      </c>
      <c r="M60" s="129">
        <v>0.0243</v>
      </c>
    </row>
    <row r="61" ht="15.75" customHeight="1">
      <c r="A61" s="121" t="s">
        <v>197</v>
      </c>
      <c r="B61" s="124">
        <v>17352.115</v>
      </c>
      <c r="C61" s="46">
        <v>0.191944113083918</v>
      </c>
      <c r="D61" s="121"/>
      <c r="E61" s="121"/>
      <c r="F61" s="121"/>
      <c r="G61" s="121" t="s">
        <v>197</v>
      </c>
      <c r="H61" s="124">
        <v>3707.837</v>
      </c>
      <c r="I61" s="127">
        <v>0.169967310155939</v>
      </c>
      <c r="K61" s="128">
        <v>0.0219768029279788</v>
      </c>
      <c r="L61" s="16">
        <f t="shared" si="1"/>
        <v>0.001223197072</v>
      </c>
      <c r="M61" s="129">
        <v>0.0232</v>
      </c>
    </row>
    <row r="62" ht="15.75" customHeight="1">
      <c r="A62" s="121"/>
      <c r="B62" s="121"/>
      <c r="C62" s="121"/>
      <c r="D62" s="121"/>
      <c r="E62" s="121"/>
      <c r="F62" s="121"/>
      <c r="G62" s="121"/>
      <c r="H62" s="121"/>
      <c r="I62" s="121"/>
    </row>
    <row r="63" ht="15.75" customHeight="1">
      <c r="A63" s="121" t="s">
        <v>198</v>
      </c>
      <c r="B63" s="121"/>
      <c r="C63" s="121"/>
      <c r="D63" s="121"/>
      <c r="E63" s="121"/>
      <c r="F63" s="121"/>
      <c r="G63" s="121"/>
      <c r="H63" s="121"/>
      <c r="I63" s="121"/>
    </row>
    <row r="64" ht="15.75" customHeight="1">
      <c r="A64" s="121" t="s">
        <v>199</v>
      </c>
      <c r="B64" s="121"/>
      <c r="C64" s="121"/>
      <c r="D64" s="121"/>
      <c r="E64" s="121"/>
      <c r="F64" s="121"/>
      <c r="G64" s="121"/>
      <c r="H64" s="121"/>
      <c r="I64" s="121"/>
    </row>
    <row r="65" ht="15.75" customHeight="1">
      <c r="A65" s="121" t="s">
        <v>200</v>
      </c>
      <c r="B65" s="121"/>
      <c r="C65" s="121"/>
      <c r="D65" s="121"/>
      <c r="E65" s="121"/>
      <c r="F65" s="121"/>
      <c r="G65" s="121"/>
      <c r="H65" s="121"/>
      <c r="I65" s="121"/>
    </row>
    <row r="66" ht="15.75" customHeight="1">
      <c r="A66" s="121" t="s">
        <v>201</v>
      </c>
      <c r="B66" s="121"/>
      <c r="C66" s="121"/>
      <c r="D66" s="121"/>
      <c r="E66" s="121"/>
      <c r="F66" s="121"/>
      <c r="G66" s="121"/>
      <c r="H66" s="121"/>
      <c r="I66" s="121"/>
    </row>
    <row r="67" ht="15.75" customHeight="1">
      <c r="A67" s="121" t="s">
        <v>202</v>
      </c>
      <c r="B67" s="121"/>
      <c r="C67" s="121"/>
      <c r="D67" s="121"/>
      <c r="E67" s="121"/>
      <c r="F67" s="121"/>
      <c r="G67" s="121"/>
      <c r="H67" s="121"/>
      <c r="I67" s="121"/>
    </row>
    <row r="68" ht="15.75" customHeight="1">
      <c r="A68" s="121" t="s">
        <v>203</v>
      </c>
      <c r="B68" s="121"/>
      <c r="C68" s="121"/>
      <c r="D68" s="121"/>
      <c r="E68" s="121"/>
      <c r="F68" s="121"/>
      <c r="G68" s="121"/>
      <c r="H68" s="121"/>
      <c r="I68" s="121"/>
    </row>
    <row r="69" ht="15.75" customHeight="1">
      <c r="A69" s="121" t="s">
        <v>204</v>
      </c>
      <c r="B69" s="121"/>
      <c r="C69" s="121"/>
      <c r="D69" s="121"/>
      <c r="E69" s="121"/>
      <c r="F69" s="121"/>
      <c r="G69" s="121"/>
      <c r="H69" s="121"/>
      <c r="I69" s="121"/>
    </row>
    <row r="70" ht="15.75" customHeight="1">
      <c r="A70" s="121" t="s">
        <v>205</v>
      </c>
      <c r="B70" s="121"/>
      <c r="C70" s="121"/>
      <c r="D70" s="121"/>
      <c r="E70" s="121"/>
      <c r="F70" s="121"/>
      <c r="G70" s="121"/>
      <c r="H70" s="121"/>
      <c r="I70" s="121"/>
    </row>
    <row r="71" ht="15.75" customHeight="1">
      <c r="A71" s="121" t="s">
        <v>200</v>
      </c>
      <c r="B71" s="121"/>
      <c r="C71" s="121"/>
      <c r="D71" s="121"/>
      <c r="E71" s="121"/>
      <c r="F71" s="121"/>
      <c r="G71" s="121"/>
      <c r="H71" s="121"/>
      <c r="I71" s="121"/>
    </row>
    <row r="72" ht="15.75" customHeight="1">
      <c r="A72" s="121" t="s">
        <v>206</v>
      </c>
      <c r="B72" s="121"/>
      <c r="C72" s="121"/>
      <c r="D72" s="121"/>
      <c r="E72" s="121"/>
      <c r="F72" s="121"/>
      <c r="G72" s="121"/>
      <c r="H72" s="121"/>
      <c r="I72" s="121"/>
    </row>
    <row r="73" ht="15.75" customHeight="1">
      <c r="A73" s="121" t="s">
        <v>207</v>
      </c>
      <c r="B73" s="121"/>
      <c r="C73" s="121"/>
      <c r="D73" s="121"/>
      <c r="E73" s="121"/>
      <c r="F73" s="121"/>
      <c r="G73" s="121"/>
      <c r="H73" s="121"/>
      <c r="I73" s="121"/>
    </row>
    <row r="74" ht="15.75" customHeight="1">
      <c r="A74" s="121" t="s">
        <v>208</v>
      </c>
      <c r="B74" s="121"/>
      <c r="C74" s="121"/>
      <c r="D74" s="121"/>
      <c r="E74" s="121"/>
      <c r="F74" s="121"/>
      <c r="G74" s="121"/>
      <c r="H74" s="121"/>
      <c r="I74" s="121"/>
    </row>
    <row r="75" ht="15.75" customHeight="1">
      <c r="A75" s="121" t="s">
        <v>209</v>
      </c>
      <c r="B75" s="121"/>
      <c r="C75" s="121"/>
      <c r="D75" s="121"/>
      <c r="E75" s="121"/>
      <c r="F75" s="121"/>
      <c r="G75" s="121"/>
      <c r="H75" s="121"/>
      <c r="I75" s="121"/>
    </row>
    <row r="76" ht="15.75" customHeight="1">
      <c r="A76" s="121" t="s">
        <v>210</v>
      </c>
      <c r="B76" s="121"/>
      <c r="C76" s="121"/>
      <c r="D76" s="121"/>
      <c r="E76" s="121"/>
      <c r="F76" s="121"/>
      <c r="G76" s="121"/>
      <c r="H76" s="121"/>
      <c r="I76" s="121"/>
    </row>
    <row r="77" ht="15.75" customHeight="1">
      <c r="A77" s="121" t="s">
        <v>211</v>
      </c>
      <c r="B77" s="121"/>
      <c r="C77" s="121"/>
      <c r="D77" s="121"/>
      <c r="E77" s="121"/>
      <c r="F77" s="121"/>
      <c r="G77" s="121"/>
      <c r="H77" s="121"/>
      <c r="I77" s="121"/>
    </row>
    <row r="78" ht="15.75" customHeight="1">
      <c r="A78" s="121" t="s">
        <v>212</v>
      </c>
      <c r="B78" s="121"/>
      <c r="C78" s="121"/>
      <c r="D78" s="121"/>
      <c r="E78" s="121"/>
      <c r="F78" s="121"/>
      <c r="G78" s="121"/>
      <c r="H78" s="121"/>
      <c r="I78" s="121"/>
    </row>
    <row r="79" ht="15.75" customHeight="1">
      <c r="A79" s="121" t="s">
        <v>213</v>
      </c>
      <c r="B79" s="121"/>
      <c r="C79" s="121"/>
      <c r="D79" s="121"/>
      <c r="E79" s="121"/>
      <c r="F79" s="121"/>
      <c r="G79" s="121"/>
      <c r="H79" s="121"/>
      <c r="I79" s="121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N6"/>
  </hyperlinks>
  <printOptions/>
  <pageMargins bottom="0.984027777777778" footer="0.0" header="0.0" left="0.747916666666667" right="0.747916666666667" top="0.984027777777778"/>
  <pageSetup paperSize="9" orientation="portrait"/>
  <drawing r:id="rId2"/>
</worksheet>
</file>