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5"/>
    <sheet state="visible" name="HIER Rechnung Ausschütter" sheetId="2" r:id="rId6"/>
    <sheet state="visible" name="HIER Rechnung Thesaurierer " sheetId="3" r:id="rId7"/>
    <sheet state="visible" name="HIER Einzelaktien" sheetId="4" r:id="rId8"/>
    <sheet state="visible" name="Notizen" sheetId="5" r:id="rId9"/>
    <sheet state="visible" name="Historische Renditen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<sst xmlns="http://schemas.openxmlformats.org/spreadsheetml/2006/main" count="356" uniqueCount="214">
  <si>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</si>
  <si>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1970 -2000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</si>
  <si>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</si>
  <si>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</si>
  <si>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</si>
  <si>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</si>
  <si>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</si>
  <si>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</si>
  <si>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</si>
  <si>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</si>
  <si>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</si>
  <si>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</si>
  <si>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</si>
  <si>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</si>
  <si>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</si>
  <si>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</si>
  <si>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</si>
  <si>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</si>
  <si>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</si>
  <si>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</si>
  <si>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</si>
  <si>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</si>
  <si>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</si>
  <si>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</si>
  <si>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</si>
  <si>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</si>
  <si>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</si>
  <si>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</si>
  <si>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</si>
  <si>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</si>
  <si>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</si>
  <si>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</si>
  <si>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</si>
  <si>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</si>
  <si>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</si>
  <si>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</si>
  <si>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</si>
  <si>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</si>
  <si>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</si>
  <si>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</si>
  <si>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</si>
  <si>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</si>
  <si>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</si>
  <si>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</si>
  <si>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</si>
  <si>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</si>
  <si>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</si>
  <si>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</si>
  <si>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</si>
  <si>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</si>
  <si>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</si>
  <si>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</si>
  <si>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</si>
  <si>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</si>
  <si>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</si>
  <si>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</si>
  <si>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</si>
  <si>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</si>
  <si>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</si>
  <si>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</si>
  <si>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</si>
  <si>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</si>
  <si>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</si>
  <si>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</si>
  <si>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</si>
  <si>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</si>
  <si>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</si>
  <si>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</si>
  <si>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</si>
  <si>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</si>
  <si>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</si>
  <si>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</si>
  <si>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</si>
  <si>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</si>
  <si>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</si>
  <si>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</si>
  <si>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</si>
  <si>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</si>
  <si>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</si>
  <si>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</si>
  <si>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</si>
  <si>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</si>
  <si>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</si>
  <si>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</si>
  <si>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</si>
  <si>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</si>
  <si>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</si>
  <si>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</si>
  <si>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</si>
  <si>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</si>
  <si>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</si>
  <si>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</si>
  <si>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</si>
  <si>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</si>
  <si>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</si>
  <si>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</si>
  <si>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</si>
  <si>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</si>
  <si>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</si>
  <si>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</si>
  <si>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</si>
  <si>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</si>
  <si>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</si>
  <si>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</si>
  <si>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</si>
  <si>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</si>
  <si>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</si>
  <si>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</si>
  <si>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</si>
  <si>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</si>
  <si>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</si>
  <si>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</si>
  <si>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</si>
  <si>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</si>
  <si>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</si>
  <si>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</si>
  <si>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</si>
  <si>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</si>
  <si>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</si>
  <si>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</si>
  <si>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</si>
  <si>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</si>
  <si>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</si>
  <si>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</si>
  <si>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Spalte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</si>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</sst>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#,##0.00\€"/>
    <numFmt numFmtId="174" formatCode="#,##0.0000\ [$€-1]"/>
    <numFmt numFmtId="175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color theme="1"/>
      <name val="Arial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3" numFmtId="1" xfId="0" applyAlignment="1" applyBorder="1" applyFont="1" applyNumberFormat="1">
      <alignment horizontal="right" shrinkToFit="0" vertical="bottom" wrapText="0"/>
    </xf>
    <xf borderId="1" fillId="5" fontId="13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3" numFmtId="170" xfId="0" applyAlignment="1" applyBorder="1" applyFont="1" applyNumberFormat="1">
      <alignment shrinkToFit="0" vertical="bottom" wrapText="0"/>
    </xf>
    <xf borderId="1" fillId="5" fontId="13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3" xfId="0" applyAlignment="1" applyFont="1" applyNumberFormat="1">
      <alignment shrinkToFit="0" vertical="bottom" wrapText="0"/>
    </xf>
    <xf borderId="0" fillId="0" fontId="14" numFmtId="0" xfId="0" applyAlignment="1" applyFont="1">
      <alignment shrinkToFit="0" vertical="bottom" wrapText="0"/>
    </xf>
    <xf borderId="0" fillId="32" fontId="15" numFmtId="0" xfId="0" applyAlignment="1" applyFill="1" applyFont="1">
      <alignment shrinkToFit="0" vertical="bottom" wrapText="0"/>
    </xf>
    <xf borderId="0" fillId="32" fontId="16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6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5" xfId="0" applyAlignment="1" applyBorder="1" applyFill="1" applyFont="1" applyNumberFormat="1">
      <alignment horizontal="right" shrinkToFit="0" vertical="bottom" wrapText="0"/>
    </xf>
    <xf borderId="1" fillId="5" fontId="17" numFmtId="175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5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406677523"/>
        <c:axId val="1175649970"/>
      </c:lineChart>
      <c:catAx>
        <c:axId val="4066775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175649970"/>
      </c:catAx>
      <c:valAx>
        <c:axId val="11756499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406677523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16" width="12.75"/>
  </cols>
  <sheetData>
    <row r="1" ht="40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>
        <f>'HIER Rechnung Thesaurierer '!AF4</f>
        <v>-15024.08525</v>
      </c>
      <c r="O2" s="13">
        <f>'HIER Rechnung Thesaurierer '!O4</f>
        <v>0.03819876549</v>
      </c>
      <c r="P2" s="13">
        <f>'HIER Rechnung Ausschütter'!P4</f>
        <v>0.04361071395</v>
      </c>
    </row>
    <row r="3" ht="15.75" customHeight="1">
      <c r="A3" s="14" t="s">
        <v>7</v>
      </c>
      <c r="B3" s="2">
        <v>35000.0</v>
      </c>
      <c r="C3" s="15">
        <f>B3/B1</f>
        <v>0.035</v>
      </c>
      <c r="M3" s="11">
        <v>2.0</v>
      </c>
      <c r="N3" s="12">
        <f>'HIER Rechnung Thesaurierer '!AF5</f>
        <v>12299.10177</v>
      </c>
      <c r="O3" s="13">
        <f>'HIER Rechnung Thesaurierer '!O5</f>
        <v>0.04609154134</v>
      </c>
      <c r="P3" s="13">
        <f>'HIER Rechnung Ausschütter'!P5</f>
        <v>0.0448385203</v>
      </c>
    </row>
    <row r="4" ht="15.75" customHeight="1">
      <c r="A4" s="1" t="s">
        <v>8</v>
      </c>
      <c r="B4" s="2">
        <v>0.0</v>
      </c>
      <c r="M4" s="11">
        <v>3.0</v>
      </c>
      <c r="N4" s="12">
        <f>'HIER Rechnung Thesaurierer '!AF6</f>
        <v>15246.00347</v>
      </c>
      <c r="O4" s="13">
        <f>'HIER Rechnung Thesaurierer '!O6</f>
        <v>0.0431498578</v>
      </c>
      <c r="P4" s="13">
        <f>'HIER Rechnung Ausschütter'!P6</f>
        <v>0.04138415877</v>
      </c>
    </row>
    <row r="5" ht="15.75" customHeight="1">
      <c r="A5" s="14" t="s">
        <v>9</v>
      </c>
      <c r="B5" s="16">
        <v>0.15</v>
      </c>
      <c r="M5" s="11">
        <v>5.0</v>
      </c>
      <c r="N5" s="12">
        <f>'HIER Rechnung Thesaurierer '!AF8</f>
        <v>-12839.00788</v>
      </c>
      <c r="O5" s="13">
        <f>'HIER Rechnung Thesaurierer '!O8</f>
        <v>0.06645825813</v>
      </c>
      <c r="P5" s="13">
        <f>'HIER Rechnung Ausschütter'!P8</f>
        <v>0.07302389856</v>
      </c>
    </row>
    <row r="6" ht="15.75" customHeight="1">
      <c r="A6" s="14" t="s">
        <v>10</v>
      </c>
      <c r="B6" s="17">
        <v>0.0</v>
      </c>
      <c r="M6" s="11">
        <v>6.0</v>
      </c>
      <c r="N6" s="12">
        <f>'HIER Rechnung Thesaurierer '!AF9</f>
        <v>12134.34798</v>
      </c>
      <c r="O6" s="13">
        <f>'HIER Rechnung Thesaurierer '!O9</f>
        <v>0.06878230818</v>
      </c>
      <c r="P6" s="13">
        <f>'HIER Rechnung Ausschütter'!P9</f>
        <v>0.06894223277</v>
      </c>
    </row>
    <row r="7" ht="15.75" customHeight="1">
      <c r="A7" s="18"/>
      <c r="B7" s="19"/>
      <c r="M7" s="11">
        <v>7.0</v>
      </c>
      <c r="N7" s="12">
        <f>'HIER Rechnung Thesaurierer '!AF10</f>
        <v>11585.80335</v>
      </c>
      <c r="O7" s="13">
        <f>'HIER Rechnung Thesaurierer '!O10</f>
        <v>0.07089784794</v>
      </c>
      <c r="P7" s="13">
        <f>'HIER Rechnung Ausschütter'!P10</f>
        <v>0.0706315263</v>
      </c>
    </row>
    <row r="8" ht="15.75" customHeight="1">
      <c r="A8" s="14" t="s">
        <v>11</v>
      </c>
      <c r="B8" s="20">
        <f>0.26375*0.7</f>
        <v>0.184625</v>
      </c>
      <c r="M8" s="11">
        <v>8.0</v>
      </c>
      <c r="N8" s="12">
        <f>'HIER Rechnung Thesaurierer '!AF11</f>
        <v>-8007.056141</v>
      </c>
      <c r="O8" s="13">
        <f>'HIER Rechnung Thesaurierer '!O11</f>
        <v>0.07105167734</v>
      </c>
      <c r="P8" s="13">
        <f>'HIER Rechnung Ausschütter'!P11</f>
        <v>0.07601733409</v>
      </c>
    </row>
    <row r="9" ht="15.75" customHeight="1">
      <c r="A9" s="14" t="s">
        <v>12</v>
      </c>
      <c r="B9" s="20">
        <v>0.26375</v>
      </c>
      <c r="M9" s="11">
        <v>9.0</v>
      </c>
      <c r="N9" s="12">
        <f>'HIER Rechnung Thesaurierer '!AF12</f>
        <v>9384.401303</v>
      </c>
      <c r="O9" s="13">
        <f>'HIER Rechnung Thesaurierer '!O12</f>
        <v>0.0748920081</v>
      </c>
      <c r="P9" s="13">
        <f>'HIER Rechnung Ausschütter'!P12</f>
        <v>0.07610773112</v>
      </c>
    </row>
    <row r="10" ht="38.25" customHeight="1">
      <c r="A10" s="8" t="s">
        <v>13</v>
      </c>
      <c r="B10" s="21" t="s">
        <v>14</v>
      </c>
      <c r="M10" s="11">
        <v>10.0</v>
      </c>
      <c r="N10" s="12">
        <f>'HIER Rechnung Thesaurierer '!AF13</f>
        <v>17620.90769</v>
      </c>
      <c r="O10" s="13">
        <f>'HIER Rechnung Thesaurierer '!O13</f>
        <v>0.08005833384</v>
      </c>
      <c r="P10" s="13">
        <f>'HIER Rechnung Ausschütter'!P13</f>
        <v>0.07928494779</v>
      </c>
    </row>
    <row r="11" ht="15.75" customHeight="1">
      <c r="A11" s="18"/>
      <c r="M11" s="11">
        <v>11.0</v>
      </c>
      <c r="N11" s="12">
        <f>'HIER Rechnung Thesaurierer '!AF14</f>
        <v>22707.2939</v>
      </c>
      <c r="O11" s="13">
        <f>'HIER Rechnung Thesaurierer '!O14</f>
        <v>0.07537915472</v>
      </c>
      <c r="P11" s="13">
        <f>'HIER Rechnung Ausschütter'!P14</f>
        <v>0.07410785858</v>
      </c>
    </row>
    <row r="12" ht="15.75" customHeight="1">
      <c r="A12" s="1" t="s">
        <v>15</v>
      </c>
      <c r="M12" s="11"/>
      <c r="N12" s="12">
        <f>'HIER Rechnung Thesaurierer '!AF15</f>
        <v>-18683.13057</v>
      </c>
      <c r="O12" s="13">
        <f>'HIER Rechnung Thesaurierer '!O15</f>
        <v>0.08086664972</v>
      </c>
      <c r="P12" s="13">
        <f>'HIER Rechnung Ausschütter'!P15</f>
        <v>0.0876402966</v>
      </c>
    </row>
    <row r="13" ht="15.75" customHeight="1">
      <c r="A13" s="22" t="s">
        <v>16</v>
      </c>
      <c r="B13" s="23"/>
      <c r="C13" s="24">
        <f>'HIER Rechnung Ausschütter'!C39</f>
        <v>0.008793535452</v>
      </c>
      <c r="D13" s="23" t="s">
        <v>17</v>
      </c>
      <c r="M13" s="11">
        <v>12.0</v>
      </c>
      <c r="N13" s="12">
        <f>'HIER Rechnung Thesaurierer '!AF16</f>
        <v>23651.33199</v>
      </c>
      <c r="O13" s="13">
        <f>'HIER Rechnung Thesaurierer '!O16</f>
        <v>0.09893128818</v>
      </c>
      <c r="P13" s="13">
        <f>'HIER Rechnung Ausschütter'!P16</f>
        <v>0.09722024608</v>
      </c>
    </row>
    <row r="14" ht="15.75" customHeight="1">
      <c r="A14" s="22" t="s">
        <v>18</v>
      </c>
      <c r="B14" s="23"/>
      <c r="C14" s="24">
        <f>'HIER Einzelaktien'!C40</f>
        <v>0.001934904051</v>
      </c>
      <c r="D14" s="23" t="s">
        <v>17</v>
      </c>
      <c r="M14" s="11">
        <v>13.0</v>
      </c>
      <c r="N14" s="12">
        <f>'HIER Rechnung Thesaurierer '!AF17</f>
        <v>20556.70317</v>
      </c>
      <c r="O14" s="13">
        <f>'HIER Rechnung Thesaurierer '!O17</f>
        <v>0.09524550483</v>
      </c>
      <c r="P14" s="13">
        <f>'HIER Rechnung Ausschütter'!P17</f>
        <v>0.09342727753</v>
      </c>
    </row>
    <row r="15" ht="15.75" customHeight="1">
      <c r="A15" s="22" t="s">
        <v>19</v>
      </c>
      <c r="B15" s="23"/>
      <c r="C15" s="24">
        <f>'HIER Einzelaktien'!C39</f>
        <v>0.0107284395</v>
      </c>
      <c r="D15" s="23" t="s">
        <v>17</v>
      </c>
      <c r="M15" s="11">
        <v>14.0</v>
      </c>
      <c r="N15" s="12">
        <f>'HIER Rechnung Thesaurierer '!AF18</f>
        <v>30107.71075</v>
      </c>
      <c r="O15" s="13">
        <f>'HIER Rechnung Thesaurierer '!O18</f>
        <v>0.1069611528</v>
      </c>
      <c r="P15" s="13">
        <f>'HIER Rechnung Ausschütter'!P18</f>
        <v>0.1019046714</v>
      </c>
    </row>
    <row r="16" ht="15.75" customHeight="1">
      <c r="A16" s="18"/>
      <c r="M16" s="11">
        <v>15.0</v>
      </c>
      <c r="N16" s="12">
        <f>'HIER Rechnung Thesaurierer '!AF19</f>
        <v>22319.01214</v>
      </c>
      <c r="O16" s="13">
        <f>'HIER Rechnung Thesaurierer '!O19</f>
        <v>0.09024032067</v>
      </c>
      <c r="P16" s="13">
        <f>'HIER Rechnung Ausschütter'!P19</f>
        <v>0.08740863918</v>
      </c>
    </row>
    <row r="17" ht="15.75" customHeight="1">
      <c r="A17" s="1" t="s">
        <v>20</v>
      </c>
      <c r="M17" s="11">
        <v>16.0</v>
      </c>
      <c r="N17" s="12">
        <f>'HIER Rechnung Thesaurierer '!AF20</f>
        <v>33134.07012</v>
      </c>
      <c r="O17" s="13">
        <f>'HIER Rechnung Thesaurierer '!O20</f>
        <v>0.07523565168</v>
      </c>
      <c r="P17" s="13">
        <f>'HIER Rechnung Ausschütter'!P20</f>
        <v>0.07061301183</v>
      </c>
    </row>
    <row r="18" ht="15.75" customHeight="1">
      <c r="A18" s="22" t="s">
        <v>16</v>
      </c>
      <c r="C18" s="24">
        <f>'HIER Rechnung Ausschütter'!C48</f>
        <v>0.007049626306</v>
      </c>
      <c r="D18" s="23" t="s">
        <v>17</v>
      </c>
      <c r="M18" s="11">
        <v>17.0</v>
      </c>
      <c r="N18" s="12">
        <f>'HIER Rechnung Thesaurierer '!AF21</f>
        <v>20010.23251</v>
      </c>
      <c r="O18" s="13">
        <f>'HIER Rechnung Thesaurierer '!O21</f>
        <v>0.07601074301</v>
      </c>
      <c r="P18" s="13">
        <f>'HIER Rechnung Ausschütter'!P21</f>
        <v>0.07197794621</v>
      </c>
    </row>
    <row r="19" ht="15.75" customHeight="1">
      <c r="A19" s="22" t="s">
        <v>18</v>
      </c>
      <c r="C19" s="24">
        <f>'HIER Einzelaktien'!C48</f>
        <v>-0.001547401249</v>
      </c>
      <c r="D19" s="23" t="s">
        <v>17</v>
      </c>
      <c r="M19" s="11">
        <v>18.0</v>
      </c>
      <c r="N19" s="12">
        <f>'HIER Rechnung Thesaurierer '!AF22</f>
        <v>34155.50848</v>
      </c>
      <c r="O19" s="13">
        <f>'HIER Rechnung Thesaurierer '!O22</f>
        <v>0.07126282967</v>
      </c>
      <c r="P19" s="13">
        <f>'HIER Rechnung Ausschütter'!P22</f>
        <v>0.0659785072</v>
      </c>
    </row>
    <row r="20" ht="15.75" customHeight="1">
      <c r="A20" s="22" t="s">
        <v>19</v>
      </c>
      <c r="C20" s="24">
        <f>'HIER Einzelaktien'!C49</f>
        <v>0.005502225057</v>
      </c>
      <c r="D20" s="23" t="s">
        <v>17</v>
      </c>
      <c r="M20" s="11">
        <v>19.0</v>
      </c>
      <c r="N20" s="12">
        <f>'HIER Rechnung Thesaurierer '!AF23</f>
        <v>35538.41398</v>
      </c>
      <c r="O20" s="13">
        <f>'HIER Rechnung Thesaurierer '!O23</f>
        <v>0.07137012258</v>
      </c>
      <c r="P20" s="13">
        <f>'HIER Rechnung Ausschütter'!P23</f>
        <v>0.0655803673</v>
      </c>
    </row>
    <row r="21" ht="15.75" customHeight="1">
      <c r="A21" s="18"/>
      <c r="B21" s="8" t="s">
        <v>21</v>
      </c>
      <c r="C21" s="8" t="s">
        <v>22</v>
      </c>
      <c r="D21" s="8" t="s">
        <v>23</v>
      </c>
      <c r="E21" s="8" t="s">
        <v>24</v>
      </c>
      <c r="F21" s="25" t="s">
        <v>25</v>
      </c>
      <c r="M21" s="11">
        <v>23.0</v>
      </c>
      <c r="N21" s="12">
        <f>'HIER Rechnung Thesaurierer '!AF24</f>
        <v>-4423.845727</v>
      </c>
      <c r="O21" s="13">
        <f>'HIER Rechnung Thesaurierer '!O24</f>
        <v>0.08623496268</v>
      </c>
      <c r="P21" s="13">
        <f>'HIER Rechnung Ausschütter'!P24</f>
        <v>0.08292351712</v>
      </c>
    </row>
    <row r="22" ht="15.75" customHeight="1">
      <c r="A22" s="1" t="s">
        <v>26</v>
      </c>
      <c r="B22" s="12">
        <f>'HIER Rechnung Ausschütter'!I33</f>
        <v>2629765.114</v>
      </c>
      <c r="C22" s="12">
        <f>'HIER Rechnung Ausschütter'!C45</f>
        <v>2171292.416</v>
      </c>
      <c r="D22" s="12">
        <f>'HIER Rechnung Ausschütter'!S35+'HIER Rechnung Ausschütter'!M35+'HIER Rechnung Ausschütter'!N35</f>
        <v>4814649.038</v>
      </c>
      <c r="E22" s="12">
        <f>'HIER Rechnung Ausschütter'!X35</f>
        <v>3815705.217</v>
      </c>
      <c r="F22" s="24">
        <f>'HIER Rechnung Ausschütter'!P35</f>
        <v>0.0845512758</v>
      </c>
      <c r="M22" s="11">
        <v>24.0</v>
      </c>
      <c r="N22" s="12">
        <f>'HIER Rechnung Thesaurierer '!AF25</f>
        <v>31127.59492</v>
      </c>
      <c r="O22" s="13">
        <f>'HIER Rechnung Thesaurierer '!O25</f>
        <v>0.09753653395</v>
      </c>
      <c r="P22" s="13">
        <f>'HIER Rechnung Ausschütter'!P25</f>
        <v>0.08990911136</v>
      </c>
    </row>
    <row r="23" ht="15.75" customHeight="1">
      <c r="A23" s="1" t="s">
        <v>27</v>
      </c>
      <c r="B23" s="12">
        <f>'HIER Rechnung Thesaurierer '!J33</f>
        <v>2052768.477</v>
      </c>
      <c r="C23" s="12">
        <f>'HIER Rechnung Thesaurierer '!C45</f>
        <v>1778180.225</v>
      </c>
      <c r="D23" s="12">
        <f>'HIER Rechnung Thesaurierer '!U35</f>
        <v>4656784.854</v>
      </c>
      <c r="E23" s="12">
        <f>'HIER Rechnung Thesaurierer '!X35</f>
        <v>3815705.217</v>
      </c>
      <c r="F23" s="24">
        <f>'HIER Rechnung Thesaurierer '!O36</f>
        <v>0.08948815313</v>
      </c>
      <c r="M23" s="11">
        <v>25.0</v>
      </c>
      <c r="N23" s="12">
        <f>'HIER Rechnung Thesaurierer '!AF26</f>
        <v>-6239.237749</v>
      </c>
      <c r="O23" s="13">
        <f>'HIER Rechnung Thesaurierer '!O26</f>
        <v>0.1079664276</v>
      </c>
      <c r="P23" s="13">
        <f>'HIER Rechnung Ausschütter'!P26</f>
        <v>0.1026014338</v>
      </c>
    </row>
    <row r="24" ht="15.75" customHeight="1">
      <c r="A24" s="1" t="s">
        <v>28</v>
      </c>
      <c r="B24" s="12">
        <f>'HIER Einzelaktien'!H33</f>
        <v>2776291.446</v>
      </c>
      <c r="C24" s="12">
        <f>'HIER Einzelaktien'!C45</f>
        <v>2078400.967</v>
      </c>
      <c r="D24" s="12">
        <f>'HIER Einzelaktien'!M35+'HIER Einzelaktien'!U35</f>
        <v>4990319.527</v>
      </c>
      <c r="E24" s="12">
        <f>'HIER Einzelaktien'!R35</f>
        <v>3815705.22</v>
      </c>
      <c r="F24" s="24">
        <f>'HIER Einzelaktien'!P35</f>
        <v>0.07284582175</v>
      </c>
      <c r="M24" s="11">
        <v>26.0</v>
      </c>
      <c r="N24" s="12">
        <f>'HIER Rechnung Thesaurierer '!AF27</f>
        <v>23423.75049</v>
      </c>
      <c r="O24" s="13">
        <f>'HIER Rechnung Thesaurierer '!O27</f>
        <v>0.114012706</v>
      </c>
      <c r="P24" s="13">
        <f>'HIER Rechnung Ausschütter'!P27</f>
        <v>0.1041446562</v>
      </c>
    </row>
    <row r="25" ht="15.75" customHeight="1">
      <c r="A25" s="14" t="s">
        <v>29</v>
      </c>
      <c r="B25" s="26">
        <f>'HIER Einzelaktien'!G36</f>
        <v>0.0356923292</v>
      </c>
      <c r="M25" s="11">
        <v>27.0</v>
      </c>
      <c r="N25" s="12">
        <f>'HIER Rechnung Thesaurierer '!AF28</f>
        <v>35841.02746</v>
      </c>
      <c r="O25" s="13">
        <f>'HIER Rechnung Thesaurierer '!O28</f>
        <v>0.1307018237</v>
      </c>
      <c r="P25" s="13">
        <f>'HIER Rechnung Ausschütter'!P28</f>
        <v>0.1159515478</v>
      </c>
    </row>
    <row r="26" ht="15.75" customHeight="1">
      <c r="A26" s="14" t="s">
        <v>30</v>
      </c>
      <c r="B26" s="26">
        <f>'HIER Rechnung Ausschütter'!H36</f>
        <v>0.03033847982</v>
      </c>
      <c r="M26" s="11">
        <v>28.0</v>
      </c>
      <c r="N26" s="12">
        <f>'HIER Rechnung Thesaurierer '!AF29</f>
        <v>12754.77875</v>
      </c>
      <c r="O26" s="13">
        <f>'HIER Rechnung Thesaurierer '!O29</f>
        <v>0.1314354943</v>
      </c>
      <c r="P26" s="13">
        <f>'HIER Rechnung Ausschütter'!P29</f>
        <v>0.117608074</v>
      </c>
    </row>
    <row r="27" ht="15.75" customHeight="1">
      <c r="A27" s="27" t="s">
        <v>31</v>
      </c>
      <c r="B27" s="28">
        <f>'HIER Rechnung Thesaurierer '!H36</f>
        <v>0.07446666667</v>
      </c>
      <c r="M27" s="11">
        <v>29.0</v>
      </c>
      <c r="N27" s="12">
        <f>'HIER Rechnung Thesaurierer '!AF30</f>
        <v>10950.91733</v>
      </c>
      <c r="O27" s="13">
        <f>'HIER Rechnung Thesaurierer '!O30</f>
        <v>0.14007318</v>
      </c>
      <c r="P27" s="13">
        <f>'HIER Rechnung Ausschütter'!P30</f>
        <v>0.1229461887</v>
      </c>
    </row>
    <row r="28" ht="15.75" customHeight="1">
      <c r="A28" s="18"/>
      <c r="M28" s="11">
        <v>30.0</v>
      </c>
      <c r="N28" s="12">
        <f>'HIER Rechnung Thesaurierer '!AF31</f>
        <v>8518.974339</v>
      </c>
      <c r="O28" s="13">
        <f>'HIER Rechnung Thesaurierer '!O31</f>
        <v>0.1468636077</v>
      </c>
      <c r="P28" s="13">
        <f>'HIER Rechnung Ausschütter'!P31</f>
        <v>0.1261523227</v>
      </c>
    </row>
    <row r="29" ht="15.75" customHeight="1">
      <c r="A29" s="18"/>
      <c r="M29" s="6"/>
    </row>
    <row r="30" ht="15.75" customHeight="1">
      <c r="A30" s="18"/>
    </row>
    <row r="31" ht="15.75" customHeight="1">
      <c r="A31" s="18"/>
    </row>
    <row r="32" ht="15.75" customHeight="1">
      <c r="A32" s="18"/>
    </row>
    <row r="33" ht="15.75" customHeight="1">
      <c r="A33" s="18"/>
    </row>
    <row r="34" ht="15.75" customHeight="1">
      <c r="A34" s="18"/>
    </row>
    <row r="35" ht="15.75" customHeight="1">
      <c r="A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2:N28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29" t="s">
        <v>32</v>
      </c>
      <c r="B1" s="1"/>
      <c r="C1" s="14" t="s">
        <v>33</v>
      </c>
      <c r="D1" s="30">
        <f>Ergebnis!B2/H1</f>
        <v>0.666667</v>
      </c>
      <c r="E1" s="1" t="s">
        <v>34</v>
      </c>
      <c r="F1" s="1"/>
      <c r="G1" s="31">
        <f>B$4*(1-(7%*30))</f>
        <v>-1.1</v>
      </c>
      <c r="H1" s="32">
        <f>Ergebnis!B1</f>
        <v>1000000</v>
      </c>
      <c r="I1" s="18"/>
      <c r="J1" s="14" t="s">
        <v>35</v>
      </c>
      <c r="K1" s="26">
        <f>Ergebnis!B6</f>
        <v>0</v>
      </c>
      <c r="L1" s="14" t="s">
        <v>36</v>
      </c>
      <c r="M1" s="33">
        <f>Ergebnis!B5</f>
        <v>0.15</v>
      </c>
      <c r="N1" s="14" t="s">
        <v>37</v>
      </c>
      <c r="O1" s="34">
        <f>Ergebnis!B8</f>
        <v>0.184625</v>
      </c>
      <c r="P1" s="34">
        <f>Ergebnis!B9</f>
        <v>0.26375</v>
      </c>
      <c r="Q1" s="31"/>
      <c r="R1" s="14" t="s">
        <v>38</v>
      </c>
      <c r="S1" s="31">
        <f>Ergebnis!B4</f>
        <v>0</v>
      </c>
      <c r="T1" s="14"/>
      <c r="U1" s="35"/>
      <c r="V1" s="14"/>
      <c r="W1" s="14" t="s">
        <v>39</v>
      </c>
      <c r="X1" s="32">
        <f>Ergebnis!B3</f>
        <v>35000</v>
      </c>
      <c r="Y1" s="1"/>
      <c r="Z1" s="1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36"/>
      <c r="AP1" s="18"/>
      <c r="AQ1" s="36"/>
      <c r="AR1" s="18"/>
      <c r="AS1" s="18"/>
      <c r="AT1" s="18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7" t="s">
        <v>32</v>
      </c>
      <c r="J2" s="6" t="s">
        <v>47</v>
      </c>
      <c r="K2" s="6" t="s">
        <v>48</v>
      </c>
      <c r="L2" s="14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38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39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6"/>
      <c r="AP2" s="6"/>
      <c r="AQ2" s="6"/>
      <c r="AR2" s="6"/>
      <c r="AS2" s="6"/>
      <c r="AT2" s="6"/>
    </row>
    <row r="3" ht="12.75" hidden="1" customHeight="1">
      <c r="A3" s="11">
        <v>0.0</v>
      </c>
      <c r="B3" s="40"/>
      <c r="C3" s="41"/>
      <c r="D3" s="12"/>
      <c r="E3" s="42"/>
      <c r="F3" s="43"/>
      <c r="G3" s="12"/>
      <c r="H3" s="15"/>
      <c r="I3" s="44">
        <f>D4</f>
        <v>1000000</v>
      </c>
      <c r="J3" s="45"/>
      <c r="K3" s="45"/>
      <c r="L3" s="12"/>
      <c r="M3" s="12"/>
      <c r="N3" s="12"/>
      <c r="O3" s="11"/>
      <c r="P3" s="15"/>
      <c r="Q3" s="12"/>
      <c r="R3" s="41"/>
      <c r="S3" s="46"/>
      <c r="T3" s="12"/>
      <c r="U3" s="12"/>
      <c r="V3" s="12"/>
      <c r="W3" s="12"/>
      <c r="X3" s="12"/>
      <c r="Y3" s="12"/>
      <c r="Z3" s="15"/>
      <c r="AC3" s="47"/>
      <c r="AD3" s="12"/>
      <c r="AE3" s="12"/>
      <c r="AF3" s="48"/>
      <c r="AG3" s="15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0">
        <v>1.0</v>
      </c>
      <c r="C4" s="41">
        <f>H1</f>
        <v>1000000</v>
      </c>
      <c r="D4" s="12">
        <f>C4*B4</f>
        <v>1000000</v>
      </c>
      <c r="E4" s="42">
        <f t="shared" ref="E4:E33" si="1">F4-K$1</f>
        <v>-0.05708</v>
      </c>
      <c r="F4" s="43">
        <v>-0.05708</v>
      </c>
      <c r="G4" s="12">
        <f>D4*(1+E4)</f>
        <v>942920</v>
      </c>
      <c r="H4" s="15">
        <f>'HIER Einzelaktien'!G4-('HIER Einzelaktien'!G4*M$1)</f>
        <v>0.0316625</v>
      </c>
      <c r="I4" s="44">
        <f t="shared" ref="I4:I33" si="2">C5*B5</f>
        <v>931653.7901</v>
      </c>
      <c r="J4" s="49">
        <f t="shared" ref="J4:J33" si="3">I4/D4-1</f>
        <v>-0.0683462099</v>
      </c>
      <c r="K4" s="49">
        <f t="shared" ref="K4:K33" si="4">B5/D$1-1</f>
        <v>0.4143792928</v>
      </c>
      <c r="L4" s="50"/>
      <c r="M4" s="51">
        <f t="shared" ref="M4:M33" si="5">G4*H4</f>
        <v>29855.2045</v>
      </c>
      <c r="N4" s="51">
        <f t="shared" ref="N4:N33" si="6">M4*O$1-AL4</f>
        <v>5512.017131</v>
      </c>
      <c r="O4" s="51">
        <f t="shared" ref="O4:O33" si="7">M4-N4</f>
        <v>24343.18737</v>
      </c>
      <c r="P4" s="52">
        <f t="shared" ref="P4:P33" si="8">(S4+M4)/G4</f>
        <v>0.04361071395</v>
      </c>
      <c r="Q4" s="51">
        <f>X1</f>
        <v>35000</v>
      </c>
      <c r="R4" s="53">
        <f t="shared" ref="R4:R33" si="9">S4/B5</f>
        <v>11948.21395</v>
      </c>
      <c r="S4" s="54">
        <f t="shared" ref="S4:S33" si="10">Q4-O4+U4+AF4</f>
        <v>11266.2099</v>
      </c>
      <c r="T4" s="51">
        <f t="shared" ref="T4:T33" si="11">S4-V4</f>
        <v>3300.729948</v>
      </c>
      <c r="U4" s="51">
        <f t="shared" ref="U4:U33" si="12">T4*O$1</f>
        <v>609.3972667</v>
      </c>
      <c r="V4" s="51">
        <f t="shared" ref="V4:V33" si="13">R4*D$1+AH4</f>
        <v>7965.479949</v>
      </c>
      <c r="W4" s="51">
        <f t="shared" ref="W4:W33" si="14">S4-U4-AF4</f>
        <v>10656.81263</v>
      </c>
      <c r="X4" s="51">
        <f t="shared" ref="X4:X33" si="15">W4+O4</f>
        <v>35000</v>
      </c>
      <c r="Y4" s="12"/>
      <c r="Z4" s="52"/>
      <c r="AA4" s="51"/>
      <c r="AB4" s="52">
        <f>'HIER Rechnung Thesaurierer '!H4</f>
        <v>0.083</v>
      </c>
      <c r="AC4" s="55">
        <f t="shared" ref="AC4:AC33" si="16">(B5*C4)-(B4*C4)</f>
        <v>-57080</v>
      </c>
      <c r="AD4" s="51">
        <f>IF(AC4&gt;0,MIN((D4)*AB4*0.7,AC4),0)</f>
        <v>0</v>
      </c>
      <c r="AE4" s="51">
        <f t="shared" ref="AE4:AE33" si="17">IF(AC4&gt;0,MAX(AD4-(M4),0),0)</f>
        <v>0</v>
      </c>
      <c r="AF4" s="56">
        <f t="shared" ref="AF4:AF33" si="18">AE4*O$1</f>
        <v>0</v>
      </c>
      <c r="AG4" s="52">
        <f t="shared" ref="AG4:AG33" si="19">V4/G4</f>
        <v>0.008447673132</v>
      </c>
      <c r="AH4" s="51">
        <f t="shared" ref="AH4:AH33" si="20">IF(AI3&gt;0,(AI3/C4)*S4,0)</f>
        <v>0</v>
      </c>
      <c r="AI4" s="51">
        <f>AE4-AH4</f>
        <v>0</v>
      </c>
      <c r="AJ4" s="11"/>
      <c r="AK4" s="57">
        <f>S1</f>
        <v>0</v>
      </c>
      <c r="AL4" s="51">
        <f t="shared" ref="AL4:AL33" si="21">IF((M4+N4+S4)&lt;AK4,(M4+N4+S4)*O$1,AK4*O$1)</f>
        <v>0</v>
      </c>
      <c r="AM4" s="51">
        <f t="shared" ref="AM4:AM33" si="22">(M4+T4+AE4)*0.7</f>
        <v>23209.15411</v>
      </c>
      <c r="AN4" s="51"/>
      <c r="AO4" s="50"/>
      <c r="AP4" s="58"/>
      <c r="AQ4" s="50"/>
      <c r="AR4" s="58"/>
      <c r="AS4" s="58"/>
      <c r="AT4" s="58"/>
    </row>
    <row r="5" ht="12.75" customHeight="1">
      <c r="A5" s="11">
        <v>2.0</v>
      </c>
      <c r="B5" s="40">
        <f t="shared" ref="B5:B34" si="23">B4*(1+E4)</f>
        <v>0.94292</v>
      </c>
      <c r="C5" s="41">
        <f t="shared" ref="C5:C34" si="24">C4-R4</f>
        <v>988051.7861</v>
      </c>
      <c r="D5" s="12">
        <f t="shared" ref="D5:D33" si="25">I4</f>
        <v>931653.7901</v>
      </c>
      <c r="E5" s="42">
        <f t="shared" si="1"/>
        <v>0.155909303</v>
      </c>
      <c r="F5" s="43">
        <v>0.155909303016162</v>
      </c>
      <c r="G5" s="12">
        <f t="shared" ref="G5:G33" si="26">D5*(1+E5-K$1)</f>
        <v>1076907.283</v>
      </c>
      <c r="H5" s="15">
        <f>'HIER Einzelaktien'!G5-('HIER Einzelaktien'!G5*M$1)</f>
        <v>0.03377069457</v>
      </c>
      <c r="I5" s="44">
        <f t="shared" si="2"/>
        <v>1064988.261</v>
      </c>
      <c r="J5" s="49">
        <f t="shared" si="3"/>
        <v>0.1431159003</v>
      </c>
      <c r="K5" s="49">
        <f t="shared" si="4"/>
        <v>0.6348941826</v>
      </c>
      <c r="L5" s="50"/>
      <c r="M5" s="51">
        <f t="shared" si="5"/>
        <v>36367.90694</v>
      </c>
      <c r="N5" s="51">
        <f t="shared" si="6"/>
        <v>6714.424818</v>
      </c>
      <c r="O5" s="51">
        <f t="shared" si="7"/>
        <v>29653.48212</v>
      </c>
      <c r="P5" s="52">
        <f t="shared" si="8"/>
        <v>0.0448385203</v>
      </c>
      <c r="Q5" s="51">
        <f>Q4*(1+'HIER Rechnung Thesaurierer '!I5)</f>
        <v>37800</v>
      </c>
      <c r="R5" s="53">
        <f t="shared" si="9"/>
        <v>10935.58498</v>
      </c>
      <c r="S5" s="54">
        <f t="shared" si="10"/>
        <v>11919.02214</v>
      </c>
      <c r="T5" s="51">
        <f t="shared" si="11"/>
        <v>4628.628505</v>
      </c>
      <c r="U5" s="51">
        <f t="shared" si="12"/>
        <v>854.5605378</v>
      </c>
      <c r="V5" s="51">
        <f t="shared" si="13"/>
        <v>7290.393632</v>
      </c>
      <c r="W5" s="51">
        <f t="shared" si="14"/>
        <v>8146.517882</v>
      </c>
      <c r="X5" s="51">
        <f t="shared" si="15"/>
        <v>37800</v>
      </c>
      <c r="Y5" s="12"/>
      <c r="Z5" s="52"/>
      <c r="AA5" s="51"/>
      <c r="AB5" s="52">
        <f>'HIER Rechnung Thesaurierer '!H5</f>
        <v>0.08</v>
      </c>
      <c r="AC5" s="55">
        <f t="shared" si="16"/>
        <v>145253.4931</v>
      </c>
      <c r="AD5" s="51">
        <f t="shared" ref="AD5:AD33" si="27">IF(AB5&gt;0, IF(AC5&gt;0,MIN((D5)*AB5*0.7,AC5),0),0)</f>
        <v>52172.61225</v>
      </c>
      <c r="AE5" s="51">
        <f t="shared" si="17"/>
        <v>15804.70531</v>
      </c>
      <c r="AF5" s="56">
        <f t="shared" si="18"/>
        <v>2917.943718</v>
      </c>
      <c r="AG5" s="52">
        <f t="shared" si="19"/>
        <v>0.006769750512</v>
      </c>
      <c r="AH5" s="51">
        <f t="shared" si="20"/>
        <v>0</v>
      </c>
      <c r="AI5" s="51">
        <f t="shared" ref="AI5:AI33" si="28">AI4+AE5-AH5</f>
        <v>15804.70531</v>
      </c>
      <c r="AJ5" s="11"/>
      <c r="AK5" s="57">
        <f>AK4*(1+'HIER Rechnung Thesaurierer '!I4)</f>
        <v>0</v>
      </c>
      <c r="AL5" s="51">
        <f t="shared" si="21"/>
        <v>0</v>
      </c>
      <c r="AM5" s="51">
        <f t="shared" si="22"/>
        <v>39760.86853</v>
      </c>
      <c r="AN5" s="51"/>
      <c r="AO5" s="50"/>
      <c r="AP5" s="58"/>
      <c r="AQ5" s="50"/>
      <c r="AR5" s="58"/>
      <c r="AS5" s="58"/>
      <c r="AT5" s="58"/>
    </row>
    <row r="6" ht="12.75" customHeight="1">
      <c r="A6" s="11">
        <v>3.0</v>
      </c>
      <c r="B6" s="40">
        <f t="shared" si="23"/>
        <v>1.08993</v>
      </c>
      <c r="C6" s="41">
        <f t="shared" si="24"/>
        <v>977116.2011</v>
      </c>
      <c r="D6" s="12">
        <f t="shared" si="25"/>
        <v>1064988.261</v>
      </c>
      <c r="E6" s="42">
        <f t="shared" si="1"/>
        <v>0.1994990504</v>
      </c>
      <c r="F6" s="43">
        <v>0.199499050397732</v>
      </c>
      <c r="G6" s="12">
        <f t="shared" si="26"/>
        <v>1277452.408</v>
      </c>
      <c r="H6" s="15">
        <f>'HIER Einzelaktien'!G6-('HIER Einzelaktien'!G6*M$1)</f>
        <v>0.03058665295</v>
      </c>
      <c r="I6" s="44">
        <f t="shared" si="2"/>
        <v>1263659.108</v>
      </c>
      <c r="J6" s="49">
        <f t="shared" si="3"/>
        <v>0.1865474524</v>
      </c>
      <c r="K6" s="49">
        <f t="shared" si="4"/>
        <v>0.9610540195</v>
      </c>
      <c r="L6" s="50"/>
      <c r="M6" s="51">
        <f t="shared" si="5"/>
        <v>39072.99345</v>
      </c>
      <c r="N6" s="51">
        <f t="shared" si="6"/>
        <v>7213.851416</v>
      </c>
      <c r="O6" s="51">
        <f t="shared" si="7"/>
        <v>31859.14204</v>
      </c>
      <c r="P6" s="52">
        <f t="shared" si="8"/>
        <v>0.04138415877</v>
      </c>
      <c r="Q6" s="51">
        <f>Q5*(1+'HIER Rechnung Thesaurierer '!I6)</f>
        <v>40786.2</v>
      </c>
      <c r="R6" s="53">
        <f t="shared" si="9"/>
        <v>10550.41787</v>
      </c>
      <c r="S6" s="54">
        <f t="shared" si="10"/>
        <v>13793.29982</v>
      </c>
      <c r="T6" s="51">
        <f t="shared" si="11"/>
        <v>6536.579865</v>
      </c>
      <c r="U6" s="51">
        <f t="shared" si="12"/>
        <v>1206.816058</v>
      </c>
      <c r="V6" s="51">
        <f t="shared" si="13"/>
        <v>7256.71995</v>
      </c>
      <c r="W6" s="51">
        <f t="shared" si="14"/>
        <v>8927.057964</v>
      </c>
      <c r="X6" s="51">
        <f t="shared" si="15"/>
        <v>40786.2</v>
      </c>
      <c r="Y6" s="12"/>
      <c r="Z6" s="52"/>
      <c r="AA6" s="51"/>
      <c r="AB6" s="52">
        <f>'HIER Rechnung Thesaurierer '!H6</f>
        <v>0.079</v>
      </c>
      <c r="AC6" s="55">
        <f t="shared" si="16"/>
        <v>212464.1468</v>
      </c>
      <c r="AD6" s="51">
        <f t="shared" si="27"/>
        <v>58893.85084</v>
      </c>
      <c r="AE6" s="51">
        <f t="shared" si="17"/>
        <v>19820.85738</v>
      </c>
      <c r="AF6" s="56">
        <f t="shared" si="18"/>
        <v>3659.425794</v>
      </c>
      <c r="AG6" s="52">
        <f t="shared" si="19"/>
        <v>0.005680618633</v>
      </c>
      <c r="AH6" s="51">
        <f t="shared" si="20"/>
        <v>223.1045178</v>
      </c>
      <c r="AI6" s="51">
        <f t="shared" si="28"/>
        <v>35402.45817</v>
      </c>
      <c r="AJ6" s="11"/>
      <c r="AK6" s="57">
        <f>AK5*(1+'HIER Rechnung Thesaurierer '!I5)</f>
        <v>0</v>
      </c>
      <c r="AL6" s="51">
        <f t="shared" si="21"/>
        <v>0</v>
      </c>
      <c r="AM6" s="51">
        <f t="shared" si="22"/>
        <v>45801.30149</v>
      </c>
      <c r="AN6" s="51"/>
      <c r="AO6" s="50"/>
      <c r="AP6" s="58"/>
      <c r="AQ6" s="50"/>
      <c r="AR6" s="58"/>
      <c r="AS6" s="58"/>
      <c r="AT6" s="58"/>
    </row>
    <row r="7" ht="12.75" customHeight="1">
      <c r="A7" s="11">
        <v>4.0</v>
      </c>
      <c r="B7" s="40">
        <f t="shared" si="23"/>
        <v>1.30737</v>
      </c>
      <c r="C7" s="41">
        <f t="shared" si="24"/>
        <v>966565.7832</v>
      </c>
      <c r="D7" s="12">
        <f t="shared" si="25"/>
        <v>1263659.108</v>
      </c>
      <c r="E7" s="42">
        <f t="shared" si="1"/>
        <v>-0.1707779741</v>
      </c>
      <c r="F7" s="43">
        <v>-0.170777974100675</v>
      </c>
      <c r="G7" s="12">
        <f t="shared" si="26"/>
        <v>1047853.966</v>
      </c>
      <c r="H7" s="15">
        <f>'HIER Einzelaktien'!G7-('HIER Einzelaktien'!G7*M$1)</f>
        <v>0.02186167166</v>
      </c>
      <c r="I7" s="44">
        <f t="shared" si="2"/>
        <v>1020172.441</v>
      </c>
      <c r="J7" s="49">
        <f t="shared" si="3"/>
        <v>-0.1926838219</v>
      </c>
      <c r="K7" s="49">
        <f t="shared" si="4"/>
        <v>0.6261491869</v>
      </c>
      <c r="L7" s="50"/>
      <c r="M7" s="51">
        <f t="shared" si="5"/>
        <v>22907.83934</v>
      </c>
      <c r="N7" s="51">
        <f t="shared" si="6"/>
        <v>4229.359838</v>
      </c>
      <c r="O7" s="51">
        <f t="shared" si="7"/>
        <v>18678.4795</v>
      </c>
      <c r="P7" s="52">
        <f t="shared" si="8"/>
        <v>0.04827902086</v>
      </c>
      <c r="Q7" s="51">
        <f>Q6*(1+'HIER Rechnung Thesaurierer '!I7)</f>
        <v>44579.3166</v>
      </c>
      <c r="R7" s="53">
        <f t="shared" si="9"/>
        <v>25534.10582</v>
      </c>
      <c r="S7" s="54">
        <f t="shared" si="10"/>
        <v>27681.52412</v>
      </c>
      <c r="T7" s="51">
        <f t="shared" si="11"/>
        <v>9644.885685</v>
      </c>
      <c r="U7" s="51">
        <f t="shared" si="12"/>
        <v>1780.68702</v>
      </c>
      <c r="V7" s="51">
        <f t="shared" si="13"/>
        <v>18036.63843</v>
      </c>
      <c r="W7" s="51">
        <f t="shared" si="14"/>
        <v>25900.8371</v>
      </c>
      <c r="X7" s="51">
        <f t="shared" si="15"/>
        <v>44579.3166</v>
      </c>
      <c r="Y7" s="12"/>
      <c r="Z7" s="52"/>
      <c r="AA7" s="51"/>
      <c r="AB7" s="52">
        <f>'HIER Rechnung Thesaurierer '!H7</f>
        <v>0.093</v>
      </c>
      <c r="AC7" s="55">
        <f t="shared" si="16"/>
        <v>-215805.1424</v>
      </c>
      <c r="AD7" s="51">
        <f t="shared" si="27"/>
        <v>0</v>
      </c>
      <c r="AE7" s="51">
        <f t="shared" si="17"/>
        <v>0</v>
      </c>
      <c r="AF7" s="56">
        <f t="shared" si="18"/>
        <v>0</v>
      </c>
      <c r="AG7" s="52">
        <f t="shared" si="19"/>
        <v>0.0172129314</v>
      </c>
      <c r="AH7" s="51">
        <f t="shared" si="20"/>
        <v>1013.892708</v>
      </c>
      <c r="AI7" s="51">
        <f t="shared" si="28"/>
        <v>34388.56547</v>
      </c>
      <c r="AJ7" s="11"/>
      <c r="AK7" s="57">
        <f>AK6*(1+'HIER Rechnung Thesaurierer '!I6)</f>
        <v>0</v>
      </c>
      <c r="AL7" s="51">
        <f t="shared" si="21"/>
        <v>0</v>
      </c>
      <c r="AM7" s="51">
        <f t="shared" si="22"/>
        <v>22786.90752</v>
      </c>
      <c r="AN7" s="51"/>
      <c r="AO7" s="50"/>
      <c r="AP7" s="58"/>
      <c r="AQ7" s="50"/>
      <c r="AR7" s="58"/>
      <c r="AS7" s="58"/>
      <c r="AT7" s="58"/>
    </row>
    <row r="8" ht="12.75" customHeight="1">
      <c r="A8" s="11">
        <v>5.0</v>
      </c>
      <c r="B8" s="40">
        <f t="shared" si="23"/>
        <v>1.0841</v>
      </c>
      <c r="C8" s="41">
        <f t="shared" si="24"/>
        <v>941031.6774</v>
      </c>
      <c r="D8" s="12">
        <f t="shared" si="25"/>
        <v>1020172.441</v>
      </c>
      <c r="E8" s="42">
        <f t="shared" si="1"/>
        <v>-0.2783230329</v>
      </c>
      <c r="F8" s="43">
        <v>-0.278323032930541</v>
      </c>
      <c r="G8" s="12">
        <f t="shared" si="26"/>
        <v>736234.9534</v>
      </c>
      <c r="H8" s="15">
        <f>'HIER Einzelaktien'!G8-('HIER Einzelaktien'!G8*M$1)</f>
        <v>0.02849497351</v>
      </c>
      <c r="I8" s="44">
        <f t="shared" si="2"/>
        <v>703451.2024</v>
      </c>
      <c r="J8" s="49">
        <f t="shared" si="3"/>
        <v>-0.3104585325</v>
      </c>
      <c r="K8" s="49">
        <f t="shared" si="4"/>
        <v>0.1735544132</v>
      </c>
      <c r="L8" s="50"/>
      <c r="M8" s="51">
        <f t="shared" si="5"/>
        <v>20978.99549</v>
      </c>
      <c r="N8" s="51">
        <f t="shared" si="6"/>
        <v>3873.247043</v>
      </c>
      <c r="O8" s="51">
        <f t="shared" si="7"/>
        <v>17105.74845</v>
      </c>
      <c r="P8" s="52">
        <f t="shared" si="8"/>
        <v>0.07302389856</v>
      </c>
      <c r="Q8" s="51">
        <f>Q7*(1+'HIER Rechnung Thesaurierer '!I8)</f>
        <v>49215.56553</v>
      </c>
      <c r="R8" s="53">
        <f t="shared" si="9"/>
        <v>41903.12903</v>
      </c>
      <c r="S8" s="54">
        <f t="shared" si="10"/>
        <v>32783.75106</v>
      </c>
      <c r="T8" s="51">
        <f t="shared" si="11"/>
        <v>3650.285618</v>
      </c>
      <c r="U8" s="51">
        <f t="shared" si="12"/>
        <v>673.9339821</v>
      </c>
      <c r="V8" s="51">
        <f t="shared" si="13"/>
        <v>29133.46543</v>
      </c>
      <c r="W8" s="51">
        <f t="shared" si="14"/>
        <v>32109.81707</v>
      </c>
      <c r="X8" s="51">
        <f t="shared" si="15"/>
        <v>49215.56553</v>
      </c>
      <c r="Y8" s="12"/>
      <c r="Z8" s="52"/>
      <c r="AA8" s="51"/>
      <c r="AB8" s="52">
        <f>'HIER Rechnung Thesaurierer '!H8</f>
        <v>0.104</v>
      </c>
      <c r="AC8" s="55">
        <f t="shared" si="16"/>
        <v>-283937.488</v>
      </c>
      <c r="AD8" s="51">
        <f t="shared" si="27"/>
        <v>0</v>
      </c>
      <c r="AE8" s="51">
        <f t="shared" si="17"/>
        <v>0</v>
      </c>
      <c r="AF8" s="56">
        <f t="shared" si="18"/>
        <v>0</v>
      </c>
      <c r="AG8" s="52">
        <f t="shared" si="19"/>
        <v>0.0395708806</v>
      </c>
      <c r="AH8" s="51">
        <f t="shared" si="20"/>
        <v>1198.032114</v>
      </c>
      <c r="AI8" s="51">
        <f t="shared" si="28"/>
        <v>33190.53335</v>
      </c>
      <c r="AJ8" s="11"/>
      <c r="AK8" s="57">
        <f>AK7*(1+'HIER Rechnung Thesaurierer '!I7)</f>
        <v>0</v>
      </c>
      <c r="AL8" s="51">
        <f t="shared" si="21"/>
        <v>0</v>
      </c>
      <c r="AM8" s="51">
        <f t="shared" si="22"/>
        <v>17240.49678</v>
      </c>
      <c r="AN8" s="51"/>
      <c r="AO8" s="50"/>
      <c r="AP8" s="58"/>
      <c r="AQ8" s="50"/>
      <c r="AR8" s="58"/>
      <c r="AS8" s="58"/>
      <c r="AT8" s="58"/>
    </row>
    <row r="9" ht="12.75" customHeight="1">
      <c r="A9" s="11">
        <v>6.0</v>
      </c>
      <c r="B9" s="40">
        <f t="shared" si="23"/>
        <v>0.78237</v>
      </c>
      <c r="C9" s="41">
        <f t="shared" si="24"/>
        <v>899128.5484</v>
      </c>
      <c r="D9" s="12">
        <f t="shared" si="25"/>
        <v>703451.2024</v>
      </c>
      <c r="E9" s="42">
        <f t="shared" si="1"/>
        <v>0.2891982055</v>
      </c>
      <c r="F9" s="43">
        <v>0.289198205452663</v>
      </c>
      <c r="G9" s="12">
        <f t="shared" si="26"/>
        <v>906888.0277</v>
      </c>
      <c r="H9" s="15">
        <f>'HIER Einzelaktien'!G9-('HIER Einzelaktien'!G9*M$1)</f>
        <v>0.04739533735</v>
      </c>
      <c r="I9" s="44">
        <f t="shared" si="2"/>
        <v>887347.4062</v>
      </c>
      <c r="J9" s="49">
        <f t="shared" si="3"/>
        <v>0.2614199866</v>
      </c>
      <c r="K9" s="49">
        <f t="shared" si="4"/>
        <v>0.5129442435</v>
      </c>
      <c r="L9" s="50"/>
      <c r="M9" s="51">
        <f t="shared" si="5"/>
        <v>42982.26402</v>
      </c>
      <c r="N9" s="51">
        <f t="shared" si="6"/>
        <v>7935.600494</v>
      </c>
      <c r="O9" s="51">
        <f t="shared" si="7"/>
        <v>35046.66352</v>
      </c>
      <c r="P9" s="52">
        <f t="shared" si="8"/>
        <v>0.06894223277</v>
      </c>
      <c r="Q9" s="51">
        <f>Q8*(1+'HIER Rechnung Thesaurierer '!I9)</f>
        <v>53497.31973</v>
      </c>
      <c r="R9" s="53">
        <f t="shared" si="9"/>
        <v>19373.4288</v>
      </c>
      <c r="S9" s="54">
        <f t="shared" si="10"/>
        <v>19540.62148</v>
      </c>
      <c r="T9" s="51">
        <f t="shared" si="11"/>
        <v>5903.671111</v>
      </c>
      <c r="U9" s="51">
        <f t="shared" si="12"/>
        <v>1089.965279</v>
      </c>
      <c r="V9" s="51">
        <f t="shared" si="13"/>
        <v>13636.95038</v>
      </c>
      <c r="W9" s="51">
        <f t="shared" si="14"/>
        <v>18450.65621</v>
      </c>
      <c r="X9" s="51">
        <f t="shared" si="15"/>
        <v>53497.31973</v>
      </c>
      <c r="Y9" s="12"/>
      <c r="Z9" s="52"/>
      <c r="AA9" s="51"/>
      <c r="AB9" s="52">
        <f>'HIER Rechnung Thesaurierer '!H9</f>
        <v>0.087</v>
      </c>
      <c r="AC9" s="55">
        <f t="shared" si="16"/>
        <v>203436.8253</v>
      </c>
      <c r="AD9" s="51">
        <f t="shared" si="27"/>
        <v>42840.17822</v>
      </c>
      <c r="AE9" s="51">
        <f t="shared" si="17"/>
        <v>0</v>
      </c>
      <c r="AF9" s="56">
        <f t="shared" si="18"/>
        <v>0</v>
      </c>
      <c r="AG9" s="52">
        <f t="shared" si="19"/>
        <v>0.01503708281</v>
      </c>
      <c r="AH9" s="51">
        <f t="shared" si="20"/>
        <v>721.3247208</v>
      </c>
      <c r="AI9" s="51">
        <f t="shared" si="28"/>
        <v>32469.20863</v>
      </c>
      <c r="AJ9" s="11"/>
      <c r="AK9" s="57">
        <f>AK8*(1+'HIER Rechnung Thesaurierer '!I8)</f>
        <v>0</v>
      </c>
      <c r="AL9" s="51">
        <f t="shared" si="21"/>
        <v>0</v>
      </c>
      <c r="AM9" s="51">
        <f t="shared" si="22"/>
        <v>34220.15459</v>
      </c>
      <c r="AN9" s="51"/>
      <c r="AO9" s="50"/>
      <c r="AP9" s="58"/>
      <c r="AQ9" s="50"/>
      <c r="AR9" s="58"/>
      <c r="AS9" s="58"/>
      <c r="AT9" s="58"/>
    </row>
    <row r="10" ht="12.75" customHeight="1">
      <c r="A10" s="11">
        <v>7.0</v>
      </c>
      <c r="B10" s="40">
        <f t="shared" si="23"/>
        <v>1.00863</v>
      </c>
      <c r="C10" s="41">
        <f t="shared" si="24"/>
        <v>879755.1196</v>
      </c>
      <c r="D10" s="12">
        <f t="shared" si="25"/>
        <v>887347.4062</v>
      </c>
      <c r="E10" s="42">
        <f t="shared" si="1"/>
        <v>0.1031002449</v>
      </c>
      <c r="F10" s="43">
        <v>0.103100244886629</v>
      </c>
      <c r="G10" s="12">
        <f t="shared" si="26"/>
        <v>978833.1411</v>
      </c>
      <c r="H10" s="15">
        <f>'HIER Einzelaktien'!G10-('HIER Einzelaktien'!G10*M$1)</f>
        <v>0.03740535431</v>
      </c>
      <c r="I10" s="44">
        <f t="shared" si="2"/>
        <v>946310.2628</v>
      </c>
      <c r="J10" s="49">
        <f t="shared" si="3"/>
        <v>0.06644844643</v>
      </c>
      <c r="K10" s="49">
        <f t="shared" si="4"/>
        <v>0.6689291655</v>
      </c>
      <c r="L10" s="50"/>
      <c r="M10" s="51">
        <f t="shared" si="5"/>
        <v>36613.60046</v>
      </c>
      <c r="N10" s="51">
        <f t="shared" si="6"/>
        <v>6759.785984</v>
      </c>
      <c r="O10" s="51">
        <f t="shared" si="7"/>
        <v>29853.81447</v>
      </c>
      <c r="P10" s="52">
        <f t="shared" si="8"/>
        <v>0.0706315263</v>
      </c>
      <c r="Q10" s="51">
        <f>Q9*(1+'HIER Rechnung Thesaurierer '!I10)</f>
        <v>57777.10531</v>
      </c>
      <c r="R10" s="53">
        <f t="shared" si="9"/>
        <v>29230.89491</v>
      </c>
      <c r="S10" s="54">
        <f t="shared" si="10"/>
        <v>32522.87829</v>
      </c>
      <c r="T10" s="51">
        <f t="shared" si="11"/>
        <v>11835.28021</v>
      </c>
      <c r="U10" s="51">
        <f t="shared" si="12"/>
        <v>2185.088609</v>
      </c>
      <c r="V10" s="51">
        <f t="shared" si="13"/>
        <v>20687.59808</v>
      </c>
      <c r="W10" s="51">
        <f t="shared" si="14"/>
        <v>27923.29083</v>
      </c>
      <c r="X10" s="51">
        <f t="shared" si="15"/>
        <v>57777.10531</v>
      </c>
      <c r="Y10" s="12"/>
      <c r="Z10" s="52"/>
      <c r="AA10" s="51"/>
      <c r="AB10" s="52">
        <f>'HIER Rechnung Thesaurierer '!H10</f>
        <v>0.08</v>
      </c>
      <c r="AC10" s="55">
        <f t="shared" si="16"/>
        <v>91485.73488</v>
      </c>
      <c r="AD10" s="51">
        <f t="shared" si="27"/>
        <v>49691.45475</v>
      </c>
      <c r="AE10" s="51">
        <f t="shared" si="17"/>
        <v>13077.85429</v>
      </c>
      <c r="AF10" s="56">
        <f t="shared" si="18"/>
        <v>2414.498849</v>
      </c>
      <c r="AG10" s="52">
        <f t="shared" si="19"/>
        <v>0.02113495877</v>
      </c>
      <c r="AH10" s="51">
        <f t="shared" si="20"/>
        <v>1200.325064</v>
      </c>
      <c r="AI10" s="51">
        <f t="shared" si="28"/>
        <v>44346.73786</v>
      </c>
      <c r="AJ10" s="11"/>
      <c r="AK10" s="57">
        <f>AK9*(1+'HIER Rechnung Thesaurierer '!I9)</f>
        <v>0</v>
      </c>
      <c r="AL10" s="51">
        <f t="shared" si="21"/>
        <v>0</v>
      </c>
      <c r="AM10" s="51">
        <f t="shared" si="22"/>
        <v>43068.71447</v>
      </c>
      <c r="AN10" s="51"/>
      <c r="AO10" s="50"/>
      <c r="AP10" s="58"/>
      <c r="AQ10" s="50"/>
      <c r="AR10" s="58"/>
      <c r="AS10" s="58"/>
      <c r="AT10" s="58"/>
    </row>
    <row r="11" ht="12.75" customHeight="1">
      <c r="A11" s="11">
        <v>8.0</v>
      </c>
      <c r="B11" s="40">
        <f t="shared" si="23"/>
        <v>1.11262</v>
      </c>
      <c r="C11" s="41">
        <f t="shared" si="24"/>
        <v>850524.2246</v>
      </c>
      <c r="D11" s="12">
        <f t="shared" si="25"/>
        <v>946310.2628</v>
      </c>
      <c r="E11" s="42">
        <f t="shared" si="1"/>
        <v>-0.02463554493</v>
      </c>
      <c r="F11" s="43">
        <v>-0.0246355449299851</v>
      </c>
      <c r="G11" s="12">
        <f t="shared" si="26"/>
        <v>922997.3938</v>
      </c>
      <c r="H11" s="15">
        <f>'HIER Einzelaktien'!G11-('HIER Einzelaktien'!G11*M$1)</f>
        <v>0.0379545932</v>
      </c>
      <c r="I11" s="44">
        <f t="shared" si="2"/>
        <v>887865.5832</v>
      </c>
      <c r="J11" s="49">
        <f t="shared" si="3"/>
        <v>-0.06176058946</v>
      </c>
      <c r="K11" s="49">
        <f t="shared" si="4"/>
        <v>0.6278141861</v>
      </c>
      <c r="L11" s="50"/>
      <c r="M11" s="51">
        <f t="shared" si="5"/>
        <v>35031.99061</v>
      </c>
      <c r="N11" s="51">
        <f t="shared" si="6"/>
        <v>6467.781266</v>
      </c>
      <c r="O11" s="51">
        <f t="shared" si="7"/>
        <v>28564.20934</v>
      </c>
      <c r="P11" s="52">
        <f t="shared" si="8"/>
        <v>0.07601733409</v>
      </c>
      <c r="Q11" s="51">
        <f>Q10*(1+'HIER Rechnung Thesaurierer '!I11)</f>
        <v>61532.61715</v>
      </c>
      <c r="R11" s="53">
        <f t="shared" si="9"/>
        <v>32373.28319</v>
      </c>
      <c r="S11" s="54">
        <f t="shared" si="10"/>
        <v>35131.81065</v>
      </c>
      <c r="T11" s="51">
        <f t="shared" si="11"/>
        <v>11717.82174</v>
      </c>
      <c r="U11" s="51">
        <f t="shared" si="12"/>
        <v>2163.402839</v>
      </c>
      <c r="V11" s="51">
        <f t="shared" si="13"/>
        <v>23413.98891</v>
      </c>
      <c r="W11" s="51">
        <f t="shared" si="14"/>
        <v>32968.40781</v>
      </c>
      <c r="X11" s="51">
        <f t="shared" si="15"/>
        <v>61532.61715</v>
      </c>
      <c r="Y11" s="12"/>
      <c r="Z11" s="52"/>
      <c r="AA11" s="51"/>
      <c r="AB11" s="52">
        <f>'HIER Rechnung Thesaurierer '!H11</f>
        <v>0.065</v>
      </c>
      <c r="AC11" s="55">
        <f t="shared" si="16"/>
        <v>-23312.869</v>
      </c>
      <c r="AD11" s="51">
        <f t="shared" si="27"/>
        <v>0</v>
      </c>
      <c r="AE11" s="51">
        <f t="shared" si="17"/>
        <v>0</v>
      </c>
      <c r="AF11" s="56">
        <f t="shared" si="18"/>
        <v>0</v>
      </c>
      <c r="AG11" s="52">
        <f t="shared" si="19"/>
        <v>0.02536734022</v>
      </c>
      <c r="AH11" s="51">
        <f t="shared" si="20"/>
        <v>1831.789327</v>
      </c>
      <c r="AI11" s="51">
        <f t="shared" si="28"/>
        <v>42514.94853</v>
      </c>
      <c r="AJ11" s="11"/>
      <c r="AK11" s="57">
        <f>AK10*(1+'HIER Rechnung Thesaurierer '!I10)</f>
        <v>0</v>
      </c>
      <c r="AL11" s="51">
        <f t="shared" si="21"/>
        <v>0</v>
      </c>
      <c r="AM11" s="51">
        <f t="shared" si="22"/>
        <v>32724.86864</v>
      </c>
      <c r="AN11" s="51"/>
      <c r="AO11" s="50"/>
      <c r="AP11" s="58"/>
      <c r="AQ11" s="50"/>
      <c r="AR11" s="58"/>
      <c r="AS11" s="58"/>
      <c r="AT11" s="58"/>
    </row>
    <row r="12" ht="12.75" customHeight="1">
      <c r="A12" s="11">
        <v>9.0</v>
      </c>
      <c r="B12" s="40">
        <f t="shared" si="23"/>
        <v>1.08521</v>
      </c>
      <c r="C12" s="41">
        <f t="shared" si="24"/>
        <v>818150.9415</v>
      </c>
      <c r="D12" s="12">
        <f t="shared" si="25"/>
        <v>887865.5832</v>
      </c>
      <c r="E12" s="42">
        <f t="shared" si="1"/>
        <v>0.1267865206</v>
      </c>
      <c r="F12" s="43">
        <v>0.12678652058127</v>
      </c>
      <c r="G12" s="12">
        <f t="shared" si="26"/>
        <v>1000434.971</v>
      </c>
      <c r="H12" s="15">
        <f>'HIER Einzelaktien'!G12-('HIER Einzelaktien'!G12*M$1)</f>
        <v>0.04707052898</v>
      </c>
      <c r="I12" s="44">
        <f t="shared" si="2"/>
        <v>971385.1387</v>
      </c>
      <c r="J12" s="49">
        <f t="shared" si="3"/>
        <v>0.09406779262</v>
      </c>
      <c r="K12" s="49">
        <f t="shared" si="4"/>
        <v>0.8341990829</v>
      </c>
      <c r="L12" s="50"/>
      <c r="M12" s="51">
        <f t="shared" si="5"/>
        <v>47091.00331</v>
      </c>
      <c r="N12" s="51">
        <f t="shared" si="6"/>
        <v>8694.176485</v>
      </c>
      <c r="O12" s="51">
        <f t="shared" si="7"/>
        <v>38396.82682</v>
      </c>
      <c r="P12" s="52">
        <f t="shared" si="8"/>
        <v>0.07610773112</v>
      </c>
      <c r="Q12" s="51">
        <f>Q11*(1+'HIER Rechnung Thesaurierer '!I12)</f>
        <v>65286.1068</v>
      </c>
      <c r="R12" s="53">
        <f t="shared" si="9"/>
        <v>23756.81427</v>
      </c>
      <c r="S12" s="54">
        <f t="shared" si="10"/>
        <v>29049.83249</v>
      </c>
      <c r="T12" s="51">
        <f t="shared" si="11"/>
        <v>11702.38326</v>
      </c>
      <c r="U12" s="51">
        <f t="shared" si="12"/>
        <v>2160.552509</v>
      </c>
      <c r="V12" s="51">
        <f t="shared" si="13"/>
        <v>17347.44923</v>
      </c>
      <c r="W12" s="51">
        <f t="shared" si="14"/>
        <v>26889.27998</v>
      </c>
      <c r="X12" s="51">
        <f t="shared" si="15"/>
        <v>65286.1068</v>
      </c>
      <c r="Y12" s="12"/>
      <c r="Z12" s="52"/>
      <c r="AA12" s="51"/>
      <c r="AB12" s="52">
        <f>'HIER Rechnung Thesaurierer '!H12</f>
        <v>0.061</v>
      </c>
      <c r="AC12" s="55">
        <f t="shared" si="16"/>
        <v>112569.388</v>
      </c>
      <c r="AD12" s="51">
        <f t="shared" si="27"/>
        <v>37911.8604</v>
      </c>
      <c r="AE12" s="51">
        <f t="shared" si="17"/>
        <v>0</v>
      </c>
      <c r="AF12" s="56">
        <f t="shared" si="18"/>
        <v>0</v>
      </c>
      <c r="AG12" s="52">
        <f t="shared" si="19"/>
        <v>0.01733990687</v>
      </c>
      <c r="AH12" s="51">
        <f t="shared" si="20"/>
        <v>1509.565131</v>
      </c>
      <c r="AI12" s="51">
        <f t="shared" si="28"/>
        <v>41005.3834</v>
      </c>
      <c r="AJ12" s="11"/>
      <c r="AK12" s="57">
        <f>AK11*(1+'HIER Rechnung Thesaurierer '!I11)</f>
        <v>0</v>
      </c>
      <c r="AL12" s="51">
        <f t="shared" si="21"/>
        <v>0</v>
      </c>
      <c r="AM12" s="51">
        <f t="shared" si="22"/>
        <v>41155.3706</v>
      </c>
      <c r="AN12" s="51"/>
      <c r="AO12" s="50"/>
      <c r="AP12" s="58"/>
      <c r="AQ12" s="50"/>
      <c r="AR12" s="58"/>
      <c r="AS12" s="58"/>
      <c r="AT12" s="58"/>
    </row>
    <row r="13" ht="12.75" customHeight="1">
      <c r="A13" s="11">
        <v>10.0</v>
      </c>
      <c r="B13" s="40">
        <f t="shared" si="23"/>
        <v>1.2228</v>
      </c>
      <c r="C13" s="41">
        <f t="shared" si="24"/>
        <v>794394.1272</v>
      </c>
      <c r="D13" s="12">
        <f t="shared" si="25"/>
        <v>971385.1387</v>
      </c>
      <c r="E13" s="42">
        <f t="shared" si="1"/>
        <v>0.07213771672</v>
      </c>
      <c r="F13" s="43">
        <v>0.0721377167157344</v>
      </c>
      <c r="G13" s="12">
        <f t="shared" si="26"/>
        <v>1041458.645</v>
      </c>
      <c r="H13" s="15">
        <f>'HIER Einzelaktien'!G13-('HIER Einzelaktien'!G13*M$1)</f>
        <v>0.04637841097</v>
      </c>
      <c r="I13" s="44">
        <f t="shared" si="2"/>
        <v>1007187.847</v>
      </c>
      <c r="J13" s="49">
        <f t="shared" si="3"/>
        <v>0.03685737746</v>
      </c>
      <c r="K13" s="49">
        <f t="shared" si="4"/>
        <v>0.9665140167</v>
      </c>
      <c r="L13" s="50"/>
      <c r="M13" s="51">
        <f t="shared" si="5"/>
        <v>48301.19703</v>
      </c>
      <c r="N13" s="51">
        <f t="shared" si="6"/>
        <v>8917.608501</v>
      </c>
      <c r="O13" s="51">
        <f t="shared" si="7"/>
        <v>39383.58853</v>
      </c>
      <c r="P13" s="52">
        <f t="shared" si="8"/>
        <v>0.07928494779</v>
      </c>
      <c r="Q13" s="51">
        <f>Q12*(1+'HIER Rechnung Thesaurierer '!I13)</f>
        <v>70247.85091</v>
      </c>
      <c r="R13" s="53">
        <f t="shared" si="9"/>
        <v>26140.7596</v>
      </c>
      <c r="S13" s="54">
        <f t="shared" si="10"/>
        <v>34270.79724</v>
      </c>
      <c r="T13" s="51">
        <f t="shared" si="11"/>
        <v>15074.61047</v>
      </c>
      <c r="U13" s="51">
        <f t="shared" si="12"/>
        <v>2783.149958</v>
      </c>
      <c r="V13" s="51">
        <f t="shared" si="13"/>
        <v>19196.18678</v>
      </c>
      <c r="W13" s="51">
        <f t="shared" si="14"/>
        <v>30864.26239</v>
      </c>
      <c r="X13" s="51">
        <f t="shared" si="15"/>
        <v>70247.85091</v>
      </c>
      <c r="Y13" s="12"/>
      <c r="Z13" s="52"/>
      <c r="AA13" s="51"/>
      <c r="AB13" s="52">
        <f>'HIER Rechnung Thesaurierer '!H13</f>
        <v>0.076</v>
      </c>
      <c r="AC13" s="55">
        <f t="shared" si="16"/>
        <v>70073.50596</v>
      </c>
      <c r="AD13" s="51">
        <f t="shared" si="27"/>
        <v>51677.68938</v>
      </c>
      <c r="AE13" s="51">
        <f t="shared" si="17"/>
        <v>3376.492352</v>
      </c>
      <c r="AF13" s="56">
        <f t="shared" si="18"/>
        <v>623.3849006</v>
      </c>
      <c r="AG13" s="52">
        <f t="shared" si="19"/>
        <v>0.0184320202</v>
      </c>
      <c r="AH13" s="51">
        <f t="shared" si="20"/>
        <v>1769.004997</v>
      </c>
      <c r="AI13" s="51">
        <f t="shared" si="28"/>
        <v>42612.87076</v>
      </c>
      <c r="AJ13" s="11"/>
      <c r="AK13" s="57">
        <f>AK12*(1+'HIER Rechnung Thesaurierer '!I12)</f>
        <v>0</v>
      </c>
      <c r="AL13" s="51">
        <f t="shared" si="21"/>
        <v>0</v>
      </c>
      <c r="AM13" s="51">
        <f t="shared" si="22"/>
        <v>46726.60989</v>
      </c>
      <c r="AN13" s="51"/>
      <c r="AO13" s="50"/>
      <c r="AP13" s="58"/>
      <c r="AQ13" s="50"/>
      <c r="AR13" s="58"/>
      <c r="AS13" s="58"/>
      <c r="AT13" s="58"/>
    </row>
    <row r="14" ht="12.75" customHeight="1">
      <c r="A14" s="11">
        <v>11.0</v>
      </c>
      <c r="B14" s="40">
        <f t="shared" si="23"/>
        <v>1.31101</v>
      </c>
      <c r="C14" s="41">
        <f t="shared" si="24"/>
        <v>768253.3676</v>
      </c>
      <c r="D14" s="12">
        <f t="shared" si="25"/>
        <v>1007187.847</v>
      </c>
      <c r="E14" s="42">
        <f t="shared" si="1"/>
        <v>0.2145445115</v>
      </c>
      <c r="F14" s="43">
        <v>0.214544511483513</v>
      </c>
      <c r="G14" s="12">
        <f t="shared" si="26"/>
        <v>1223274.472</v>
      </c>
      <c r="H14" s="15">
        <f>'HIER Einzelaktien'!G14-('HIER Einzelaktien'!G14*M$1)</f>
        <v>0.05326990641</v>
      </c>
      <c r="I14" s="44">
        <f t="shared" si="2"/>
        <v>1197783.937</v>
      </c>
      <c r="J14" s="49">
        <f t="shared" si="3"/>
        <v>0.189235891</v>
      </c>
      <c r="K14" s="49">
        <f t="shared" si="4"/>
        <v>1.388418806</v>
      </c>
      <c r="L14" s="50"/>
      <c r="M14" s="51">
        <f t="shared" si="5"/>
        <v>65163.71665</v>
      </c>
      <c r="N14" s="51">
        <f t="shared" si="6"/>
        <v>12030.85119</v>
      </c>
      <c r="O14" s="51">
        <f t="shared" si="7"/>
        <v>53132.86546</v>
      </c>
      <c r="P14" s="52">
        <f t="shared" si="8"/>
        <v>0.07410785858</v>
      </c>
      <c r="Q14" s="51">
        <f>Q13*(1+'HIER Rechnung Thesaurierer '!I14)</f>
        <v>76148.67039</v>
      </c>
      <c r="R14" s="53">
        <f t="shared" si="9"/>
        <v>16008.82693</v>
      </c>
      <c r="S14" s="54">
        <f t="shared" si="10"/>
        <v>25490.53495</v>
      </c>
      <c r="T14" s="51">
        <f t="shared" si="11"/>
        <v>13404.08947</v>
      </c>
      <c r="U14" s="51">
        <f t="shared" si="12"/>
        <v>2474.730019</v>
      </c>
      <c r="V14" s="51">
        <f t="shared" si="13"/>
        <v>12086.44547</v>
      </c>
      <c r="W14" s="51">
        <f t="shared" si="14"/>
        <v>23015.80493</v>
      </c>
      <c r="X14" s="51">
        <f t="shared" si="15"/>
        <v>76148.67039</v>
      </c>
      <c r="Y14" s="12"/>
      <c r="Z14" s="52"/>
      <c r="AA14" s="51"/>
      <c r="AB14" s="52">
        <f>'HIER Rechnung Thesaurierer '!H14</f>
        <v>0.084</v>
      </c>
      <c r="AC14" s="55">
        <f t="shared" si="16"/>
        <v>216086.6247</v>
      </c>
      <c r="AD14" s="51">
        <f t="shared" si="27"/>
        <v>59222.64543</v>
      </c>
      <c r="AE14" s="51">
        <f t="shared" si="17"/>
        <v>0</v>
      </c>
      <c r="AF14" s="56">
        <f t="shared" si="18"/>
        <v>0</v>
      </c>
      <c r="AG14" s="52">
        <f t="shared" si="19"/>
        <v>0.00988040358</v>
      </c>
      <c r="AH14" s="51">
        <f t="shared" si="20"/>
        <v>1413.888851</v>
      </c>
      <c r="AI14" s="51">
        <f t="shared" si="28"/>
        <v>41198.98191</v>
      </c>
      <c r="AJ14" s="11"/>
      <c r="AK14" s="57">
        <f>AK13*(1+'HIER Rechnung Thesaurierer '!I13)</f>
        <v>0</v>
      </c>
      <c r="AL14" s="51">
        <f t="shared" si="21"/>
        <v>0</v>
      </c>
      <c r="AM14" s="51">
        <f t="shared" si="22"/>
        <v>54997.46428</v>
      </c>
      <c r="AN14" s="51"/>
      <c r="AO14" s="50"/>
      <c r="AP14" s="58"/>
      <c r="AQ14" s="50"/>
      <c r="AR14" s="58"/>
      <c r="AS14" s="58"/>
      <c r="AT14" s="58"/>
    </row>
    <row r="15" ht="12.75" customHeight="1">
      <c r="A15" s="11">
        <v>12.0</v>
      </c>
      <c r="B15" s="40">
        <f t="shared" si="23"/>
        <v>1.59228</v>
      </c>
      <c r="C15" s="41">
        <f t="shared" si="24"/>
        <v>752244.5407</v>
      </c>
      <c r="D15" s="12">
        <f t="shared" si="25"/>
        <v>1197783.937</v>
      </c>
      <c r="E15" s="42">
        <f t="shared" si="1"/>
        <v>-0.07918205341</v>
      </c>
      <c r="F15" s="43">
        <v>-0.0791820534076921</v>
      </c>
      <c r="G15" s="12">
        <f t="shared" si="26"/>
        <v>1102940.946</v>
      </c>
      <c r="H15" s="15">
        <f>'HIER Einzelaktien'!G15-('HIER Einzelaktien'!G15*M$1)</f>
        <v>0.0392135715</v>
      </c>
      <c r="I15" s="44">
        <f t="shared" si="2"/>
        <v>1049529.128</v>
      </c>
      <c r="J15" s="49">
        <f t="shared" si="3"/>
        <v>-0.123774251</v>
      </c>
      <c r="K15" s="49">
        <f t="shared" si="4"/>
        <v>1.1992989</v>
      </c>
      <c r="L15" s="50"/>
      <c r="M15" s="51">
        <f t="shared" si="5"/>
        <v>43250.25363</v>
      </c>
      <c r="N15" s="51">
        <f t="shared" si="6"/>
        <v>7985.078076</v>
      </c>
      <c r="O15" s="51">
        <f t="shared" si="7"/>
        <v>35265.17555</v>
      </c>
      <c r="P15" s="52">
        <f t="shared" si="8"/>
        <v>0.0876402966</v>
      </c>
      <c r="Q15" s="51">
        <f>Q14*(1+'HIER Rechnung Thesaurierer '!I15)</f>
        <v>83839.6861</v>
      </c>
      <c r="R15" s="53">
        <f t="shared" si="9"/>
        <v>36428.73958</v>
      </c>
      <c r="S15" s="54">
        <f t="shared" si="10"/>
        <v>53411.81797</v>
      </c>
      <c r="T15" s="51">
        <f t="shared" si="11"/>
        <v>26200.71724</v>
      </c>
      <c r="U15" s="51">
        <f t="shared" si="12"/>
        <v>4837.30742</v>
      </c>
      <c r="V15" s="51">
        <f t="shared" si="13"/>
        <v>27211.10073</v>
      </c>
      <c r="W15" s="51">
        <f t="shared" si="14"/>
        <v>48574.51055</v>
      </c>
      <c r="X15" s="51">
        <f t="shared" si="15"/>
        <v>83839.6861</v>
      </c>
      <c r="Y15" s="12"/>
      <c r="Z15" s="52"/>
      <c r="AA15" s="51"/>
      <c r="AB15" s="52">
        <f>'HIER Rechnung Thesaurierer '!H15</f>
        <v>0.101</v>
      </c>
      <c r="AC15" s="55">
        <f t="shared" si="16"/>
        <v>-94842.99169</v>
      </c>
      <c r="AD15" s="51">
        <f t="shared" si="27"/>
        <v>0</v>
      </c>
      <c r="AE15" s="51">
        <f t="shared" si="17"/>
        <v>0</v>
      </c>
      <c r="AF15" s="56">
        <f t="shared" si="18"/>
        <v>0</v>
      </c>
      <c r="AG15" s="52">
        <f t="shared" si="19"/>
        <v>0.02467140316</v>
      </c>
      <c r="AH15" s="51">
        <f t="shared" si="20"/>
        <v>2925.262203</v>
      </c>
      <c r="AI15" s="51">
        <f t="shared" si="28"/>
        <v>38273.7197</v>
      </c>
      <c r="AJ15" s="11"/>
      <c r="AK15" s="57">
        <f>AK14*(1+'HIER Rechnung Thesaurierer '!I14)</f>
        <v>0</v>
      </c>
      <c r="AL15" s="51">
        <f t="shared" si="21"/>
        <v>0</v>
      </c>
      <c r="AM15" s="51">
        <f t="shared" si="22"/>
        <v>48615.6796</v>
      </c>
      <c r="AN15" s="51"/>
      <c r="AO15" s="50"/>
      <c r="AP15" s="58"/>
      <c r="AQ15" s="50"/>
      <c r="AR15" s="58"/>
      <c r="AS15" s="58"/>
      <c r="AT15" s="58"/>
    </row>
    <row r="16" ht="12.75" customHeight="1">
      <c r="A16" s="11">
        <v>13.0</v>
      </c>
      <c r="B16" s="40">
        <f t="shared" si="23"/>
        <v>1.4662</v>
      </c>
      <c r="C16" s="41">
        <f t="shared" si="24"/>
        <v>715815.8011</v>
      </c>
      <c r="D16" s="12">
        <f t="shared" si="25"/>
        <v>1049529.128</v>
      </c>
      <c r="E16" s="42">
        <f t="shared" si="1"/>
        <v>0.05821852408</v>
      </c>
      <c r="F16" s="43">
        <v>0.0582185240758424</v>
      </c>
      <c r="G16" s="12">
        <f t="shared" si="26"/>
        <v>1110631.164</v>
      </c>
      <c r="H16" s="15">
        <f>'HIER Einzelaktien'!G16-('HIER Einzelaktien'!G16*M$1)</f>
        <v>0.04632971582</v>
      </c>
      <c r="I16" s="44">
        <f t="shared" si="2"/>
        <v>1054110.555</v>
      </c>
      <c r="J16" s="49">
        <f t="shared" si="3"/>
        <v>0.004365222248</v>
      </c>
      <c r="K16" s="49">
        <f t="shared" si="4"/>
        <v>1.327338836</v>
      </c>
      <c r="L16" s="50"/>
      <c r="M16" s="51">
        <f t="shared" si="5"/>
        <v>51455.22623</v>
      </c>
      <c r="N16" s="51">
        <f t="shared" si="6"/>
        <v>9499.921142</v>
      </c>
      <c r="O16" s="51">
        <f t="shared" si="7"/>
        <v>41955.30508</v>
      </c>
      <c r="P16" s="52">
        <f t="shared" si="8"/>
        <v>0.09722024608</v>
      </c>
      <c r="Q16" s="51">
        <f>Q15*(1+'HIER Rechnung Thesaurierer '!I16)</f>
        <v>91301.41816</v>
      </c>
      <c r="R16" s="53">
        <f t="shared" si="9"/>
        <v>36428.24569</v>
      </c>
      <c r="S16" s="54">
        <f t="shared" si="10"/>
        <v>56520.60888</v>
      </c>
      <c r="T16" s="51">
        <f t="shared" si="11"/>
        <v>29213.01776</v>
      </c>
      <c r="U16" s="51">
        <f t="shared" si="12"/>
        <v>5393.453404</v>
      </c>
      <c r="V16" s="51">
        <f t="shared" si="13"/>
        <v>27307.59112</v>
      </c>
      <c r="W16" s="51">
        <f t="shared" si="14"/>
        <v>49346.11308</v>
      </c>
      <c r="X16" s="51">
        <f t="shared" si="15"/>
        <v>91301.41816</v>
      </c>
      <c r="Y16" s="12"/>
      <c r="Z16" s="52"/>
      <c r="AA16" s="51"/>
      <c r="AB16" s="52">
        <f>'HIER Rechnung Thesaurierer '!H16</f>
        <v>0.089</v>
      </c>
      <c r="AC16" s="55">
        <f t="shared" si="16"/>
        <v>61102.03678</v>
      </c>
      <c r="AD16" s="51">
        <f t="shared" si="27"/>
        <v>61102.03678</v>
      </c>
      <c r="AE16" s="51">
        <f t="shared" si="17"/>
        <v>9646.810556</v>
      </c>
      <c r="AF16" s="56">
        <f t="shared" si="18"/>
        <v>1781.042399</v>
      </c>
      <c r="AG16" s="52">
        <f t="shared" si="19"/>
        <v>0.02458745261</v>
      </c>
      <c r="AH16" s="51">
        <f t="shared" si="20"/>
        <v>3022.081852</v>
      </c>
      <c r="AI16" s="51">
        <f t="shared" si="28"/>
        <v>44898.44841</v>
      </c>
      <c r="AJ16" s="11"/>
      <c r="AK16" s="57">
        <f>AK15*(1+'HIER Rechnung Thesaurierer '!I15)</f>
        <v>0</v>
      </c>
      <c r="AL16" s="51">
        <f t="shared" si="21"/>
        <v>0</v>
      </c>
      <c r="AM16" s="51">
        <f t="shared" si="22"/>
        <v>63220.53818</v>
      </c>
      <c r="AN16" s="51"/>
      <c r="AO16" s="50"/>
      <c r="AP16" s="58"/>
      <c r="AQ16" s="50"/>
      <c r="AR16" s="58"/>
      <c r="AS16" s="58"/>
      <c r="AT16" s="58"/>
    </row>
    <row r="17" ht="12.75" customHeight="1">
      <c r="A17" s="11">
        <v>14.0</v>
      </c>
      <c r="B17" s="40">
        <f t="shared" si="23"/>
        <v>1.55156</v>
      </c>
      <c r="C17" s="41">
        <f t="shared" si="24"/>
        <v>679387.5554</v>
      </c>
      <c r="D17" s="12">
        <f t="shared" si="25"/>
        <v>1054110.555</v>
      </c>
      <c r="E17" s="42">
        <f t="shared" si="1"/>
        <v>0.1855938539</v>
      </c>
      <c r="F17" s="43">
        <v>0.18559385392766</v>
      </c>
      <c r="G17" s="12">
        <f t="shared" si="26"/>
        <v>1249746.996</v>
      </c>
      <c r="H17" s="15">
        <f>'HIER Einzelaktien'!G17-('HIER Einzelaktien'!G17*M$1)</f>
        <v>0.04012306</v>
      </c>
      <c r="I17" s="44">
        <f t="shared" si="2"/>
        <v>1183130.21</v>
      </c>
      <c r="J17" s="49">
        <f t="shared" si="3"/>
        <v>0.1223967012</v>
      </c>
      <c r="K17" s="49">
        <f t="shared" si="4"/>
        <v>1.75927862</v>
      </c>
      <c r="L17" s="50"/>
      <c r="M17" s="51">
        <f t="shared" si="5"/>
        <v>50143.6737</v>
      </c>
      <c r="N17" s="51">
        <f t="shared" si="6"/>
        <v>9257.775756</v>
      </c>
      <c r="O17" s="51">
        <f t="shared" si="7"/>
        <v>40885.89794</v>
      </c>
      <c r="P17" s="52">
        <f t="shared" si="8"/>
        <v>0.09342727753</v>
      </c>
      <c r="Q17" s="51">
        <f>Q16*(1+'HIER Rechnung Thesaurierer '!I17)</f>
        <v>98696.83303</v>
      </c>
      <c r="R17" s="53">
        <f t="shared" si="9"/>
        <v>36214.22204</v>
      </c>
      <c r="S17" s="54">
        <f t="shared" si="10"/>
        <v>66616.78573</v>
      </c>
      <c r="T17" s="51">
        <f t="shared" si="11"/>
        <v>38071.47868</v>
      </c>
      <c r="U17" s="51">
        <f t="shared" si="12"/>
        <v>7028.946752</v>
      </c>
      <c r="V17" s="51">
        <f t="shared" si="13"/>
        <v>28545.30705</v>
      </c>
      <c r="W17" s="51">
        <f t="shared" si="14"/>
        <v>57810.93509</v>
      </c>
      <c r="X17" s="51">
        <f t="shared" si="15"/>
        <v>98696.83303</v>
      </c>
      <c r="Y17" s="12"/>
      <c r="Z17" s="52"/>
      <c r="AA17" s="51"/>
      <c r="AB17" s="52">
        <f>'HIER Rechnung Thesaurierer '!H17</f>
        <v>0.081</v>
      </c>
      <c r="AC17" s="55">
        <f t="shared" si="16"/>
        <v>195636.4405</v>
      </c>
      <c r="AD17" s="51">
        <f t="shared" si="27"/>
        <v>59768.06849</v>
      </c>
      <c r="AE17" s="51">
        <f t="shared" si="17"/>
        <v>9624.394798</v>
      </c>
      <c r="AF17" s="56">
        <f t="shared" si="18"/>
        <v>1776.90389</v>
      </c>
      <c r="AG17" s="52">
        <f t="shared" si="19"/>
        <v>0.02284086871</v>
      </c>
      <c r="AH17" s="51">
        <f t="shared" si="20"/>
        <v>4402.480283</v>
      </c>
      <c r="AI17" s="51">
        <f t="shared" si="28"/>
        <v>50120.36292</v>
      </c>
      <c r="AJ17" s="11"/>
      <c r="AK17" s="57">
        <f>AK16*(1+'HIER Rechnung Thesaurierer '!I16)</f>
        <v>0</v>
      </c>
      <c r="AL17" s="51">
        <f t="shared" si="21"/>
        <v>0</v>
      </c>
      <c r="AM17" s="51">
        <f t="shared" si="22"/>
        <v>68487.68302</v>
      </c>
      <c r="AN17" s="51"/>
      <c r="AO17" s="50"/>
      <c r="AP17" s="58"/>
      <c r="AQ17" s="50"/>
      <c r="AR17" s="58"/>
      <c r="AS17" s="58"/>
      <c r="AT17" s="58"/>
    </row>
    <row r="18" ht="12.75" customHeight="1">
      <c r="A18" s="11">
        <v>15.0</v>
      </c>
      <c r="B18" s="40">
        <f t="shared" si="23"/>
        <v>1.83952</v>
      </c>
      <c r="C18" s="41">
        <f t="shared" si="24"/>
        <v>643173.3334</v>
      </c>
      <c r="D18" s="12">
        <f t="shared" si="25"/>
        <v>1183130.21</v>
      </c>
      <c r="E18" s="42">
        <f t="shared" si="1"/>
        <v>0.01768396103</v>
      </c>
      <c r="F18" s="43">
        <v>0.017683961033313</v>
      </c>
      <c r="G18" s="12">
        <f t="shared" si="26"/>
        <v>1204052.639</v>
      </c>
      <c r="H18" s="15">
        <f>'HIER Einzelaktien'!G18-('HIER Einzelaktien'!G18*M$1)</f>
        <v>0.03404865385</v>
      </c>
      <c r="I18" s="44">
        <f t="shared" si="2"/>
        <v>1122350.422</v>
      </c>
      <c r="J18" s="49">
        <f t="shared" si="3"/>
        <v>-0.05137201966</v>
      </c>
      <c r="K18" s="49">
        <f t="shared" si="4"/>
        <v>1.808073596</v>
      </c>
      <c r="L18" s="50"/>
      <c r="M18" s="51">
        <f t="shared" si="5"/>
        <v>40996.37151</v>
      </c>
      <c r="N18" s="51">
        <f t="shared" si="6"/>
        <v>7568.95509</v>
      </c>
      <c r="O18" s="51">
        <f t="shared" si="7"/>
        <v>33427.41642</v>
      </c>
      <c r="P18" s="52">
        <f t="shared" si="8"/>
        <v>0.1019046714</v>
      </c>
      <c r="Q18" s="51">
        <f>Q17*(1+'HIER Rechnung Thesaurierer '!I18)</f>
        <v>106592.5797</v>
      </c>
      <c r="R18" s="53">
        <f t="shared" si="9"/>
        <v>43643.18098</v>
      </c>
      <c r="S18" s="54">
        <f t="shared" si="10"/>
        <v>81702.21695</v>
      </c>
      <c r="T18" s="51">
        <f t="shared" si="11"/>
        <v>46239.96585</v>
      </c>
      <c r="U18" s="51">
        <f t="shared" si="12"/>
        <v>8537.053695</v>
      </c>
      <c r="V18" s="51">
        <f t="shared" si="13"/>
        <v>35462.2511</v>
      </c>
      <c r="W18" s="51">
        <f t="shared" si="14"/>
        <v>73165.16326</v>
      </c>
      <c r="X18" s="51">
        <f t="shared" si="15"/>
        <v>106592.5797</v>
      </c>
      <c r="Y18" s="12"/>
      <c r="Z18" s="52"/>
      <c r="AA18" s="51"/>
      <c r="AB18" s="52">
        <f>'HIER Rechnung Thesaurierer '!H18</f>
        <v>0.08</v>
      </c>
      <c r="AC18" s="55">
        <f t="shared" si="16"/>
        <v>20922.42853</v>
      </c>
      <c r="AD18" s="51">
        <f t="shared" si="27"/>
        <v>20922.42853</v>
      </c>
      <c r="AE18" s="51">
        <f t="shared" si="17"/>
        <v>0</v>
      </c>
      <c r="AF18" s="56">
        <f t="shared" si="18"/>
        <v>0</v>
      </c>
      <c r="AG18" s="52">
        <f t="shared" si="19"/>
        <v>0.02945240927</v>
      </c>
      <c r="AH18" s="51">
        <f t="shared" si="20"/>
        <v>6366.782565</v>
      </c>
      <c r="AI18" s="51">
        <f t="shared" si="28"/>
        <v>43753.58036</v>
      </c>
      <c r="AJ18" s="11"/>
      <c r="AK18" s="57">
        <f>AK17*(1+'HIER Rechnung Thesaurierer '!I17)</f>
        <v>0</v>
      </c>
      <c r="AL18" s="51">
        <f t="shared" si="21"/>
        <v>0</v>
      </c>
      <c r="AM18" s="51">
        <f t="shared" si="22"/>
        <v>61065.43615</v>
      </c>
      <c r="AN18" s="51"/>
      <c r="AO18" s="50"/>
      <c r="AP18" s="58"/>
      <c r="AQ18" s="50"/>
      <c r="AR18" s="58"/>
      <c r="AS18" s="58"/>
      <c r="AT18" s="58"/>
    </row>
    <row r="19" ht="12.75" customHeight="1">
      <c r="A19" s="11">
        <v>16.0</v>
      </c>
      <c r="B19" s="40">
        <f t="shared" si="23"/>
        <v>1.87205</v>
      </c>
      <c r="C19" s="41">
        <f t="shared" si="24"/>
        <v>599530.1524</v>
      </c>
      <c r="D19" s="12">
        <f t="shared" si="25"/>
        <v>1122350.422</v>
      </c>
      <c r="E19" s="42">
        <f t="shared" si="1"/>
        <v>0.370230496</v>
      </c>
      <c r="F19" s="43">
        <v>0.370230495980342</v>
      </c>
      <c r="G19" s="12">
        <f t="shared" si="26"/>
        <v>1537878.775</v>
      </c>
      <c r="H19" s="15">
        <f>'HIER Einzelaktien'!G19-('HIER Einzelaktien'!G19*M$1)</f>
        <v>0.04034463297</v>
      </c>
      <c r="I19" s="44">
        <f t="shared" si="2"/>
        <v>1465500.039</v>
      </c>
      <c r="J19" s="49">
        <f t="shared" si="3"/>
        <v>0.3057419594</v>
      </c>
      <c r="K19" s="49">
        <f t="shared" si="4"/>
        <v>2.847708076</v>
      </c>
      <c r="L19" s="50"/>
      <c r="M19" s="51">
        <f t="shared" si="5"/>
        <v>62045.15473</v>
      </c>
      <c r="N19" s="51">
        <f t="shared" si="6"/>
        <v>11455.08669</v>
      </c>
      <c r="O19" s="51">
        <f t="shared" si="7"/>
        <v>50590.06803</v>
      </c>
      <c r="P19" s="52">
        <f t="shared" si="8"/>
        <v>0.08740863918</v>
      </c>
      <c r="Q19" s="51">
        <f>Q18*(1+'HIER Rechnung Thesaurierer '!I19)</f>
        <v>114054.0603</v>
      </c>
      <c r="R19" s="53">
        <f t="shared" si="9"/>
        <v>28216.29082</v>
      </c>
      <c r="S19" s="54">
        <f t="shared" si="10"/>
        <v>72378.73622</v>
      </c>
      <c r="T19" s="51">
        <f t="shared" si="11"/>
        <v>48285.68182</v>
      </c>
      <c r="U19" s="51">
        <f t="shared" si="12"/>
        <v>8914.744006</v>
      </c>
      <c r="V19" s="51">
        <f t="shared" si="13"/>
        <v>24093.05441</v>
      </c>
      <c r="W19" s="51">
        <f t="shared" si="14"/>
        <v>63463.99222</v>
      </c>
      <c r="X19" s="51">
        <f t="shared" si="15"/>
        <v>114054.0603</v>
      </c>
      <c r="Y19" s="12"/>
      <c r="Z19" s="52"/>
      <c r="AA19" s="51"/>
      <c r="AB19" s="52">
        <f>'HIER Rechnung Thesaurierer '!H19</f>
        <v>0.07</v>
      </c>
      <c r="AC19" s="55">
        <f t="shared" si="16"/>
        <v>415528.3533</v>
      </c>
      <c r="AD19" s="51">
        <f t="shared" si="27"/>
        <v>54995.17067</v>
      </c>
      <c r="AE19" s="51">
        <f t="shared" si="17"/>
        <v>0</v>
      </c>
      <c r="AF19" s="56">
        <f t="shared" si="18"/>
        <v>0</v>
      </c>
      <c r="AG19" s="52">
        <f t="shared" si="19"/>
        <v>0.01566641974</v>
      </c>
      <c r="AH19" s="51">
        <f t="shared" si="20"/>
        <v>5282.184456</v>
      </c>
      <c r="AI19" s="51">
        <f t="shared" si="28"/>
        <v>38471.3959</v>
      </c>
      <c r="AJ19" s="11"/>
      <c r="AK19" s="57">
        <f>AK18*(1+'HIER Rechnung Thesaurierer '!I18)</f>
        <v>0</v>
      </c>
      <c r="AL19" s="51">
        <f t="shared" si="21"/>
        <v>0</v>
      </c>
      <c r="AM19" s="51">
        <f t="shared" si="22"/>
        <v>77231.58558</v>
      </c>
      <c r="AN19" s="51"/>
      <c r="AO19" s="50"/>
      <c r="AP19" s="58"/>
      <c r="AQ19" s="50"/>
      <c r="AR19" s="58"/>
      <c r="AS19" s="58"/>
      <c r="AT19" s="58"/>
    </row>
    <row r="20" ht="12.75" customHeight="1">
      <c r="A20" s="11">
        <v>17.0</v>
      </c>
      <c r="B20" s="40">
        <f t="shared" si="23"/>
        <v>2.56514</v>
      </c>
      <c r="C20" s="41">
        <f t="shared" si="24"/>
        <v>571313.8616</v>
      </c>
      <c r="D20" s="12">
        <f t="shared" si="25"/>
        <v>1465500.039</v>
      </c>
      <c r="E20" s="42">
        <f t="shared" si="1"/>
        <v>0.3910546793</v>
      </c>
      <c r="F20" s="43">
        <v>0.391054679276765</v>
      </c>
      <c r="G20" s="12">
        <f t="shared" si="26"/>
        <v>2038590.687</v>
      </c>
      <c r="H20" s="15">
        <f>'HIER Einzelaktien'!G20-('HIER Einzelaktien'!G20*M$1)</f>
        <v>0.03139917868</v>
      </c>
      <c r="I20" s="44">
        <f t="shared" si="2"/>
        <v>1958649.731</v>
      </c>
      <c r="J20" s="49">
        <f t="shared" si="3"/>
        <v>0.3365060932</v>
      </c>
      <c r="K20" s="49">
        <f t="shared" si="4"/>
        <v>4.352372324</v>
      </c>
      <c r="L20" s="50"/>
      <c r="M20" s="51">
        <f t="shared" si="5"/>
        <v>64010.07323</v>
      </c>
      <c r="N20" s="51">
        <f t="shared" si="6"/>
        <v>11817.85977</v>
      </c>
      <c r="O20" s="51">
        <f t="shared" si="7"/>
        <v>52192.21346</v>
      </c>
      <c r="P20" s="52">
        <f t="shared" si="8"/>
        <v>0.07061301183</v>
      </c>
      <c r="Q20" s="51">
        <f>Q19*(1+'HIER Rechnung Thesaurierer '!I20)</f>
        <v>121125.412</v>
      </c>
      <c r="R20" s="53">
        <f t="shared" si="9"/>
        <v>22403.40644</v>
      </c>
      <c r="S20" s="54">
        <f t="shared" si="10"/>
        <v>79940.95504</v>
      </c>
      <c r="T20" s="51">
        <f t="shared" si="11"/>
        <v>59622.24243</v>
      </c>
      <c r="U20" s="51">
        <f t="shared" si="12"/>
        <v>11007.75651</v>
      </c>
      <c r="V20" s="51">
        <f t="shared" si="13"/>
        <v>20318.71261</v>
      </c>
      <c r="W20" s="51">
        <f t="shared" si="14"/>
        <v>68933.19853</v>
      </c>
      <c r="X20" s="51">
        <f t="shared" si="15"/>
        <v>121125.412</v>
      </c>
      <c r="Y20" s="12"/>
      <c r="Z20" s="52"/>
      <c r="AA20" s="51"/>
      <c r="AB20" s="52">
        <f>'HIER Rechnung Thesaurierer '!H20</f>
        <v>0.062</v>
      </c>
      <c r="AC20" s="55">
        <f t="shared" si="16"/>
        <v>573090.6477</v>
      </c>
      <c r="AD20" s="51">
        <f t="shared" si="27"/>
        <v>63602.70169</v>
      </c>
      <c r="AE20" s="51">
        <f t="shared" si="17"/>
        <v>0</v>
      </c>
      <c r="AF20" s="56">
        <f t="shared" si="18"/>
        <v>0</v>
      </c>
      <c r="AG20" s="52">
        <f t="shared" si="19"/>
        <v>0.009967038867</v>
      </c>
      <c r="AH20" s="51">
        <f t="shared" si="20"/>
        <v>5383.100843</v>
      </c>
      <c r="AI20" s="51">
        <f t="shared" si="28"/>
        <v>33088.29506</v>
      </c>
      <c r="AJ20" s="11"/>
      <c r="AK20" s="57">
        <f>AK19*(1+'HIER Rechnung Thesaurierer '!I19)</f>
        <v>0</v>
      </c>
      <c r="AL20" s="51">
        <f t="shared" si="21"/>
        <v>0</v>
      </c>
      <c r="AM20" s="51">
        <f t="shared" si="22"/>
        <v>86542.62096</v>
      </c>
      <c r="AN20" s="51"/>
      <c r="AO20" s="50"/>
      <c r="AP20" s="58"/>
      <c r="AQ20" s="50"/>
      <c r="AR20" s="58"/>
      <c r="AS20" s="58"/>
      <c r="AT20" s="58"/>
    </row>
    <row r="21" ht="12.75" customHeight="1">
      <c r="A21" s="11">
        <v>18.0</v>
      </c>
      <c r="B21" s="40">
        <f t="shared" si="23"/>
        <v>3.56825</v>
      </c>
      <c r="C21" s="41">
        <f t="shared" si="24"/>
        <v>548910.4551</v>
      </c>
      <c r="D21" s="12">
        <f t="shared" si="25"/>
        <v>1958649.731</v>
      </c>
      <c r="E21" s="42">
        <f t="shared" si="1"/>
        <v>0.1434008267</v>
      </c>
      <c r="F21" s="43">
        <v>0.143400826735795</v>
      </c>
      <c r="G21" s="12">
        <f t="shared" si="26"/>
        <v>2239521.722</v>
      </c>
      <c r="H21" s="15">
        <f>'HIER Einzelaktien'!G21-('HIER Einzelaktien'!G21*M$1)</f>
        <v>0.02059684393</v>
      </c>
      <c r="I21" s="44">
        <f t="shared" si="2"/>
        <v>2124452.628</v>
      </c>
      <c r="J21" s="49">
        <f t="shared" si="3"/>
        <v>0.08465163191</v>
      </c>
      <c r="K21" s="49">
        <f t="shared" si="4"/>
        <v>5.11990694</v>
      </c>
      <c r="L21" s="50"/>
      <c r="M21" s="51">
        <f t="shared" si="5"/>
        <v>46127.07938</v>
      </c>
      <c r="N21" s="51">
        <f t="shared" si="6"/>
        <v>8516.212031</v>
      </c>
      <c r="O21" s="51">
        <f t="shared" si="7"/>
        <v>37610.86735</v>
      </c>
      <c r="P21" s="52">
        <f t="shared" si="8"/>
        <v>0.07197794621</v>
      </c>
      <c r="Q21" s="51">
        <f>Q20*(1+'HIER Rechnung Thesaurierer '!I21)</f>
        <v>128756.3129</v>
      </c>
      <c r="R21" s="53">
        <f t="shared" si="9"/>
        <v>28203.62424</v>
      </c>
      <c r="S21" s="54">
        <f t="shared" si="10"/>
        <v>115069.0947</v>
      </c>
      <c r="T21" s="51">
        <f t="shared" si="11"/>
        <v>89330.30978</v>
      </c>
      <c r="U21" s="51">
        <f t="shared" si="12"/>
        <v>16492.60844</v>
      </c>
      <c r="V21" s="51">
        <f t="shared" si="13"/>
        <v>25738.78489</v>
      </c>
      <c r="W21" s="51">
        <f t="shared" si="14"/>
        <v>91145.44559</v>
      </c>
      <c r="X21" s="51">
        <f t="shared" si="15"/>
        <v>128756.3129</v>
      </c>
      <c r="Y21" s="12"/>
      <c r="Z21" s="52"/>
      <c r="AA21" s="51"/>
      <c r="AB21" s="52">
        <f>'HIER Rechnung Thesaurierer '!H21</f>
        <v>0.063</v>
      </c>
      <c r="AC21" s="55">
        <f t="shared" si="16"/>
        <v>280871.9908</v>
      </c>
      <c r="AD21" s="51">
        <f t="shared" si="27"/>
        <v>86376.45316</v>
      </c>
      <c r="AE21" s="51">
        <f t="shared" si="17"/>
        <v>40249.37378</v>
      </c>
      <c r="AF21" s="56">
        <f t="shared" si="18"/>
        <v>7431.040633</v>
      </c>
      <c r="AG21" s="52">
        <f t="shared" si="19"/>
        <v>0.01149298291</v>
      </c>
      <c r="AH21" s="51">
        <f t="shared" si="20"/>
        <v>6936.35933</v>
      </c>
      <c r="AI21" s="51">
        <f t="shared" si="28"/>
        <v>66401.3095</v>
      </c>
      <c r="AJ21" s="11"/>
      <c r="AK21" s="57">
        <f>AK20*(1+'HIER Rechnung Thesaurierer '!I20)</f>
        <v>0</v>
      </c>
      <c r="AL21" s="51">
        <f t="shared" si="21"/>
        <v>0</v>
      </c>
      <c r="AM21" s="51">
        <f t="shared" si="22"/>
        <v>122994.7341</v>
      </c>
      <c r="AN21" s="51"/>
      <c r="AO21" s="50"/>
      <c r="AP21" s="58"/>
      <c r="AQ21" s="50"/>
      <c r="AR21" s="58"/>
      <c r="AS21" s="58"/>
      <c r="AT21" s="58"/>
    </row>
    <row r="22" ht="12.75" customHeight="1">
      <c r="A22" s="11">
        <v>19.0</v>
      </c>
      <c r="B22" s="40">
        <f t="shared" si="23"/>
        <v>4.07994</v>
      </c>
      <c r="C22" s="41">
        <f t="shared" si="24"/>
        <v>520706.8309</v>
      </c>
      <c r="D22" s="12">
        <f t="shared" si="25"/>
        <v>2124452.628</v>
      </c>
      <c r="E22" s="42">
        <f t="shared" si="1"/>
        <v>0.2118511547</v>
      </c>
      <c r="F22" s="43">
        <v>0.211851154673843</v>
      </c>
      <c r="G22" s="12">
        <f t="shared" si="26"/>
        <v>2574520.37</v>
      </c>
      <c r="H22" s="15">
        <f>'HIER Einzelaktien'!G22-('HIER Einzelaktien'!G22*M$1)</f>
        <v>0.02350705623</v>
      </c>
      <c r="I22" s="44">
        <f t="shared" si="2"/>
        <v>2465176.754</v>
      </c>
      <c r="J22" s="49">
        <f t="shared" si="3"/>
        <v>0.1603820778</v>
      </c>
      <c r="K22" s="49">
        <f t="shared" si="4"/>
        <v>6.416416292</v>
      </c>
      <c r="L22" s="50"/>
      <c r="M22" s="51">
        <f t="shared" si="5"/>
        <v>60519.39509</v>
      </c>
      <c r="N22" s="51">
        <f t="shared" si="6"/>
        <v>11173.39332</v>
      </c>
      <c r="O22" s="51">
        <f t="shared" si="7"/>
        <v>49346.00177</v>
      </c>
      <c r="P22" s="52">
        <f t="shared" si="8"/>
        <v>0.0659785072</v>
      </c>
      <c r="Q22" s="51">
        <f>Q21*(1+'HIER Rechnung Thesaurierer '!I22)</f>
        <v>137125.4733</v>
      </c>
      <c r="R22" s="53">
        <f t="shared" si="9"/>
        <v>22115.17464</v>
      </c>
      <c r="S22" s="54">
        <f t="shared" si="10"/>
        <v>109343.6157</v>
      </c>
      <c r="T22" s="51">
        <f t="shared" si="11"/>
        <v>80656.49804</v>
      </c>
      <c r="U22" s="51">
        <f t="shared" si="12"/>
        <v>14891.20595</v>
      </c>
      <c r="V22" s="51">
        <f t="shared" si="13"/>
        <v>28687.11762</v>
      </c>
      <c r="W22" s="51">
        <f t="shared" si="14"/>
        <v>87779.47151</v>
      </c>
      <c r="X22" s="51">
        <f t="shared" si="15"/>
        <v>137125.4733</v>
      </c>
      <c r="Y22" s="12"/>
      <c r="Z22" s="52"/>
      <c r="AA22" s="51"/>
      <c r="AB22" s="52">
        <f>'HIER Rechnung Thesaurierer '!H22</f>
        <v>0.065</v>
      </c>
      <c r="AC22" s="55">
        <f t="shared" si="16"/>
        <v>450067.7422</v>
      </c>
      <c r="AD22" s="51">
        <f t="shared" si="27"/>
        <v>96662.59455</v>
      </c>
      <c r="AE22" s="51">
        <f t="shared" si="17"/>
        <v>36143.19946</v>
      </c>
      <c r="AF22" s="56">
        <f t="shared" si="18"/>
        <v>6672.938201</v>
      </c>
      <c r="AG22" s="52">
        <f t="shared" si="19"/>
        <v>0.01114270369</v>
      </c>
      <c r="AH22" s="51">
        <f t="shared" si="20"/>
        <v>13943.66049</v>
      </c>
      <c r="AI22" s="51">
        <f t="shared" si="28"/>
        <v>88600.84847</v>
      </c>
      <c r="AJ22" s="11"/>
      <c r="AK22" s="57">
        <f>AK21*(1+'HIER Rechnung Thesaurierer '!I21)</f>
        <v>0</v>
      </c>
      <c r="AL22" s="51">
        <f t="shared" si="21"/>
        <v>0</v>
      </c>
      <c r="AM22" s="51">
        <f t="shared" si="22"/>
        <v>124123.3648</v>
      </c>
      <c r="AN22" s="51"/>
      <c r="AO22" s="50"/>
      <c r="AP22" s="58"/>
      <c r="AQ22" s="50"/>
      <c r="AR22" s="58"/>
      <c r="AS22" s="58"/>
      <c r="AT22" s="58"/>
    </row>
    <row r="23" ht="12.75" customHeight="1">
      <c r="A23" s="11">
        <v>20.0</v>
      </c>
      <c r="B23" s="40">
        <f t="shared" si="23"/>
        <v>4.94428</v>
      </c>
      <c r="C23" s="41">
        <f t="shared" si="24"/>
        <v>498591.6562</v>
      </c>
      <c r="D23" s="12">
        <f t="shared" si="25"/>
        <v>2465176.754</v>
      </c>
      <c r="E23" s="42">
        <f t="shared" si="1"/>
        <v>0.1474633314</v>
      </c>
      <c r="F23" s="43">
        <v>0.147463331364728</v>
      </c>
      <c r="G23" s="12">
        <f t="shared" si="26"/>
        <v>2828699.931</v>
      </c>
      <c r="H23" s="15">
        <f>'HIER Einzelaktien'!G23-('HIER Einzelaktien'!G23*M$1)</f>
        <v>0.02080316939</v>
      </c>
      <c r="I23" s="44">
        <f t="shared" si="2"/>
        <v>2702038.674</v>
      </c>
      <c r="J23" s="49">
        <f t="shared" si="3"/>
        <v>0.09608313867</v>
      </c>
      <c r="K23" s="49">
        <f t="shared" si="4"/>
        <v>7.510065745</v>
      </c>
      <c r="L23" s="50"/>
      <c r="M23" s="51">
        <f t="shared" si="5"/>
        <v>58845.9238</v>
      </c>
      <c r="N23" s="51">
        <f t="shared" si="6"/>
        <v>10864.42868</v>
      </c>
      <c r="O23" s="51">
        <f t="shared" si="7"/>
        <v>47981.49512</v>
      </c>
      <c r="P23" s="52">
        <f t="shared" si="8"/>
        <v>0.0655803673</v>
      </c>
      <c r="Q23" s="51">
        <f>Q22*(1+'HIER Rechnung Thesaurierer '!I23)</f>
        <v>146724.2564</v>
      </c>
      <c r="R23" s="53">
        <f t="shared" si="9"/>
        <v>22325.53727</v>
      </c>
      <c r="S23" s="54">
        <f t="shared" si="10"/>
        <v>126661.2566</v>
      </c>
      <c r="T23" s="51">
        <f t="shared" si="11"/>
        <v>89269.57011</v>
      </c>
      <c r="U23" s="51">
        <f t="shared" si="12"/>
        <v>16481.39438</v>
      </c>
      <c r="V23" s="51">
        <f t="shared" si="13"/>
        <v>37391.68654</v>
      </c>
      <c r="W23" s="51">
        <f t="shared" si="14"/>
        <v>98742.76129</v>
      </c>
      <c r="X23" s="51">
        <f t="shared" si="15"/>
        <v>146724.2564</v>
      </c>
      <c r="Y23" s="12"/>
      <c r="Z23" s="52"/>
      <c r="AA23" s="51"/>
      <c r="AB23" s="52">
        <f>'HIER Rechnung Thesaurierer '!H23</f>
        <v>0.07</v>
      </c>
      <c r="AC23" s="55">
        <f t="shared" si="16"/>
        <v>363523.1766</v>
      </c>
      <c r="AD23" s="51">
        <f t="shared" si="27"/>
        <v>120793.661</v>
      </c>
      <c r="AE23" s="51">
        <f t="shared" si="17"/>
        <v>61947.73715</v>
      </c>
      <c r="AF23" s="56">
        <f t="shared" si="18"/>
        <v>11437.10097</v>
      </c>
      <c r="AG23" s="52">
        <f t="shared" si="19"/>
        <v>0.01321868259</v>
      </c>
      <c r="AH23" s="51">
        <f t="shared" si="20"/>
        <v>22507.98758</v>
      </c>
      <c r="AI23" s="51">
        <f t="shared" si="28"/>
        <v>128040.598</v>
      </c>
      <c r="AJ23" s="11"/>
      <c r="AK23" s="57">
        <f>AK22*(1+'HIER Rechnung Thesaurierer '!I22)</f>
        <v>0</v>
      </c>
      <c r="AL23" s="51">
        <f t="shared" si="21"/>
        <v>0</v>
      </c>
      <c r="AM23" s="51">
        <f t="shared" si="22"/>
        <v>147044.2617</v>
      </c>
      <c r="AN23" s="51"/>
      <c r="AO23" s="50"/>
      <c r="AP23" s="58"/>
      <c r="AQ23" s="50"/>
      <c r="AR23" s="58"/>
      <c r="AS23" s="58"/>
      <c r="AT23" s="58"/>
    </row>
    <row r="24" ht="12.75" customHeight="1">
      <c r="A24" s="11">
        <v>21.0</v>
      </c>
      <c r="B24" s="40">
        <f t="shared" si="23"/>
        <v>5.67338</v>
      </c>
      <c r="C24" s="41">
        <f t="shared" si="24"/>
        <v>476266.119</v>
      </c>
      <c r="D24" s="12">
        <f t="shared" si="25"/>
        <v>2702038.674</v>
      </c>
      <c r="E24" s="42">
        <f t="shared" si="1"/>
        <v>-0.1865043413</v>
      </c>
      <c r="F24" s="43">
        <v>-0.186504341327392</v>
      </c>
      <c r="G24" s="12">
        <f t="shared" si="26"/>
        <v>2198096.731</v>
      </c>
      <c r="H24" s="15">
        <f>'HIER Einzelaktien'!G24-('HIER Einzelaktien'!G24*M$1)</f>
        <v>0.0181281759</v>
      </c>
      <c r="I24" s="44">
        <f t="shared" si="2"/>
        <v>2055670.303</v>
      </c>
      <c r="J24" s="49">
        <f t="shared" si="3"/>
        <v>-0.2392150701</v>
      </c>
      <c r="K24" s="49">
        <f t="shared" si="4"/>
        <v>5.922901539</v>
      </c>
      <c r="L24" s="50"/>
      <c r="M24" s="51">
        <f t="shared" si="5"/>
        <v>39847.48419</v>
      </c>
      <c r="N24" s="51">
        <f t="shared" si="6"/>
        <v>7356.841769</v>
      </c>
      <c r="O24" s="51">
        <f t="shared" si="7"/>
        <v>32490.64242</v>
      </c>
      <c r="P24" s="52">
        <f t="shared" si="8"/>
        <v>0.08292351712</v>
      </c>
      <c r="Q24" s="51">
        <f>Q23*(1+'HIER Rechnung Thesaurierer '!I24)</f>
        <v>159489.2667</v>
      </c>
      <c r="R24" s="53">
        <f t="shared" si="9"/>
        <v>30859.82569</v>
      </c>
      <c r="S24" s="54">
        <f t="shared" si="10"/>
        <v>142426.4277</v>
      </c>
      <c r="T24" s="51">
        <f t="shared" si="11"/>
        <v>83562.91624</v>
      </c>
      <c r="U24" s="51">
        <f t="shared" si="12"/>
        <v>15427.80341</v>
      </c>
      <c r="V24" s="51">
        <f t="shared" si="13"/>
        <v>58863.51147</v>
      </c>
      <c r="W24" s="51">
        <f t="shared" si="14"/>
        <v>126998.6243</v>
      </c>
      <c r="X24" s="51">
        <f t="shared" si="15"/>
        <v>159489.2667</v>
      </c>
      <c r="Y24" s="12"/>
      <c r="Z24" s="52"/>
      <c r="AA24" s="51"/>
      <c r="AB24" s="52">
        <f>'HIER Rechnung Thesaurierer '!H24</f>
        <v>0.087</v>
      </c>
      <c r="AC24" s="55">
        <f t="shared" si="16"/>
        <v>-503941.9431</v>
      </c>
      <c r="AD24" s="51">
        <f t="shared" si="27"/>
        <v>0</v>
      </c>
      <c r="AE24" s="51">
        <f t="shared" si="17"/>
        <v>0</v>
      </c>
      <c r="AF24" s="56">
        <f t="shared" si="18"/>
        <v>0</v>
      </c>
      <c r="AG24" s="52">
        <f t="shared" si="19"/>
        <v>0.02677930895</v>
      </c>
      <c r="AH24" s="51">
        <f t="shared" si="20"/>
        <v>38290.28405</v>
      </c>
      <c r="AI24" s="51">
        <f t="shared" si="28"/>
        <v>89750.31399</v>
      </c>
      <c r="AJ24" s="11"/>
      <c r="AK24" s="57">
        <f>AK23*(1+'HIER Rechnung Thesaurierer '!I23)</f>
        <v>0</v>
      </c>
      <c r="AL24" s="51">
        <f t="shared" si="21"/>
        <v>0</v>
      </c>
      <c r="AM24" s="51">
        <f t="shared" si="22"/>
        <v>86387.28031</v>
      </c>
      <c r="AN24" s="51"/>
      <c r="AO24" s="50"/>
      <c r="AP24" s="58"/>
      <c r="AQ24" s="50"/>
      <c r="AR24" s="58"/>
      <c r="AS24" s="58"/>
      <c r="AT24" s="58"/>
    </row>
    <row r="25" ht="12.75" customHeight="1">
      <c r="A25" s="11">
        <v>22.0</v>
      </c>
      <c r="B25" s="40">
        <f t="shared" si="23"/>
        <v>4.61527</v>
      </c>
      <c r="C25" s="41">
        <f t="shared" si="24"/>
        <v>445406.2933</v>
      </c>
      <c r="D25" s="12">
        <f t="shared" si="25"/>
        <v>2055670.303</v>
      </c>
      <c r="E25" s="42">
        <f t="shared" si="1"/>
        <v>0.1599841396</v>
      </c>
      <c r="F25" s="43">
        <v>0.159984139606134</v>
      </c>
      <c r="G25" s="12">
        <f t="shared" si="26"/>
        <v>2384544.948</v>
      </c>
      <c r="H25" s="15">
        <f>'HIER Einzelaktien'!G25-('HIER Einzelaktien'!G25*M$1)</f>
        <v>0.02523502511</v>
      </c>
      <c r="I25" s="44">
        <f t="shared" si="2"/>
        <v>2230326.682</v>
      </c>
      <c r="J25" s="49">
        <f t="shared" si="3"/>
        <v>0.08496322531</v>
      </c>
      <c r="K25" s="49">
        <f t="shared" si="4"/>
        <v>7.030455985</v>
      </c>
      <c r="L25" s="50"/>
      <c r="M25" s="51">
        <f t="shared" si="5"/>
        <v>60174.05164</v>
      </c>
      <c r="N25" s="51">
        <f t="shared" si="6"/>
        <v>11109.63428</v>
      </c>
      <c r="O25" s="51">
        <f t="shared" si="7"/>
        <v>49064.41735</v>
      </c>
      <c r="P25" s="52">
        <f t="shared" si="8"/>
        <v>0.08990911136</v>
      </c>
      <c r="Q25" s="51">
        <f>Q24*(1+'HIER Rechnung Thesaurierer '!I25)</f>
        <v>172886.3651</v>
      </c>
      <c r="R25" s="53">
        <f t="shared" si="9"/>
        <v>28806.24503</v>
      </c>
      <c r="S25" s="54">
        <f t="shared" si="10"/>
        <v>154218.2656</v>
      </c>
      <c r="T25" s="51">
        <f t="shared" si="11"/>
        <v>103938.7846</v>
      </c>
      <c r="U25" s="51">
        <f t="shared" si="12"/>
        <v>19189.69812</v>
      </c>
      <c r="V25" s="51">
        <f t="shared" si="13"/>
        <v>50279.48099</v>
      </c>
      <c r="W25" s="51">
        <f t="shared" si="14"/>
        <v>123821.9478</v>
      </c>
      <c r="X25" s="51">
        <f t="shared" si="15"/>
        <v>172886.3651</v>
      </c>
      <c r="Y25" s="12"/>
      <c r="Z25" s="52"/>
      <c r="AA25" s="51"/>
      <c r="AB25" s="52">
        <f>'HIER Rechnung Thesaurierer '!H25</f>
        <v>0.084</v>
      </c>
      <c r="AC25" s="55">
        <f t="shared" si="16"/>
        <v>328874.6448</v>
      </c>
      <c r="AD25" s="51">
        <f t="shared" si="27"/>
        <v>120873.4138</v>
      </c>
      <c r="AE25" s="51">
        <f t="shared" si="17"/>
        <v>60699.36219</v>
      </c>
      <c r="AF25" s="56">
        <f t="shared" si="18"/>
        <v>11206.61974</v>
      </c>
      <c r="AG25" s="52">
        <f t="shared" si="19"/>
        <v>0.02108556646</v>
      </c>
      <c r="AH25" s="51">
        <f t="shared" si="20"/>
        <v>31075.30803</v>
      </c>
      <c r="AI25" s="51">
        <f t="shared" si="28"/>
        <v>119374.3681</v>
      </c>
      <c r="AJ25" s="11"/>
      <c r="AK25" s="57">
        <f>AK24*(1+'HIER Rechnung Thesaurierer '!I24)</f>
        <v>0</v>
      </c>
      <c r="AL25" s="51">
        <f t="shared" si="21"/>
        <v>0</v>
      </c>
      <c r="AM25" s="51">
        <f t="shared" si="22"/>
        <v>157368.5389</v>
      </c>
      <c r="AN25" s="51"/>
      <c r="AO25" s="50"/>
      <c r="AP25" s="58"/>
      <c r="AQ25" s="50"/>
      <c r="AR25" s="58"/>
      <c r="AS25" s="58"/>
      <c r="AT25" s="58"/>
    </row>
    <row r="26" ht="12.75" customHeight="1">
      <c r="A26" s="11">
        <v>23.0</v>
      </c>
      <c r="B26" s="40">
        <f t="shared" si="23"/>
        <v>5.35364</v>
      </c>
      <c r="C26" s="41">
        <f t="shared" si="24"/>
        <v>416600.0483</v>
      </c>
      <c r="D26" s="12">
        <f t="shared" si="25"/>
        <v>2230326.682</v>
      </c>
      <c r="E26" s="42">
        <f t="shared" si="1"/>
        <v>-0.07141309464</v>
      </c>
      <c r="F26" s="43">
        <v>-0.0714130946421501</v>
      </c>
      <c r="G26" s="12">
        <f t="shared" si="26"/>
        <v>2071052.152</v>
      </c>
      <c r="H26" s="15">
        <f>'HIER Einzelaktien'!G26-('HIER Einzelaktien'!G26*M$1)</f>
        <v>0.02109229174</v>
      </c>
      <c r="I26" s="44">
        <f t="shared" si="2"/>
        <v>1902242.468</v>
      </c>
      <c r="J26" s="49">
        <f t="shared" si="3"/>
        <v>-0.1471014166</v>
      </c>
      <c r="K26" s="49">
        <f t="shared" si="4"/>
        <v>6.456976272</v>
      </c>
      <c r="L26" s="50"/>
      <c r="M26" s="51">
        <f t="shared" si="5"/>
        <v>43683.23619</v>
      </c>
      <c r="N26" s="51">
        <f t="shared" si="6"/>
        <v>8065.017482</v>
      </c>
      <c r="O26" s="51">
        <f t="shared" si="7"/>
        <v>35618.21871</v>
      </c>
      <c r="P26" s="52">
        <f t="shared" si="8"/>
        <v>0.1026014338</v>
      </c>
      <c r="Q26" s="51">
        <f>Q25*(1+'HIER Rechnung Thesaurierer '!I26)</f>
        <v>186371.5016</v>
      </c>
      <c r="R26" s="53">
        <f t="shared" si="9"/>
        <v>33956.7125</v>
      </c>
      <c r="S26" s="54">
        <f t="shared" si="10"/>
        <v>168809.684</v>
      </c>
      <c r="T26" s="51">
        <f t="shared" si="11"/>
        <v>97800.41202</v>
      </c>
      <c r="U26" s="51">
        <f t="shared" si="12"/>
        <v>18056.40107</v>
      </c>
      <c r="V26" s="51">
        <f t="shared" si="13"/>
        <v>71009.27195</v>
      </c>
      <c r="W26" s="51">
        <f t="shared" si="14"/>
        <v>150753.2829</v>
      </c>
      <c r="X26" s="51">
        <f t="shared" si="15"/>
        <v>186371.5016</v>
      </c>
      <c r="Y26" s="12"/>
      <c r="Z26" s="52"/>
      <c r="AA26" s="51"/>
      <c r="AB26" s="52">
        <f>'HIER Rechnung Thesaurierer '!H26</f>
        <v>0.078</v>
      </c>
      <c r="AC26" s="55">
        <f t="shared" si="16"/>
        <v>-159274.5304</v>
      </c>
      <c r="AD26" s="51">
        <f t="shared" si="27"/>
        <v>0</v>
      </c>
      <c r="AE26" s="51">
        <f t="shared" si="17"/>
        <v>0</v>
      </c>
      <c r="AF26" s="56">
        <f t="shared" si="18"/>
        <v>0</v>
      </c>
      <c r="AG26" s="52">
        <f t="shared" si="19"/>
        <v>0.03428656873</v>
      </c>
      <c r="AH26" s="51">
        <f t="shared" si="20"/>
        <v>48371.4523</v>
      </c>
      <c r="AI26" s="51">
        <f t="shared" si="28"/>
        <v>71002.91585</v>
      </c>
      <c r="AJ26" s="11"/>
      <c r="AK26" s="57">
        <f>AK25*(1+'HIER Rechnung Thesaurierer '!I25)</f>
        <v>0</v>
      </c>
      <c r="AL26" s="51">
        <f t="shared" si="21"/>
        <v>0</v>
      </c>
      <c r="AM26" s="51">
        <f t="shared" si="22"/>
        <v>99038.55375</v>
      </c>
      <c r="AN26" s="51"/>
      <c r="AO26" s="50"/>
      <c r="AP26" s="58"/>
      <c r="AQ26" s="50"/>
      <c r="AR26" s="58"/>
      <c r="AS26" s="58"/>
      <c r="AT26" s="58"/>
    </row>
    <row r="27" ht="12.75" customHeight="1">
      <c r="A27" s="11">
        <v>24.0</v>
      </c>
      <c r="B27" s="40">
        <f t="shared" si="23"/>
        <v>4.97132</v>
      </c>
      <c r="C27" s="41">
        <f t="shared" si="24"/>
        <v>382643.3358</v>
      </c>
      <c r="D27" s="12">
        <f t="shared" si="25"/>
        <v>1902242.468</v>
      </c>
      <c r="E27" s="42">
        <f t="shared" si="1"/>
        <v>0.2038975564</v>
      </c>
      <c r="F27" s="43">
        <v>0.203897556383415</v>
      </c>
      <c r="G27" s="12">
        <f t="shared" si="26"/>
        <v>2290105.059</v>
      </c>
      <c r="H27" s="15">
        <f>'HIER Einzelaktien'!G27-('HIER Einzelaktien'!G27*M$1)</f>
        <v>0.02328242946</v>
      </c>
      <c r="I27" s="44">
        <f t="shared" si="2"/>
        <v>2104922.064</v>
      </c>
      <c r="J27" s="49">
        <f t="shared" si="3"/>
        <v>0.1065477192</v>
      </c>
      <c r="K27" s="49">
        <f t="shared" si="4"/>
        <v>7.977435511</v>
      </c>
      <c r="L27" s="50"/>
      <c r="M27" s="51">
        <f t="shared" si="5"/>
        <v>53319.20948</v>
      </c>
      <c r="N27" s="51">
        <f t="shared" si="6"/>
        <v>9844.05905</v>
      </c>
      <c r="O27" s="51">
        <f t="shared" si="7"/>
        <v>43475.15043</v>
      </c>
      <c r="P27" s="52">
        <f t="shared" si="8"/>
        <v>0.1041446562</v>
      </c>
      <c r="Q27" s="51">
        <f>Q26*(1+'HIER Rechnung Thesaurierer '!I27)</f>
        <v>198485.6492</v>
      </c>
      <c r="R27" s="53">
        <f t="shared" si="9"/>
        <v>30941.39219</v>
      </c>
      <c r="S27" s="54">
        <f t="shared" si="10"/>
        <v>185182.9946</v>
      </c>
      <c r="T27" s="51">
        <f t="shared" si="11"/>
        <v>130193.0176</v>
      </c>
      <c r="U27" s="51">
        <f t="shared" si="12"/>
        <v>24036.88588</v>
      </c>
      <c r="V27" s="51">
        <f t="shared" si="13"/>
        <v>54989.97693</v>
      </c>
      <c r="W27" s="51">
        <f t="shared" si="14"/>
        <v>155010.4988</v>
      </c>
      <c r="X27" s="51">
        <f t="shared" si="15"/>
        <v>198485.6492</v>
      </c>
      <c r="Y27" s="12"/>
      <c r="Z27" s="52"/>
      <c r="AA27" s="51"/>
      <c r="AB27" s="52">
        <f>'HIER Rechnung Thesaurierer '!H27</f>
        <v>0.065</v>
      </c>
      <c r="AC27" s="55">
        <f t="shared" si="16"/>
        <v>387862.5909</v>
      </c>
      <c r="AD27" s="51">
        <f t="shared" si="27"/>
        <v>86552.03229</v>
      </c>
      <c r="AE27" s="51">
        <f t="shared" si="17"/>
        <v>33232.82281</v>
      </c>
      <c r="AF27" s="56">
        <f t="shared" si="18"/>
        <v>6135.609912</v>
      </c>
      <c r="AG27" s="52">
        <f t="shared" si="19"/>
        <v>0.02401198876</v>
      </c>
      <c r="AH27" s="51">
        <f t="shared" si="20"/>
        <v>34362.37183</v>
      </c>
      <c r="AI27" s="51">
        <f t="shared" si="28"/>
        <v>69873.36683</v>
      </c>
      <c r="AJ27" s="11"/>
      <c r="AK27" s="57">
        <f>AK26*(1+'HIER Rechnung Thesaurierer '!I26)</f>
        <v>0</v>
      </c>
      <c r="AL27" s="51">
        <f t="shared" si="21"/>
        <v>0</v>
      </c>
      <c r="AM27" s="51">
        <f t="shared" si="22"/>
        <v>151721.535</v>
      </c>
      <c r="AN27" s="51"/>
      <c r="AO27" s="50"/>
      <c r="AP27" s="58"/>
      <c r="AQ27" s="50"/>
      <c r="AR27" s="58"/>
      <c r="AS27" s="58"/>
      <c r="AT27" s="58"/>
    </row>
    <row r="28" ht="12.75" customHeight="1">
      <c r="A28" s="11">
        <v>25.0</v>
      </c>
      <c r="B28" s="40">
        <f t="shared" si="23"/>
        <v>5.98496</v>
      </c>
      <c r="C28" s="41">
        <f t="shared" si="24"/>
        <v>351701.9436</v>
      </c>
      <c r="D28" s="12">
        <f t="shared" si="25"/>
        <v>2104922.064</v>
      </c>
      <c r="E28" s="42">
        <f t="shared" si="1"/>
        <v>0.03357415923</v>
      </c>
      <c r="F28" s="43">
        <v>0.0335741592257928</v>
      </c>
      <c r="G28" s="12">
        <f t="shared" si="26"/>
        <v>2175593.053</v>
      </c>
      <c r="H28" s="15">
        <f>'HIER Einzelaktien'!G28-('HIER Einzelaktien'!G28*M$1)</f>
        <v>0.01890721131</v>
      </c>
      <c r="I28" s="44">
        <f t="shared" si="2"/>
        <v>1964464.068</v>
      </c>
      <c r="J28" s="49">
        <f t="shared" si="3"/>
        <v>-0.06672835927</v>
      </c>
      <c r="K28" s="49">
        <f t="shared" si="4"/>
        <v>8.278845361</v>
      </c>
      <c r="L28" s="50"/>
      <c r="M28" s="51">
        <f t="shared" si="5"/>
        <v>41134.39756</v>
      </c>
      <c r="N28" s="51">
        <f t="shared" si="6"/>
        <v>7594.43815</v>
      </c>
      <c r="O28" s="51">
        <f t="shared" si="7"/>
        <v>33539.95941</v>
      </c>
      <c r="P28" s="52">
        <f t="shared" si="8"/>
        <v>0.1159515478</v>
      </c>
      <c r="Q28" s="51">
        <f>Q27*(1+'HIER Rechnung Thesaurierer '!I28)</f>
        <v>212181.159</v>
      </c>
      <c r="R28" s="53">
        <f t="shared" si="9"/>
        <v>34130.68176</v>
      </c>
      <c r="S28" s="54">
        <f t="shared" si="10"/>
        <v>211128.9843</v>
      </c>
      <c r="T28" s="51">
        <f t="shared" si="11"/>
        <v>146429.7445</v>
      </c>
      <c r="U28" s="51">
        <f t="shared" si="12"/>
        <v>27034.59158</v>
      </c>
      <c r="V28" s="51">
        <f t="shared" si="13"/>
        <v>64699.23977</v>
      </c>
      <c r="W28" s="51">
        <f t="shared" si="14"/>
        <v>178641.1996</v>
      </c>
      <c r="X28" s="51">
        <f t="shared" si="15"/>
        <v>212181.159</v>
      </c>
      <c r="Y28" s="12"/>
      <c r="Z28" s="52"/>
      <c r="AA28" s="51"/>
      <c r="AB28" s="52">
        <f>'HIER Rechnung Thesaurierer '!H28</f>
        <v>0.069</v>
      </c>
      <c r="AC28" s="55">
        <f t="shared" si="16"/>
        <v>70670.98854</v>
      </c>
      <c r="AD28" s="51">
        <f t="shared" si="27"/>
        <v>70670.98854</v>
      </c>
      <c r="AE28" s="51">
        <f t="shared" si="17"/>
        <v>29536.59098</v>
      </c>
      <c r="AF28" s="56">
        <f t="shared" si="18"/>
        <v>5453.19311</v>
      </c>
      <c r="AG28" s="52">
        <f t="shared" si="19"/>
        <v>0.02973866813</v>
      </c>
      <c r="AH28" s="51">
        <f t="shared" si="20"/>
        <v>41945.44056</v>
      </c>
      <c r="AI28" s="51">
        <f t="shared" si="28"/>
        <v>57464.51725</v>
      </c>
      <c r="AJ28" s="11"/>
      <c r="AK28" s="57">
        <f>AK27*(1+'HIER Rechnung Thesaurierer '!I27)</f>
        <v>0</v>
      </c>
      <c r="AL28" s="51">
        <f t="shared" si="21"/>
        <v>0</v>
      </c>
      <c r="AM28" s="51">
        <f t="shared" si="22"/>
        <v>151970.5131</v>
      </c>
      <c r="AN28" s="51"/>
      <c r="AO28" s="50"/>
      <c r="AP28" s="58"/>
      <c r="AQ28" s="50"/>
      <c r="AR28" s="58"/>
      <c r="AS28" s="58"/>
      <c r="AT28" s="58"/>
    </row>
    <row r="29" ht="12.75" customHeight="1">
      <c r="A29" s="11">
        <v>26.0</v>
      </c>
      <c r="B29" s="40">
        <f t="shared" si="23"/>
        <v>6.1859</v>
      </c>
      <c r="C29" s="41">
        <f t="shared" si="24"/>
        <v>317571.2618</v>
      </c>
      <c r="D29" s="12">
        <f t="shared" si="25"/>
        <v>1964464.068</v>
      </c>
      <c r="E29" s="42">
        <f t="shared" si="1"/>
        <v>0.1870220986</v>
      </c>
      <c r="F29" s="43">
        <v>0.18702209864369</v>
      </c>
      <c r="G29" s="12">
        <f t="shared" si="26"/>
        <v>2331862.261</v>
      </c>
      <c r="H29" s="15">
        <f>'HIER Einzelaktien'!G29-('HIER Einzelaktien'!G29*M$1)</f>
        <v>0.02222227355</v>
      </c>
      <c r="I29" s="44">
        <f t="shared" si="2"/>
        <v>2109435.713</v>
      </c>
      <c r="J29" s="49">
        <f t="shared" si="3"/>
        <v>0.0737970456</v>
      </c>
      <c r="K29" s="49">
        <f t="shared" si="4"/>
        <v>10.01419449</v>
      </c>
      <c r="L29" s="50"/>
      <c r="M29" s="51">
        <f t="shared" si="5"/>
        <v>51819.28106</v>
      </c>
      <c r="N29" s="51">
        <f t="shared" si="6"/>
        <v>9567.134765</v>
      </c>
      <c r="O29" s="51">
        <f t="shared" si="7"/>
        <v>42252.14629</v>
      </c>
      <c r="P29" s="52">
        <f t="shared" si="8"/>
        <v>0.117608074</v>
      </c>
      <c r="Q29" s="51">
        <f>Q28*(1+'HIER Rechnung Thesaurierer '!I29)</f>
        <v>226821.659</v>
      </c>
      <c r="R29" s="53">
        <f t="shared" si="9"/>
        <v>30291.78901</v>
      </c>
      <c r="S29" s="54">
        <f t="shared" si="10"/>
        <v>222426.5483</v>
      </c>
      <c r="T29" s="51">
        <f t="shared" si="11"/>
        <v>161983.9301</v>
      </c>
      <c r="U29" s="51">
        <f t="shared" si="12"/>
        <v>29906.2831</v>
      </c>
      <c r="V29" s="51">
        <f t="shared" si="13"/>
        <v>60442.61823</v>
      </c>
      <c r="W29" s="51">
        <f t="shared" si="14"/>
        <v>184569.5127</v>
      </c>
      <c r="X29" s="51">
        <f t="shared" si="15"/>
        <v>226821.659</v>
      </c>
      <c r="Y29" s="12"/>
      <c r="Z29" s="52"/>
      <c r="AA29" s="51"/>
      <c r="AB29" s="52">
        <f>'HIER Rechnung Thesaurierer '!H29</f>
        <v>0.069</v>
      </c>
      <c r="AC29" s="55">
        <f t="shared" si="16"/>
        <v>367398.1928</v>
      </c>
      <c r="AD29" s="51">
        <f t="shared" si="27"/>
        <v>94883.61451</v>
      </c>
      <c r="AE29" s="51">
        <f t="shared" si="17"/>
        <v>43064.33345</v>
      </c>
      <c r="AF29" s="56">
        <f t="shared" si="18"/>
        <v>7950.752563</v>
      </c>
      <c r="AG29" s="52">
        <f t="shared" si="19"/>
        <v>0.02592032095</v>
      </c>
      <c r="AH29" s="51">
        <f t="shared" si="20"/>
        <v>40248.08212</v>
      </c>
      <c r="AI29" s="51">
        <f t="shared" si="28"/>
        <v>60280.76858</v>
      </c>
      <c r="AJ29" s="11"/>
      <c r="AK29" s="57">
        <f>AK28*(1+'HIER Rechnung Thesaurierer '!I28)</f>
        <v>0</v>
      </c>
      <c r="AL29" s="51">
        <f t="shared" si="21"/>
        <v>0</v>
      </c>
      <c r="AM29" s="51">
        <f t="shared" si="22"/>
        <v>179807.2812</v>
      </c>
      <c r="AN29" s="51"/>
      <c r="AO29" s="50"/>
      <c r="AP29" s="58"/>
      <c r="AQ29" s="50"/>
      <c r="AR29" s="58"/>
      <c r="AS29" s="58"/>
      <c r="AT29" s="58"/>
    </row>
    <row r="30" ht="12.75" customHeight="1">
      <c r="A30" s="11">
        <v>27.0</v>
      </c>
      <c r="B30" s="40">
        <f t="shared" si="23"/>
        <v>7.3428</v>
      </c>
      <c r="C30" s="41">
        <f t="shared" si="24"/>
        <v>287279.4728</v>
      </c>
      <c r="D30" s="12">
        <f t="shared" si="25"/>
        <v>2109435.713</v>
      </c>
      <c r="E30" s="42">
        <f t="shared" si="1"/>
        <v>0.117233208</v>
      </c>
      <c r="F30" s="43">
        <v>0.117233208040529</v>
      </c>
      <c r="G30" s="12">
        <f t="shared" si="26"/>
        <v>2356731.629</v>
      </c>
      <c r="H30" s="15">
        <f>'HIER Einzelaktien'!G30-('HIER Einzelaktien'!G30*M$1)</f>
        <v>0.01931805741</v>
      </c>
      <c r="I30" s="44">
        <f t="shared" si="2"/>
        <v>2112507.934</v>
      </c>
      <c r="J30" s="49">
        <f t="shared" si="3"/>
        <v>0.001456418444</v>
      </c>
      <c r="K30" s="49">
        <f t="shared" si="4"/>
        <v>11.30542385</v>
      </c>
      <c r="L30" s="50"/>
      <c r="M30" s="51">
        <f t="shared" si="5"/>
        <v>45527.47691</v>
      </c>
      <c r="N30" s="51">
        <f t="shared" si="6"/>
        <v>8405.510424</v>
      </c>
      <c r="O30" s="51">
        <f t="shared" si="7"/>
        <v>37121.96648</v>
      </c>
      <c r="P30" s="52">
        <f t="shared" si="8"/>
        <v>0.1229461887</v>
      </c>
      <c r="Q30" s="51">
        <f>Q29*(1+'HIER Rechnung Thesaurierer '!I30)</f>
        <v>240884.6018</v>
      </c>
      <c r="R30" s="53">
        <f t="shared" si="9"/>
        <v>29770.23493</v>
      </c>
      <c r="S30" s="54">
        <f t="shared" si="10"/>
        <v>244223.6947</v>
      </c>
      <c r="T30" s="51">
        <f t="shared" si="11"/>
        <v>173130.6242</v>
      </c>
      <c r="U30" s="51">
        <f t="shared" si="12"/>
        <v>31964.2415</v>
      </c>
      <c r="V30" s="51">
        <f t="shared" si="13"/>
        <v>71093.07047</v>
      </c>
      <c r="W30" s="51">
        <f t="shared" si="14"/>
        <v>203762.6354</v>
      </c>
      <c r="X30" s="51">
        <f t="shared" si="15"/>
        <v>240884.6018</v>
      </c>
      <c r="Y30" s="12"/>
      <c r="Z30" s="52"/>
      <c r="AA30" s="51"/>
      <c r="AB30" s="52">
        <f>'HIER Rechnung Thesaurierer '!H30</f>
        <v>0.062</v>
      </c>
      <c r="AC30" s="55">
        <f t="shared" si="16"/>
        <v>247295.9158</v>
      </c>
      <c r="AD30" s="51">
        <f t="shared" si="27"/>
        <v>91549.50994</v>
      </c>
      <c r="AE30" s="51">
        <f t="shared" si="17"/>
        <v>46022.03303</v>
      </c>
      <c r="AF30" s="56">
        <f t="shared" si="18"/>
        <v>8496.817848</v>
      </c>
      <c r="AG30" s="52">
        <f t="shared" si="19"/>
        <v>0.03016595933</v>
      </c>
      <c r="AH30" s="51">
        <f t="shared" si="20"/>
        <v>51246.23725</v>
      </c>
      <c r="AI30" s="51">
        <f t="shared" si="28"/>
        <v>55056.56435</v>
      </c>
      <c r="AJ30" s="11"/>
      <c r="AK30" s="57">
        <f>AK29*(1+'HIER Rechnung Thesaurierer '!I29)</f>
        <v>0</v>
      </c>
      <c r="AL30" s="51">
        <f t="shared" si="21"/>
        <v>0</v>
      </c>
      <c r="AM30" s="51">
        <f t="shared" si="22"/>
        <v>185276.0939</v>
      </c>
      <c r="AN30" s="51"/>
      <c r="AO30" s="50"/>
      <c r="AP30" s="58"/>
      <c r="AQ30" s="50"/>
      <c r="AR30" s="58"/>
      <c r="AS30" s="58"/>
      <c r="AT30" s="58"/>
    </row>
    <row r="31" ht="12.75" customHeight="1">
      <c r="A31" s="11">
        <v>28.0</v>
      </c>
      <c r="B31" s="40">
        <f t="shared" si="23"/>
        <v>8.20362</v>
      </c>
      <c r="C31" s="41">
        <f t="shared" si="24"/>
        <v>257509.2379</v>
      </c>
      <c r="D31" s="12">
        <f t="shared" si="25"/>
        <v>2112507.934</v>
      </c>
      <c r="E31" s="42">
        <f t="shared" si="1"/>
        <v>0.1416801363</v>
      </c>
      <c r="F31" s="43">
        <v>0.141680136330059</v>
      </c>
      <c r="G31" s="12">
        <f t="shared" si="26"/>
        <v>2411808.346</v>
      </c>
      <c r="H31" s="15">
        <f>'HIER Einzelaktien'!G31-('HIER Einzelaktien'!G31*M$1)</f>
        <v>0.01750231633</v>
      </c>
      <c r="I31" s="44">
        <f t="shared" si="2"/>
        <v>2149765.354</v>
      </c>
      <c r="J31" s="49">
        <f t="shared" si="3"/>
        <v>0.01763658223</v>
      </c>
      <c r="K31" s="49">
        <f t="shared" si="4"/>
        <v>13.04885798</v>
      </c>
      <c r="L31" s="50"/>
      <c r="M31" s="51">
        <f t="shared" si="5"/>
        <v>42212.23259</v>
      </c>
      <c r="N31" s="51">
        <f t="shared" si="6"/>
        <v>7793.433442</v>
      </c>
      <c r="O31" s="51">
        <f t="shared" si="7"/>
        <v>34418.79915</v>
      </c>
      <c r="P31" s="52">
        <f t="shared" si="8"/>
        <v>0.1261523227</v>
      </c>
      <c r="Q31" s="51">
        <f>Q30*(1+'HIER Rechnung Thesaurierer '!I31)</f>
        <v>254374.1395</v>
      </c>
      <c r="R31" s="53">
        <f t="shared" si="9"/>
        <v>27978.38034</v>
      </c>
      <c r="S31" s="54">
        <f t="shared" si="10"/>
        <v>262042.9922</v>
      </c>
      <c r="T31" s="51">
        <f t="shared" si="11"/>
        <v>187364.8291</v>
      </c>
      <c r="U31" s="51">
        <f t="shared" si="12"/>
        <v>34592.23157</v>
      </c>
      <c r="V31" s="51">
        <f t="shared" si="13"/>
        <v>74678.16309</v>
      </c>
      <c r="W31" s="51">
        <f t="shared" si="14"/>
        <v>219955.3404</v>
      </c>
      <c r="X31" s="51">
        <f t="shared" si="15"/>
        <v>254374.1395</v>
      </c>
      <c r="Y31" s="12"/>
      <c r="Z31" s="52"/>
      <c r="AA31" s="51"/>
      <c r="AB31" s="52">
        <f>'HIER Rechnung Thesaurierer '!H31</f>
        <v>0.056</v>
      </c>
      <c r="AC31" s="55">
        <f t="shared" si="16"/>
        <v>299300.4121</v>
      </c>
      <c r="AD31" s="51">
        <f t="shared" si="27"/>
        <v>82810.31101</v>
      </c>
      <c r="AE31" s="51">
        <f t="shared" si="17"/>
        <v>40598.07842</v>
      </c>
      <c r="AF31" s="56">
        <f t="shared" si="18"/>
        <v>7495.420228</v>
      </c>
      <c r="AG31" s="52">
        <f t="shared" si="19"/>
        <v>0.03096355613</v>
      </c>
      <c r="AH31" s="51">
        <f t="shared" si="20"/>
        <v>56025.90021</v>
      </c>
      <c r="AI31" s="51">
        <f t="shared" si="28"/>
        <v>39628.74257</v>
      </c>
      <c r="AJ31" s="11"/>
      <c r="AK31" s="57">
        <f>AK30*(1+'HIER Rechnung Thesaurierer '!I30)</f>
        <v>0</v>
      </c>
      <c r="AL31" s="51">
        <f t="shared" si="21"/>
        <v>0</v>
      </c>
      <c r="AM31" s="51">
        <f t="shared" si="22"/>
        <v>189122.5981</v>
      </c>
      <c r="AN31" s="51"/>
      <c r="AO31" s="50"/>
      <c r="AP31" s="58"/>
      <c r="AQ31" s="50"/>
      <c r="AR31" s="58"/>
      <c r="AS31" s="58"/>
      <c r="AT31" s="58"/>
    </row>
    <row r="32" ht="12.75" customHeight="1">
      <c r="A32" s="11">
        <v>29.0</v>
      </c>
      <c r="B32" s="40">
        <f t="shared" si="23"/>
        <v>9.36591</v>
      </c>
      <c r="C32" s="41">
        <f t="shared" si="24"/>
        <v>229530.8575</v>
      </c>
      <c r="D32" s="12">
        <f t="shared" si="25"/>
        <v>2149765.354</v>
      </c>
      <c r="E32" s="42">
        <f t="shared" si="1"/>
        <v>0.2278059473</v>
      </c>
      <c r="F32" s="43">
        <v>0.227805947313181</v>
      </c>
      <c r="G32" s="12">
        <f t="shared" si="26"/>
        <v>2639494.687</v>
      </c>
      <c r="H32" s="15">
        <f>'HIER Einzelaktien'!G32-('HIER Einzelaktien'!G32*M$1)</f>
        <v>0.01712459737</v>
      </c>
      <c r="I32" s="44">
        <f t="shared" si="2"/>
        <v>2367154.624</v>
      </c>
      <c r="J32" s="49">
        <f t="shared" si="3"/>
        <v>0.1011223246</v>
      </c>
      <c r="K32" s="49">
        <f t="shared" si="4"/>
        <v>16.24927138</v>
      </c>
      <c r="L32" s="50"/>
      <c r="M32" s="51">
        <f t="shared" si="5"/>
        <v>45200.28377</v>
      </c>
      <c r="N32" s="51">
        <f t="shared" si="6"/>
        <v>8345.102391</v>
      </c>
      <c r="O32" s="51">
        <f t="shared" si="7"/>
        <v>36855.18138</v>
      </c>
      <c r="P32" s="52">
        <f t="shared" si="8"/>
        <v>0.1203034612</v>
      </c>
      <c r="Q32" s="51">
        <f>Q31*(1+'HIER Rechnung Thesaurierer '!I32)</f>
        <v>266075.35</v>
      </c>
      <c r="R32" s="53">
        <f t="shared" si="9"/>
        <v>23682.7331</v>
      </c>
      <c r="S32" s="54">
        <f t="shared" si="10"/>
        <v>272340.063</v>
      </c>
      <c r="T32" s="51">
        <f t="shared" si="11"/>
        <v>209531.7697</v>
      </c>
      <c r="U32" s="51">
        <f t="shared" si="12"/>
        <v>38684.80298</v>
      </c>
      <c r="V32" s="51">
        <f t="shared" si="13"/>
        <v>62808.29328</v>
      </c>
      <c r="W32" s="51">
        <f t="shared" si="14"/>
        <v>229220.1686</v>
      </c>
      <c r="X32" s="51">
        <f t="shared" si="15"/>
        <v>266075.35</v>
      </c>
      <c r="Y32" s="12"/>
      <c r="Z32" s="52"/>
      <c r="AA32" s="51"/>
      <c r="AB32" s="52">
        <f>'HIER Rechnung Thesaurierer '!H32</f>
        <v>0.046</v>
      </c>
      <c r="AC32" s="55">
        <f t="shared" si="16"/>
        <v>489729.3329</v>
      </c>
      <c r="AD32" s="51">
        <f t="shared" si="27"/>
        <v>69222.44439</v>
      </c>
      <c r="AE32" s="51">
        <f t="shared" si="17"/>
        <v>24022.16062</v>
      </c>
      <c r="AF32" s="56">
        <f t="shared" si="18"/>
        <v>4435.091405</v>
      </c>
      <c r="AG32" s="52">
        <f t="shared" si="19"/>
        <v>0.02379557481</v>
      </c>
      <c r="AH32" s="51">
        <f t="shared" si="20"/>
        <v>47019.79665</v>
      </c>
      <c r="AI32" s="51">
        <f t="shared" si="28"/>
        <v>16631.10654</v>
      </c>
      <c r="AJ32" s="11"/>
      <c r="AK32" s="57">
        <f>AK31*(1+'HIER Rechnung Thesaurierer '!I31)</f>
        <v>0</v>
      </c>
      <c r="AL32" s="51">
        <f t="shared" si="21"/>
        <v>0</v>
      </c>
      <c r="AM32" s="51">
        <f t="shared" si="22"/>
        <v>195127.9499</v>
      </c>
      <c r="AN32" s="51"/>
      <c r="AO32" s="50"/>
      <c r="AP32" s="58"/>
      <c r="AQ32" s="50"/>
      <c r="AR32" s="58"/>
      <c r="AS32" s="58"/>
      <c r="AT32" s="58"/>
    </row>
    <row r="33" ht="12.75" customHeight="1">
      <c r="A33" s="11">
        <v>30.0</v>
      </c>
      <c r="B33" s="40">
        <f t="shared" si="23"/>
        <v>11.49952</v>
      </c>
      <c r="C33" s="41">
        <f t="shared" si="24"/>
        <v>205848.1244</v>
      </c>
      <c r="D33" s="12">
        <f t="shared" si="25"/>
        <v>2367154.624</v>
      </c>
      <c r="E33" s="42">
        <f t="shared" si="1"/>
        <v>0.2356037469</v>
      </c>
      <c r="F33" s="43">
        <v>0.235603746939003</v>
      </c>
      <c r="G33" s="12">
        <f t="shared" si="26"/>
        <v>2924865.123</v>
      </c>
      <c r="H33" s="15">
        <f>'HIER Einzelaktien'!G33-('HIER Einzelaktien'!G33*M$1)</f>
        <v>0.01512551027</v>
      </c>
      <c r="I33" s="44">
        <f t="shared" si="2"/>
        <v>2629765.114</v>
      </c>
      <c r="J33" s="49">
        <f t="shared" si="3"/>
        <v>0.1109393055</v>
      </c>
      <c r="K33" s="49">
        <f t="shared" si="4"/>
        <v>20.31326434</v>
      </c>
      <c r="L33" s="50"/>
      <c r="M33" s="51">
        <f t="shared" si="5"/>
        <v>44240.07747</v>
      </c>
      <c r="N33" s="51">
        <f t="shared" si="6"/>
        <v>8167.824302</v>
      </c>
      <c r="O33" s="51">
        <f t="shared" si="7"/>
        <v>36072.25316</v>
      </c>
      <c r="P33" s="52">
        <f t="shared" si="8"/>
        <v>0.1160190546</v>
      </c>
      <c r="Q33" s="51">
        <f>Q32*(1+'HIER Rechnung Thesaurierer '!I33)</f>
        <v>278048.7407</v>
      </c>
      <c r="R33" s="53">
        <f t="shared" si="9"/>
        <v>20768.74687</v>
      </c>
      <c r="S33" s="54">
        <f t="shared" si="10"/>
        <v>295100.009</v>
      </c>
      <c r="T33" s="51">
        <f t="shared" si="11"/>
        <v>257412.1286</v>
      </c>
      <c r="U33" s="51">
        <f t="shared" si="12"/>
        <v>47524.71423</v>
      </c>
      <c r="V33" s="51">
        <f t="shared" si="13"/>
        <v>37687.88047</v>
      </c>
      <c r="W33" s="51">
        <f t="shared" si="14"/>
        <v>241976.4875</v>
      </c>
      <c r="X33" s="51">
        <f t="shared" si="15"/>
        <v>278048.7407</v>
      </c>
      <c r="Y33" s="12"/>
      <c r="Z33" s="52"/>
      <c r="AA33" s="51"/>
      <c r="AB33" s="52">
        <f>'HIER Rechnung Thesaurierer '!H33</f>
        <v>0.045</v>
      </c>
      <c r="AC33" s="55">
        <f t="shared" si="16"/>
        <v>557710.499</v>
      </c>
      <c r="AD33" s="51">
        <f t="shared" si="27"/>
        <v>74565.37065</v>
      </c>
      <c r="AE33" s="51">
        <f t="shared" si="17"/>
        <v>30325.29318</v>
      </c>
      <c r="AF33" s="56">
        <f t="shared" si="18"/>
        <v>5598.807254</v>
      </c>
      <c r="AG33" s="52">
        <f t="shared" si="19"/>
        <v>0.01288533963</v>
      </c>
      <c r="AH33" s="51">
        <f t="shared" si="20"/>
        <v>23842.0423</v>
      </c>
      <c r="AI33" s="51">
        <f t="shared" si="28"/>
        <v>23114.35742</v>
      </c>
      <c r="AJ33" s="11"/>
      <c r="AK33" s="57">
        <f>AK32*(1+'HIER Rechnung Thesaurierer '!I32)</f>
        <v>0</v>
      </c>
      <c r="AL33" s="51">
        <f t="shared" si="21"/>
        <v>0</v>
      </c>
      <c r="AM33" s="51">
        <f t="shared" si="22"/>
        <v>232384.2494</v>
      </c>
      <c r="AN33" s="51"/>
      <c r="AO33" s="50"/>
      <c r="AP33" s="58"/>
      <c r="AQ33" s="50"/>
      <c r="AR33" s="58"/>
      <c r="AS33" s="58"/>
      <c r="AT33" s="58"/>
    </row>
    <row r="34" ht="12.75" customHeight="1">
      <c r="B34" s="40">
        <f t="shared" si="23"/>
        <v>14.20885</v>
      </c>
      <c r="C34" s="41">
        <f t="shared" si="24"/>
        <v>185079.3776</v>
      </c>
      <c r="E34" s="42"/>
      <c r="Y34" s="15"/>
    </row>
    <row r="35" ht="12.75" customHeight="1">
      <c r="E35" s="15"/>
      <c r="L35" s="12"/>
      <c r="M35" s="12">
        <f t="shared" ref="M35:N35" si="29">SUM(M2:M34)</f>
        <v>1368917.594</v>
      </c>
      <c r="N35" s="12">
        <f t="shared" si="29"/>
        <v>252736.4108</v>
      </c>
      <c r="O35" s="12">
        <f>SUM(O4:O34)</f>
        <v>1116181.183</v>
      </c>
      <c r="P35" s="24">
        <f>AVERAGE(P4:P34)</f>
        <v>0.0845512758</v>
      </c>
      <c r="Q35" s="12">
        <f>SUM(Q4:Q34)</f>
        <v>3815705.217</v>
      </c>
      <c r="S35" s="46">
        <f>SUM(S4:S34)</f>
        <v>3192995.033</v>
      </c>
      <c r="W35" s="12">
        <f t="shared" ref="W35:X35" si="30">SUM(W4:W34)</f>
        <v>2699524.034</v>
      </c>
      <c r="X35" s="44">
        <f t="shared" si="30"/>
        <v>3815705.217</v>
      </c>
      <c r="AE35" s="12">
        <f>SUM(AE4:AE34)</f>
        <v>517192.0998</v>
      </c>
      <c r="AM35" s="12">
        <f>SUM(AM4:AM34)</f>
        <v>2829222.409</v>
      </c>
    </row>
    <row r="36" ht="12.75" customHeight="1">
      <c r="A36" s="18"/>
      <c r="B36" s="1" t="s">
        <v>72</v>
      </c>
      <c r="C36" s="18"/>
      <c r="D36" s="26">
        <f>I33/D4-1</f>
        <v>1.629765114</v>
      </c>
      <c r="E36" s="26"/>
      <c r="F36" s="18"/>
      <c r="G36" s="18"/>
      <c r="H36" s="26">
        <f>AVERAGE(H4:H33)</f>
        <v>0.03033847982</v>
      </c>
      <c r="I36" s="18"/>
      <c r="J36" s="18"/>
      <c r="K36" s="26"/>
      <c r="L36" s="1"/>
      <c r="M36" s="18"/>
      <c r="N36" s="18"/>
      <c r="O36" s="59"/>
      <c r="P36" s="59"/>
      <c r="Q36" s="32"/>
      <c r="R36" s="32"/>
      <c r="S36" s="32"/>
      <c r="T36" s="18"/>
      <c r="U36" s="31"/>
      <c r="V36" s="31"/>
      <c r="W36" s="18"/>
      <c r="X36" s="18"/>
      <c r="Y36" s="2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</row>
    <row r="37" ht="12.75" customHeight="1">
      <c r="A37" s="18"/>
      <c r="B37" s="1" t="s">
        <v>73</v>
      </c>
      <c r="C37" s="18"/>
      <c r="D37" s="26">
        <f>(I33/C4)^(1/29)-1</f>
        <v>0.03390323729</v>
      </c>
      <c r="E37" s="26"/>
      <c r="F37" s="1"/>
      <c r="G37" s="18"/>
      <c r="H37" s="18"/>
      <c r="I37" s="18"/>
      <c r="J37" s="18"/>
      <c r="K37" s="26"/>
      <c r="L37" s="18"/>
      <c r="M37" s="18"/>
      <c r="N37" s="18"/>
      <c r="O37" s="59"/>
      <c r="P37" s="59"/>
      <c r="Q37" s="32"/>
      <c r="R37" s="32"/>
      <c r="S37" s="18"/>
      <c r="T37" s="18"/>
      <c r="U37" s="31"/>
      <c r="V37" s="31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</row>
    <row r="38" ht="12.75" customHeight="1">
      <c r="A38" s="18"/>
      <c r="B38" s="18"/>
      <c r="C38" s="18"/>
      <c r="D38" s="18"/>
      <c r="E38" s="2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32"/>
      <c r="R38" s="32"/>
      <c r="S38" s="18"/>
      <c r="T38" s="18"/>
      <c r="U38" s="31"/>
      <c r="V38" s="31"/>
      <c r="W38" s="26"/>
      <c r="X38" s="26"/>
      <c r="Y38" s="18"/>
      <c r="Z38" s="18"/>
      <c r="AA38" s="60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ht="12.75" customHeight="1">
      <c r="A39" s="18"/>
      <c r="B39" s="27" t="s">
        <v>74</v>
      </c>
      <c r="C39" s="28">
        <f>D37-'HIER Rechnung Thesaurierer '!D37</f>
        <v>0.008793535452</v>
      </c>
      <c r="D39" s="22" t="s">
        <v>17</v>
      </c>
      <c r="E39" s="26"/>
      <c r="F39" s="18"/>
      <c r="G39" s="18"/>
      <c r="H39" s="18"/>
      <c r="I39" s="18"/>
      <c r="J39" s="18"/>
      <c r="K39" s="18"/>
      <c r="L39" s="18"/>
      <c r="M39" s="18"/>
      <c r="N39" s="18"/>
      <c r="O39" s="26"/>
      <c r="P39" s="26"/>
      <c r="Q39" s="1"/>
      <c r="R39" s="1"/>
      <c r="S39" s="18"/>
      <c r="T39" s="18"/>
      <c r="U39" s="31"/>
      <c r="V39" s="31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2"/>
      <c r="R40" s="32"/>
      <c r="S40" s="59"/>
      <c r="T40" s="18"/>
      <c r="U40" s="31"/>
      <c r="V40" s="31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"/>
      <c r="R41" s="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ht="12.75" customHeight="1">
      <c r="A42" s="18"/>
      <c r="B42" s="61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</row>
    <row r="43" ht="12.75" customHeight="1">
      <c r="A43" s="18"/>
      <c r="B43" s="14" t="s">
        <v>76</v>
      </c>
      <c r="C43" s="32">
        <f>(B34-D1)*C34-AI33</f>
        <v>2483264.443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26"/>
      <c r="R43" s="26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ht="12.75" customHeight="1">
      <c r="A44" s="18"/>
      <c r="B44" s="14" t="s">
        <v>77</v>
      </c>
      <c r="C44" s="32">
        <f>C43*O1</f>
        <v>458472.6978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</row>
    <row r="45" ht="12.75" customHeight="1">
      <c r="A45" s="18"/>
      <c r="B45" s="14" t="s">
        <v>78</v>
      </c>
      <c r="C45" s="32">
        <f>I33-C44</f>
        <v>2171292.416</v>
      </c>
      <c r="D45" s="18"/>
      <c r="E45" s="18"/>
      <c r="F45" s="18"/>
      <c r="G45" s="18"/>
      <c r="H45" s="62"/>
      <c r="I45" s="18"/>
      <c r="J45" s="18"/>
      <c r="K45" s="18"/>
      <c r="L45" s="18"/>
      <c r="M45" s="18"/>
      <c r="N45" s="18"/>
      <c r="O45" s="18"/>
      <c r="P45" s="18"/>
      <c r="Q45" s="31"/>
      <c r="R45" s="31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</row>
    <row r="46" ht="12.75" customHeight="1">
      <c r="A46" s="18"/>
      <c r="B46" s="1" t="s">
        <v>73</v>
      </c>
      <c r="C46" s="26">
        <f>(C45/C4)^(1/29)-1</f>
        <v>0.0270958546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31"/>
      <c r="R46" s="31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</row>
    <row r="48" ht="12.75" customHeight="1">
      <c r="A48" s="18"/>
      <c r="B48" s="22" t="s">
        <v>79</v>
      </c>
      <c r="C48" s="28">
        <f>C46-'HIER Rechnung Thesaurierer '!C46</f>
        <v>0.007049626306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6"/>
      <c r="R49" s="26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</row>
    <row r="51" ht="12.75" customHeight="1">
      <c r="Q51" s="63"/>
      <c r="R51" s="63"/>
    </row>
    <row r="52" ht="12.75" customHeight="1">
      <c r="Q52" s="64"/>
      <c r="R52" s="64"/>
    </row>
    <row r="53" ht="12.75" customHeight="1">
      <c r="Q53" s="64"/>
      <c r="R53" s="64"/>
    </row>
    <row r="54" ht="12.75" customHeight="1">
      <c r="Q54" s="64"/>
      <c r="R54" s="64"/>
    </row>
    <row r="55" ht="12.75" customHeight="1">
      <c r="Q55" s="64"/>
      <c r="R55" s="64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3">
        <v>0.07</v>
      </c>
    </row>
    <row r="71" ht="12.75" customHeight="1">
      <c r="B71" s="43">
        <v>0.08</v>
      </c>
    </row>
    <row r="72" ht="12.75" customHeight="1">
      <c r="B72" s="43">
        <v>0.147463331364728</v>
      </c>
    </row>
    <row r="73" ht="12.75" customHeight="1">
      <c r="B73" s="43">
        <v>-0.186504341327392</v>
      </c>
    </row>
    <row r="74" ht="12.75" customHeight="1">
      <c r="B74" s="43">
        <v>0.159984139606134</v>
      </c>
    </row>
    <row r="75" ht="12.75" customHeight="1">
      <c r="B75" s="43">
        <v>-0.0714130946421501</v>
      </c>
    </row>
    <row r="76" ht="12.75" customHeight="1">
      <c r="B76" s="43">
        <v>0.08</v>
      </c>
    </row>
    <row r="77" ht="12.75" customHeight="1">
      <c r="B77" s="43">
        <v>0.0335741592257928</v>
      </c>
    </row>
    <row r="78" ht="12.75" customHeight="1">
      <c r="B78" s="43">
        <v>0.18702209864369</v>
      </c>
    </row>
    <row r="79" ht="12.75" customHeight="1">
      <c r="B79" s="43">
        <v>0.117233208040529</v>
      </c>
    </row>
    <row r="80" ht="12.75" customHeight="1">
      <c r="B80" s="43">
        <v>0.141680136330059</v>
      </c>
    </row>
    <row r="81" ht="12.75" customHeight="1">
      <c r="B81" s="43">
        <v>0.08</v>
      </c>
    </row>
    <row r="82" ht="12.75" customHeight="1">
      <c r="B82" s="43">
        <v>0.08</v>
      </c>
    </row>
    <row r="83" ht="12.75" customHeight="1">
      <c r="B83" s="43">
        <v>-0.140498351379598</v>
      </c>
    </row>
    <row r="84" ht="12.75" customHeight="1">
      <c r="B84" s="43">
        <v>-0.178289838387296</v>
      </c>
    </row>
    <row r="85" ht="12.75" customHeight="1">
      <c r="B85" s="43">
        <v>-0.21056066868889</v>
      </c>
    </row>
    <row r="86" ht="12.75" customHeight="1">
      <c r="B86" s="43">
        <v>0.08</v>
      </c>
    </row>
    <row r="87" ht="12.75" customHeight="1">
      <c r="B87" s="43">
        <v>0.128361178711554</v>
      </c>
    </row>
    <row r="88" ht="12.75" customHeight="1">
      <c r="B88" s="43">
        <v>0.075627212250319</v>
      </c>
    </row>
    <row r="89" ht="12.75" customHeight="1">
      <c r="B89" s="43">
        <v>0.17952574983602</v>
      </c>
    </row>
    <row r="90" ht="12.75" customHeight="1">
      <c r="B90" s="43">
        <v>0.0709265033587718</v>
      </c>
    </row>
    <row r="91" ht="12.75" customHeight="1">
      <c r="B91" s="43">
        <v>-0.420805474309905</v>
      </c>
    </row>
    <row r="92" ht="12.75" customHeight="1">
      <c r="B92" s="43">
        <v>0.269761993249484</v>
      </c>
    </row>
    <row r="93" ht="12.75" customHeight="1">
      <c r="B93" s="43">
        <v>0.0955122433819324</v>
      </c>
    </row>
    <row r="94" ht="12.75" customHeight="1">
      <c r="B94" s="43">
        <v>-0.0761489011156412</v>
      </c>
    </row>
    <row r="95" ht="12.75" customHeight="1">
      <c r="B95" s="43">
        <v>0.131832960565536</v>
      </c>
    </row>
    <row r="96" ht="12.75" customHeight="1">
      <c r="B96" s="43">
        <v>0.08</v>
      </c>
    </row>
    <row r="97" ht="12.75" customHeight="1">
      <c r="B97" s="43">
        <v>0.0292600728807775</v>
      </c>
    </row>
    <row r="98" ht="12.75" customHeight="1">
      <c r="B98" s="43">
        <v>-0.0274192944611598</v>
      </c>
    </row>
    <row r="99" ht="12.75" customHeight="1">
      <c r="B99" s="43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2" t="s">
        <v>81</v>
      </c>
      <c r="B1" s="32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36">
        <f>(F4-D4)/D4</f>
        <v>-0.0272247955</v>
      </c>
      <c r="I1" s="14"/>
      <c r="J1" s="65" t="s">
        <v>82</v>
      </c>
      <c r="K1" s="14" t="str">
        <f>Ergebnis!B10</f>
        <v>Nein</v>
      </c>
      <c r="L1" s="26">
        <f>E4+G4</f>
        <v>-0.0254175</v>
      </c>
      <c r="M1" s="32"/>
      <c r="N1" s="26"/>
      <c r="O1" s="26"/>
      <c r="P1" s="1"/>
      <c r="Q1" s="26"/>
      <c r="R1" s="14"/>
      <c r="S1" s="14"/>
      <c r="T1" s="14"/>
      <c r="U1" s="14" t="s">
        <v>11</v>
      </c>
      <c r="V1" s="34">
        <f>'HIER Rechnung Ausschütter'!O1</f>
        <v>0.184625</v>
      </c>
      <c r="W1" s="18"/>
      <c r="X1" s="33"/>
      <c r="Y1" s="14"/>
      <c r="Z1" s="14" t="s">
        <v>39</v>
      </c>
      <c r="AA1" s="32">
        <f>'HIER Rechnung Ausschütter'!X1</f>
        <v>35000</v>
      </c>
      <c r="AB1" s="1"/>
      <c r="AC1" s="33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7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66" t="s">
        <v>94</v>
      </c>
      <c r="Y2" s="14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5"/>
      <c r="F3" s="12"/>
      <c r="G3" s="15"/>
      <c r="H3" s="7"/>
      <c r="I3" s="67"/>
      <c r="J3" s="44">
        <f>D4</f>
        <v>1000000</v>
      </c>
      <c r="K3" s="15"/>
      <c r="L3" s="15"/>
      <c r="M3" s="12"/>
      <c r="N3" s="15"/>
      <c r="O3" s="15"/>
      <c r="P3" s="63"/>
      <c r="Q3" s="63"/>
      <c r="R3" s="68"/>
      <c r="S3" s="12"/>
      <c r="T3" s="11"/>
      <c r="V3" s="11"/>
      <c r="W3" s="46"/>
      <c r="X3" s="12"/>
      <c r="Y3" s="12"/>
      <c r="Z3" s="12"/>
      <c r="AA3" s="12"/>
      <c r="AC3" s="69"/>
      <c r="AD3" s="70"/>
      <c r="AE3" s="12"/>
      <c r="AH3" s="12"/>
      <c r="AI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B4*C4</f>
        <v>1000000</v>
      </c>
      <c r="E4" s="15">
        <f>'HIER Rechnung Ausschütter'!E4</f>
        <v>-0.05708</v>
      </c>
      <c r="F4" s="12">
        <f t="shared" ref="F4:F33" si="1">D4*(1+E4)*(1+G4)</f>
        <v>972775.2045</v>
      </c>
      <c r="G4" s="15">
        <f>'HIER Rechnung Ausschütter'!H4</f>
        <v>0.0316625</v>
      </c>
      <c r="H4" s="52">
        <f t="shared" ref="H4:H33" si="2">IF(K$1="Ja",(IF(E4&gt;0,I4+(E4*0.3),I4)),I4)</f>
        <v>0.083</v>
      </c>
      <c r="I4" s="67">
        <v>0.083</v>
      </c>
      <c r="J4" s="44">
        <f t="shared" ref="J4:J33" si="3">B5*C5</f>
        <v>935616.3926</v>
      </c>
      <c r="K4" s="52">
        <f t="shared" ref="K4:K33" si="4">J4/D4-1</f>
        <v>-0.06438360741</v>
      </c>
      <c r="L4" s="52">
        <f>K4-'HIER Rechnung Ausschütter'!J4</f>
        <v>0.003962602485</v>
      </c>
      <c r="M4" s="51">
        <f>J4-'HIER Rechnung Ausschütter'!I4</f>
        <v>3962.602485</v>
      </c>
      <c r="N4" s="52">
        <f t="shared" ref="N4:N33" si="5">B5/D$1-1</f>
        <v>0.4591620772</v>
      </c>
      <c r="O4" s="52">
        <f t="shared" ref="O4:O33" si="6">U4/F4</f>
        <v>0.03819876549</v>
      </c>
      <c r="P4" s="57">
        <f t="shared" ref="P4:P33" si="7">(B5*C4)-(B4*C4)</f>
        <v>-27224.7955</v>
      </c>
      <c r="Q4" s="57">
        <f t="shared" ref="Q4:Q33" si="8">IF(H4&gt;0, IF(P4&gt;0,D4*H4*0.7,0),0)</f>
        <v>0</v>
      </c>
      <c r="R4" s="71">
        <f t="shared" ref="R4:R33" si="9">IF(P4&gt;0,MIN(P4,Q4),0)</f>
        <v>0</v>
      </c>
      <c r="S4" s="51">
        <f t="shared" ref="S4:S33" si="10">R4*V$1</f>
        <v>0</v>
      </c>
      <c r="T4" s="51">
        <f>R4-AC4</f>
        <v>0</v>
      </c>
      <c r="U4" s="51">
        <f t="shared" ref="U4:U33" si="11">V4+AB4+S4-AE4</f>
        <v>37158.81191</v>
      </c>
      <c r="V4" s="51">
        <f>AA1</f>
        <v>35000</v>
      </c>
      <c r="W4" s="72">
        <f t="shared" ref="W4:W33" si="12">U4/B5</f>
        <v>38198.76549</v>
      </c>
      <c r="X4" s="51">
        <f t="shared" ref="X4:X33" si="13">U4-S4-AB4+AE4</f>
        <v>35000</v>
      </c>
      <c r="Y4" s="50"/>
      <c r="Z4" s="51">
        <f t="shared" ref="Z4:Z33" si="14">W4*D$1+AC4</f>
        <v>25465.85639</v>
      </c>
      <c r="AA4" s="51">
        <f t="shared" ref="AA4:AA33" si="15">U4-Z4</f>
        <v>11692.95552</v>
      </c>
      <c r="AB4" s="51">
        <f t="shared" ref="AB4:AB33" si="16">AA4*V$1</f>
        <v>2158.811913</v>
      </c>
      <c r="AC4" s="73">
        <f t="shared" ref="AC4:AC33" si="17">IF(T3&gt;0,(T3/C4)*W4,0)</f>
        <v>0</v>
      </c>
      <c r="AD4" s="74">
        <f>'HIER Rechnung Ausschütter'!S1</f>
        <v>0</v>
      </c>
      <c r="AE4" s="51">
        <f>IF((R4+U4)&lt;AD4,(R4+U4)*'HIER Rechnung Ausschütter'!O$1,AD4*'HIER Rechnung Ausschütter'!O$1)</f>
        <v>0</v>
      </c>
      <c r="AF4" s="75">
        <f>AG4-'HIER Rechnung Ausschütter'!AM4</f>
        <v>-15024.08525</v>
      </c>
      <c r="AG4" s="51">
        <f t="shared" ref="AG4:AG33" si="18">(AA4+R4)*0.7</f>
        <v>8185.068863</v>
      </c>
      <c r="AH4" s="12"/>
      <c r="AI4" s="12"/>
    </row>
    <row r="5" ht="12.75" customHeight="1">
      <c r="A5" s="11">
        <v>2.0</v>
      </c>
      <c r="B5" s="40">
        <f t="shared" ref="B5:B34" si="19">B4*(1+E4)*(1+G4)</f>
        <v>0.9727752045</v>
      </c>
      <c r="C5" s="41">
        <f t="shared" ref="C5:C34" si="20">C4-W4</f>
        <v>961801.2345</v>
      </c>
      <c r="D5" s="12">
        <f t="shared" ref="D5:D34" si="21">J4</f>
        <v>935616.3926</v>
      </c>
      <c r="E5" s="15">
        <f>'HIER Rechnung Ausschütter'!E5</f>
        <v>0.155909303</v>
      </c>
      <c r="F5" s="12">
        <f t="shared" si="1"/>
        <v>1118010.283</v>
      </c>
      <c r="G5" s="15">
        <f>'HIER Rechnung Ausschütter'!H5</f>
        <v>0.03377069457</v>
      </c>
      <c r="H5" s="52">
        <f t="shared" si="2"/>
        <v>0.08</v>
      </c>
      <c r="I5" s="67">
        <v>0.08</v>
      </c>
      <c r="J5" s="44">
        <f t="shared" si="3"/>
        <v>1066479.466</v>
      </c>
      <c r="K5" s="52">
        <f t="shared" si="4"/>
        <v>0.1398682987</v>
      </c>
      <c r="L5" s="52">
        <f>K5-'HIER Rechnung Ausschütter'!J5</f>
        <v>-0.003247601634</v>
      </c>
      <c r="M5" s="51">
        <f>J5-'HIER Rechnung Ausschütter'!I5</f>
        <v>1491.204581</v>
      </c>
      <c r="N5" s="52">
        <f t="shared" si="5"/>
        <v>0.7436186662</v>
      </c>
      <c r="O5" s="52">
        <f t="shared" si="6"/>
        <v>0.04609154134</v>
      </c>
      <c r="P5" s="57">
        <f t="shared" si="7"/>
        <v>182393.8902</v>
      </c>
      <c r="Q5" s="57">
        <f t="shared" si="8"/>
        <v>52394.51798</v>
      </c>
      <c r="R5" s="71">
        <f t="shared" si="9"/>
        <v>52394.51798</v>
      </c>
      <c r="S5" s="51">
        <f t="shared" si="10"/>
        <v>9673.337883</v>
      </c>
      <c r="T5" s="51">
        <f t="shared" ref="T5:T33" si="22">T4+R5-AC5</f>
        <v>52394.51798</v>
      </c>
      <c r="U5" s="51">
        <f t="shared" si="11"/>
        <v>51530.81716</v>
      </c>
      <c r="V5" s="51">
        <f t="shared" ref="V5:V33" si="23">V4*(1+I5)</f>
        <v>37800</v>
      </c>
      <c r="W5" s="72">
        <f t="shared" si="12"/>
        <v>44330.90136</v>
      </c>
      <c r="X5" s="51">
        <f t="shared" si="13"/>
        <v>37800</v>
      </c>
      <c r="Y5" s="50"/>
      <c r="Z5" s="51">
        <f t="shared" si="14"/>
        <v>29553.94902</v>
      </c>
      <c r="AA5" s="51">
        <f t="shared" si="15"/>
        <v>21976.86815</v>
      </c>
      <c r="AB5" s="51">
        <f t="shared" si="16"/>
        <v>4057.479282</v>
      </c>
      <c r="AC5" s="73">
        <f t="shared" si="17"/>
        <v>0</v>
      </c>
      <c r="AD5" s="74">
        <f t="shared" ref="AD5:AD33" si="24">AD4*(1+I5)</f>
        <v>0</v>
      </c>
      <c r="AE5" s="51">
        <f>IF((R5+U5)&lt;AD5,(R5+U5)*'HIER Rechnung Ausschütter'!O$1,AD5*'HIER Rechnung Ausschütter'!O$1)</f>
        <v>0</v>
      </c>
      <c r="AF5" s="76">
        <f>AG5-'HIER Rechnung Ausschütter'!AM5</f>
        <v>12299.10177</v>
      </c>
      <c r="AG5" s="51">
        <f t="shared" si="18"/>
        <v>52059.97029</v>
      </c>
      <c r="AH5" s="12"/>
      <c r="AI5" s="12"/>
    </row>
    <row r="6" ht="12.75" customHeight="1">
      <c r="A6" s="11">
        <v>3.0</v>
      </c>
      <c r="B6" s="40">
        <f t="shared" si="19"/>
        <v>1.162413025</v>
      </c>
      <c r="C6" s="41">
        <f t="shared" si="20"/>
        <v>917470.3331</v>
      </c>
      <c r="D6" s="12">
        <f t="shared" si="21"/>
        <v>1066479.466</v>
      </c>
      <c r="E6" s="15">
        <f>'HIER Rechnung Ausschütter'!E6</f>
        <v>0.1994990504</v>
      </c>
      <c r="F6" s="12">
        <f t="shared" si="1"/>
        <v>1318368.81</v>
      </c>
      <c r="G6" s="15">
        <f>'HIER Rechnung Ausschütter'!H6</f>
        <v>0.03058665295</v>
      </c>
      <c r="H6" s="52">
        <f t="shared" si="2"/>
        <v>0.079</v>
      </c>
      <c r="I6" s="67">
        <v>0.079</v>
      </c>
      <c r="J6" s="44">
        <f t="shared" si="3"/>
        <v>1261481.383</v>
      </c>
      <c r="K6" s="52">
        <f t="shared" si="4"/>
        <v>0.1828463876</v>
      </c>
      <c r="L6" s="52">
        <f>K6-'HIER Rechnung Ausschütter'!J6</f>
        <v>-0.003701064822</v>
      </c>
      <c r="M6" s="51">
        <f>J6-'HIER Rechnung Ausschütter'!I6</f>
        <v>-2177.724637</v>
      </c>
      <c r="N6" s="52">
        <f t="shared" si="5"/>
        <v>1.155439969</v>
      </c>
      <c r="O6" s="52">
        <f t="shared" si="6"/>
        <v>0.0431498578</v>
      </c>
      <c r="P6" s="57">
        <f t="shared" si="7"/>
        <v>251889.3444</v>
      </c>
      <c r="Q6" s="57">
        <f t="shared" si="8"/>
        <v>58976.31445</v>
      </c>
      <c r="R6" s="71">
        <f t="shared" si="9"/>
        <v>58976.31445</v>
      </c>
      <c r="S6" s="51">
        <f t="shared" si="10"/>
        <v>10888.50206</v>
      </c>
      <c r="T6" s="51">
        <f t="shared" si="22"/>
        <v>109110.0164</v>
      </c>
      <c r="U6" s="51">
        <f t="shared" si="11"/>
        <v>56887.42668</v>
      </c>
      <c r="V6" s="51">
        <f t="shared" si="23"/>
        <v>40786.2</v>
      </c>
      <c r="W6" s="72">
        <f t="shared" si="12"/>
        <v>39588.71441</v>
      </c>
      <c r="X6" s="51">
        <f t="shared" si="13"/>
        <v>40786.2</v>
      </c>
      <c r="Y6" s="50"/>
      <c r="Z6" s="51">
        <f t="shared" si="14"/>
        <v>28653.30547</v>
      </c>
      <c r="AA6" s="51">
        <f t="shared" si="15"/>
        <v>28234.12121</v>
      </c>
      <c r="AB6" s="51">
        <f t="shared" si="16"/>
        <v>5212.724629</v>
      </c>
      <c r="AC6" s="73">
        <f t="shared" si="17"/>
        <v>2260.816001</v>
      </c>
      <c r="AD6" s="74">
        <f t="shared" si="24"/>
        <v>0</v>
      </c>
      <c r="AE6" s="51">
        <f>IF((R6+U6)&lt;AD6,(R6+U6)*'HIER Rechnung Ausschütter'!O$1,AD6*'HIER Rechnung Ausschütter'!O$1)</f>
        <v>0</v>
      </c>
      <c r="AF6" s="77">
        <f>AG6-'HIER Rechnung Ausschütter'!AM6</f>
        <v>15246.00347</v>
      </c>
      <c r="AG6" s="51">
        <f t="shared" si="18"/>
        <v>61047.30496</v>
      </c>
      <c r="AH6" s="12"/>
      <c r="AI6" s="12"/>
    </row>
    <row r="7" ht="12.75" customHeight="1">
      <c r="A7" s="11">
        <v>4.0</v>
      </c>
      <c r="B7" s="40">
        <f t="shared" si="19"/>
        <v>1.436960698</v>
      </c>
      <c r="C7" s="41">
        <f t="shared" si="20"/>
        <v>877881.6187</v>
      </c>
      <c r="D7" s="12">
        <f t="shared" si="21"/>
        <v>1261481.383</v>
      </c>
      <c r="E7" s="15">
        <f>'HIER Rechnung Ausschütter'!E7</f>
        <v>-0.1707779741</v>
      </c>
      <c r="F7" s="12">
        <f t="shared" si="1"/>
        <v>1068916.509</v>
      </c>
      <c r="G7" s="15">
        <f>'HIER Rechnung Ausschütter'!H7</f>
        <v>0.02186167166</v>
      </c>
      <c r="H7" s="52">
        <f t="shared" si="2"/>
        <v>0.093</v>
      </c>
      <c r="I7" s="67">
        <v>0.093</v>
      </c>
      <c r="J7" s="44">
        <f t="shared" si="3"/>
        <v>1021253.736</v>
      </c>
      <c r="K7" s="52">
        <f t="shared" si="4"/>
        <v>-0.1904329709</v>
      </c>
      <c r="L7" s="52">
        <f>K7-'HIER Rechnung Ausschütter'!J7</f>
        <v>0.002250851031</v>
      </c>
      <c r="M7" s="51">
        <f>J7-'HIER Rechnung Ausschütter'!I7</f>
        <v>1081.294341</v>
      </c>
      <c r="N7" s="52">
        <f t="shared" si="5"/>
        <v>0.8264125006</v>
      </c>
      <c r="O7" s="52">
        <f t="shared" si="6"/>
        <v>0.0445898003</v>
      </c>
      <c r="P7" s="57">
        <f t="shared" si="7"/>
        <v>-192564.8739</v>
      </c>
      <c r="Q7" s="57">
        <f t="shared" si="8"/>
        <v>0</v>
      </c>
      <c r="R7" s="71">
        <f t="shared" si="9"/>
        <v>0</v>
      </c>
      <c r="S7" s="51">
        <f t="shared" si="10"/>
        <v>0</v>
      </c>
      <c r="T7" s="51">
        <f t="shared" si="22"/>
        <v>104244.8226</v>
      </c>
      <c r="U7" s="51">
        <f t="shared" si="11"/>
        <v>47662.7737</v>
      </c>
      <c r="V7" s="51">
        <f t="shared" si="23"/>
        <v>44579.3166</v>
      </c>
      <c r="W7" s="72">
        <f t="shared" si="12"/>
        <v>39144.56607</v>
      </c>
      <c r="X7" s="51">
        <f t="shared" si="13"/>
        <v>44579.3166</v>
      </c>
      <c r="Y7" s="50"/>
      <c r="Z7" s="51">
        <f t="shared" si="14"/>
        <v>30961.58427</v>
      </c>
      <c r="AA7" s="51">
        <f t="shared" si="15"/>
        <v>16701.18943</v>
      </c>
      <c r="AB7" s="51">
        <f t="shared" si="16"/>
        <v>3083.457098</v>
      </c>
      <c r="AC7" s="73">
        <f t="shared" si="17"/>
        <v>4865.193844</v>
      </c>
      <c r="AD7" s="74">
        <f t="shared" si="24"/>
        <v>0</v>
      </c>
      <c r="AE7" s="51">
        <f>IF((R7+U7)&lt;AD7,(R7+U7)*'HIER Rechnung Ausschütter'!O$1,AD7*'HIER Rechnung Ausschütter'!O$1)</f>
        <v>0</v>
      </c>
      <c r="AF7" s="78">
        <f>AG7-'HIER Rechnung Ausschütter'!AM7</f>
        <v>-11096.07492</v>
      </c>
      <c r="AG7" s="51">
        <f t="shared" si="18"/>
        <v>11690.8326</v>
      </c>
      <c r="AH7" s="12"/>
      <c r="AI7" s="12"/>
    </row>
    <row r="8" ht="12.75" customHeight="1">
      <c r="A8" s="11">
        <v>5.0</v>
      </c>
      <c r="B8" s="40">
        <f t="shared" si="19"/>
        <v>1.217608943</v>
      </c>
      <c r="C8" s="41">
        <f t="shared" si="20"/>
        <v>838737.0527</v>
      </c>
      <c r="D8" s="12">
        <f t="shared" si="21"/>
        <v>1021253.736</v>
      </c>
      <c r="E8" s="15">
        <f>'HIER Rechnung Ausschütter'!E8</f>
        <v>-0.2783230329</v>
      </c>
      <c r="F8" s="12">
        <f t="shared" si="1"/>
        <v>758016.5301</v>
      </c>
      <c r="G8" s="15">
        <f>'HIER Rechnung Ausschütter'!H8</f>
        <v>0.02849497351</v>
      </c>
      <c r="H8" s="52">
        <f t="shared" si="2"/>
        <v>0.104</v>
      </c>
      <c r="I8" s="67">
        <v>0.104</v>
      </c>
      <c r="J8" s="44">
        <f t="shared" si="3"/>
        <v>707640.0718</v>
      </c>
      <c r="K8" s="52">
        <f t="shared" si="4"/>
        <v>-0.3070869197</v>
      </c>
      <c r="L8" s="52">
        <f>K8-'HIER Rechnung Ausschütter'!J8</f>
        <v>0.003371612818</v>
      </c>
      <c r="M8" s="51">
        <f>J8-'HIER Rechnung Ausschütter'!I8</f>
        <v>4188.869473</v>
      </c>
      <c r="N8" s="52">
        <f t="shared" si="5"/>
        <v>0.355638484</v>
      </c>
      <c r="O8" s="52">
        <f t="shared" si="6"/>
        <v>0.06645825813</v>
      </c>
      <c r="P8" s="57">
        <f t="shared" si="7"/>
        <v>-263237.2057</v>
      </c>
      <c r="Q8" s="57">
        <f t="shared" si="8"/>
        <v>0</v>
      </c>
      <c r="R8" s="71">
        <f t="shared" si="9"/>
        <v>0</v>
      </c>
      <c r="S8" s="51">
        <f t="shared" si="10"/>
        <v>0</v>
      </c>
      <c r="T8" s="51">
        <f t="shared" si="22"/>
        <v>97316.89326</v>
      </c>
      <c r="U8" s="51">
        <f t="shared" si="11"/>
        <v>50376.45822</v>
      </c>
      <c r="V8" s="51">
        <f t="shared" si="23"/>
        <v>49215.56553</v>
      </c>
      <c r="W8" s="72">
        <f t="shared" si="12"/>
        <v>55741.00355</v>
      </c>
      <c r="X8" s="51">
        <f t="shared" si="13"/>
        <v>49215.56553</v>
      </c>
      <c r="Y8" s="50"/>
      <c r="Z8" s="51">
        <f t="shared" si="14"/>
        <v>44088.61694</v>
      </c>
      <c r="AA8" s="51">
        <f t="shared" si="15"/>
        <v>6287.84128</v>
      </c>
      <c r="AB8" s="51">
        <f t="shared" si="16"/>
        <v>1160.892696</v>
      </c>
      <c r="AC8" s="73">
        <f t="shared" si="17"/>
        <v>6927.929328</v>
      </c>
      <c r="AD8" s="74">
        <f t="shared" si="24"/>
        <v>0</v>
      </c>
      <c r="AE8" s="51">
        <f>IF((R8+U8)&lt;AD8,(R8+U8)*'HIER Rechnung Ausschütter'!O$1,AD8*'HIER Rechnung Ausschütter'!O$1)</f>
        <v>0</v>
      </c>
      <c r="AF8" s="79">
        <f>AG8-'HIER Rechnung Ausschütter'!AM8</f>
        <v>-12839.00788</v>
      </c>
      <c r="AG8" s="51">
        <f t="shared" si="18"/>
        <v>4401.488896</v>
      </c>
      <c r="AH8" s="12"/>
      <c r="AI8" s="12"/>
    </row>
    <row r="9" ht="12.75" customHeight="1">
      <c r="A9" s="11">
        <v>6.0</v>
      </c>
      <c r="B9" s="40">
        <f t="shared" si="19"/>
        <v>0.9037594412</v>
      </c>
      <c r="C9" s="41">
        <f t="shared" si="20"/>
        <v>782996.0491</v>
      </c>
      <c r="D9" s="12">
        <f t="shared" si="21"/>
        <v>707640.0718</v>
      </c>
      <c r="E9" s="15">
        <f>'HIER Rechnung Ausschütter'!E9</f>
        <v>0.2891982055</v>
      </c>
      <c r="F9" s="12">
        <f t="shared" si="1"/>
        <v>955526.523</v>
      </c>
      <c r="G9" s="15">
        <f>'HIER Rechnung Ausschütter'!H9</f>
        <v>0.04739533735</v>
      </c>
      <c r="H9" s="52">
        <f t="shared" si="2"/>
        <v>0.087</v>
      </c>
      <c r="I9" s="67">
        <v>0.087</v>
      </c>
      <c r="J9" s="44">
        <f t="shared" si="3"/>
        <v>889803.2032</v>
      </c>
      <c r="K9" s="52">
        <f t="shared" si="4"/>
        <v>0.2574234256</v>
      </c>
      <c r="L9" s="52">
        <f>K9-'HIER Rechnung Ausschütter'!J9</f>
        <v>-0.003996560997</v>
      </c>
      <c r="M9" s="51">
        <f>J9-'HIER Rechnung Ausschütter'!I9</f>
        <v>2455.796963</v>
      </c>
      <c r="N9" s="52">
        <f t="shared" si="5"/>
        <v>0.8305189016</v>
      </c>
      <c r="O9" s="52">
        <f t="shared" si="6"/>
        <v>0.06878230818</v>
      </c>
      <c r="P9" s="57">
        <f t="shared" si="7"/>
        <v>247886.4511</v>
      </c>
      <c r="Q9" s="57">
        <f t="shared" si="8"/>
        <v>43095.28038</v>
      </c>
      <c r="R9" s="71">
        <f t="shared" si="9"/>
        <v>43095.28038</v>
      </c>
      <c r="S9" s="51">
        <f t="shared" si="10"/>
        <v>7956.466139</v>
      </c>
      <c r="T9" s="51">
        <f t="shared" si="22"/>
        <v>133718.4931</v>
      </c>
      <c r="U9" s="51">
        <f t="shared" si="11"/>
        <v>65723.31978</v>
      </c>
      <c r="V9" s="51">
        <f t="shared" si="23"/>
        <v>53497.31973</v>
      </c>
      <c r="W9" s="72">
        <f t="shared" si="12"/>
        <v>53856.27556</v>
      </c>
      <c r="X9" s="51">
        <f t="shared" si="13"/>
        <v>53497.31973</v>
      </c>
      <c r="Y9" s="50"/>
      <c r="Z9" s="51">
        <f t="shared" si="14"/>
        <v>42597.8822</v>
      </c>
      <c r="AA9" s="51">
        <f t="shared" si="15"/>
        <v>23125.43758</v>
      </c>
      <c r="AB9" s="51">
        <f t="shared" si="16"/>
        <v>4269.533913</v>
      </c>
      <c r="AC9" s="73">
        <f t="shared" si="17"/>
        <v>6693.680544</v>
      </c>
      <c r="AD9" s="74">
        <f t="shared" si="24"/>
        <v>0</v>
      </c>
      <c r="AE9" s="51">
        <f>IF((R9+U9)&lt;AD9,(R9+U9)*'HIER Rechnung Ausschütter'!O$1,AD9*'HIER Rechnung Ausschütter'!O$1)</f>
        <v>0</v>
      </c>
      <c r="AF9" s="80">
        <f>AG9-'HIER Rechnung Ausschütter'!AM9</f>
        <v>12134.34798</v>
      </c>
      <c r="AG9" s="51">
        <f t="shared" si="18"/>
        <v>46354.50257</v>
      </c>
      <c r="AH9" s="12"/>
      <c r="AI9" s="12"/>
    </row>
    <row r="10" ht="12.75" customHeight="1">
      <c r="A10" s="11">
        <v>7.0</v>
      </c>
      <c r="B10" s="40">
        <f t="shared" si="19"/>
        <v>1.220346545</v>
      </c>
      <c r="C10" s="41">
        <f t="shared" si="20"/>
        <v>729139.7736</v>
      </c>
      <c r="D10" s="12">
        <f t="shared" si="21"/>
        <v>889803.2032</v>
      </c>
      <c r="E10" s="15">
        <f>'HIER Rechnung Ausschütter'!E10</f>
        <v>0.1031002449</v>
      </c>
      <c r="F10" s="12">
        <f t="shared" si="1"/>
        <v>1018257.063</v>
      </c>
      <c r="G10" s="15">
        <f>'HIER Rechnung Ausschütter'!H10</f>
        <v>0.03740535431</v>
      </c>
      <c r="H10" s="52">
        <f t="shared" si="2"/>
        <v>0.08</v>
      </c>
      <c r="I10" s="67">
        <v>0.08</v>
      </c>
      <c r="J10" s="44">
        <f t="shared" si="3"/>
        <v>946064.8282</v>
      </c>
      <c r="K10" s="52">
        <f t="shared" si="4"/>
        <v>0.06322929021</v>
      </c>
      <c r="L10" s="52">
        <f>K10-'HIER Rechnung Ausschütter'!J10</f>
        <v>-0.003219156226</v>
      </c>
      <c r="M10" s="51">
        <f>J10-'HIER Rechnung Ausschütter'!I10</f>
        <v>-245.4346661</v>
      </c>
      <c r="N10" s="52">
        <f t="shared" si="5"/>
        <v>1.094776455</v>
      </c>
      <c r="O10" s="52">
        <f t="shared" si="6"/>
        <v>0.07089784794</v>
      </c>
      <c r="P10" s="57">
        <f t="shared" si="7"/>
        <v>128453.8593</v>
      </c>
      <c r="Q10" s="57">
        <f t="shared" si="8"/>
        <v>49828.97938</v>
      </c>
      <c r="R10" s="71">
        <f t="shared" si="9"/>
        <v>49828.97938</v>
      </c>
      <c r="S10" s="51">
        <f t="shared" si="10"/>
        <v>9199.675318</v>
      </c>
      <c r="T10" s="51">
        <f t="shared" si="22"/>
        <v>174067.1191</v>
      </c>
      <c r="U10" s="51">
        <f t="shared" si="11"/>
        <v>72192.23438</v>
      </c>
      <c r="V10" s="51">
        <f t="shared" si="23"/>
        <v>57777.10531</v>
      </c>
      <c r="W10" s="72">
        <f t="shared" si="12"/>
        <v>51694.44079</v>
      </c>
      <c r="X10" s="51">
        <f t="shared" si="13"/>
        <v>57777.10531</v>
      </c>
      <c r="Y10" s="50"/>
      <c r="Z10" s="51">
        <f t="shared" si="14"/>
        <v>43943.33115</v>
      </c>
      <c r="AA10" s="51">
        <f t="shared" si="15"/>
        <v>28248.90323</v>
      </c>
      <c r="AB10" s="51">
        <f t="shared" si="16"/>
        <v>5215.453759</v>
      </c>
      <c r="AC10" s="73">
        <f t="shared" si="17"/>
        <v>9480.35339</v>
      </c>
      <c r="AD10" s="74">
        <f t="shared" si="24"/>
        <v>0</v>
      </c>
      <c r="AE10" s="51">
        <f>IF((R10+U10)&lt;AD10,(R10+U10)*'HIER Rechnung Ausschütter'!O$1,AD10*'HIER Rechnung Ausschütter'!O$1)</f>
        <v>0</v>
      </c>
      <c r="AF10" s="81">
        <f>AG10-'HIER Rechnung Ausschütter'!AM10</f>
        <v>11585.80335</v>
      </c>
      <c r="AG10" s="51">
        <f t="shared" si="18"/>
        <v>54654.51783</v>
      </c>
      <c r="AH10" s="12"/>
      <c r="AI10" s="12"/>
    </row>
    <row r="11" ht="12.75" customHeight="1">
      <c r="A11" s="11">
        <v>8.0</v>
      </c>
      <c r="B11" s="40">
        <f t="shared" si="19"/>
        <v>1.396518335</v>
      </c>
      <c r="C11" s="41">
        <f t="shared" si="20"/>
        <v>677445.3328</v>
      </c>
      <c r="D11" s="12">
        <f t="shared" si="21"/>
        <v>946064.8282</v>
      </c>
      <c r="E11" s="15">
        <f>'HIER Rechnung Ausschütter'!E11</f>
        <v>-0.02463554493</v>
      </c>
      <c r="F11" s="12">
        <f t="shared" si="1"/>
        <v>957780.9103</v>
      </c>
      <c r="G11" s="15">
        <f>'HIER Rechnung Ausschütter'!H11</f>
        <v>0.0379545932</v>
      </c>
      <c r="H11" s="52">
        <f t="shared" si="2"/>
        <v>0.065</v>
      </c>
      <c r="I11" s="67">
        <v>0.065</v>
      </c>
      <c r="J11" s="44">
        <f t="shared" si="3"/>
        <v>889728.9701</v>
      </c>
      <c r="K11" s="52">
        <f t="shared" si="4"/>
        <v>-0.05954756627</v>
      </c>
      <c r="L11" s="52">
        <f>K11-'HIER Rechnung Ausschütter'!J11</f>
        <v>0.002213023182</v>
      </c>
      <c r="M11" s="51">
        <f>J11-'HIER Rechnung Ausschütter'!I11</f>
        <v>1863.38692</v>
      </c>
      <c r="N11" s="52">
        <f t="shared" si="5"/>
        <v>1.120718201</v>
      </c>
      <c r="O11" s="52">
        <f t="shared" si="6"/>
        <v>0.07105167734</v>
      </c>
      <c r="P11" s="57">
        <f t="shared" si="7"/>
        <v>11716.08214</v>
      </c>
      <c r="Q11" s="57">
        <f t="shared" si="8"/>
        <v>43045.94968</v>
      </c>
      <c r="R11" s="71">
        <f t="shared" si="9"/>
        <v>11716.08214</v>
      </c>
      <c r="S11" s="51">
        <f t="shared" si="10"/>
        <v>2163.081666</v>
      </c>
      <c r="T11" s="51">
        <f t="shared" si="22"/>
        <v>173415.4404</v>
      </c>
      <c r="U11" s="51">
        <f t="shared" si="11"/>
        <v>68051.9402</v>
      </c>
      <c r="V11" s="51">
        <f t="shared" si="23"/>
        <v>61532.61715</v>
      </c>
      <c r="W11" s="72">
        <f t="shared" si="12"/>
        <v>48133.6272</v>
      </c>
      <c r="X11" s="51">
        <f t="shared" si="13"/>
        <v>61532.61715</v>
      </c>
      <c r="Y11" s="50"/>
      <c r="Z11" s="51">
        <f t="shared" si="14"/>
        <v>44456.86162</v>
      </c>
      <c r="AA11" s="51">
        <f t="shared" si="15"/>
        <v>23595.07858</v>
      </c>
      <c r="AB11" s="51">
        <f t="shared" si="16"/>
        <v>4356.241382</v>
      </c>
      <c r="AC11" s="73">
        <f t="shared" si="17"/>
        <v>12367.76078</v>
      </c>
      <c r="AD11" s="74">
        <f t="shared" si="24"/>
        <v>0</v>
      </c>
      <c r="AE11" s="51">
        <f>IF((R11+U11)&lt;AD11,(R11+U11)*'HIER Rechnung Ausschütter'!O$1,AD11*'HIER Rechnung Ausschütter'!O$1)</f>
        <v>0</v>
      </c>
      <c r="AF11" s="82">
        <f>AG11-'HIER Rechnung Ausschütter'!AM11</f>
        <v>-8007.056141</v>
      </c>
      <c r="AG11" s="51">
        <f t="shared" si="18"/>
        <v>24717.8125</v>
      </c>
      <c r="AH11" s="12"/>
      <c r="AI11" s="12"/>
    </row>
    <row r="12" ht="12.75" customHeight="1">
      <c r="A12" s="11">
        <v>9.0</v>
      </c>
      <c r="B12" s="40">
        <f t="shared" si="19"/>
        <v>1.413812841</v>
      </c>
      <c r="C12" s="41">
        <f t="shared" si="20"/>
        <v>629311.7056</v>
      </c>
      <c r="D12" s="12">
        <f t="shared" si="21"/>
        <v>889728.9701</v>
      </c>
      <c r="E12" s="15">
        <f>'HIER Rechnung Ausschütter'!E12</f>
        <v>0.1267865206</v>
      </c>
      <c r="F12" s="12">
        <f t="shared" si="1"/>
        <v>1049724.445</v>
      </c>
      <c r="G12" s="15">
        <f>'HIER Rechnung Ausschütter'!H12</f>
        <v>0.04707052898</v>
      </c>
      <c r="H12" s="52">
        <f t="shared" si="2"/>
        <v>0.061</v>
      </c>
      <c r="I12" s="67">
        <v>0.061</v>
      </c>
      <c r="J12" s="44">
        <f t="shared" si="3"/>
        <v>971108.4733</v>
      </c>
      <c r="K12" s="52">
        <f t="shared" si="4"/>
        <v>0.09146549783</v>
      </c>
      <c r="L12" s="52">
        <f>K12-'HIER Rechnung Ausschütter'!J12</f>
        <v>-0.002602294795</v>
      </c>
      <c r="M12" s="51">
        <f>J12-'HIER Rechnung Ausschütter'!I12</f>
        <v>-276.6654537</v>
      </c>
      <c r="N12" s="52">
        <f t="shared" si="5"/>
        <v>1.502076262</v>
      </c>
      <c r="O12" s="52">
        <f t="shared" si="6"/>
        <v>0.0748920081</v>
      </c>
      <c r="P12" s="57">
        <f t="shared" si="7"/>
        <v>159995.4748</v>
      </c>
      <c r="Q12" s="57">
        <f t="shared" si="8"/>
        <v>37991.42702</v>
      </c>
      <c r="R12" s="71">
        <f t="shared" si="9"/>
        <v>37991.42702</v>
      </c>
      <c r="S12" s="51">
        <f t="shared" si="10"/>
        <v>7014.167214</v>
      </c>
      <c r="T12" s="51">
        <f t="shared" si="22"/>
        <v>198419.4369</v>
      </c>
      <c r="U12" s="51">
        <f t="shared" si="11"/>
        <v>78615.97163</v>
      </c>
      <c r="V12" s="51">
        <f t="shared" si="23"/>
        <v>65286.1068</v>
      </c>
      <c r="W12" s="72">
        <f t="shared" si="12"/>
        <v>47130.41735</v>
      </c>
      <c r="X12" s="51">
        <f t="shared" si="13"/>
        <v>65286.1068</v>
      </c>
      <c r="Y12" s="50"/>
      <c r="Z12" s="51">
        <f t="shared" si="14"/>
        <v>44407.72452</v>
      </c>
      <c r="AA12" s="51">
        <f t="shared" si="15"/>
        <v>34208.24712</v>
      </c>
      <c r="AB12" s="51">
        <f t="shared" si="16"/>
        <v>6315.697624</v>
      </c>
      <c r="AC12" s="73">
        <f t="shared" si="17"/>
        <v>12987.43057</v>
      </c>
      <c r="AD12" s="74">
        <f t="shared" si="24"/>
        <v>0</v>
      </c>
      <c r="AE12" s="51">
        <f>IF((R12+U12)&lt;AD12,(R12+U12)*'HIER Rechnung Ausschütter'!O$1,AD12*'HIER Rechnung Ausschütter'!O$1)</f>
        <v>0</v>
      </c>
      <c r="AF12" s="83">
        <f>AG12-'HIER Rechnung Ausschütter'!AM12</f>
        <v>9384.401303</v>
      </c>
      <c r="AG12" s="51">
        <f t="shared" si="18"/>
        <v>50539.7719</v>
      </c>
      <c r="AH12" s="12"/>
      <c r="AI12" s="12"/>
    </row>
    <row r="13" ht="12.75" customHeight="1">
      <c r="A13" s="11">
        <v>10.0</v>
      </c>
      <c r="B13" s="40">
        <f t="shared" si="19"/>
        <v>1.668051676</v>
      </c>
      <c r="C13" s="41">
        <f t="shared" si="20"/>
        <v>582181.2882</v>
      </c>
      <c r="D13" s="12">
        <f t="shared" si="21"/>
        <v>971108.4733</v>
      </c>
      <c r="E13" s="15">
        <f>'HIER Rechnung Ausschütter'!E13</f>
        <v>0.07213771672</v>
      </c>
      <c r="F13" s="12">
        <f t="shared" si="1"/>
        <v>1089449.461</v>
      </c>
      <c r="G13" s="15">
        <f>'HIER Rechnung Ausschütter'!H13</f>
        <v>0.04637841097</v>
      </c>
      <c r="H13" s="52">
        <f t="shared" si="2"/>
        <v>0.076</v>
      </c>
      <c r="I13" s="67">
        <v>0.076</v>
      </c>
      <c r="J13" s="44">
        <f t="shared" si="3"/>
        <v>1002229.953</v>
      </c>
      <c r="K13" s="52">
        <f t="shared" si="4"/>
        <v>0.03204737702</v>
      </c>
      <c r="L13" s="52">
        <f>K13-'HIER Rechnung Ausschütter'!J13</f>
        <v>-0.004810000438</v>
      </c>
      <c r="M13" s="51">
        <f>J13-'HIER Rechnung Ausschütter'!I13</f>
        <v>-4957.894799</v>
      </c>
      <c r="N13" s="52">
        <f t="shared" si="5"/>
        <v>1.80698368</v>
      </c>
      <c r="O13" s="52">
        <f t="shared" si="6"/>
        <v>0.08005833384</v>
      </c>
      <c r="P13" s="57">
        <f t="shared" si="7"/>
        <v>118340.988</v>
      </c>
      <c r="Q13" s="57">
        <f t="shared" si="8"/>
        <v>51662.97078</v>
      </c>
      <c r="R13" s="71">
        <f t="shared" si="9"/>
        <v>51662.97078</v>
      </c>
      <c r="S13" s="51">
        <f t="shared" si="10"/>
        <v>9538.27598</v>
      </c>
      <c r="T13" s="51">
        <f t="shared" si="22"/>
        <v>234197.2782</v>
      </c>
      <c r="U13" s="51">
        <f t="shared" si="11"/>
        <v>87219.50867</v>
      </c>
      <c r="V13" s="51">
        <f t="shared" si="23"/>
        <v>70247.85091</v>
      </c>
      <c r="W13" s="72">
        <f t="shared" si="12"/>
        <v>46608.46393</v>
      </c>
      <c r="X13" s="51">
        <f t="shared" si="13"/>
        <v>70247.85091</v>
      </c>
      <c r="Y13" s="50"/>
      <c r="Z13" s="51">
        <f t="shared" si="14"/>
        <v>46957.45434</v>
      </c>
      <c r="AA13" s="51">
        <f t="shared" si="15"/>
        <v>40262.05434</v>
      </c>
      <c r="AB13" s="51">
        <f t="shared" si="16"/>
        <v>7433.381782</v>
      </c>
      <c r="AC13" s="73">
        <f t="shared" si="17"/>
        <v>15885.12952</v>
      </c>
      <c r="AD13" s="74">
        <f t="shared" si="24"/>
        <v>0</v>
      </c>
      <c r="AE13" s="51">
        <f>IF((R13+U13)&lt;AD13,(R13+U13)*'HIER Rechnung Ausschütter'!O$1,AD13*'HIER Rechnung Ausschütter'!O$1)</f>
        <v>0</v>
      </c>
      <c r="AF13" s="84">
        <f>AG13-'HIER Rechnung Ausschütter'!AM13</f>
        <v>17620.90769</v>
      </c>
      <c r="AG13" s="51">
        <f t="shared" si="18"/>
        <v>64347.51758</v>
      </c>
      <c r="AH13" s="12"/>
      <c r="AI13" s="12"/>
    </row>
    <row r="14" ht="12.75" customHeight="1">
      <c r="A14" s="11">
        <v>11.0</v>
      </c>
      <c r="B14" s="40">
        <f t="shared" si="19"/>
        <v>1.871323389</v>
      </c>
      <c r="C14" s="41">
        <f t="shared" si="20"/>
        <v>535572.8243</v>
      </c>
      <c r="D14" s="12">
        <f t="shared" si="21"/>
        <v>1002229.953</v>
      </c>
      <c r="E14" s="15">
        <f>'HIER Rechnung Ausschütter'!E14</f>
        <v>0.2145445115</v>
      </c>
      <c r="F14" s="12">
        <f t="shared" si="1"/>
        <v>1282095.836</v>
      </c>
      <c r="G14" s="15">
        <f>'HIER Rechnung Ausschütter'!H14</f>
        <v>0.05326990641</v>
      </c>
      <c r="H14" s="52">
        <f t="shared" si="2"/>
        <v>0.084</v>
      </c>
      <c r="I14" s="67">
        <v>0.084</v>
      </c>
      <c r="J14" s="44">
        <f t="shared" si="3"/>
        <v>1185452.535</v>
      </c>
      <c r="K14" s="52">
        <f t="shared" si="4"/>
        <v>0.1828149141</v>
      </c>
      <c r="L14" s="52">
        <f>K14-'HIER Rechnung Ausschütter'!J14</f>
        <v>-0.006420976981</v>
      </c>
      <c r="M14" s="51">
        <f>J14-'HIER Rechnung Ausschütter'!I14</f>
        <v>-12331.40189</v>
      </c>
      <c r="N14" s="52">
        <f t="shared" si="5"/>
        <v>2.59081474</v>
      </c>
      <c r="O14" s="52">
        <f t="shared" si="6"/>
        <v>0.07537915472</v>
      </c>
      <c r="P14" s="57">
        <f t="shared" si="7"/>
        <v>279865.883</v>
      </c>
      <c r="Q14" s="57">
        <f t="shared" si="8"/>
        <v>58931.12122</v>
      </c>
      <c r="R14" s="71">
        <f t="shared" si="9"/>
        <v>58931.12122</v>
      </c>
      <c r="S14" s="51">
        <f t="shared" si="10"/>
        <v>10880.15825</v>
      </c>
      <c r="T14" s="51">
        <f t="shared" si="22"/>
        <v>275474.8065</v>
      </c>
      <c r="U14" s="51">
        <f t="shared" si="11"/>
        <v>96643.30036</v>
      </c>
      <c r="V14" s="51">
        <f t="shared" si="23"/>
        <v>76148.67039</v>
      </c>
      <c r="W14" s="72">
        <f t="shared" si="12"/>
        <v>40371.02678</v>
      </c>
      <c r="X14" s="51">
        <f t="shared" si="13"/>
        <v>76148.67039</v>
      </c>
      <c r="Y14" s="50"/>
      <c r="Z14" s="51">
        <f t="shared" si="14"/>
        <v>44567.62418</v>
      </c>
      <c r="AA14" s="51">
        <f t="shared" si="15"/>
        <v>52075.67618</v>
      </c>
      <c r="AB14" s="51">
        <f t="shared" si="16"/>
        <v>9614.471715</v>
      </c>
      <c r="AC14" s="73">
        <f t="shared" si="17"/>
        <v>17653.59286</v>
      </c>
      <c r="AD14" s="74">
        <f t="shared" si="24"/>
        <v>0</v>
      </c>
      <c r="AE14" s="51">
        <f>IF((R14+U14)&lt;AD14,(R14+U14)*'HIER Rechnung Ausschütter'!O$1,AD14*'HIER Rechnung Ausschütter'!O$1)</f>
        <v>0</v>
      </c>
      <c r="AF14" s="85">
        <f>AG14-'HIER Rechnung Ausschütter'!AM14</f>
        <v>22707.2939</v>
      </c>
      <c r="AG14" s="51">
        <f t="shared" si="18"/>
        <v>77704.75818</v>
      </c>
      <c r="AH14" s="12"/>
      <c r="AI14" s="12"/>
    </row>
    <row r="15" ht="12.75" customHeight="1">
      <c r="A15" s="11">
        <v>12.0</v>
      </c>
      <c r="B15" s="40">
        <f t="shared" si="19"/>
        <v>2.39387769</v>
      </c>
      <c r="C15" s="41">
        <f t="shared" si="20"/>
        <v>495201.7975</v>
      </c>
      <c r="D15" s="12">
        <f t="shared" si="21"/>
        <v>1185452.535</v>
      </c>
      <c r="E15" s="15">
        <f>'HIER Rechnung Ausschütter'!E15</f>
        <v>-0.07918205341</v>
      </c>
      <c r="F15" s="12">
        <f t="shared" si="1"/>
        <v>1134390.954</v>
      </c>
      <c r="G15" s="15">
        <f>'HIER Rechnung Ausschütter'!H15</f>
        <v>0.0392135715</v>
      </c>
      <c r="H15" s="52">
        <f t="shared" si="2"/>
        <v>0.101</v>
      </c>
      <c r="I15" s="67">
        <v>0.101</v>
      </c>
      <c r="J15" s="44">
        <f t="shared" si="3"/>
        <v>1042656.558</v>
      </c>
      <c r="K15" s="52">
        <f t="shared" si="4"/>
        <v>-0.1204569337</v>
      </c>
      <c r="L15" s="52">
        <f>K15-'HIER Rechnung Ausschütter'!J15</f>
        <v>0.003317317303</v>
      </c>
      <c r="M15" s="51">
        <f>J15-'HIER Rechnung Ausschütter'!I15</f>
        <v>-6872.569654</v>
      </c>
      <c r="N15" s="52">
        <f t="shared" si="5"/>
        <v>2.436145807</v>
      </c>
      <c r="O15" s="52">
        <f t="shared" si="6"/>
        <v>0.08086664972</v>
      </c>
      <c r="P15" s="57">
        <f t="shared" si="7"/>
        <v>-51061.58151</v>
      </c>
      <c r="Q15" s="57">
        <f t="shared" si="8"/>
        <v>0</v>
      </c>
      <c r="R15" s="71">
        <f t="shared" si="9"/>
        <v>0</v>
      </c>
      <c r="S15" s="51">
        <f t="shared" si="10"/>
        <v>0</v>
      </c>
      <c r="T15" s="51">
        <f t="shared" si="22"/>
        <v>253198.0818</v>
      </c>
      <c r="U15" s="51">
        <f t="shared" si="11"/>
        <v>91734.39591</v>
      </c>
      <c r="V15" s="51">
        <f t="shared" si="23"/>
        <v>83839.6861</v>
      </c>
      <c r="W15" s="72">
        <f t="shared" si="12"/>
        <v>40045.3103</v>
      </c>
      <c r="X15" s="51">
        <f t="shared" si="13"/>
        <v>83839.6861</v>
      </c>
      <c r="Y15" s="50"/>
      <c r="Z15" s="51">
        <f t="shared" si="14"/>
        <v>48973.61157</v>
      </c>
      <c r="AA15" s="51">
        <f t="shared" si="15"/>
        <v>42760.78434</v>
      </c>
      <c r="AB15" s="51">
        <f t="shared" si="16"/>
        <v>7894.709809</v>
      </c>
      <c r="AC15" s="73">
        <f t="shared" si="17"/>
        <v>22276.72468</v>
      </c>
      <c r="AD15" s="74">
        <f t="shared" si="24"/>
        <v>0</v>
      </c>
      <c r="AE15" s="51">
        <f>IF((R15+U15)&lt;AD15,(R15+U15)*'HIER Rechnung Ausschütter'!O$1,AD15*'HIER Rechnung Ausschütter'!O$1)</f>
        <v>0</v>
      </c>
      <c r="AF15" s="86">
        <f>AG15-'HIER Rechnung Ausschütter'!AM15</f>
        <v>-18683.13057</v>
      </c>
      <c r="AG15" s="51">
        <f t="shared" si="18"/>
        <v>29932.54904</v>
      </c>
      <c r="AH15" s="12"/>
      <c r="AI15" s="12"/>
    </row>
    <row r="16" ht="12.75" customHeight="1">
      <c r="A16" s="11">
        <v>13.0</v>
      </c>
      <c r="B16" s="40">
        <f t="shared" si="19"/>
        <v>2.290765016</v>
      </c>
      <c r="C16" s="41">
        <f t="shared" si="20"/>
        <v>455156.4872</v>
      </c>
      <c r="D16" s="12">
        <f t="shared" si="21"/>
        <v>1042656.558</v>
      </c>
      <c r="E16" s="15">
        <f>'HIER Rechnung Ausschütter'!E16</f>
        <v>0.05821852408</v>
      </c>
      <c r="F16" s="12">
        <f t="shared" si="1"/>
        <v>1154476.769</v>
      </c>
      <c r="G16" s="15">
        <f>'HIER Rechnung Ausschütter'!H16</f>
        <v>0.04632971582</v>
      </c>
      <c r="H16" s="52">
        <f t="shared" si="2"/>
        <v>0.089</v>
      </c>
      <c r="I16" s="67">
        <v>0.089</v>
      </c>
      <c r="J16" s="44">
        <f t="shared" si="3"/>
        <v>1040262.895</v>
      </c>
      <c r="K16" s="52">
        <f t="shared" si="4"/>
        <v>-0.002295734848</v>
      </c>
      <c r="L16" s="52">
        <f>K16-'HIER Rechnung Ausschütter'!J16</f>
        <v>-0.006660957095</v>
      </c>
      <c r="M16" s="51">
        <f>J16-'HIER Rechnung Ausschütter'!I16</f>
        <v>-13847.66055</v>
      </c>
      <c r="N16" s="52">
        <f t="shared" si="5"/>
        <v>2.804656939</v>
      </c>
      <c r="O16" s="52">
        <f t="shared" si="6"/>
        <v>0.09893128818</v>
      </c>
      <c r="P16" s="57">
        <f t="shared" si="7"/>
        <v>111820.2109</v>
      </c>
      <c r="Q16" s="57">
        <f t="shared" si="8"/>
        <v>64957.50356</v>
      </c>
      <c r="R16" s="71">
        <f t="shared" si="9"/>
        <v>64957.50356</v>
      </c>
      <c r="S16" s="51">
        <f t="shared" si="10"/>
        <v>11992.77909</v>
      </c>
      <c r="T16" s="51">
        <f t="shared" si="22"/>
        <v>293106.373</v>
      </c>
      <c r="U16" s="51">
        <f t="shared" si="11"/>
        <v>114213.8739</v>
      </c>
      <c r="V16" s="51">
        <f t="shared" si="23"/>
        <v>91301.41816</v>
      </c>
      <c r="W16" s="72">
        <f t="shared" si="12"/>
        <v>45029.2176</v>
      </c>
      <c r="X16" s="51">
        <f t="shared" si="13"/>
        <v>91301.41816</v>
      </c>
      <c r="Y16" s="50"/>
      <c r="Z16" s="51">
        <f t="shared" si="14"/>
        <v>55068.70581</v>
      </c>
      <c r="AA16" s="51">
        <f t="shared" si="15"/>
        <v>59145.1681</v>
      </c>
      <c r="AB16" s="51">
        <f t="shared" si="16"/>
        <v>10919.67666</v>
      </c>
      <c r="AC16" s="73">
        <f t="shared" si="17"/>
        <v>25049.2124</v>
      </c>
      <c r="AD16" s="74">
        <f t="shared" si="24"/>
        <v>0</v>
      </c>
      <c r="AE16" s="51">
        <f>IF((R16+U16)&lt;AD16,(R16+U16)*'HIER Rechnung Ausschütter'!O$1,AD16*'HIER Rechnung Ausschütter'!O$1)</f>
        <v>0</v>
      </c>
      <c r="AF16" s="87">
        <f>AG16-'HIER Rechnung Ausschütter'!AM16</f>
        <v>23651.33199</v>
      </c>
      <c r="AG16" s="51">
        <f t="shared" si="18"/>
        <v>86871.87016</v>
      </c>
      <c r="AH16" s="12"/>
      <c r="AI16" s="12"/>
    </row>
    <row r="17" ht="12.75" customHeight="1">
      <c r="A17" s="11">
        <v>14.0</v>
      </c>
      <c r="B17" s="40">
        <f t="shared" si="19"/>
        <v>2.536439228</v>
      </c>
      <c r="C17" s="41">
        <f t="shared" si="20"/>
        <v>410127.2696</v>
      </c>
      <c r="D17" s="12">
        <f t="shared" si="21"/>
        <v>1040262.895</v>
      </c>
      <c r="E17" s="15">
        <f>'HIER Rechnung Ausschütter'!E17</f>
        <v>0.1855938539</v>
      </c>
      <c r="F17" s="12">
        <f t="shared" si="1"/>
        <v>1282814.24</v>
      </c>
      <c r="G17" s="15">
        <f>'HIER Rechnung Ausschütter'!H17</f>
        <v>0.04012306</v>
      </c>
      <c r="H17" s="52">
        <f t="shared" si="2"/>
        <v>0.081</v>
      </c>
      <c r="I17" s="67">
        <v>0.081</v>
      </c>
      <c r="J17" s="44">
        <f t="shared" si="3"/>
        <v>1160631.95</v>
      </c>
      <c r="K17" s="52">
        <f t="shared" si="4"/>
        <v>0.1157102265</v>
      </c>
      <c r="L17" s="52">
        <f>K17-'HIER Rechnung Ausschütter'!J17</f>
        <v>-0.006686474757</v>
      </c>
      <c r="M17" s="51">
        <f>J17-'HIER Rechnung Ausschütter'!I17</f>
        <v>-22498.2601</v>
      </c>
      <c r="N17" s="52">
        <f t="shared" si="5"/>
        <v>3.691764095</v>
      </c>
      <c r="O17" s="52">
        <f t="shared" si="6"/>
        <v>0.09524550483</v>
      </c>
      <c r="P17" s="57">
        <f t="shared" si="7"/>
        <v>242551.3451</v>
      </c>
      <c r="Q17" s="57">
        <f t="shared" si="8"/>
        <v>58982.90614</v>
      </c>
      <c r="R17" s="71">
        <f t="shared" si="9"/>
        <v>58982.90614</v>
      </c>
      <c r="S17" s="51">
        <f t="shared" si="10"/>
        <v>10889.71905</v>
      </c>
      <c r="T17" s="51">
        <f t="shared" si="22"/>
        <v>324172.2147</v>
      </c>
      <c r="U17" s="51">
        <f t="shared" si="11"/>
        <v>122182.2899</v>
      </c>
      <c r="V17" s="51">
        <f t="shared" si="23"/>
        <v>98696.83303</v>
      </c>
      <c r="W17" s="72">
        <f t="shared" si="12"/>
        <v>39062.77884</v>
      </c>
      <c r="X17" s="51">
        <f t="shared" si="13"/>
        <v>98696.83303</v>
      </c>
      <c r="Y17" s="50"/>
      <c r="Z17" s="51">
        <f t="shared" si="14"/>
        <v>53958.93004</v>
      </c>
      <c r="AA17" s="51">
        <f t="shared" si="15"/>
        <v>68223.35985</v>
      </c>
      <c r="AB17" s="51">
        <f t="shared" si="16"/>
        <v>12595.73781</v>
      </c>
      <c r="AC17" s="73">
        <f t="shared" si="17"/>
        <v>27917.06446</v>
      </c>
      <c r="AD17" s="74">
        <f t="shared" si="24"/>
        <v>0</v>
      </c>
      <c r="AE17" s="51">
        <f>IF((R17+U17)&lt;AD17,(R17+U17)*'HIER Rechnung Ausschütter'!O$1,AD17*'HIER Rechnung Ausschütter'!O$1)</f>
        <v>0</v>
      </c>
      <c r="AF17" s="88">
        <f>AG17-'HIER Rechnung Ausschütter'!AM17</f>
        <v>20556.70317</v>
      </c>
      <c r="AG17" s="51">
        <f t="shared" si="18"/>
        <v>89044.38619</v>
      </c>
      <c r="AH17" s="12"/>
      <c r="AI17" s="12"/>
    </row>
    <row r="18" ht="12.75" customHeight="1">
      <c r="A18" s="11">
        <v>15.0</v>
      </c>
      <c r="B18" s="40">
        <f t="shared" si="19"/>
        <v>3.127844294</v>
      </c>
      <c r="C18" s="41">
        <f t="shared" si="20"/>
        <v>371064.4908</v>
      </c>
      <c r="D18" s="12">
        <f t="shared" si="21"/>
        <v>1160631.95</v>
      </c>
      <c r="E18" s="15">
        <f>'HIER Rechnung Ausschütter'!E18</f>
        <v>0.01768396103</v>
      </c>
      <c r="F18" s="12">
        <f t="shared" si="1"/>
        <v>1221373.31</v>
      </c>
      <c r="G18" s="15">
        <f>'HIER Rechnung Ausschütter'!H18</f>
        <v>0.03404865385</v>
      </c>
      <c r="H18" s="52">
        <f t="shared" si="2"/>
        <v>0.08</v>
      </c>
      <c r="I18" s="67">
        <v>0.08</v>
      </c>
      <c r="J18" s="44">
        <f t="shared" si="3"/>
        <v>1090733.813</v>
      </c>
      <c r="K18" s="52">
        <f t="shared" si="4"/>
        <v>-0.06022420587</v>
      </c>
      <c r="L18" s="52">
        <f>K18-'HIER Rechnung Ausschütter'!J18</f>
        <v>-0.008852186203</v>
      </c>
      <c r="M18" s="51">
        <f>J18-'HIER Rechnung Ausschütter'!I18</f>
        <v>-31616.60918</v>
      </c>
      <c r="N18" s="52">
        <f t="shared" si="5"/>
        <v>3.937306302</v>
      </c>
      <c r="O18" s="52">
        <f t="shared" si="6"/>
        <v>0.1069611528</v>
      </c>
      <c r="P18" s="57">
        <f t="shared" si="7"/>
        <v>60741.35968</v>
      </c>
      <c r="Q18" s="57">
        <f t="shared" si="8"/>
        <v>64995.3892</v>
      </c>
      <c r="R18" s="71">
        <f t="shared" si="9"/>
        <v>60741.35968</v>
      </c>
      <c r="S18" s="51">
        <f t="shared" si="10"/>
        <v>11214.37353</v>
      </c>
      <c r="T18" s="51">
        <f t="shared" si="22"/>
        <v>350239.7406</v>
      </c>
      <c r="U18" s="51">
        <f t="shared" si="11"/>
        <v>130639.4972</v>
      </c>
      <c r="V18" s="51">
        <f t="shared" si="23"/>
        <v>106592.5797</v>
      </c>
      <c r="W18" s="72">
        <f t="shared" si="12"/>
        <v>39689.48568</v>
      </c>
      <c r="X18" s="51">
        <f t="shared" si="13"/>
        <v>106592.5797</v>
      </c>
      <c r="Y18" s="50"/>
      <c r="Z18" s="51">
        <f t="shared" si="14"/>
        <v>61133.50413</v>
      </c>
      <c r="AA18" s="51">
        <f t="shared" si="15"/>
        <v>69505.99304</v>
      </c>
      <c r="AB18" s="51">
        <f t="shared" si="16"/>
        <v>12832.54397</v>
      </c>
      <c r="AC18" s="73">
        <f t="shared" si="17"/>
        <v>34673.83378</v>
      </c>
      <c r="AD18" s="74">
        <f t="shared" si="24"/>
        <v>0</v>
      </c>
      <c r="AE18" s="51">
        <f>IF((R18+U18)&lt;AD18,(R18+U18)*'HIER Rechnung Ausschütter'!O$1,AD18*'HIER Rechnung Ausschütter'!O$1)</f>
        <v>0</v>
      </c>
      <c r="AF18" s="89">
        <f>AG18-'HIER Rechnung Ausschütter'!AM18</f>
        <v>30107.71075</v>
      </c>
      <c r="AG18" s="51">
        <f t="shared" si="18"/>
        <v>91173.1469</v>
      </c>
      <c r="AH18" s="12"/>
      <c r="AI18" s="12"/>
    </row>
    <row r="19" ht="12.75" customHeight="1">
      <c r="A19" s="11">
        <v>16.0</v>
      </c>
      <c r="B19" s="40">
        <f t="shared" si="19"/>
        <v>3.29153918</v>
      </c>
      <c r="C19" s="41">
        <f t="shared" si="20"/>
        <v>331375.0051</v>
      </c>
      <c r="D19" s="12">
        <f t="shared" si="21"/>
        <v>1090733.813</v>
      </c>
      <c r="E19" s="15">
        <f>'HIER Rechnung Ausschütter'!E19</f>
        <v>0.370230496</v>
      </c>
      <c r="F19" s="12">
        <f t="shared" si="1"/>
        <v>1554854.076</v>
      </c>
      <c r="G19" s="15">
        <f>'HIER Rechnung Ausschütter'!H19</f>
        <v>0.04034463297</v>
      </c>
      <c r="H19" s="52">
        <f t="shared" si="2"/>
        <v>0.07</v>
      </c>
      <c r="I19" s="67">
        <v>0.07</v>
      </c>
      <c r="J19" s="44">
        <f t="shared" si="3"/>
        <v>1414543.545</v>
      </c>
      <c r="K19" s="52">
        <f t="shared" si="4"/>
        <v>0.2968732876</v>
      </c>
      <c r="L19" s="52">
        <f>K19-'HIER Rechnung Ausschütter'!J19</f>
        <v>-0.00886867179</v>
      </c>
      <c r="M19" s="51">
        <f>J19-'HIER Rechnung Ausschütter'!I19</f>
        <v>-50956.49341</v>
      </c>
      <c r="N19" s="52">
        <f t="shared" si="5"/>
        <v>6.038189096</v>
      </c>
      <c r="O19" s="52">
        <f t="shared" si="6"/>
        <v>0.09024032067</v>
      </c>
      <c r="P19" s="57">
        <f t="shared" si="7"/>
        <v>464120.2633</v>
      </c>
      <c r="Q19" s="57">
        <f t="shared" si="8"/>
        <v>53445.95682</v>
      </c>
      <c r="R19" s="71">
        <f t="shared" si="9"/>
        <v>53445.95682</v>
      </c>
      <c r="S19" s="51">
        <f t="shared" si="10"/>
        <v>9867.459777</v>
      </c>
      <c r="T19" s="51">
        <f t="shared" si="22"/>
        <v>372079.9509</v>
      </c>
      <c r="U19" s="51">
        <f t="shared" si="11"/>
        <v>140310.5304</v>
      </c>
      <c r="V19" s="51">
        <f t="shared" si="23"/>
        <v>114054.0603</v>
      </c>
      <c r="W19" s="72">
        <f t="shared" si="12"/>
        <v>29903.38672</v>
      </c>
      <c r="X19" s="51">
        <f t="shared" si="13"/>
        <v>114054.0603</v>
      </c>
      <c r="Y19" s="50"/>
      <c r="Z19" s="51">
        <f t="shared" si="14"/>
        <v>51541.34762</v>
      </c>
      <c r="AA19" s="51">
        <f t="shared" si="15"/>
        <v>88769.18279</v>
      </c>
      <c r="AB19" s="51">
        <f t="shared" si="16"/>
        <v>16389.01037</v>
      </c>
      <c r="AC19" s="73">
        <f t="shared" si="17"/>
        <v>31605.7465</v>
      </c>
      <c r="AD19" s="74">
        <f t="shared" si="24"/>
        <v>0</v>
      </c>
      <c r="AE19" s="51">
        <f>IF((R19+U19)&lt;AD19,(R19+U19)*'HIER Rechnung Ausschütter'!O$1,AD19*'HIER Rechnung Ausschütter'!O$1)</f>
        <v>0</v>
      </c>
      <c r="AF19" s="90">
        <f>AG19-'HIER Rechnung Ausschütter'!AM19</f>
        <v>22319.01214</v>
      </c>
      <c r="AG19" s="51">
        <f t="shared" si="18"/>
        <v>99550.59772</v>
      </c>
      <c r="AH19" s="12"/>
      <c r="AI19" s="12"/>
    </row>
    <row r="20" ht="12.75" customHeight="1">
      <c r="A20" s="11">
        <v>17.0</v>
      </c>
      <c r="B20" s="40">
        <f t="shared" si="19"/>
        <v>4.69212841</v>
      </c>
      <c r="C20" s="41">
        <f t="shared" si="20"/>
        <v>301471.6184</v>
      </c>
      <c r="D20" s="12">
        <f t="shared" si="21"/>
        <v>1414543.545</v>
      </c>
      <c r="E20" s="15">
        <f>'HIER Rechnung Ausschütter'!E20</f>
        <v>0.3910546793</v>
      </c>
      <c r="F20" s="12">
        <f t="shared" si="1"/>
        <v>2029491.815</v>
      </c>
      <c r="G20" s="15">
        <f>'HIER Rechnung Ausschütter'!H20</f>
        <v>0.03139917868</v>
      </c>
      <c r="H20" s="52">
        <f t="shared" si="2"/>
        <v>0.062</v>
      </c>
      <c r="I20" s="67">
        <v>0.062</v>
      </c>
      <c r="J20" s="44">
        <f t="shared" si="3"/>
        <v>1876801.675</v>
      </c>
      <c r="K20" s="52">
        <f t="shared" si="4"/>
        <v>0.3267896075</v>
      </c>
      <c r="L20" s="52">
        <f>K20-'HIER Rechnung Ausschütter'!J20</f>
        <v>-0.009716485661</v>
      </c>
      <c r="M20" s="51">
        <f>J20-'HIER Rechnung Ausschütter'!I20</f>
        <v>-81848.05601</v>
      </c>
      <c r="N20" s="52">
        <f t="shared" si="5"/>
        <v>9.09791972</v>
      </c>
      <c r="O20" s="52">
        <f t="shared" si="6"/>
        <v>0.07523565168</v>
      </c>
      <c r="P20" s="57">
        <f t="shared" si="7"/>
        <v>614948.2693</v>
      </c>
      <c r="Q20" s="57">
        <f t="shared" si="8"/>
        <v>61391.18987</v>
      </c>
      <c r="R20" s="71">
        <f t="shared" si="9"/>
        <v>61391.18987</v>
      </c>
      <c r="S20" s="51">
        <f t="shared" si="10"/>
        <v>11334.34843</v>
      </c>
      <c r="T20" s="51">
        <f t="shared" si="22"/>
        <v>405477.4632</v>
      </c>
      <c r="U20" s="51">
        <f t="shared" si="11"/>
        <v>152690.1393</v>
      </c>
      <c r="V20" s="51">
        <f t="shared" si="23"/>
        <v>121125.412</v>
      </c>
      <c r="W20" s="72">
        <f t="shared" si="12"/>
        <v>22681.41367</v>
      </c>
      <c r="X20" s="51">
        <f t="shared" si="13"/>
        <v>121125.412</v>
      </c>
      <c r="Y20" s="50"/>
      <c r="Z20" s="51">
        <f t="shared" si="14"/>
        <v>43114.62759</v>
      </c>
      <c r="AA20" s="51">
        <f t="shared" si="15"/>
        <v>109575.5117</v>
      </c>
      <c r="AB20" s="51">
        <f t="shared" si="16"/>
        <v>20230.37884</v>
      </c>
      <c r="AC20" s="73">
        <f t="shared" si="17"/>
        <v>27993.67758</v>
      </c>
      <c r="AD20" s="74">
        <f t="shared" si="24"/>
        <v>0</v>
      </c>
      <c r="AE20" s="51">
        <f>IF((R20+U20)&lt;AD20,(R20+U20)*'HIER Rechnung Ausschütter'!O$1,AD20*'HIER Rechnung Ausschütter'!O$1)</f>
        <v>0</v>
      </c>
      <c r="AF20" s="91">
        <f>AG20-'HIER Rechnung Ausschütter'!AM20</f>
        <v>33134.07012</v>
      </c>
      <c r="AG20" s="51">
        <f t="shared" si="18"/>
        <v>119676.6911</v>
      </c>
      <c r="AH20" s="12"/>
      <c r="AI20" s="12"/>
    </row>
    <row r="21" ht="12.75" customHeight="1">
      <c r="A21" s="11">
        <v>18.0</v>
      </c>
      <c r="B21" s="40">
        <f t="shared" si="19"/>
        <v>6.731949846</v>
      </c>
      <c r="C21" s="41">
        <f t="shared" si="20"/>
        <v>278790.2047</v>
      </c>
      <c r="D21" s="12">
        <f t="shared" si="21"/>
        <v>1876801.675</v>
      </c>
      <c r="E21" s="15">
        <f>'HIER Rechnung Ausschütter'!E21</f>
        <v>0.1434008267</v>
      </c>
      <c r="F21" s="12">
        <f t="shared" si="1"/>
        <v>2190136.108</v>
      </c>
      <c r="G21" s="15">
        <f>'HIER Rechnung Ausschütter'!H21</f>
        <v>0.02059684393</v>
      </c>
      <c r="H21" s="52">
        <f t="shared" si="2"/>
        <v>0.063</v>
      </c>
      <c r="I21" s="67">
        <v>0.063</v>
      </c>
      <c r="J21" s="44">
        <f t="shared" si="3"/>
        <v>2023662.235</v>
      </c>
      <c r="K21" s="52">
        <f t="shared" si="4"/>
        <v>0.07825044164</v>
      </c>
      <c r="L21" s="52">
        <f>K21-'HIER Rechnung Ausschütter'!J21</f>
        <v>-0.006401190274</v>
      </c>
      <c r="M21" s="51">
        <f>J21-'HIER Rechnung Ausschütter'!I21</f>
        <v>-100790.3921</v>
      </c>
      <c r="N21" s="52">
        <f t="shared" si="5"/>
        <v>10.78378029</v>
      </c>
      <c r="O21" s="52">
        <f t="shared" si="6"/>
        <v>0.07601074301</v>
      </c>
      <c r="P21" s="57">
        <f t="shared" si="7"/>
        <v>313334.4328</v>
      </c>
      <c r="Q21" s="57">
        <f t="shared" si="8"/>
        <v>82766.95389</v>
      </c>
      <c r="R21" s="71">
        <f t="shared" si="9"/>
        <v>82766.95389</v>
      </c>
      <c r="S21" s="51">
        <f t="shared" si="10"/>
        <v>15280.84886</v>
      </c>
      <c r="T21" s="51">
        <f t="shared" si="22"/>
        <v>457423.7738</v>
      </c>
      <c r="U21" s="51">
        <f t="shared" si="11"/>
        <v>166473.8729</v>
      </c>
      <c r="V21" s="51">
        <f t="shared" si="23"/>
        <v>128756.3129</v>
      </c>
      <c r="W21" s="72">
        <f t="shared" si="12"/>
        <v>21191.0506</v>
      </c>
      <c r="X21" s="51">
        <f t="shared" si="13"/>
        <v>128756.3129</v>
      </c>
      <c r="Y21" s="50"/>
      <c r="Z21" s="51">
        <f t="shared" si="14"/>
        <v>44948.01738</v>
      </c>
      <c r="AA21" s="51">
        <f t="shared" si="15"/>
        <v>121525.8555</v>
      </c>
      <c r="AB21" s="51">
        <f t="shared" si="16"/>
        <v>22436.71107</v>
      </c>
      <c r="AC21" s="73">
        <f t="shared" si="17"/>
        <v>30820.64325</v>
      </c>
      <c r="AD21" s="74">
        <f t="shared" si="24"/>
        <v>0</v>
      </c>
      <c r="AE21" s="51">
        <f>IF((R21+U21)&lt;AD21,(R21+U21)*'HIER Rechnung Ausschütter'!O$1,AD21*'HIER Rechnung Ausschütter'!O$1)</f>
        <v>0</v>
      </c>
      <c r="AF21" s="92">
        <f>AG21-'HIER Rechnung Ausschütter'!AM21</f>
        <v>20010.23251</v>
      </c>
      <c r="AG21" s="51">
        <f t="shared" si="18"/>
        <v>143004.9666</v>
      </c>
      <c r="AH21" s="12"/>
      <c r="AI21" s="12"/>
    </row>
    <row r="22" ht="12.75" customHeight="1">
      <c r="A22" s="11">
        <v>19.0</v>
      </c>
      <c r="B22" s="40">
        <f t="shared" si="19"/>
        <v>7.855857456</v>
      </c>
      <c r="C22" s="41">
        <f t="shared" si="20"/>
        <v>257599.1541</v>
      </c>
      <c r="D22" s="12">
        <f t="shared" si="21"/>
        <v>2023662.235</v>
      </c>
      <c r="E22" s="15">
        <f>'HIER Rechnung Ausschütter'!E22</f>
        <v>0.2118511547</v>
      </c>
      <c r="F22" s="12">
        <f t="shared" si="1"/>
        <v>2510025.591</v>
      </c>
      <c r="G22" s="15">
        <f>'HIER Rechnung Ausschütter'!H22</f>
        <v>0.02350705623</v>
      </c>
      <c r="H22" s="52">
        <f t="shared" si="2"/>
        <v>0.065</v>
      </c>
      <c r="I22" s="67">
        <v>0.065</v>
      </c>
      <c r="J22" s="44">
        <f t="shared" si="3"/>
        <v>2331154.064</v>
      </c>
      <c r="K22" s="52">
        <f t="shared" si="4"/>
        <v>0.1519481975</v>
      </c>
      <c r="L22" s="52">
        <f>K22-'HIER Rechnung Ausschütter'!J22</f>
        <v>-0.008433880305</v>
      </c>
      <c r="M22" s="51">
        <f>J22-'HIER Rechnung Ausschütter'!I22</f>
        <v>-134022.6897</v>
      </c>
      <c r="N22" s="52">
        <f t="shared" si="5"/>
        <v>13.61587293</v>
      </c>
      <c r="O22" s="52">
        <f t="shared" si="6"/>
        <v>0.07126282967</v>
      </c>
      <c r="P22" s="57">
        <f t="shared" si="7"/>
        <v>486363.3551</v>
      </c>
      <c r="Q22" s="57">
        <f t="shared" si="8"/>
        <v>92076.63171</v>
      </c>
      <c r="R22" s="71">
        <f t="shared" si="9"/>
        <v>92076.63171</v>
      </c>
      <c r="S22" s="51">
        <f t="shared" si="10"/>
        <v>16999.64813</v>
      </c>
      <c r="T22" s="51">
        <f t="shared" si="22"/>
        <v>516903.093</v>
      </c>
      <c r="U22" s="51">
        <f t="shared" si="11"/>
        <v>178871.5261</v>
      </c>
      <c r="V22" s="51">
        <f t="shared" si="23"/>
        <v>137125.4733</v>
      </c>
      <c r="W22" s="72">
        <f t="shared" si="12"/>
        <v>18357.24464</v>
      </c>
      <c r="X22" s="51">
        <f t="shared" si="13"/>
        <v>137125.4733</v>
      </c>
      <c r="Y22" s="50"/>
      <c r="Z22" s="51">
        <f t="shared" si="14"/>
        <v>44835.48169</v>
      </c>
      <c r="AA22" s="51">
        <f t="shared" si="15"/>
        <v>134036.0444</v>
      </c>
      <c r="AB22" s="51">
        <f t="shared" si="16"/>
        <v>24746.4047</v>
      </c>
      <c r="AC22" s="73">
        <f t="shared" si="17"/>
        <v>32597.31248</v>
      </c>
      <c r="AD22" s="74">
        <f t="shared" si="24"/>
        <v>0</v>
      </c>
      <c r="AE22" s="51">
        <f>IF((R22+U22)&lt;AD22,(R22+U22)*'HIER Rechnung Ausschütter'!O$1,AD22*'HIER Rechnung Ausschütter'!O$1)</f>
        <v>0</v>
      </c>
      <c r="AF22" s="93">
        <f>AG22-'HIER Rechnung Ausschütter'!AM22</f>
        <v>34155.50848</v>
      </c>
      <c r="AG22" s="51">
        <f t="shared" si="18"/>
        <v>158278.8733</v>
      </c>
      <c r="AH22" s="12"/>
      <c r="AI22" s="12"/>
    </row>
    <row r="23" ht="12.75" customHeight="1">
      <c r="A23" s="11">
        <v>20.0</v>
      </c>
      <c r="B23" s="40">
        <f t="shared" si="19"/>
        <v>9.743920159</v>
      </c>
      <c r="C23" s="41">
        <f t="shared" si="20"/>
        <v>239241.9094</v>
      </c>
      <c r="D23" s="12">
        <f t="shared" si="21"/>
        <v>2331154.064</v>
      </c>
      <c r="E23" s="15">
        <f>'HIER Rechnung Ausschütter'!E23</f>
        <v>0.1474633314</v>
      </c>
      <c r="F23" s="12">
        <f t="shared" si="1"/>
        <v>2730560.494</v>
      </c>
      <c r="G23" s="15">
        <f>'HIER Rechnung Ausschütter'!H23</f>
        <v>0.02080316939</v>
      </c>
      <c r="H23" s="52">
        <f t="shared" si="2"/>
        <v>0.07</v>
      </c>
      <c r="I23" s="67">
        <v>0.07</v>
      </c>
      <c r="J23" s="44">
        <f t="shared" si="3"/>
        <v>2535680.057</v>
      </c>
      <c r="K23" s="52">
        <f t="shared" si="4"/>
        <v>0.08773593959</v>
      </c>
      <c r="L23" s="52">
        <f>K23-'HIER Rechnung Ausschütter'!J23</f>
        <v>-0.008347199078</v>
      </c>
      <c r="M23" s="51">
        <f>J23-'HIER Rechnung Ausschütter'!I23</f>
        <v>-166358.6175</v>
      </c>
      <c r="N23" s="52">
        <f t="shared" si="5"/>
        <v>16.12007191</v>
      </c>
      <c r="O23" s="52">
        <f t="shared" si="6"/>
        <v>0.07137012258</v>
      </c>
      <c r="P23" s="57">
        <f t="shared" si="7"/>
        <v>399406.4293</v>
      </c>
      <c r="Q23" s="57">
        <f t="shared" si="8"/>
        <v>114226.5492</v>
      </c>
      <c r="R23" s="71">
        <f t="shared" si="9"/>
        <v>114226.5492</v>
      </c>
      <c r="S23" s="51">
        <f t="shared" si="10"/>
        <v>21089.07664</v>
      </c>
      <c r="T23" s="51">
        <f t="shared" si="22"/>
        <v>594238.2051</v>
      </c>
      <c r="U23" s="51">
        <f t="shared" si="11"/>
        <v>194880.4371</v>
      </c>
      <c r="V23" s="51">
        <f t="shared" si="23"/>
        <v>146724.2564</v>
      </c>
      <c r="W23" s="72">
        <f t="shared" si="12"/>
        <v>17074.7244</v>
      </c>
      <c r="X23" s="51">
        <f t="shared" si="13"/>
        <v>146724.2564</v>
      </c>
      <c r="Y23" s="50"/>
      <c r="Z23" s="51">
        <f t="shared" si="14"/>
        <v>48274.5924</v>
      </c>
      <c r="AA23" s="51">
        <f t="shared" si="15"/>
        <v>146605.8447</v>
      </c>
      <c r="AB23" s="51">
        <f t="shared" si="16"/>
        <v>27067.10408</v>
      </c>
      <c r="AC23" s="73">
        <f t="shared" si="17"/>
        <v>36891.43711</v>
      </c>
      <c r="AD23" s="74">
        <f t="shared" si="24"/>
        <v>0</v>
      </c>
      <c r="AE23" s="51">
        <f>IF((R23+U23)&lt;AD23,(R23+U23)*'HIER Rechnung Ausschütter'!O$1,AD23*'HIER Rechnung Ausschütter'!O$1)</f>
        <v>0</v>
      </c>
      <c r="AF23" s="94">
        <f>AG23-'HIER Rechnung Ausschütter'!AM23</f>
        <v>35538.41398</v>
      </c>
      <c r="AG23" s="51">
        <f t="shared" si="18"/>
        <v>182582.6757</v>
      </c>
      <c r="AH23" s="12"/>
      <c r="AI23" s="12"/>
    </row>
    <row r="24" ht="12.75" customHeight="1">
      <c r="A24" s="11">
        <v>21.0</v>
      </c>
      <c r="B24" s="40">
        <f t="shared" si="19"/>
        <v>11.41338698</v>
      </c>
      <c r="C24" s="41">
        <f t="shared" si="20"/>
        <v>222167.185</v>
      </c>
      <c r="D24" s="12">
        <f t="shared" si="21"/>
        <v>2535680.057</v>
      </c>
      <c r="E24" s="15">
        <f>'HIER Rechnung Ausschütter'!E24</f>
        <v>-0.1865043413</v>
      </c>
      <c r="F24" s="12">
        <f t="shared" si="1"/>
        <v>2100158.879</v>
      </c>
      <c r="G24" s="15">
        <f>'HIER Rechnung Ausschütter'!H24</f>
        <v>0.0181281759</v>
      </c>
      <c r="H24" s="52">
        <f t="shared" si="2"/>
        <v>0.087</v>
      </c>
      <c r="I24" s="67">
        <v>0.087</v>
      </c>
      <c r="J24" s="44">
        <f t="shared" si="3"/>
        <v>1919051.757</v>
      </c>
      <c r="K24" s="52">
        <f t="shared" si="4"/>
        <v>-0.2431806403</v>
      </c>
      <c r="L24" s="52">
        <f>K24-'HIER Rechnung Ausschütter'!J24</f>
        <v>-0.003965570171</v>
      </c>
      <c r="M24" s="51">
        <f>J24-'HIER Rechnung Ausschütter'!I24</f>
        <v>-136618.5463</v>
      </c>
      <c r="N24" s="52">
        <f t="shared" si="5"/>
        <v>13.17957717</v>
      </c>
      <c r="O24" s="52">
        <f t="shared" si="6"/>
        <v>0.08623496268</v>
      </c>
      <c r="P24" s="57">
        <f t="shared" si="7"/>
        <v>-435521.1771</v>
      </c>
      <c r="Q24" s="57">
        <f t="shared" si="8"/>
        <v>0</v>
      </c>
      <c r="R24" s="71">
        <f t="shared" si="9"/>
        <v>0</v>
      </c>
      <c r="S24" s="51">
        <f t="shared" si="10"/>
        <v>0</v>
      </c>
      <c r="T24" s="51">
        <f t="shared" si="22"/>
        <v>542994.0956</v>
      </c>
      <c r="U24" s="51">
        <f t="shared" si="11"/>
        <v>181107.1226</v>
      </c>
      <c r="V24" s="51">
        <f t="shared" si="23"/>
        <v>159489.2667</v>
      </c>
      <c r="W24" s="72">
        <f t="shared" si="12"/>
        <v>19158.57891</v>
      </c>
      <c r="X24" s="51">
        <f t="shared" si="13"/>
        <v>159489.2667</v>
      </c>
      <c r="Y24" s="50"/>
      <c r="Z24" s="51">
        <f t="shared" si="14"/>
        <v>64016.50177</v>
      </c>
      <c r="AA24" s="51">
        <f t="shared" si="15"/>
        <v>117090.6208</v>
      </c>
      <c r="AB24" s="51">
        <f t="shared" si="16"/>
        <v>21617.85587</v>
      </c>
      <c r="AC24" s="73">
        <f t="shared" si="17"/>
        <v>51244.10944</v>
      </c>
      <c r="AD24" s="74">
        <f t="shared" si="24"/>
        <v>0</v>
      </c>
      <c r="AE24" s="51">
        <f>IF((R24+U24)&lt;AD24,(R24+U24)*'HIER Rechnung Ausschütter'!O$1,AD24*'HIER Rechnung Ausschütter'!O$1)</f>
        <v>0</v>
      </c>
      <c r="AF24" s="95">
        <f>AG24-'HIER Rechnung Ausschütter'!AM24</f>
        <v>-4423.845727</v>
      </c>
      <c r="AG24" s="51">
        <f t="shared" si="18"/>
        <v>81963.43458</v>
      </c>
      <c r="AH24" s="12"/>
      <c r="AI24" s="12"/>
    </row>
    <row r="25" ht="12.75" customHeight="1">
      <c r="A25" s="11">
        <v>22.0</v>
      </c>
      <c r="B25" s="40">
        <f t="shared" si="19"/>
        <v>9.45305617</v>
      </c>
      <c r="C25" s="41">
        <f t="shared" si="20"/>
        <v>203008.6061</v>
      </c>
      <c r="D25" s="12">
        <f t="shared" si="21"/>
        <v>1919051.757</v>
      </c>
      <c r="E25" s="15">
        <f>'HIER Rechnung Ausschütter'!E25</f>
        <v>0.1599841396</v>
      </c>
      <c r="F25" s="12">
        <f t="shared" si="1"/>
        <v>2282244.523</v>
      </c>
      <c r="G25" s="15">
        <f>'HIER Rechnung Ausschütter'!H25</f>
        <v>0.02523502511</v>
      </c>
      <c r="H25" s="52">
        <f t="shared" si="2"/>
        <v>0.084</v>
      </c>
      <c r="I25" s="67">
        <v>0.084</v>
      </c>
      <c r="J25" s="44">
        <f t="shared" si="3"/>
        <v>2059642.303</v>
      </c>
      <c r="K25" s="52">
        <f t="shared" si="4"/>
        <v>0.07326042433</v>
      </c>
      <c r="L25" s="52">
        <f>K25-'HIER Rechnung Ausschütter'!J25</f>
        <v>-0.01170280098</v>
      </c>
      <c r="M25" s="51">
        <f>J25-'HIER Rechnung Ausschütter'!I25</f>
        <v>-170684.3794</v>
      </c>
      <c r="N25" s="52">
        <f t="shared" si="5"/>
        <v>15.86315245</v>
      </c>
      <c r="O25" s="52">
        <f t="shared" si="6"/>
        <v>0.09753653395</v>
      </c>
      <c r="P25" s="57">
        <f t="shared" si="7"/>
        <v>363192.7665</v>
      </c>
      <c r="Q25" s="57">
        <f t="shared" si="8"/>
        <v>112840.2433</v>
      </c>
      <c r="R25" s="71">
        <f t="shared" si="9"/>
        <v>112840.2433</v>
      </c>
      <c r="S25" s="51">
        <f t="shared" si="10"/>
        <v>20833.12992</v>
      </c>
      <c r="T25" s="51">
        <f t="shared" si="22"/>
        <v>602872.5769</v>
      </c>
      <c r="U25" s="51">
        <f t="shared" si="11"/>
        <v>222602.2204</v>
      </c>
      <c r="V25" s="51">
        <f t="shared" si="23"/>
        <v>172886.3651</v>
      </c>
      <c r="W25" s="72">
        <f t="shared" si="12"/>
        <v>19800.7558</v>
      </c>
      <c r="X25" s="51">
        <f t="shared" si="13"/>
        <v>172886.3651</v>
      </c>
      <c r="Y25" s="50"/>
      <c r="Z25" s="51">
        <f t="shared" si="14"/>
        <v>66162.27251</v>
      </c>
      <c r="AA25" s="51">
        <f t="shared" si="15"/>
        <v>156439.9479</v>
      </c>
      <c r="AB25" s="51">
        <f t="shared" si="16"/>
        <v>28882.72538</v>
      </c>
      <c r="AC25" s="73">
        <f t="shared" si="17"/>
        <v>52961.76204</v>
      </c>
      <c r="AD25" s="74">
        <f t="shared" si="24"/>
        <v>0</v>
      </c>
      <c r="AE25" s="51">
        <f>IF((R25+U25)&lt;AD25,(R25+U25)*'HIER Rechnung Ausschütter'!O$1,AD25*'HIER Rechnung Ausschütter'!O$1)</f>
        <v>0</v>
      </c>
      <c r="AF25" s="96">
        <f>AG25-'HIER Rechnung Ausschütter'!AM25</f>
        <v>31127.59492</v>
      </c>
      <c r="AG25" s="51">
        <f t="shared" si="18"/>
        <v>188496.1339</v>
      </c>
      <c r="AH25" s="12"/>
      <c r="AI25" s="12"/>
    </row>
    <row r="26" ht="12.75" customHeight="1">
      <c r="A26" s="11">
        <v>23.0</v>
      </c>
      <c r="B26" s="40">
        <f t="shared" si="19"/>
        <v>11.24210725</v>
      </c>
      <c r="C26" s="41">
        <f t="shared" si="20"/>
        <v>183207.8503</v>
      </c>
      <c r="D26" s="12">
        <f t="shared" si="21"/>
        <v>2059642.303</v>
      </c>
      <c r="E26" s="15">
        <f>'HIER Rechnung Ausschütter'!E26</f>
        <v>-0.07141309464</v>
      </c>
      <c r="F26" s="12">
        <f t="shared" si="1"/>
        <v>1952897.08</v>
      </c>
      <c r="G26" s="15">
        <f>'HIER Rechnung Ausschütter'!H26</f>
        <v>0.02109229174</v>
      </c>
      <c r="H26" s="52">
        <f t="shared" si="2"/>
        <v>0.078</v>
      </c>
      <c r="I26" s="67">
        <v>0.078</v>
      </c>
      <c r="J26" s="44">
        <f t="shared" si="3"/>
        <v>1742049.758</v>
      </c>
      <c r="K26" s="52">
        <f t="shared" si="4"/>
        <v>-0.1541979129</v>
      </c>
      <c r="L26" s="52">
        <f>K26-'HIER Rechnung Ausschütter'!J26</f>
        <v>-0.007096496302</v>
      </c>
      <c r="M26" s="51">
        <f>J26-'HIER Rechnung Ausschütter'!I26</f>
        <v>-160192.7094</v>
      </c>
      <c r="N26" s="52">
        <f t="shared" si="5"/>
        <v>14.98918469</v>
      </c>
      <c r="O26" s="52">
        <f t="shared" si="6"/>
        <v>0.1079664276</v>
      </c>
      <c r="P26" s="57">
        <f t="shared" si="7"/>
        <v>-106745.2232</v>
      </c>
      <c r="Q26" s="57">
        <f t="shared" si="8"/>
        <v>0</v>
      </c>
      <c r="R26" s="71">
        <f t="shared" si="9"/>
        <v>0</v>
      </c>
      <c r="S26" s="51">
        <f t="shared" si="10"/>
        <v>0</v>
      </c>
      <c r="T26" s="51">
        <f t="shared" si="22"/>
        <v>537782.5785</v>
      </c>
      <c r="U26" s="51">
        <f t="shared" si="11"/>
        <v>210847.3212</v>
      </c>
      <c r="V26" s="51">
        <f t="shared" si="23"/>
        <v>186371.5016</v>
      </c>
      <c r="W26" s="72">
        <f t="shared" si="12"/>
        <v>19780.29711</v>
      </c>
      <c r="X26" s="51">
        <f t="shared" si="13"/>
        <v>186371.5016</v>
      </c>
      <c r="Y26" s="50"/>
      <c r="Z26" s="51">
        <f t="shared" si="14"/>
        <v>78276.86977</v>
      </c>
      <c r="AA26" s="51">
        <f t="shared" si="15"/>
        <v>132570.4514</v>
      </c>
      <c r="AB26" s="51">
        <f t="shared" si="16"/>
        <v>24475.8196</v>
      </c>
      <c r="AC26" s="73">
        <f t="shared" si="17"/>
        <v>65089.99844</v>
      </c>
      <c r="AD26" s="74">
        <f t="shared" si="24"/>
        <v>0</v>
      </c>
      <c r="AE26" s="51">
        <f>IF((R26+U26)&lt;AD26,(R26+U26)*'HIER Rechnung Ausschütter'!O$1,AD26*'HIER Rechnung Ausschütter'!O$1)</f>
        <v>0</v>
      </c>
      <c r="AF26" s="97">
        <f>AG26-'HIER Rechnung Ausschütter'!AM26</f>
        <v>-6239.237749</v>
      </c>
      <c r="AG26" s="51">
        <f t="shared" si="18"/>
        <v>92799.316</v>
      </c>
      <c r="AH26" s="12"/>
      <c r="AI26" s="12"/>
    </row>
    <row r="27" ht="12.75" customHeight="1">
      <c r="A27" s="11">
        <v>24.0</v>
      </c>
      <c r="B27" s="40">
        <f t="shared" si="19"/>
        <v>10.65946179</v>
      </c>
      <c r="C27" s="41">
        <f t="shared" si="20"/>
        <v>163427.5532</v>
      </c>
      <c r="D27" s="12">
        <f t="shared" si="21"/>
        <v>1742049.758</v>
      </c>
      <c r="E27" s="15">
        <f>'HIER Rechnung Ausschütter'!E27</f>
        <v>0.2038975564</v>
      </c>
      <c r="F27" s="12">
        <f t="shared" si="1"/>
        <v>2146078.51</v>
      </c>
      <c r="G27" s="15">
        <f>'HIER Rechnung Ausschütter'!H27</f>
        <v>0.02328242946</v>
      </c>
      <c r="H27" s="52">
        <f t="shared" si="2"/>
        <v>0.065</v>
      </c>
      <c r="I27" s="67">
        <v>0.065</v>
      </c>
      <c r="J27" s="44">
        <f t="shared" si="3"/>
        <v>1901398.291</v>
      </c>
      <c r="K27" s="52">
        <f t="shared" si="4"/>
        <v>0.09147186074</v>
      </c>
      <c r="L27" s="52">
        <f>K27-'HIER Rechnung Ausschütter'!J27</f>
        <v>-0.01507585843</v>
      </c>
      <c r="M27" s="51">
        <f>J27-'HIER Rechnung Ausschütter'!I27</f>
        <v>-203523.7728</v>
      </c>
      <c r="N27" s="52">
        <f t="shared" si="5"/>
        <v>18.69751178</v>
      </c>
      <c r="O27" s="52">
        <f t="shared" si="6"/>
        <v>0.114012706</v>
      </c>
      <c r="P27" s="57">
        <f t="shared" si="7"/>
        <v>404028.7512</v>
      </c>
      <c r="Q27" s="57">
        <f t="shared" si="8"/>
        <v>79263.26401</v>
      </c>
      <c r="R27" s="71">
        <f t="shared" si="9"/>
        <v>79263.26401</v>
      </c>
      <c r="S27" s="51">
        <f t="shared" si="10"/>
        <v>14633.98012</v>
      </c>
      <c r="T27" s="51">
        <f t="shared" si="22"/>
        <v>555731.7954</v>
      </c>
      <c r="U27" s="51">
        <f t="shared" si="11"/>
        <v>244680.2182</v>
      </c>
      <c r="V27" s="51">
        <f t="shared" si="23"/>
        <v>198485.6492</v>
      </c>
      <c r="W27" s="72">
        <f t="shared" si="12"/>
        <v>18632.81758</v>
      </c>
      <c r="X27" s="51">
        <f t="shared" si="13"/>
        <v>198485.6492</v>
      </c>
      <c r="Y27" s="50"/>
      <c r="Z27" s="51">
        <f t="shared" si="14"/>
        <v>73735.93163</v>
      </c>
      <c r="AA27" s="51">
        <f t="shared" si="15"/>
        <v>170944.2866</v>
      </c>
      <c r="AB27" s="51">
        <f t="shared" si="16"/>
        <v>31560.58892</v>
      </c>
      <c r="AC27" s="73">
        <f t="shared" si="17"/>
        <v>61314.04703</v>
      </c>
      <c r="AD27" s="74">
        <f t="shared" si="24"/>
        <v>0</v>
      </c>
      <c r="AE27" s="51">
        <f>IF((R27+U27)&lt;AD27,(R27+U27)*'HIER Rechnung Ausschütter'!O$1,AD27*'HIER Rechnung Ausschütter'!O$1)</f>
        <v>0</v>
      </c>
      <c r="AF27" s="98">
        <f>AG27-'HIER Rechnung Ausschütter'!AM27</f>
        <v>23423.75049</v>
      </c>
      <c r="AG27" s="51">
        <f t="shared" si="18"/>
        <v>175145.2854</v>
      </c>
      <c r="AH27" s="12"/>
      <c r="AI27" s="12"/>
    </row>
    <row r="28" ht="12.75" customHeight="1">
      <c r="A28" s="11">
        <v>25.0</v>
      </c>
      <c r="B28" s="40">
        <f t="shared" si="19"/>
        <v>13.13168109</v>
      </c>
      <c r="C28" s="41">
        <f t="shared" si="20"/>
        <v>144794.7356</v>
      </c>
      <c r="D28" s="12">
        <f t="shared" si="21"/>
        <v>1901398.291</v>
      </c>
      <c r="E28" s="15">
        <f>'HIER Rechnung Ausschütter'!E28</f>
        <v>0.03357415923</v>
      </c>
      <c r="F28" s="12">
        <f t="shared" si="1"/>
        <v>2002393.275</v>
      </c>
      <c r="G28" s="15">
        <f>'HIER Rechnung Ausschütter'!H28</f>
        <v>0.01890721131</v>
      </c>
      <c r="H28" s="52">
        <f t="shared" si="2"/>
        <v>0.069</v>
      </c>
      <c r="I28" s="67">
        <v>0.069</v>
      </c>
      <c r="J28" s="44">
        <f t="shared" si="3"/>
        <v>1740676.823</v>
      </c>
      <c r="K28" s="52">
        <f t="shared" si="4"/>
        <v>-0.08452803897</v>
      </c>
      <c r="L28" s="52">
        <f>K28-'HIER Rechnung Ausschütter'!J28</f>
        <v>-0.0177996797</v>
      </c>
      <c r="M28" s="51">
        <f>J28-'HIER Rechnung Ausschütter'!I28</f>
        <v>-223787.2459</v>
      </c>
      <c r="N28" s="52">
        <f t="shared" si="5"/>
        <v>19.74376805</v>
      </c>
      <c r="O28" s="52">
        <f t="shared" si="6"/>
        <v>0.1307018237</v>
      </c>
      <c r="P28" s="57">
        <f t="shared" si="7"/>
        <v>100994.984</v>
      </c>
      <c r="Q28" s="57">
        <f t="shared" si="8"/>
        <v>91837.53747</v>
      </c>
      <c r="R28" s="71">
        <f t="shared" si="9"/>
        <v>91837.53747</v>
      </c>
      <c r="S28" s="51">
        <f t="shared" si="10"/>
        <v>16955.50536</v>
      </c>
      <c r="T28" s="51">
        <f t="shared" si="22"/>
        <v>574934.1738</v>
      </c>
      <c r="U28" s="51">
        <f t="shared" si="11"/>
        <v>261716.4528</v>
      </c>
      <c r="V28" s="51">
        <f t="shared" si="23"/>
        <v>212181.159</v>
      </c>
      <c r="W28" s="72">
        <f t="shared" si="12"/>
        <v>18924.93601</v>
      </c>
      <c r="X28" s="51">
        <f t="shared" si="13"/>
        <v>212181.159</v>
      </c>
      <c r="Y28" s="50"/>
      <c r="Z28" s="51">
        <f t="shared" si="14"/>
        <v>85251.78946</v>
      </c>
      <c r="AA28" s="51">
        <f t="shared" si="15"/>
        <v>176464.6634</v>
      </c>
      <c r="AB28" s="51">
        <f t="shared" si="16"/>
        <v>32579.78848</v>
      </c>
      <c r="AC28" s="73">
        <f t="shared" si="17"/>
        <v>72635.15915</v>
      </c>
      <c r="AD28" s="74">
        <f t="shared" si="24"/>
        <v>0</v>
      </c>
      <c r="AE28" s="51">
        <f>IF((R28+U28)&lt;AD28,(R28+U28)*'HIER Rechnung Ausschütter'!O$1,AD28*'HIER Rechnung Ausschütter'!O$1)</f>
        <v>0</v>
      </c>
      <c r="AF28" s="99">
        <f>AG28-'HIER Rechnung Ausschütter'!AM28</f>
        <v>35841.02746</v>
      </c>
      <c r="AG28" s="51">
        <f t="shared" si="18"/>
        <v>187811.5406</v>
      </c>
      <c r="AH28" s="12"/>
      <c r="AI28" s="12"/>
    </row>
    <row r="29" ht="12.75" customHeight="1">
      <c r="A29" s="11">
        <v>26.0</v>
      </c>
      <c r="B29" s="40">
        <f t="shared" si="19"/>
        <v>13.82918562</v>
      </c>
      <c r="C29" s="41">
        <f t="shared" si="20"/>
        <v>125869.7996</v>
      </c>
      <c r="D29" s="12">
        <f t="shared" si="21"/>
        <v>1740676.823</v>
      </c>
      <c r="E29" s="15">
        <f>'HIER Rechnung Ausschütter'!E29</f>
        <v>0.1870220986</v>
      </c>
      <c r="F29" s="12">
        <f t="shared" si="1"/>
        <v>2112138.002</v>
      </c>
      <c r="G29" s="15">
        <f>'HIER Rechnung Ausschütter'!H29</f>
        <v>0.02222227355</v>
      </c>
      <c r="H29" s="52">
        <f t="shared" si="2"/>
        <v>0.069</v>
      </c>
      <c r="I29" s="67">
        <v>0.069</v>
      </c>
      <c r="J29" s="44">
        <f t="shared" si="3"/>
        <v>1834528.1</v>
      </c>
      <c r="K29" s="52">
        <f t="shared" si="4"/>
        <v>0.05391654337</v>
      </c>
      <c r="L29" s="52">
        <f>K29-'HIER Rechnung Ausschütter'!J29</f>
        <v>-0.01988050223</v>
      </c>
      <c r="M29" s="51">
        <f>J29-'HIER Rechnung Ausschütter'!I29</f>
        <v>-274907.613</v>
      </c>
      <c r="N29" s="52">
        <f t="shared" si="5"/>
        <v>24.17049704</v>
      </c>
      <c r="O29" s="52">
        <f t="shared" si="6"/>
        <v>0.1314354943</v>
      </c>
      <c r="P29" s="57">
        <f t="shared" si="7"/>
        <v>371461.1797</v>
      </c>
      <c r="Q29" s="57">
        <f t="shared" si="8"/>
        <v>84074.69053</v>
      </c>
      <c r="R29" s="71">
        <f t="shared" si="9"/>
        <v>84074.69053</v>
      </c>
      <c r="S29" s="51">
        <f t="shared" si="10"/>
        <v>15522.28974</v>
      </c>
      <c r="T29" s="51">
        <f t="shared" si="22"/>
        <v>583442.107</v>
      </c>
      <c r="U29" s="51">
        <f t="shared" si="11"/>
        <v>277609.9023</v>
      </c>
      <c r="V29" s="51">
        <f t="shared" si="23"/>
        <v>226821.659</v>
      </c>
      <c r="W29" s="72">
        <f t="shared" si="12"/>
        <v>16543.75933</v>
      </c>
      <c r="X29" s="51">
        <f t="shared" si="13"/>
        <v>226821.659</v>
      </c>
      <c r="Y29" s="50"/>
      <c r="Z29" s="51">
        <f t="shared" si="14"/>
        <v>86595.93571</v>
      </c>
      <c r="AA29" s="51">
        <f t="shared" si="15"/>
        <v>191013.9666</v>
      </c>
      <c r="AB29" s="51">
        <f t="shared" si="16"/>
        <v>35265.95358</v>
      </c>
      <c r="AC29" s="73">
        <f t="shared" si="17"/>
        <v>75566.75731</v>
      </c>
      <c r="AD29" s="74">
        <f t="shared" si="24"/>
        <v>0</v>
      </c>
      <c r="AE29" s="51">
        <f>IF((R29+U29)&lt;AD29,(R29+U29)*'HIER Rechnung Ausschütter'!O$1,AD29*'HIER Rechnung Ausschütter'!O$1)</f>
        <v>0</v>
      </c>
      <c r="AF29" s="100">
        <f>AG29-'HIER Rechnung Ausschütter'!AM29</f>
        <v>12754.77875</v>
      </c>
      <c r="AG29" s="51">
        <f t="shared" si="18"/>
        <v>192562.06</v>
      </c>
      <c r="AH29" s="12"/>
      <c r="AI29" s="12"/>
    </row>
    <row r="30" ht="12.75" customHeight="1">
      <c r="A30" s="11">
        <v>27.0</v>
      </c>
      <c r="B30" s="40">
        <f t="shared" si="19"/>
        <v>16.78033975</v>
      </c>
      <c r="C30" s="41">
        <f t="shared" si="20"/>
        <v>109326.0403</v>
      </c>
      <c r="D30" s="12">
        <f t="shared" si="21"/>
        <v>1834528.1</v>
      </c>
      <c r="E30" s="15">
        <f>'HIER Rechnung Ausschütter'!E30</f>
        <v>0.117233208</v>
      </c>
      <c r="F30" s="12">
        <f t="shared" si="1"/>
        <v>2089189.922</v>
      </c>
      <c r="G30" s="15">
        <f>'HIER Rechnung Ausschütter'!H30</f>
        <v>0.01931805741</v>
      </c>
      <c r="H30" s="52">
        <f t="shared" si="2"/>
        <v>0.062</v>
      </c>
      <c r="I30" s="67">
        <v>0.062</v>
      </c>
      <c r="J30" s="44">
        <f t="shared" si="3"/>
        <v>1796550.446</v>
      </c>
      <c r="K30" s="52">
        <f t="shared" si="4"/>
        <v>-0.02070159295</v>
      </c>
      <c r="L30" s="52">
        <f>K30-'HIER Rechnung Ausschütter'!J30</f>
        <v>-0.02215801139</v>
      </c>
      <c r="M30" s="51">
        <f>J30-'HIER Rechnung Ausschütter'!I30</f>
        <v>-315957.488</v>
      </c>
      <c r="N30" s="52">
        <f t="shared" si="5"/>
        <v>27.66456434</v>
      </c>
      <c r="O30" s="52">
        <f t="shared" si="6"/>
        <v>0.14007318</v>
      </c>
      <c r="P30" s="57">
        <f t="shared" si="7"/>
        <v>254661.8221</v>
      </c>
      <c r="Q30" s="57">
        <f t="shared" si="8"/>
        <v>79618.51954</v>
      </c>
      <c r="R30" s="71">
        <f t="shared" si="9"/>
        <v>79618.51954</v>
      </c>
      <c r="S30" s="51">
        <f t="shared" si="10"/>
        <v>14699.56917</v>
      </c>
      <c r="T30" s="51">
        <f t="shared" si="22"/>
        <v>581336.0352</v>
      </c>
      <c r="U30" s="51">
        <f t="shared" si="11"/>
        <v>292639.4761</v>
      </c>
      <c r="V30" s="51">
        <f t="shared" si="23"/>
        <v>240884.6018</v>
      </c>
      <c r="W30" s="72">
        <f t="shared" si="12"/>
        <v>15313.64612</v>
      </c>
      <c r="X30" s="51">
        <f t="shared" si="13"/>
        <v>240884.6018</v>
      </c>
      <c r="Y30" s="50"/>
      <c r="Z30" s="51">
        <f t="shared" si="14"/>
        <v>91933.69381</v>
      </c>
      <c r="AA30" s="51">
        <f t="shared" si="15"/>
        <v>200705.7822</v>
      </c>
      <c r="AB30" s="51">
        <f t="shared" si="16"/>
        <v>37055.30505</v>
      </c>
      <c r="AC30" s="73">
        <f t="shared" si="17"/>
        <v>81724.59129</v>
      </c>
      <c r="AD30" s="74">
        <f t="shared" si="24"/>
        <v>0</v>
      </c>
      <c r="AE30" s="51">
        <f>IF((R30+U30)&lt;AD30,(R30+U30)*'HIER Rechnung Ausschütter'!O$1,AD30*'HIER Rechnung Ausschütter'!O$1)</f>
        <v>0</v>
      </c>
      <c r="AF30" s="100">
        <f>AG30-'HIER Rechnung Ausschütter'!AM30</f>
        <v>10950.91733</v>
      </c>
      <c r="AG30" s="51">
        <f t="shared" si="18"/>
        <v>196227.0112</v>
      </c>
      <c r="AH30" s="12"/>
      <c r="AI30" s="12"/>
    </row>
    <row r="31" ht="12.75" customHeight="1">
      <c r="A31" s="11">
        <v>28.0</v>
      </c>
      <c r="B31" s="40">
        <f t="shared" si="19"/>
        <v>19.10971911</v>
      </c>
      <c r="C31" s="41">
        <f t="shared" si="20"/>
        <v>94012.39417</v>
      </c>
      <c r="D31" s="12">
        <f t="shared" si="21"/>
        <v>1796550.446</v>
      </c>
      <c r="E31" s="15">
        <f>'HIER Rechnung Ausschütter'!E31</f>
        <v>0.1416801363</v>
      </c>
      <c r="F31" s="12">
        <f t="shared" si="1"/>
        <v>2086984.713</v>
      </c>
      <c r="G31" s="15">
        <f>'HIER Rechnung Ausschütter'!H31</f>
        <v>0.01750231633</v>
      </c>
      <c r="H31" s="52">
        <f t="shared" si="2"/>
        <v>0.056</v>
      </c>
      <c r="I31" s="67">
        <v>0.056</v>
      </c>
      <c r="J31" s="44">
        <f t="shared" si="3"/>
        <v>1780482.609</v>
      </c>
      <c r="K31" s="52">
        <f t="shared" si="4"/>
        <v>-0.008943715968</v>
      </c>
      <c r="L31" s="52">
        <f>K31-'HIER Rechnung Ausschütter'!J31</f>
        <v>-0.0265802982</v>
      </c>
      <c r="M31" s="51">
        <f>J31-'HIER Rechnung Ausschütter'!I31</f>
        <v>-369282.7448</v>
      </c>
      <c r="N31" s="52">
        <f t="shared" si="5"/>
        <v>32.29854039</v>
      </c>
      <c r="O31" s="52">
        <f t="shared" si="6"/>
        <v>0.1468636077</v>
      </c>
      <c r="P31" s="57">
        <f t="shared" si="7"/>
        <v>290434.2674</v>
      </c>
      <c r="Q31" s="57">
        <f t="shared" si="8"/>
        <v>70424.77748</v>
      </c>
      <c r="R31" s="71">
        <f t="shared" si="9"/>
        <v>70424.77748</v>
      </c>
      <c r="S31" s="51">
        <f t="shared" si="10"/>
        <v>13002.17454</v>
      </c>
      <c r="T31" s="51">
        <f t="shared" si="22"/>
        <v>566383.7053</v>
      </c>
      <c r="U31" s="51">
        <f t="shared" si="11"/>
        <v>306502.1043</v>
      </c>
      <c r="V31" s="51">
        <f t="shared" si="23"/>
        <v>254374.1395</v>
      </c>
      <c r="W31" s="72">
        <f t="shared" si="12"/>
        <v>13806.99938</v>
      </c>
      <c r="X31" s="51">
        <f t="shared" si="13"/>
        <v>254374.1395</v>
      </c>
      <c r="Y31" s="50"/>
      <c r="Z31" s="51">
        <f t="shared" si="14"/>
        <v>94581.77829</v>
      </c>
      <c r="AA31" s="51">
        <f t="shared" si="15"/>
        <v>211920.326</v>
      </c>
      <c r="AB31" s="51">
        <f t="shared" si="16"/>
        <v>39125.79018</v>
      </c>
      <c r="AC31" s="73">
        <f t="shared" si="17"/>
        <v>85377.10744</v>
      </c>
      <c r="AD31" s="74">
        <f t="shared" si="24"/>
        <v>0</v>
      </c>
      <c r="AE31" s="51">
        <f>IF((R31+U31)&lt;AD31,(R31+U31)*'HIER Rechnung Ausschütter'!O$1,AD31*'HIER Rechnung Ausschütter'!O$1)</f>
        <v>0</v>
      </c>
      <c r="AF31" s="100">
        <f>AG31-'HIER Rechnung Ausschütter'!AM31</f>
        <v>8518.974339</v>
      </c>
      <c r="AG31" s="51">
        <f t="shared" si="18"/>
        <v>197641.5724</v>
      </c>
      <c r="AH31" s="12"/>
      <c r="AI31" s="12"/>
    </row>
    <row r="32" ht="12.75" customHeight="1">
      <c r="A32" s="11">
        <v>29.0</v>
      </c>
      <c r="B32" s="40">
        <f t="shared" si="19"/>
        <v>22.19903803</v>
      </c>
      <c r="C32" s="41">
        <f t="shared" si="20"/>
        <v>80205.39479</v>
      </c>
      <c r="D32" s="12">
        <f t="shared" si="21"/>
        <v>1780482.609</v>
      </c>
      <c r="E32" s="15">
        <f>'HIER Rechnung Ausschütter'!E32</f>
        <v>0.2278059473</v>
      </c>
      <c r="F32" s="12">
        <f t="shared" si="1"/>
        <v>2223522.998</v>
      </c>
      <c r="G32" s="15">
        <f>'HIER Rechnung Ausschütter'!H32</f>
        <v>0.01712459737</v>
      </c>
      <c r="H32" s="52">
        <f t="shared" si="2"/>
        <v>0.046</v>
      </c>
      <c r="I32" s="67">
        <v>0.046</v>
      </c>
      <c r="J32" s="44">
        <f t="shared" si="3"/>
        <v>1904364.687</v>
      </c>
      <c r="K32" s="52">
        <f t="shared" si="4"/>
        <v>0.06957780867</v>
      </c>
      <c r="L32" s="52">
        <f>K32-'HIER Rechnung Ausschütter'!J32</f>
        <v>-0.03154451595</v>
      </c>
      <c r="M32" s="51">
        <f>J32-'HIER Rechnung Ausschütter'!I32</f>
        <v>-462789.9365</v>
      </c>
      <c r="N32" s="52">
        <f t="shared" si="5"/>
        <v>40.58427047</v>
      </c>
      <c r="O32" s="52">
        <f t="shared" si="6"/>
        <v>0.1435372206</v>
      </c>
      <c r="P32" s="57">
        <f t="shared" si="7"/>
        <v>443040.3895</v>
      </c>
      <c r="Q32" s="57">
        <f t="shared" si="8"/>
        <v>57331.54001</v>
      </c>
      <c r="R32" s="71">
        <f t="shared" si="9"/>
        <v>57331.54001</v>
      </c>
      <c r="S32" s="51">
        <f t="shared" si="10"/>
        <v>10584.83557</v>
      </c>
      <c r="T32" s="51">
        <f t="shared" si="22"/>
        <v>542418.1024</v>
      </c>
      <c r="U32" s="51">
        <f t="shared" si="11"/>
        <v>319158.3111</v>
      </c>
      <c r="V32" s="51">
        <f t="shared" si="23"/>
        <v>266075.35</v>
      </c>
      <c r="W32" s="72">
        <f t="shared" si="12"/>
        <v>11512.45945</v>
      </c>
      <c r="X32" s="51">
        <f t="shared" si="13"/>
        <v>266075.35</v>
      </c>
      <c r="Y32" s="50"/>
      <c r="Z32" s="51">
        <f t="shared" si="14"/>
        <v>88972.11965</v>
      </c>
      <c r="AA32" s="51">
        <f t="shared" si="15"/>
        <v>230186.1915</v>
      </c>
      <c r="AB32" s="51">
        <f t="shared" si="16"/>
        <v>42498.1256</v>
      </c>
      <c r="AC32" s="73">
        <f t="shared" si="17"/>
        <v>81297.14285</v>
      </c>
      <c r="AD32" s="74">
        <f t="shared" si="24"/>
        <v>0</v>
      </c>
      <c r="AE32" s="51">
        <f>IF((R32+U32)&lt;AD32,(R32+U32)*'HIER Rechnung Ausschütter'!O$1,AD32*'HIER Rechnung Ausschütter'!O$1)</f>
        <v>0</v>
      </c>
      <c r="AF32" s="100">
        <f>AG32-'HIER Rechnung Ausschütter'!AM32</f>
        <v>6134.462195</v>
      </c>
      <c r="AG32" s="51">
        <f t="shared" si="18"/>
        <v>201262.412</v>
      </c>
      <c r="AH32" s="12"/>
      <c r="AI32" s="12"/>
    </row>
    <row r="33" ht="12.75" customHeight="1">
      <c r="A33" s="11">
        <v>30.0</v>
      </c>
      <c r="B33" s="40">
        <f t="shared" si="19"/>
        <v>27.72286084</v>
      </c>
      <c r="C33" s="41">
        <f t="shared" si="20"/>
        <v>68692.93535</v>
      </c>
      <c r="D33" s="12">
        <f t="shared" si="21"/>
        <v>1904364.687</v>
      </c>
      <c r="E33" s="15">
        <f>'HIER Rechnung Ausschütter'!E33</f>
        <v>0.2356037469</v>
      </c>
      <c r="F33" s="12">
        <f t="shared" si="1"/>
        <v>2388631.076</v>
      </c>
      <c r="G33" s="15">
        <f>'HIER Rechnung Ausschütter'!H33</f>
        <v>0.01512551027</v>
      </c>
      <c r="H33" s="52">
        <f t="shared" si="2"/>
        <v>0.045</v>
      </c>
      <c r="I33" s="67">
        <v>0.045</v>
      </c>
      <c r="J33" s="44">
        <f t="shared" si="3"/>
        <v>2052768.477</v>
      </c>
      <c r="K33" s="52">
        <f t="shared" si="4"/>
        <v>0.07792824044</v>
      </c>
      <c r="L33" s="52">
        <f>K33-'HIER Rechnung Ausschütter'!J33</f>
        <v>-0.03301106503</v>
      </c>
      <c r="M33" s="51">
        <f>J33-'HIER Rechnung Ausschütter'!I33</f>
        <v>-576996.6372</v>
      </c>
      <c r="N33" s="52">
        <f t="shared" si="5"/>
        <v>51.15885454</v>
      </c>
      <c r="O33" s="52">
        <f t="shared" si="6"/>
        <v>0.140608821</v>
      </c>
      <c r="P33" s="57">
        <f t="shared" si="7"/>
        <v>484266.3887</v>
      </c>
      <c r="Q33" s="57">
        <f t="shared" si="8"/>
        <v>59987.48765</v>
      </c>
      <c r="R33" s="71">
        <f t="shared" si="9"/>
        <v>59987.48765</v>
      </c>
      <c r="S33" s="51">
        <f t="shared" si="10"/>
        <v>11075.18991</v>
      </c>
      <c r="T33" s="51">
        <f t="shared" si="22"/>
        <v>526136.8202</v>
      </c>
      <c r="U33" s="51">
        <f t="shared" si="11"/>
        <v>335862.5995</v>
      </c>
      <c r="V33" s="51">
        <f t="shared" si="23"/>
        <v>278048.7407</v>
      </c>
      <c r="W33" s="72">
        <f t="shared" si="12"/>
        <v>9658.832653</v>
      </c>
      <c r="X33" s="51">
        <f t="shared" si="13"/>
        <v>278048.7407</v>
      </c>
      <c r="Y33" s="50"/>
      <c r="Z33" s="51">
        <f t="shared" si="14"/>
        <v>82707.99488</v>
      </c>
      <c r="AA33" s="51">
        <f t="shared" si="15"/>
        <v>253154.6046</v>
      </c>
      <c r="AB33" s="51">
        <f t="shared" si="16"/>
        <v>46738.66888</v>
      </c>
      <c r="AC33" s="73">
        <f t="shared" si="17"/>
        <v>76268.76989</v>
      </c>
      <c r="AD33" s="74">
        <f t="shared" si="24"/>
        <v>0</v>
      </c>
      <c r="AE33" s="51">
        <f>IF((R33+U33)&lt;AD33,(R33+U33)*'HIER Rechnung Ausschütter'!O$1,AD33*'HIER Rechnung Ausschütter'!O$1)</f>
        <v>0</v>
      </c>
      <c r="AF33" s="100">
        <f>AG33-'HIER Rechnung Ausschütter'!AM33</f>
        <v>-13184.78486</v>
      </c>
      <c r="AG33" s="51">
        <f t="shared" si="18"/>
        <v>219199.4646</v>
      </c>
      <c r="AH33" s="12"/>
      <c r="AI33" s="12"/>
    </row>
    <row r="34" ht="12.75" customHeight="1">
      <c r="B34" s="40">
        <f t="shared" si="19"/>
        <v>34.77258708</v>
      </c>
      <c r="C34" s="41">
        <f t="shared" si="20"/>
        <v>59034.1027</v>
      </c>
      <c r="D34" s="12">
        <f t="shared" si="21"/>
        <v>2052768.477</v>
      </c>
      <c r="E34" s="15" t="str">
        <f>'HIER Rechnung Ausschütter'!E34</f>
        <v/>
      </c>
      <c r="F34" s="12"/>
      <c r="H34" s="52"/>
      <c r="I34" s="52"/>
      <c r="J34" s="12"/>
    </row>
    <row r="35" ht="12.75" customHeight="1">
      <c r="A35" s="18"/>
      <c r="B35" s="18"/>
      <c r="C35" s="18"/>
      <c r="D35" s="18"/>
      <c r="E35" s="18"/>
      <c r="F35" s="18"/>
      <c r="G35" s="18"/>
      <c r="H35" s="26"/>
      <c r="I35" s="2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32">
        <f t="shared" ref="U35:V35" si="25">SUM(U4:U34)</f>
        <v>4656784.854</v>
      </c>
      <c r="V35" s="32">
        <f t="shared" si="25"/>
        <v>3815705.217</v>
      </c>
      <c r="W35" s="18"/>
      <c r="X35" s="101">
        <f>SUM(X4:X34)</f>
        <v>3815705.217</v>
      </c>
      <c r="Y35" s="18"/>
      <c r="Z35" s="18"/>
      <c r="AA35" s="32"/>
      <c r="AB35" s="18"/>
      <c r="AC35" s="18"/>
      <c r="AD35" s="18"/>
      <c r="AE35" s="18"/>
      <c r="AF35" s="18"/>
      <c r="AG35" s="32">
        <f>SUM(AG4:AG34)</f>
        <v>3188927.534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ht="12.75" customHeight="1">
      <c r="A36" s="18"/>
      <c r="B36" s="1" t="s">
        <v>72</v>
      </c>
      <c r="C36" s="18"/>
      <c r="D36" s="26">
        <f>J33/D4-1</f>
        <v>1.052768477</v>
      </c>
      <c r="E36" s="18"/>
      <c r="F36" s="18"/>
      <c r="G36" s="18"/>
      <c r="H36" s="26">
        <f>AVERAGE(H3:H34)</f>
        <v>0.07446666667</v>
      </c>
      <c r="I36" s="26"/>
      <c r="J36" s="18"/>
      <c r="K36" s="18"/>
      <c r="L36" s="18"/>
      <c r="M36" s="18"/>
      <c r="N36" s="26">
        <f>(N33+1)^(1/30)-1</f>
        <v>0.1408912995</v>
      </c>
      <c r="O36" s="26">
        <f>AVERAGE(O4:O34)</f>
        <v>0.08948815313</v>
      </c>
      <c r="P36" s="18"/>
      <c r="Q36" s="18"/>
      <c r="R36" s="32">
        <f>SUM(R4:R33)</f>
        <v>1588563.804</v>
      </c>
      <c r="S36" s="32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ht="12.75" customHeight="1">
      <c r="A37" s="18"/>
      <c r="B37" s="1" t="s">
        <v>73</v>
      </c>
      <c r="C37" s="18"/>
      <c r="D37" s="26">
        <f>(J33/C4)^(1/29)-1</f>
        <v>0.02510970184</v>
      </c>
      <c r="E37" s="18"/>
      <c r="F37" s="18"/>
      <c r="G37" s="18"/>
      <c r="H37" s="26"/>
      <c r="I37" s="2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59"/>
      <c r="Y37" s="59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ht="12.75" customHeight="1">
      <c r="A38" s="18"/>
      <c r="B38" s="18"/>
      <c r="C38" s="18"/>
      <c r="D38" s="18"/>
      <c r="E38" s="18"/>
      <c r="F38" s="18"/>
      <c r="G38" s="18"/>
      <c r="H38" s="26"/>
      <c r="I38" s="2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02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ht="12.75" customHeight="1">
      <c r="A39" s="18"/>
      <c r="B39" s="27" t="s">
        <v>74</v>
      </c>
      <c r="C39" s="22"/>
      <c r="D39" s="28">
        <f>'HIER Rechnung Ausschütter'!D37-D37</f>
        <v>0.008793535452</v>
      </c>
      <c r="E39" s="22" t="s">
        <v>17</v>
      </c>
      <c r="F39" s="18"/>
      <c r="G39" s="18"/>
      <c r="H39" s="26"/>
      <c r="I39" s="2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ht="12.75" customHeight="1">
      <c r="A42" s="18"/>
      <c r="B42" s="61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ht="12.75" customHeight="1">
      <c r="A43" s="18"/>
      <c r="B43" s="14" t="s">
        <v>76</v>
      </c>
      <c r="C43" s="32">
        <f>((B34-D1)*C34)-T33</f>
        <v>1487275.568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ht="12.75" customHeight="1">
      <c r="A44" s="18"/>
      <c r="B44" s="14" t="s">
        <v>77</v>
      </c>
      <c r="C44" s="32">
        <f>C43*V1</f>
        <v>274588.2518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ht="12.75" customHeight="1">
      <c r="A45" s="18"/>
      <c r="B45" s="14" t="s">
        <v>78</v>
      </c>
      <c r="C45" s="32">
        <f>J33-C44</f>
        <v>1778180.225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ht="12.75" customHeight="1">
      <c r="A46" s="18"/>
      <c r="B46" s="1" t="s">
        <v>73</v>
      </c>
      <c r="C46" s="26">
        <f>(C45/C4)^(1/29)-1</f>
        <v>0.0200462283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ht="12.75" customHeight="1">
      <c r="A48" s="18"/>
      <c r="B48" s="22" t="s">
        <v>79</v>
      </c>
      <c r="C48" s="28">
        <f>'HIER Rechnung Ausschütter'!C46-C46</f>
        <v>0.007049626306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29" t="s">
        <v>97</v>
      </c>
      <c r="B1" s="1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18"/>
      <c r="I1" s="18"/>
      <c r="J1" s="18"/>
      <c r="K1" s="1"/>
      <c r="L1" s="18"/>
      <c r="M1" s="18"/>
      <c r="N1" s="18"/>
      <c r="O1" s="14" t="s">
        <v>98</v>
      </c>
      <c r="P1" s="34">
        <f>'HIER Rechnung Ausschütter'!P1</f>
        <v>0.26375</v>
      </c>
      <c r="Q1" s="34"/>
      <c r="R1" s="34"/>
      <c r="S1" s="18"/>
      <c r="T1" s="33"/>
      <c r="U1" s="34"/>
      <c r="V1" s="14"/>
      <c r="W1" s="14"/>
      <c r="X1" s="14" t="s">
        <v>39</v>
      </c>
      <c r="Y1" s="32">
        <f>'HIER Rechnung Ausschütter'!X1</f>
        <v>35000</v>
      </c>
      <c r="Z1" s="1"/>
      <c r="AA1" s="33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7" t="s">
        <v>101</v>
      </c>
      <c r="I2" s="14" t="s">
        <v>47</v>
      </c>
      <c r="J2" s="14" t="s">
        <v>48</v>
      </c>
      <c r="K2" s="14" t="s">
        <v>102</v>
      </c>
      <c r="L2" s="14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03"/>
      <c r="F3" s="12"/>
      <c r="G3" s="17"/>
      <c r="H3" s="44">
        <f t="shared" ref="H3:H33" si="1">C4*B4</f>
        <v>1000000</v>
      </c>
      <c r="I3" s="45"/>
      <c r="J3" s="45"/>
      <c r="K3" s="51"/>
      <c r="L3" s="12"/>
      <c r="M3" s="12"/>
      <c r="N3" s="12"/>
      <c r="O3" s="12"/>
      <c r="P3" s="15"/>
      <c r="R3" s="12"/>
      <c r="S3" s="15"/>
      <c r="T3" s="41"/>
      <c r="U3" s="46"/>
      <c r="V3" s="12"/>
      <c r="W3" s="12"/>
      <c r="X3" s="12"/>
      <c r="Y3" s="12"/>
      <c r="Z3" s="12"/>
      <c r="AA3" s="15"/>
      <c r="AC3" s="12"/>
      <c r="AE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C4*B4</f>
        <v>1000000</v>
      </c>
      <c r="E4" s="103">
        <f>'HIER Rechnung Ausschütter'!E4+'HIER Rechnung Ausschütter'!K$1</f>
        <v>-0.05708</v>
      </c>
      <c r="F4" s="12">
        <f t="shared" ref="F4:F33" si="2">D4*(1+E4)</f>
        <v>942920</v>
      </c>
      <c r="G4" s="17">
        <v>0.03725</v>
      </c>
      <c r="H4" s="44">
        <f t="shared" si="1"/>
        <v>933579.8584</v>
      </c>
      <c r="I4" s="49">
        <f t="shared" ref="I4:I33" si="3">H4/D4-1</f>
        <v>-0.06642014157</v>
      </c>
      <c r="J4" s="49">
        <f t="shared" ref="J4:J33" si="4">B5/B$4-1</f>
        <v>-0.05708</v>
      </c>
      <c r="K4" s="51">
        <f>H4-'HIER Rechnung Thesaurierer '!J4</f>
        <v>-2036.534153</v>
      </c>
      <c r="L4" s="50"/>
      <c r="M4" s="51">
        <f t="shared" ref="M4:M33" si="5">F4*G4</f>
        <v>35123.77</v>
      </c>
      <c r="N4" s="51">
        <f t="shared" ref="N4:N33" si="6">M4-O4</f>
        <v>25859.87566</v>
      </c>
      <c r="O4" s="51">
        <f t="shared" ref="O4:O33" si="7">M4*P$1-AD4</f>
        <v>9263.894338</v>
      </c>
      <c r="P4" s="52">
        <f>(M4+U4)/H4</f>
        <v>0.04823296044</v>
      </c>
      <c r="Q4" s="51">
        <f>Y1</f>
        <v>35000</v>
      </c>
      <c r="R4" s="51">
        <f t="shared" ref="R4:R33" si="8">N4+Y4</f>
        <v>35000</v>
      </c>
      <c r="S4" s="15"/>
      <c r="T4" s="53">
        <f t="shared" ref="T4:T33" si="9">U4/B5</f>
        <v>10505.18642</v>
      </c>
      <c r="U4" s="54">
        <f t="shared" ref="U4:U33" si="10">Q4-N4+W4</f>
        <v>9905.550381</v>
      </c>
      <c r="V4" s="51">
        <f t="shared" ref="V4:V33" si="11">U4-X4</f>
        <v>2902.089265</v>
      </c>
      <c r="W4" s="51">
        <f t="shared" ref="W4:W33" si="12">V4*P$1</f>
        <v>765.4260435</v>
      </c>
      <c r="X4" s="51">
        <f t="shared" ref="X4:X33" si="13">T4*D$1</f>
        <v>7003.461116</v>
      </c>
      <c r="Y4" s="51">
        <f t="shared" ref="Y4:Y33" si="14">U4-W4</f>
        <v>9140.124338</v>
      </c>
      <c r="Z4" s="12"/>
      <c r="AA4" s="52"/>
      <c r="AB4" s="11"/>
      <c r="AC4" s="51">
        <f>'HIER Rechnung Ausschütter'!S1</f>
        <v>0</v>
      </c>
      <c r="AD4" s="51">
        <f>IF((M4+U4)&lt;AC4,(M4+U4)*'HIER Rechnung Ausschütter'!O$1,AC4*'HIER Rechnung Ausschütter'!O$1)</f>
        <v>0</v>
      </c>
      <c r="AE4" s="12">
        <f>'HIER Rechnung Ausschütter'!AM4-AG4</f>
        <v>-14816.70515</v>
      </c>
      <c r="AF4" s="63">
        <f>'HIER Rechnung Ausschütter'!S1</f>
        <v>0</v>
      </c>
      <c r="AG4" s="12">
        <f t="shared" ref="AG4:AG33" si="15">M4+V4</f>
        <v>38025.85926</v>
      </c>
    </row>
    <row r="5" ht="12.75" customHeight="1">
      <c r="A5" s="11">
        <v>2.0</v>
      </c>
      <c r="B5" s="40">
        <f t="shared" ref="B5:B34" si="16">B4*(1+E4)</f>
        <v>0.94292</v>
      </c>
      <c r="C5" s="41">
        <f>C4-U4</f>
        <v>990094.4496</v>
      </c>
      <c r="D5" s="12">
        <f t="shared" ref="D5:D33" si="17">H4</f>
        <v>933579.8584</v>
      </c>
      <c r="E5" s="15">
        <f>'HIER Rechnung Ausschütter'!E5+'HIER Rechnung Ausschütter'!K$1</f>
        <v>0.155909303</v>
      </c>
      <c r="F5" s="12">
        <f t="shared" si="2"/>
        <v>1079133.643</v>
      </c>
      <c r="G5" s="17">
        <v>0.039730228901771</v>
      </c>
      <c r="H5" s="44">
        <f t="shared" si="1"/>
        <v>1072188.433</v>
      </c>
      <c r="I5" s="49">
        <f t="shared" si="3"/>
        <v>0.1484699706</v>
      </c>
      <c r="J5" s="49">
        <f t="shared" si="4"/>
        <v>0.08993</v>
      </c>
      <c r="K5" s="51">
        <f>H5-'HIER Rechnung Thesaurierer '!J5</f>
        <v>5708.966977</v>
      </c>
      <c r="L5" s="50"/>
      <c r="M5" s="51">
        <f t="shared" si="5"/>
        <v>42874.22667</v>
      </c>
      <c r="N5" s="51">
        <f t="shared" si="6"/>
        <v>31566.14939</v>
      </c>
      <c r="O5" s="51">
        <f t="shared" si="7"/>
        <v>11308.07728</v>
      </c>
      <c r="P5" s="52">
        <f t="shared" ref="P5:P33" si="18">R5/H5</f>
        <v>0.03525499702</v>
      </c>
      <c r="Q5" s="51">
        <f>Q4*(1+'HIER Rechnung Thesaurierer '!I5)</f>
        <v>37800</v>
      </c>
      <c r="R5" s="51">
        <f t="shared" si="8"/>
        <v>37800</v>
      </c>
      <c r="S5" s="15"/>
      <c r="T5" s="53">
        <f t="shared" si="9"/>
        <v>6372.162325</v>
      </c>
      <c r="U5" s="54">
        <f t="shared" si="10"/>
        <v>6945.210882</v>
      </c>
      <c r="V5" s="51">
        <f t="shared" si="11"/>
        <v>2697.100542</v>
      </c>
      <c r="W5" s="51">
        <f t="shared" si="12"/>
        <v>711.3602678</v>
      </c>
      <c r="X5" s="51">
        <f t="shared" si="13"/>
        <v>4248.11034</v>
      </c>
      <c r="Y5" s="51">
        <f t="shared" si="14"/>
        <v>6233.850614</v>
      </c>
      <c r="Z5" s="12"/>
      <c r="AA5" s="52"/>
      <c r="AB5" s="11"/>
      <c r="AC5" s="51">
        <f>AC4*(1+'HIER Rechnung Thesaurierer '!I5)</f>
        <v>0</v>
      </c>
      <c r="AD5" s="51">
        <f>IF((M5+U5)&lt;AC5,(M5+U5)*'HIER Rechnung Ausschütter'!O$1,AC5*'HIER Rechnung Ausschütter'!O$1)</f>
        <v>0</v>
      </c>
      <c r="AE5" s="12">
        <f>'HIER Rechnung Ausschütter'!AM5-AG5</f>
        <v>-5810.458687</v>
      </c>
      <c r="AF5" s="63">
        <f>AF4*(1+'HIER Rechnung Thesaurierer '!I4)</f>
        <v>0</v>
      </c>
      <c r="AG5" s="12">
        <f t="shared" si="15"/>
        <v>45571.32721</v>
      </c>
    </row>
    <row r="6" ht="12.75" customHeight="1">
      <c r="A6" s="11">
        <v>3.0</v>
      </c>
      <c r="B6" s="40">
        <f t="shared" si="16"/>
        <v>1.08993</v>
      </c>
      <c r="C6" s="41">
        <f t="shared" ref="C6:C34" si="19">C5-T5</f>
        <v>983722.2873</v>
      </c>
      <c r="D6" s="12">
        <f t="shared" si="17"/>
        <v>1072188.433</v>
      </c>
      <c r="E6" s="15">
        <f>'HIER Rechnung Ausschütter'!E6+'HIER Rechnung Ausschütter'!K$1</f>
        <v>0.1994990504</v>
      </c>
      <c r="F6" s="12">
        <f t="shared" si="2"/>
        <v>1286089.007</v>
      </c>
      <c r="G6" s="17">
        <v>0.035984297583803</v>
      </c>
      <c r="H6" s="44">
        <f t="shared" si="1"/>
        <v>1278379.187</v>
      </c>
      <c r="I6" s="49">
        <f t="shared" si="3"/>
        <v>0.1923083184</v>
      </c>
      <c r="J6" s="49">
        <f t="shared" si="4"/>
        <v>0.30737</v>
      </c>
      <c r="K6" s="51">
        <f>H6-'HIER Rechnung Thesaurierer '!J6</f>
        <v>16897.80372</v>
      </c>
      <c r="L6" s="50"/>
      <c r="M6" s="51">
        <f t="shared" si="5"/>
        <v>46279.00954</v>
      </c>
      <c r="N6" s="51">
        <f t="shared" si="6"/>
        <v>34072.92077</v>
      </c>
      <c r="O6" s="51">
        <f t="shared" si="7"/>
        <v>12206.08877</v>
      </c>
      <c r="P6" s="52">
        <f t="shared" si="18"/>
        <v>0.03190461829</v>
      </c>
      <c r="Q6" s="51">
        <f>Q5*(1+'HIER Rechnung Thesaurierer '!I6)</f>
        <v>40786.2</v>
      </c>
      <c r="R6" s="51">
        <f t="shared" si="8"/>
        <v>40786.2</v>
      </c>
      <c r="S6" s="15"/>
      <c r="T6" s="53">
        <f t="shared" si="9"/>
        <v>5897.197945</v>
      </c>
      <c r="U6" s="54">
        <f t="shared" si="10"/>
        <v>7709.819678</v>
      </c>
      <c r="V6" s="51">
        <f t="shared" si="11"/>
        <v>3778.352416</v>
      </c>
      <c r="W6" s="51">
        <f t="shared" si="12"/>
        <v>996.5404497</v>
      </c>
      <c r="X6" s="51">
        <f t="shared" si="13"/>
        <v>3931.467262</v>
      </c>
      <c r="Y6" s="51">
        <f t="shared" si="14"/>
        <v>6713.279228</v>
      </c>
      <c r="Z6" s="12"/>
      <c r="AA6" s="52"/>
      <c r="AB6" s="11"/>
      <c r="AC6" s="51">
        <f>AC5*(1+'HIER Rechnung Thesaurierer '!I6)</f>
        <v>0</v>
      </c>
      <c r="AD6" s="51">
        <f>IF((M6+U6)&lt;AC6,(M6+U6)*'HIER Rechnung Ausschütter'!O$1,AC6*'HIER Rechnung Ausschütter'!O$1)</f>
        <v>0</v>
      </c>
      <c r="AE6" s="12">
        <f>'HIER Rechnung Ausschütter'!AM6-AG6</f>
        <v>-4256.060463</v>
      </c>
      <c r="AF6" s="63">
        <f>AF5*(1+'HIER Rechnung Thesaurierer '!I5)</f>
        <v>0</v>
      </c>
      <c r="AG6" s="12">
        <f t="shared" si="15"/>
        <v>50057.36195</v>
      </c>
    </row>
    <row r="7" ht="12.75" customHeight="1">
      <c r="A7" s="11">
        <v>4.0</v>
      </c>
      <c r="B7" s="40">
        <f t="shared" si="16"/>
        <v>1.30737</v>
      </c>
      <c r="C7" s="41">
        <f t="shared" si="19"/>
        <v>977825.0893</v>
      </c>
      <c r="D7" s="12">
        <f t="shared" si="17"/>
        <v>1278379.187</v>
      </c>
      <c r="E7" s="15">
        <f>'HIER Rechnung Ausschütter'!E7+'HIER Rechnung Ausschütter'!K$1</f>
        <v>-0.1707779741</v>
      </c>
      <c r="F7" s="12">
        <f t="shared" si="2"/>
        <v>1060060.179</v>
      </c>
      <c r="G7" s="17">
        <v>0.025719613716671</v>
      </c>
      <c r="H7" s="44">
        <f t="shared" si="1"/>
        <v>1032784.161</v>
      </c>
      <c r="I7" s="49">
        <f t="shared" si="3"/>
        <v>-0.1921143809</v>
      </c>
      <c r="J7" s="49">
        <f t="shared" si="4"/>
        <v>0.0841</v>
      </c>
      <c r="K7" s="51">
        <f>H7-'HIER Rechnung Thesaurierer '!J7</f>
        <v>11530.42522</v>
      </c>
      <c r="L7" s="50"/>
      <c r="M7" s="51">
        <f t="shared" si="5"/>
        <v>27264.33833</v>
      </c>
      <c r="N7" s="51">
        <f t="shared" si="6"/>
        <v>20073.3691</v>
      </c>
      <c r="O7" s="51">
        <f t="shared" si="7"/>
        <v>7190.969234</v>
      </c>
      <c r="P7" s="52">
        <f t="shared" si="18"/>
        <v>0.04316421405</v>
      </c>
      <c r="Q7" s="51">
        <f>Q6*(1+'HIER Rechnung Thesaurierer '!I7)</f>
        <v>44579.3166</v>
      </c>
      <c r="R7" s="51">
        <f t="shared" si="8"/>
        <v>44579.3166</v>
      </c>
      <c r="S7" s="15"/>
      <c r="T7" s="53">
        <f t="shared" si="9"/>
        <v>25160.05752</v>
      </c>
      <c r="U7" s="54">
        <f t="shared" si="10"/>
        <v>27276.01836</v>
      </c>
      <c r="V7" s="51">
        <f t="shared" si="11"/>
        <v>10502.63829</v>
      </c>
      <c r="W7" s="51">
        <f t="shared" si="12"/>
        <v>2770.070849</v>
      </c>
      <c r="X7" s="51">
        <f t="shared" si="13"/>
        <v>16773.38007</v>
      </c>
      <c r="Y7" s="51">
        <f t="shared" si="14"/>
        <v>24505.94751</v>
      </c>
      <c r="Z7" s="12"/>
      <c r="AA7" s="52"/>
      <c r="AB7" s="11"/>
      <c r="AC7" s="51">
        <f>AC6*(1+'HIER Rechnung Thesaurierer '!I7)</f>
        <v>0</v>
      </c>
      <c r="AD7" s="51">
        <f>IF((M7+U7)&lt;AC7,(M7+U7)*'HIER Rechnung Ausschütter'!O$1,AC7*'HIER Rechnung Ausschütter'!O$1)</f>
        <v>0</v>
      </c>
      <c r="AE7" s="12">
        <f>'HIER Rechnung Ausschütter'!AM7-AG7</f>
        <v>-14980.0691</v>
      </c>
      <c r="AF7" s="63">
        <f>AF6*(1+'HIER Rechnung Thesaurierer '!I6)</f>
        <v>0</v>
      </c>
      <c r="AG7" s="12">
        <f t="shared" si="15"/>
        <v>37766.97662</v>
      </c>
    </row>
    <row r="8" ht="12.75" customHeight="1">
      <c r="A8" s="11">
        <v>5.0</v>
      </c>
      <c r="B8" s="40">
        <f t="shared" si="16"/>
        <v>1.0841</v>
      </c>
      <c r="C8" s="41">
        <f t="shared" si="19"/>
        <v>952665.0318</v>
      </c>
      <c r="D8" s="12">
        <f t="shared" si="17"/>
        <v>1032784.161</v>
      </c>
      <c r="E8" s="15">
        <f>'HIER Rechnung Ausschütter'!E8+'HIER Rechnung Ausschütter'!K$1</f>
        <v>-0.2783230329</v>
      </c>
      <c r="F8" s="12">
        <f t="shared" si="2"/>
        <v>745336.541</v>
      </c>
      <c r="G8" s="17">
        <v>0.033523498245962</v>
      </c>
      <c r="H8" s="44">
        <f t="shared" si="1"/>
        <v>713266.2131</v>
      </c>
      <c r="I8" s="49">
        <f t="shared" si="3"/>
        <v>-0.3093753371</v>
      </c>
      <c r="J8" s="49">
        <f t="shared" si="4"/>
        <v>-0.21763</v>
      </c>
      <c r="K8" s="51">
        <f>H8-'HIER Rechnung Thesaurierer '!J8</f>
        <v>5626.141247</v>
      </c>
      <c r="L8" s="50"/>
      <c r="M8" s="51">
        <f t="shared" si="5"/>
        <v>24986.28822</v>
      </c>
      <c r="N8" s="51">
        <f t="shared" si="6"/>
        <v>18396.1547</v>
      </c>
      <c r="O8" s="51">
        <f t="shared" si="7"/>
        <v>6590.133519</v>
      </c>
      <c r="P8" s="52">
        <f t="shared" si="18"/>
        <v>0.06900027624</v>
      </c>
      <c r="Q8" s="51">
        <f>Q7*(1+'HIER Rechnung Thesaurierer '!I8)</f>
        <v>49215.56553</v>
      </c>
      <c r="R8" s="51">
        <f t="shared" si="8"/>
        <v>49215.56588</v>
      </c>
      <c r="S8" s="15"/>
      <c r="T8" s="53">
        <f t="shared" si="9"/>
        <v>40991.25434</v>
      </c>
      <c r="U8" s="54">
        <f t="shared" si="10"/>
        <v>32070.3273</v>
      </c>
      <c r="V8" s="51">
        <f t="shared" si="11"/>
        <v>4742.810568</v>
      </c>
      <c r="W8" s="51">
        <f t="shared" si="12"/>
        <v>1250.916287</v>
      </c>
      <c r="X8" s="51">
        <f t="shared" si="13"/>
        <v>27327.51656</v>
      </c>
      <c r="Y8" s="51">
        <f t="shared" si="14"/>
        <v>30819.41102</v>
      </c>
      <c r="Z8" s="12"/>
      <c r="AA8" s="52"/>
      <c r="AB8" s="11"/>
      <c r="AC8" s="51">
        <f>AC7*(1+'HIER Rechnung Thesaurierer '!I8)</f>
        <v>0</v>
      </c>
      <c r="AD8" s="51">
        <f>IF((M8+U8)&lt;AC8,(M8+U8)*'HIER Rechnung Ausschütter'!O$1,AC8*'HIER Rechnung Ausschütter'!O$1)</f>
        <v>0</v>
      </c>
      <c r="AE8" s="12">
        <f>'HIER Rechnung Ausschütter'!AM8-AG8</f>
        <v>-12488.60201</v>
      </c>
      <c r="AF8" s="63">
        <f>AF7*(1+'HIER Rechnung Thesaurierer '!I7)</f>
        <v>0</v>
      </c>
      <c r="AG8" s="12">
        <f t="shared" si="15"/>
        <v>29729.09879</v>
      </c>
    </row>
    <row r="9" ht="12.75" customHeight="1">
      <c r="A9" s="11">
        <v>6.0</v>
      </c>
      <c r="B9" s="40">
        <f t="shared" si="16"/>
        <v>0.78237</v>
      </c>
      <c r="C9" s="41">
        <f t="shared" si="19"/>
        <v>911673.7775</v>
      </c>
      <c r="D9" s="12">
        <f t="shared" si="17"/>
        <v>713266.2131</v>
      </c>
      <c r="E9" s="15">
        <f>'HIER Rechnung Ausschütter'!E9+'HIER Rechnung Ausschütter'!K$1</f>
        <v>0.2891982055</v>
      </c>
      <c r="F9" s="12">
        <f t="shared" si="2"/>
        <v>919541.5219</v>
      </c>
      <c r="G9" s="17">
        <v>0.055759220417005</v>
      </c>
      <c r="H9" s="44">
        <f t="shared" si="1"/>
        <v>902247.4334</v>
      </c>
      <c r="I9" s="49">
        <f t="shared" si="3"/>
        <v>0.2649518746</v>
      </c>
      <c r="J9" s="49">
        <f t="shared" si="4"/>
        <v>0.00863</v>
      </c>
      <c r="K9" s="51">
        <f>H9-'HIER Rechnung Thesaurierer '!J9</f>
        <v>12444.23017</v>
      </c>
      <c r="L9" s="50"/>
      <c r="M9" s="51">
        <f t="shared" si="5"/>
        <v>51272.9184</v>
      </c>
      <c r="N9" s="51">
        <f t="shared" si="6"/>
        <v>37749.68617</v>
      </c>
      <c r="O9" s="51">
        <f t="shared" si="7"/>
        <v>13523.23223</v>
      </c>
      <c r="P9" s="52">
        <f t="shared" si="18"/>
        <v>0.05929340147</v>
      </c>
      <c r="Q9" s="51">
        <f>Q8*(1+'HIER Rechnung Thesaurierer '!I9)</f>
        <v>53497.31973</v>
      </c>
      <c r="R9" s="51">
        <f t="shared" si="8"/>
        <v>53497.3196</v>
      </c>
      <c r="S9" s="15"/>
      <c r="T9" s="53">
        <f t="shared" si="9"/>
        <v>17146.11799</v>
      </c>
      <c r="U9" s="54">
        <f t="shared" si="10"/>
        <v>17294.08911</v>
      </c>
      <c r="V9" s="51">
        <f t="shared" si="11"/>
        <v>5863.338359</v>
      </c>
      <c r="W9" s="51">
        <f t="shared" si="12"/>
        <v>1546.455492</v>
      </c>
      <c r="X9" s="51">
        <f t="shared" si="13"/>
        <v>11430.75104</v>
      </c>
      <c r="Y9" s="51">
        <f t="shared" si="14"/>
        <v>15747.63362</v>
      </c>
      <c r="Z9" s="12"/>
      <c r="AA9" s="52"/>
      <c r="AB9" s="11"/>
      <c r="AC9" s="51">
        <f>AC8*(1+'HIER Rechnung Thesaurierer '!I9)</f>
        <v>0</v>
      </c>
      <c r="AD9" s="51">
        <f>IF((M9+U9)&lt;AC9,(M9+U9)*'HIER Rechnung Ausschütter'!O$1,AC9*'HIER Rechnung Ausschütter'!O$1)</f>
        <v>0</v>
      </c>
      <c r="AE9" s="12">
        <f>'HIER Rechnung Ausschütter'!AM9-AG9</f>
        <v>-22916.10217</v>
      </c>
      <c r="AF9" s="63">
        <f>AF8*(1+'HIER Rechnung Thesaurierer '!I8)</f>
        <v>0</v>
      </c>
      <c r="AG9" s="12">
        <f t="shared" si="15"/>
        <v>57136.25676</v>
      </c>
    </row>
    <row r="10" ht="12.75" customHeight="1">
      <c r="A10" s="11">
        <v>7.0</v>
      </c>
      <c r="B10" s="40">
        <f t="shared" si="16"/>
        <v>1.00863</v>
      </c>
      <c r="C10" s="41">
        <f t="shared" si="19"/>
        <v>894527.6595</v>
      </c>
      <c r="D10" s="12">
        <f t="shared" si="17"/>
        <v>902247.4334</v>
      </c>
      <c r="E10" s="15">
        <f>'HIER Rechnung Ausschütter'!E10+'HIER Rechnung Ausschütter'!K$1</f>
        <v>0.1031002449</v>
      </c>
      <c r="F10" s="12">
        <f t="shared" si="2"/>
        <v>995269.3647</v>
      </c>
      <c r="G10" s="17">
        <v>0.044006299191251</v>
      </c>
      <c r="H10" s="44">
        <f t="shared" si="1"/>
        <v>966720.6082</v>
      </c>
      <c r="I10" s="49">
        <f t="shared" si="3"/>
        <v>0.0714584187</v>
      </c>
      <c r="J10" s="49">
        <f t="shared" si="4"/>
        <v>0.11262</v>
      </c>
      <c r="K10" s="51">
        <f>H10-'HIER Rechnung Thesaurierer '!J10</f>
        <v>20655.78007</v>
      </c>
      <c r="L10" s="50"/>
      <c r="M10" s="51">
        <f t="shared" si="5"/>
        <v>43798.12144</v>
      </c>
      <c r="N10" s="51">
        <f t="shared" si="6"/>
        <v>32246.36689</v>
      </c>
      <c r="O10" s="51">
        <f t="shared" si="7"/>
        <v>11551.75453</v>
      </c>
      <c r="P10" s="52">
        <f t="shared" si="18"/>
        <v>0.0597660839</v>
      </c>
      <c r="Q10" s="51">
        <f>Q9*(1+'HIER Rechnung Thesaurierer '!I10)</f>
        <v>57777.10531</v>
      </c>
      <c r="R10" s="51">
        <f t="shared" si="8"/>
        <v>57777.10512</v>
      </c>
      <c r="S10" s="15"/>
      <c r="T10" s="53">
        <f t="shared" si="9"/>
        <v>25659.03614</v>
      </c>
      <c r="U10" s="54">
        <f t="shared" si="10"/>
        <v>28548.75698</v>
      </c>
      <c r="V10" s="51">
        <f t="shared" si="11"/>
        <v>11442.72453</v>
      </c>
      <c r="W10" s="51">
        <f t="shared" si="12"/>
        <v>3018.018594</v>
      </c>
      <c r="X10" s="51">
        <f t="shared" si="13"/>
        <v>17106.03265</v>
      </c>
      <c r="Y10" s="51">
        <f t="shared" si="14"/>
        <v>25530.73839</v>
      </c>
      <c r="Z10" s="12"/>
      <c r="AA10" s="52"/>
      <c r="AB10" s="11"/>
      <c r="AC10" s="51">
        <f>AC9*(1+'HIER Rechnung Thesaurierer '!I10)</f>
        <v>0</v>
      </c>
      <c r="AD10" s="51">
        <f>IF((M10+U10)&lt;AC10,(M10+U10)*'HIER Rechnung Ausschütter'!O$1,AC10*'HIER Rechnung Ausschütter'!O$1)</f>
        <v>0</v>
      </c>
      <c r="AE10" s="12">
        <f>'HIER Rechnung Ausschütter'!AM10-AG10</f>
        <v>-12172.13149</v>
      </c>
      <c r="AF10" s="63">
        <f>AF9*(1+'HIER Rechnung Thesaurierer '!I9)</f>
        <v>0</v>
      </c>
      <c r="AG10" s="12">
        <f t="shared" si="15"/>
        <v>55240.84597</v>
      </c>
    </row>
    <row r="11" ht="12.75" customHeight="1">
      <c r="A11" s="11">
        <v>8.0</v>
      </c>
      <c r="B11" s="40">
        <f t="shared" si="16"/>
        <v>1.11262</v>
      </c>
      <c r="C11" s="41">
        <f t="shared" si="19"/>
        <v>868868.6234</v>
      </c>
      <c r="D11" s="12">
        <f t="shared" si="17"/>
        <v>966720.6082</v>
      </c>
      <c r="E11" s="15">
        <f>'HIER Rechnung Ausschütter'!E11+'HIER Rechnung Ausschütter'!K$1</f>
        <v>-0.02463554493</v>
      </c>
      <c r="F11" s="12">
        <f t="shared" si="2"/>
        <v>942904.9192</v>
      </c>
      <c r="G11" s="17">
        <v>0.0446524625881375</v>
      </c>
      <c r="H11" s="44">
        <f t="shared" si="1"/>
        <v>908912.8876</v>
      </c>
      <c r="I11" s="49">
        <f t="shared" si="3"/>
        <v>-0.05979775347</v>
      </c>
      <c r="J11" s="49">
        <f t="shared" si="4"/>
        <v>0.08521</v>
      </c>
      <c r="K11" s="51">
        <f>H11-'HIER Rechnung Thesaurierer '!J11</f>
        <v>19183.91752</v>
      </c>
      <c r="L11" s="50"/>
      <c r="M11" s="51">
        <f t="shared" si="5"/>
        <v>42103.02663</v>
      </c>
      <c r="N11" s="51">
        <f t="shared" si="6"/>
        <v>30998.35334</v>
      </c>
      <c r="O11" s="51">
        <f t="shared" si="7"/>
        <v>11104.67327</v>
      </c>
      <c r="P11" s="52">
        <f t="shared" si="18"/>
        <v>0.06769913562</v>
      </c>
      <c r="Q11" s="51">
        <f>Q10*(1+'HIER Rechnung Thesaurierer '!I11)</f>
        <v>61532.61715</v>
      </c>
      <c r="R11" s="51">
        <f t="shared" si="8"/>
        <v>61532.61691</v>
      </c>
      <c r="S11" s="15"/>
      <c r="T11" s="53">
        <f t="shared" si="9"/>
        <v>31322.99917</v>
      </c>
      <c r="U11" s="54">
        <f t="shared" si="10"/>
        <v>33992.03217</v>
      </c>
      <c r="V11" s="51">
        <f t="shared" si="11"/>
        <v>13110.02247</v>
      </c>
      <c r="W11" s="51">
        <f t="shared" si="12"/>
        <v>3457.768428</v>
      </c>
      <c r="X11" s="51">
        <f t="shared" si="13"/>
        <v>20882.00989</v>
      </c>
      <c r="Y11" s="51">
        <f t="shared" si="14"/>
        <v>30534.26375</v>
      </c>
      <c r="Z11" s="12"/>
      <c r="AA11" s="52"/>
      <c r="AB11" s="11"/>
      <c r="AC11" s="51">
        <f>AC10*(1+'HIER Rechnung Thesaurierer '!I11)</f>
        <v>0</v>
      </c>
      <c r="AD11" s="51">
        <f>IF((M11+U11)&lt;AC11,(M11+U11)*'HIER Rechnung Ausschütter'!O$1,AC11*'HIER Rechnung Ausschütter'!O$1)</f>
        <v>0</v>
      </c>
      <c r="AE11" s="12">
        <f>'HIER Rechnung Ausschütter'!AM11-AG11</f>
        <v>-22488.18046</v>
      </c>
      <c r="AF11" s="63">
        <f>AF10*(1+'HIER Rechnung Thesaurierer '!I10)</f>
        <v>0</v>
      </c>
      <c r="AG11" s="12">
        <f t="shared" si="15"/>
        <v>55213.0491</v>
      </c>
    </row>
    <row r="12" ht="12.75" customHeight="1">
      <c r="A12" s="11">
        <v>9.0</v>
      </c>
      <c r="B12" s="40">
        <f t="shared" si="16"/>
        <v>1.08521</v>
      </c>
      <c r="C12" s="41">
        <f t="shared" si="19"/>
        <v>837545.6242</v>
      </c>
      <c r="D12" s="12">
        <f t="shared" si="17"/>
        <v>908912.8876</v>
      </c>
      <c r="E12" s="15">
        <f>'HIER Rechnung Ausschütter'!E12+'HIER Rechnung Ausschütter'!K$1</f>
        <v>0.1267865206</v>
      </c>
      <c r="F12" s="12">
        <f t="shared" si="2"/>
        <v>1024150.79</v>
      </c>
      <c r="G12" s="17">
        <v>0.055377092918373</v>
      </c>
      <c r="H12" s="44">
        <f t="shared" si="1"/>
        <v>997413.4745</v>
      </c>
      <c r="I12" s="49">
        <f t="shared" si="3"/>
        <v>0.09736971287</v>
      </c>
      <c r="J12" s="49">
        <f t="shared" si="4"/>
        <v>0.2228</v>
      </c>
      <c r="K12" s="51">
        <f>H12-'HIER Rechnung Thesaurierer '!J12</f>
        <v>26305.00123</v>
      </c>
      <c r="L12" s="50"/>
      <c r="M12" s="51">
        <f t="shared" si="5"/>
        <v>56714.49347</v>
      </c>
      <c r="N12" s="51">
        <f t="shared" si="6"/>
        <v>41756.04579</v>
      </c>
      <c r="O12" s="51">
        <f t="shared" si="7"/>
        <v>14958.44765</v>
      </c>
      <c r="P12" s="52">
        <f t="shared" si="18"/>
        <v>0.06545540869</v>
      </c>
      <c r="Q12" s="51">
        <f>Q11*(1+'HIER Rechnung Thesaurierer '!I12)</f>
        <v>65286.1068</v>
      </c>
      <c r="R12" s="51">
        <f t="shared" si="8"/>
        <v>65286.10651</v>
      </c>
      <c r="S12" s="15"/>
      <c r="T12" s="53">
        <f t="shared" si="9"/>
        <v>21865.6492</v>
      </c>
      <c r="U12" s="54">
        <f t="shared" si="10"/>
        <v>26737.31613</v>
      </c>
      <c r="V12" s="51">
        <f t="shared" si="11"/>
        <v>12160.20948</v>
      </c>
      <c r="W12" s="51">
        <f t="shared" si="12"/>
        <v>3207.255251</v>
      </c>
      <c r="X12" s="51">
        <f t="shared" si="13"/>
        <v>14577.10675</v>
      </c>
      <c r="Y12" s="51">
        <f t="shared" si="14"/>
        <v>23530.06088</v>
      </c>
      <c r="Z12" s="12"/>
      <c r="AA12" s="52"/>
      <c r="AB12" s="11"/>
      <c r="AC12" s="51">
        <f>AC11*(1+'HIER Rechnung Thesaurierer '!I12)</f>
        <v>0</v>
      </c>
      <c r="AD12" s="51">
        <f>IF((M12+U12)&lt;AC12,(M12+U12)*'HIER Rechnung Ausschütter'!O$1,AC12*'HIER Rechnung Ausschütter'!O$1)</f>
        <v>0</v>
      </c>
      <c r="AE12" s="12">
        <f>'HIER Rechnung Ausschütter'!AM12-AG12</f>
        <v>-27719.33235</v>
      </c>
      <c r="AF12" s="63">
        <f>AF11*(1+'HIER Rechnung Thesaurierer '!I11)</f>
        <v>0</v>
      </c>
      <c r="AG12" s="12">
        <f t="shared" si="15"/>
        <v>68874.70295</v>
      </c>
    </row>
    <row r="13" ht="12.75" customHeight="1">
      <c r="A13" s="11">
        <v>10.0</v>
      </c>
      <c r="B13" s="40">
        <f t="shared" si="16"/>
        <v>1.2228</v>
      </c>
      <c r="C13" s="41">
        <f t="shared" si="19"/>
        <v>815679.975</v>
      </c>
      <c r="D13" s="12">
        <f t="shared" si="17"/>
        <v>997413.4745</v>
      </c>
      <c r="E13" s="15">
        <f>'HIER Rechnung Ausschütter'!E13+'HIER Rechnung Ausschütter'!K$1</f>
        <v>0.07213771672</v>
      </c>
      <c r="F13" s="12">
        <f t="shared" si="2"/>
        <v>1069364.605</v>
      </c>
      <c r="G13" s="17">
        <v>0.0545628364312236</v>
      </c>
      <c r="H13" s="44">
        <f t="shared" si="1"/>
        <v>1038010.771</v>
      </c>
      <c r="I13" s="49">
        <f t="shared" si="3"/>
        <v>0.04070257439</v>
      </c>
      <c r="J13" s="49">
        <f t="shared" si="4"/>
        <v>0.31101</v>
      </c>
      <c r="K13" s="51">
        <f>H13-'HIER Rechnung Thesaurierer '!J13</f>
        <v>35780.818</v>
      </c>
      <c r="L13" s="50"/>
      <c r="M13" s="51">
        <f t="shared" si="5"/>
        <v>58347.56604</v>
      </c>
      <c r="N13" s="51">
        <f t="shared" si="6"/>
        <v>42958.39548</v>
      </c>
      <c r="O13" s="51">
        <f t="shared" si="7"/>
        <v>15389.17054</v>
      </c>
      <c r="P13" s="52">
        <f t="shared" si="18"/>
        <v>0.06767545473</v>
      </c>
      <c r="Q13" s="51">
        <f>Q12*(1+'HIER Rechnung Thesaurierer '!I13)</f>
        <v>70247.85091</v>
      </c>
      <c r="R13" s="51">
        <f t="shared" si="8"/>
        <v>70247.85068</v>
      </c>
      <c r="S13" s="15"/>
      <c r="T13" s="53">
        <f t="shared" si="9"/>
        <v>23915.78593</v>
      </c>
      <c r="U13" s="54">
        <f t="shared" si="10"/>
        <v>31353.83475</v>
      </c>
      <c r="V13" s="51">
        <f t="shared" si="11"/>
        <v>15409.96948</v>
      </c>
      <c r="W13" s="51">
        <f t="shared" si="12"/>
        <v>4064.379451</v>
      </c>
      <c r="X13" s="51">
        <f t="shared" si="13"/>
        <v>15943.86526</v>
      </c>
      <c r="Y13" s="51">
        <f t="shared" si="14"/>
        <v>27289.4553</v>
      </c>
      <c r="Z13" s="12"/>
      <c r="AA13" s="52"/>
      <c r="AB13" s="11"/>
      <c r="AC13" s="51">
        <f>AC12*(1+'HIER Rechnung Thesaurierer '!I13)</f>
        <v>0</v>
      </c>
      <c r="AD13" s="51">
        <f>IF((M13+U13)&lt;AC13,(M13+U13)*'HIER Rechnung Ausschütter'!O$1,AC13*'HIER Rechnung Ausschütter'!O$1)</f>
        <v>0</v>
      </c>
      <c r="AE13" s="12">
        <f>'HIER Rechnung Ausschütter'!AM13-AG13</f>
        <v>-27030.92563</v>
      </c>
      <c r="AF13" s="63">
        <f>AF12*(1+'HIER Rechnung Thesaurierer '!I12)</f>
        <v>0</v>
      </c>
      <c r="AG13" s="12">
        <f t="shared" si="15"/>
        <v>73757.53552</v>
      </c>
    </row>
    <row r="14" ht="12.75" customHeight="1">
      <c r="A14" s="11">
        <v>11.0</v>
      </c>
      <c r="B14" s="40">
        <f t="shared" si="16"/>
        <v>1.31101</v>
      </c>
      <c r="C14" s="41">
        <f t="shared" si="19"/>
        <v>791764.1891</v>
      </c>
      <c r="D14" s="12">
        <f t="shared" si="17"/>
        <v>1038010.771</v>
      </c>
      <c r="E14" s="15">
        <f>'HIER Rechnung Ausschütter'!E14+'HIER Rechnung Ausschütter'!K$1</f>
        <v>0.2145445115</v>
      </c>
      <c r="F14" s="12">
        <f t="shared" si="2"/>
        <v>1260710.284</v>
      </c>
      <c r="G14" s="17">
        <v>0.062670478131132</v>
      </c>
      <c r="H14" s="44">
        <f t="shared" si="1"/>
        <v>1239476.656</v>
      </c>
      <c r="I14" s="49">
        <f t="shared" si="3"/>
        <v>0.1940884341</v>
      </c>
      <c r="J14" s="49">
        <f t="shared" si="4"/>
        <v>0.59228</v>
      </c>
      <c r="K14" s="51">
        <f>H14-'HIER Rechnung Thesaurierer '!J14</f>
        <v>54024.12043</v>
      </c>
      <c r="L14" s="50"/>
      <c r="M14" s="51">
        <f t="shared" si="5"/>
        <v>79009.31631</v>
      </c>
      <c r="N14" s="51">
        <f t="shared" si="6"/>
        <v>58170.60912</v>
      </c>
      <c r="O14" s="51">
        <f t="shared" si="7"/>
        <v>20838.70718</v>
      </c>
      <c r="P14" s="52">
        <f t="shared" si="18"/>
        <v>0.06143614749</v>
      </c>
      <c r="Q14" s="51">
        <f>Q13*(1+'HIER Rechnung Thesaurierer '!I14)</f>
        <v>76148.67039</v>
      </c>
      <c r="R14" s="51">
        <f t="shared" si="8"/>
        <v>76148.67025</v>
      </c>
      <c r="S14" s="15"/>
      <c r="T14" s="53">
        <f t="shared" si="9"/>
        <v>13335.36085</v>
      </c>
      <c r="U14" s="54">
        <f t="shared" si="10"/>
        <v>21233.62852</v>
      </c>
      <c r="V14" s="51">
        <f t="shared" si="11"/>
        <v>12343.3834</v>
      </c>
      <c r="W14" s="51">
        <f t="shared" si="12"/>
        <v>3255.567373</v>
      </c>
      <c r="X14" s="51">
        <f t="shared" si="13"/>
        <v>8890.245013</v>
      </c>
      <c r="Y14" s="51">
        <f t="shared" si="14"/>
        <v>17978.06115</v>
      </c>
      <c r="Z14" s="12"/>
      <c r="AA14" s="52"/>
      <c r="AB14" s="11"/>
      <c r="AC14" s="51">
        <f>AC13*(1+'HIER Rechnung Thesaurierer '!I14)</f>
        <v>0</v>
      </c>
      <c r="AD14" s="51">
        <f>IF((M14+U14)&lt;AC14,(M14+U14)*'HIER Rechnung Ausschütter'!O$1,AC14*'HIER Rechnung Ausschütter'!O$1)</f>
        <v>0</v>
      </c>
      <c r="AE14" s="12">
        <f>'HIER Rechnung Ausschütter'!AM14-AG14</f>
        <v>-36355.23543</v>
      </c>
      <c r="AF14" s="63">
        <f>AF13*(1+'HIER Rechnung Thesaurierer '!I13)</f>
        <v>0</v>
      </c>
      <c r="AG14" s="12">
        <f t="shared" si="15"/>
        <v>91352.69971</v>
      </c>
    </row>
    <row r="15" ht="12.75" customHeight="1">
      <c r="A15" s="11">
        <v>12.0</v>
      </c>
      <c r="B15" s="40">
        <f t="shared" si="16"/>
        <v>1.59228</v>
      </c>
      <c r="C15" s="41">
        <f t="shared" si="19"/>
        <v>778428.8282</v>
      </c>
      <c r="D15" s="12">
        <f t="shared" si="17"/>
        <v>1239476.656</v>
      </c>
      <c r="E15" s="15">
        <f>'HIER Rechnung Ausschütter'!E15+'HIER Rechnung Ausschütter'!K$1</f>
        <v>-0.07918205341</v>
      </c>
      <c r="F15" s="12">
        <f t="shared" si="2"/>
        <v>1141332.349</v>
      </c>
      <c r="G15" s="17">
        <v>0.0461336135290016</v>
      </c>
      <c r="H15" s="44">
        <f t="shared" si="1"/>
        <v>1088687.319</v>
      </c>
      <c r="I15" s="49">
        <f t="shared" si="3"/>
        <v>-0.1216556489</v>
      </c>
      <c r="J15" s="49">
        <f t="shared" si="4"/>
        <v>0.4662</v>
      </c>
      <c r="K15" s="51">
        <f>H15-'HIER Rechnung Thesaurierer '!J15</f>
        <v>46030.76095</v>
      </c>
      <c r="L15" s="50"/>
      <c r="M15" s="51">
        <f t="shared" si="5"/>
        <v>52653.7855</v>
      </c>
      <c r="N15" s="51">
        <f t="shared" si="6"/>
        <v>38766.34957</v>
      </c>
      <c r="O15" s="51">
        <f t="shared" si="7"/>
        <v>13887.43592</v>
      </c>
      <c r="P15" s="52">
        <f t="shared" si="18"/>
        <v>0.07700988608</v>
      </c>
      <c r="Q15" s="51">
        <f>Q14*(1+'HIER Rechnung Thesaurierer '!I15)</f>
        <v>83839.6861</v>
      </c>
      <c r="R15" s="51">
        <f t="shared" si="8"/>
        <v>83839.68607</v>
      </c>
      <c r="S15" s="15"/>
      <c r="T15" s="53">
        <f t="shared" si="9"/>
        <v>35905.76309</v>
      </c>
      <c r="U15" s="54">
        <f t="shared" si="10"/>
        <v>52645.02987</v>
      </c>
      <c r="V15" s="51">
        <f t="shared" si="11"/>
        <v>28707.84237</v>
      </c>
      <c r="W15" s="51">
        <f t="shared" si="12"/>
        <v>7571.693425</v>
      </c>
      <c r="X15" s="51">
        <f t="shared" si="13"/>
        <v>23937.18736</v>
      </c>
      <c r="Y15" s="51">
        <f t="shared" si="14"/>
        <v>45073.33644</v>
      </c>
      <c r="Z15" s="12"/>
      <c r="AA15" s="52"/>
      <c r="AB15" s="11"/>
      <c r="AC15" s="51">
        <f>AC14*(1+'HIER Rechnung Thesaurierer '!I15)</f>
        <v>0</v>
      </c>
      <c r="AD15" s="51">
        <f>IF((M15+U15)&lt;AC15,(M15+U15)*'HIER Rechnung Ausschütter'!O$1,AC15*'HIER Rechnung Ausschütter'!O$1)</f>
        <v>0</v>
      </c>
      <c r="AE15" s="12">
        <f>'HIER Rechnung Ausschütter'!AM15-AG15</f>
        <v>-32745.94826</v>
      </c>
      <c r="AF15" s="63">
        <f>AF14*(1+'HIER Rechnung Thesaurierer '!I14)</f>
        <v>0</v>
      </c>
      <c r="AG15" s="12">
        <f t="shared" si="15"/>
        <v>81361.62787</v>
      </c>
    </row>
    <row r="16" ht="12.75" customHeight="1">
      <c r="A16" s="11">
        <v>13.0</v>
      </c>
      <c r="B16" s="40">
        <f t="shared" si="16"/>
        <v>1.4662</v>
      </c>
      <c r="C16" s="41">
        <f t="shared" si="19"/>
        <v>742523.0651</v>
      </c>
      <c r="D16" s="12">
        <f t="shared" si="17"/>
        <v>1088687.319</v>
      </c>
      <c r="E16" s="15">
        <f>'HIER Rechnung Ausschütter'!E16+'HIER Rechnung Ausschütter'!K$1</f>
        <v>0.05821852408</v>
      </c>
      <c r="F16" s="12">
        <f t="shared" si="2"/>
        <v>1152069.088</v>
      </c>
      <c r="G16" s="17">
        <v>0.0545055480239266</v>
      </c>
      <c r="H16" s="44">
        <f t="shared" si="1"/>
        <v>1099020.067</v>
      </c>
      <c r="I16" s="49">
        <f t="shared" si="3"/>
        <v>0.009491015464</v>
      </c>
      <c r="J16" s="49">
        <f t="shared" si="4"/>
        <v>0.55156</v>
      </c>
      <c r="K16" s="51">
        <f>H16-'HIER Rechnung Thesaurierer '!J16</f>
        <v>58757.17213</v>
      </c>
      <c r="L16" s="50"/>
      <c r="M16" s="51">
        <f t="shared" si="5"/>
        <v>62794.15699</v>
      </c>
      <c r="N16" s="51">
        <f t="shared" si="6"/>
        <v>46232.19809</v>
      </c>
      <c r="O16" s="51">
        <f t="shared" si="7"/>
        <v>16561.95891</v>
      </c>
      <c r="P16" s="52">
        <f t="shared" si="18"/>
        <v>0.08307529712</v>
      </c>
      <c r="Q16" s="51">
        <f>Q15*(1+'HIER Rechnung Thesaurierer '!I16)</f>
        <v>91301.41816</v>
      </c>
      <c r="R16" s="51">
        <f t="shared" si="8"/>
        <v>91301.41823</v>
      </c>
      <c r="S16" s="15"/>
      <c r="T16" s="53">
        <f t="shared" si="9"/>
        <v>34190.76301</v>
      </c>
      <c r="U16" s="54">
        <f t="shared" si="10"/>
        <v>53049.02019</v>
      </c>
      <c r="V16" s="51">
        <f t="shared" si="11"/>
        <v>30255.1666</v>
      </c>
      <c r="W16" s="51">
        <f t="shared" si="12"/>
        <v>7979.80019</v>
      </c>
      <c r="X16" s="51">
        <f t="shared" si="13"/>
        <v>22793.8534</v>
      </c>
      <c r="Y16" s="51">
        <f t="shared" si="14"/>
        <v>45069.22</v>
      </c>
      <c r="Z16" s="12"/>
      <c r="AA16" s="52"/>
      <c r="AB16" s="11"/>
      <c r="AC16" s="51">
        <f>AC15*(1+'HIER Rechnung Thesaurierer '!I16)</f>
        <v>0</v>
      </c>
      <c r="AD16" s="51">
        <f>IF((M16+U16)&lt;AC16,(M16+U16)*'HIER Rechnung Ausschütter'!O$1,AC16*'HIER Rechnung Ausschütter'!O$1)</f>
        <v>0</v>
      </c>
      <c r="AE16" s="12">
        <f>'HIER Rechnung Ausschütter'!AM16-AG16</f>
        <v>-29828.78541</v>
      </c>
      <c r="AF16" s="63">
        <f>AF15*(1+'HIER Rechnung Thesaurierer '!I15)</f>
        <v>0</v>
      </c>
      <c r="AG16" s="12">
        <f t="shared" si="15"/>
        <v>93049.32358</v>
      </c>
    </row>
    <row r="17" ht="12.75" customHeight="1">
      <c r="A17" s="11">
        <v>14.0</v>
      </c>
      <c r="B17" s="40">
        <f t="shared" si="16"/>
        <v>1.55156</v>
      </c>
      <c r="C17" s="41">
        <f t="shared" si="19"/>
        <v>708332.3021</v>
      </c>
      <c r="D17" s="12">
        <f t="shared" si="17"/>
        <v>1099020.067</v>
      </c>
      <c r="E17" s="15">
        <f>'HIER Rechnung Ausschütter'!E17+'HIER Rechnung Ausschütter'!K$1</f>
        <v>0.1855938539</v>
      </c>
      <c r="F17" s="12">
        <f t="shared" si="2"/>
        <v>1302991.437</v>
      </c>
      <c r="G17" s="17">
        <v>0.047203599995252</v>
      </c>
      <c r="H17" s="44">
        <f t="shared" si="1"/>
        <v>1238780.358</v>
      </c>
      <c r="I17" s="49">
        <f t="shared" si="3"/>
        <v>0.127168097</v>
      </c>
      <c r="J17" s="49">
        <f t="shared" si="4"/>
        <v>0.83952</v>
      </c>
      <c r="K17" s="51">
        <f>H17-'HIER Rechnung Thesaurierer '!J17</f>
        <v>78148.40746</v>
      </c>
      <c r="L17" s="50"/>
      <c r="M17" s="51">
        <f t="shared" si="5"/>
        <v>61505.88658</v>
      </c>
      <c r="N17" s="51">
        <f t="shared" si="6"/>
        <v>45283.70902</v>
      </c>
      <c r="O17" s="51">
        <f t="shared" si="7"/>
        <v>16222.17759</v>
      </c>
      <c r="P17" s="52">
        <f t="shared" si="18"/>
        <v>0.07967258512</v>
      </c>
      <c r="Q17" s="51">
        <f>Q16*(1+'HIER Rechnung Thesaurierer '!I17)</f>
        <v>98696.83303</v>
      </c>
      <c r="R17" s="51">
        <f t="shared" si="8"/>
        <v>98696.83318</v>
      </c>
      <c r="S17" s="15"/>
      <c r="T17" s="53">
        <f t="shared" si="9"/>
        <v>34906.43149</v>
      </c>
      <c r="U17" s="54">
        <f t="shared" si="10"/>
        <v>64211.0787</v>
      </c>
      <c r="V17" s="51">
        <f t="shared" si="11"/>
        <v>40940.11258</v>
      </c>
      <c r="W17" s="51">
        <f t="shared" si="12"/>
        <v>10797.95469</v>
      </c>
      <c r="X17" s="51">
        <f t="shared" si="13"/>
        <v>23270.96596</v>
      </c>
      <c r="Y17" s="51">
        <f t="shared" si="14"/>
        <v>53413.12401</v>
      </c>
      <c r="Z17" s="12"/>
      <c r="AA17" s="52"/>
      <c r="AB17" s="11"/>
      <c r="AC17" s="51">
        <f>AC16*(1+'HIER Rechnung Thesaurierer '!I17)</f>
        <v>0</v>
      </c>
      <c r="AD17" s="51">
        <f>IF((M17+U17)&lt;AC17,(M17+U17)*'HIER Rechnung Ausschütter'!O$1,AC17*'HIER Rechnung Ausschütter'!O$1)</f>
        <v>0</v>
      </c>
      <c r="AE17" s="12">
        <f>'HIER Rechnung Ausschütter'!AM17-AG17</f>
        <v>-33958.31614</v>
      </c>
      <c r="AF17" s="63">
        <f>AF16*(1+'HIER Rechnung Thesaurierer '!I16)</f>
        <v>0</v>
      </c>
      <c r="AG17" s="12">
        <f t="shared" si="15"/>
        <v>102445.9992</v>
      </c>
    </row>
    <row r="18" ht="12.75" customHeight="1">
      <c r="A18" s="11">
        <v>15.0</v>
      </c>
      <c r="B18" s="40">
        <f t="shared" si="16"/>
        <v>1.83952</v>
      </c>
      <c r="C18" s="41">
        <f t="shared" si="19"/>
        <v>673425.8706</v>
      </c>
      <c r="D18" s="12">
        <f t="shared" si="17"/>
        <v>1238780.358</v>
      </c>
      <c r="E18" s="15">
        <f>'HIER Rechnung Ausschütter'!E18+'HIER Rechnung Ausschütter'!K$1</f>
        <v>0.01768396103</v>
      </c>
      <c r="F18" s="12">
        <f t="shared" si="2"/>
        <v>1260686.901</v>
      </c>
      <c r="G18" s="17">
        <v>0.0400572398197916</v>
      </c>
      <c r="H18" s="44">
        <f t="shared" si="1"/>
        <v>1177075.408</v>
      </c>
      <c r="I18" s="49">
        <f t="shared" si="3"/>
        <v>-0.04981104975</v>
      </c>
      <c r="J18" s="49">
        <f t="shared" si="4"/>
        <v>0.87205</v>
      </c>
      <c r="K18" s="51">
        <f>H18-'HIER Rechnung Thesaurierer '!J18</f>
        <v>86341.59493</v>
      </c>
      <c r="L18" s="50"/>
      <c r="M18" s="51">
        <f t="shared" si="5"/>
        <v>50499.63754</v>
      </c>
      <c r="N18" s="51">
        <f t="shared" si="6"/>
        <v>37180.35816</v>
      </c>
      <c r="O18" s="51">
        <f t="shared" si="7"/>
        <v>13319.2794</v>
      </c>
      <c r="P18" s="52">
        <f t="shared" si="18"/>
        <v>0.09055713795</v>
      </c>
      <c r="Q18" s="51">
        <f>Q17*(1+'HIER Rechnung Thesaurierer '!I18)</f>
        <v>106592.5797</v>
      </c>
      <c r="R18" s="51">
        <f t="shared" si="8"/>
        <v>106592.5798</v>
      </c>
      <c r="S18" s="15"/>
      <c r="T18" s="53">
        <f t="shared" si="9"/>
        <v>44663.06627</v>
      </c>
      <c r="U18" s="54">
        <f t="shared" si="10"/>
        <v>83611.49304</v>
      </c>
      <c r="V18" s="51">
        <f t="shared" si="11"/>
        <v>53836.10051</v>
      </c>
      <c r="W18" s="51">
        <f t="shared" si="12"/>
        <v>14199.27151</v>
      </c>
      <c r="X18" s="51">
        <f t="shared" si="13"/>
        <v>29775.3924</v>
      </c>
      <c r="Y18" s="51">
        <f t="shared" si="14"/>
        <v>69412.22153</v>
      </c>
      <c r="Z18" s="12"/>
      <c r="AA18" s="52"/>
      <c r="AB18" s="11"/>
      <c r="AC18" s="51">
        <f>AC17*(1+'HIER Rechnung Thesaurierer '!I18)</f>
        <v>0</v>
      </c>
      <c r="AD18" s="51">
        <f>IF((M18+U18)&lt;AC18,(M18+U18)*'HIER Rechnung Ausschütter'!O$1,AC18*'HIER Rechnung Ausschütter'!O$1)</f>
        <v>0</v>
      </c>
      <c r="AE18" s="12">
        <f>'HIER Rechnung Ausschütter'!AM18-AG18</f>
        <v>-43270.30189</v>
      </c>
      <c r="AF18" s="63">
        <f>AF17*(1+'HIER Rechnung Thesaurierer '!I17)</f>
        <v>0</v>
      </c>
      <c r="AG18" s="12">
        <f t="shared" si="15"/>
        <v>104335.738</v>
      </c>
    </row>
    <row r="19" ht="12.75" customHeight="1">
      <c r="A19" s="11">
        <v>16.0</v>
      </c>
      <c r="B19" s="40">
        <f t="shared" si="16"/>
        <v>1.87205</v>
      </c>
      <c r="C19" s="41">
        <f t="shared" si="19"/>
        <v>628762.8043</v>
      </c>
      <c r="D19" s="12">
        <f t="shared" si="17"/>
        <v>1177075.408</v>
      </c>
      <c r="E19" s="15">
        <f>'HIER Rechnung Ausschütter'!E19+'HIER Rechnung Ausschütter'!K$1</f>
        <v>0.370230496</v>
      </c>
      <c r="F19" s="12">
        <f t="shared" si="2"/>
        <v>1612864.619</v>
      </c>
      <c r="G19" s="17">
        <v>0.047464274077642</v>
      </c>
      <c r="H19" s="44">
        <f t="shared" si="1"/>
        <v>1541180.005</v>
      </c>
      <c r="I19" s="49">
        <f t="shared" si="3"/>
        <v>0.3093298822</v>
      </c>
      <c r="J19" s="49">
        <f t="shared" si="4"/>
        <v>1.56514</v>
      </c>
      <c r="K19" s="51">
        <f>H19-'HIER Rechnung Thesaurierer '!J19</f>
        <v>126636.4592</v>
      </c>
      <c r="L19" s="50"/>
      <c r="M19" s="51">
        <f t="shared" si="5"/>
        <v>76553.44835</v>
      </c>
      <c r="N19" s="51">
        <f t="shared" si="6"/>
        <v>56362.47639</v>
      </c>
      <c r="O19" s="51">
        <f t="shared" si="7"/>
        <v>20190.972</v>
      </c>
      <c r="P19" s="52">
        <f t="shared" si="18"/>
        <v>0.0740043735</v>
      </c>
      <c r="Q19" s="51">
        <f>Q18*(1+'HIER Rechnung Thesaurierer '!I19)</f>
        <v>114054.0603</v>
      </c>
      <c r="R19" s="51">
        <f t="shared" si="8"/>
        <v>114054.0605</v>
      </c>
      <c r="S19" s="15"/>
      <c r="T19" s="53">
        <f t="shared" si="9"/>
        <v>27945.69277</v>
      </c>
      <c r="U19" s="54">
        <f t="shared" si="10"/>
        <v>71684.61409</v>
      </c>
      <c r="V19" s="51">
        <f t="shared" si="11"/>
        <v>53054.14281</v>
      </c>
      <c r="W19" s="51">
        <f t="shared" si="12"/>
        <v>13993.03017</v>
      </c>
      <c r="X19" s="51">
        <f t="shared" si="13"/>
        <v>18630.47116</v>
      </c>
      <c r="Y19" s="51">
        <f t="shared" si="14"/>
        <v>57691.58392</v>
      </c>
      <c r="Z19" s="12"/>
      <c r="AA19" s="52"/>
      <c r="AB19" s="11"/>
      <c r="AC19" s="51">
        <f>AC18*(1+'HIER Rechnung Thesaurierer '!I19)</f>
        <v>0</v>
      </c>
      <c r="AD19" s="51">
        <f>IF((M19+U19)&lt;AC19,(M19+U19)*'HIER Rechnung Ausschütter'!O$1,AC19*'HIER Rechnung Ausschütter'!O$1)</f>
        <v>0</v>
      </c>
      <c r="AE19" s="12">
        <f>'HIER Rechnung Ausschütter'!AM19-AG19</f>
        <v>-52376.00558</v>
      </c>
      <c r="AF19" s="63">
        <f>AF18*(1+'HIER Rechnung Thesaurierer '!I18)</f>
        <v>0</v>
      </c>
      <c r="AG19" s="12">
        <f t="shared" si="15"/>
        <v>129607.5912</v>
      </c>
    </row>
    <row r="20" ht="12.75" customHeight="1">
      <c r="A20" s="11">
        <v>17.0</v>
      </c>
      <c r="B20" s="40">
        <f t="shared" si="16"/>
        <v>2.56514</v>
      </c>
      <c r="C20" s="41">
        <f t="shared" si="19"/>
        <v>600817.1116</v>
      </c>
      <c r="D20" s="12">
        <f t="shared" si="17"/>
        <v>1541180.005</v>
      </c>
      <c r="E20" s="15">
        <f>'HIER Rechnung Ausschütter'!E20+'HIER Rechnung Ausschütter'!K$1</f>
        <v>0.3910546793</v>
      </c>
      <c r="F20" s="12">
        <f t="shared" si="2"/>
        <v>2143865.657</v>
      </c>
      <c r="G20" s="17">
        <v>0.036940210216564</v>
      </c>
      <c r="H20" s="44">
        <f t="shared" si="1"/>
        <v>2063896.174</v>
      </c>
      <c r="I20" s="49">
        <f t="shared" si="3"/>
        <v>0.3391662021</v>
      </c>
      <c r="J20" s="49">
        <f t="shared" si="4"/>
        <v>2.56825</v>
      </c>
      <c r="K20" s="51">
        <f>H20-'HIER Rechnung Thesaurierer '!J20</f>
        <v>187094.4982</v>
      </c>
      <c r="L20" s="50"/>
      <c r="M20" s="51">
        <f t="shared" si="5"/>
        <v>79194.84805</v>
      </c>
      <c r="N20" s="51">
        <f t="shared" si="6"/>
        <v>58307.20692</v>
      </c>
      <c r="O20" s="51">
        <f t="shared" si="7"/>
        <v>20887.64117</v>
      </c>
      <c r="P20" s="52">
        <f t="shared" si="18"/>
        <v>0.058687745</v>
      </c>
      <c r="Q20" s="51">
        <f>Q19*(1+'HIER Rechnung Thesaurierer '!I20)</f>
        <v>121125.412</v>
      </c>
      <c r="R20" s="51">
        <f t="shared" si="8"/>
        <v>121125.4122</v>
      </c>
      <c r="S20" s="15"/>
      <c r="T20" s="53">
        <f t="shared" si="9"/>
        <v>22411.40141</v>
      </c>
      <c r="U20" s="54">
        <f t="shared" si="10"/>
        <v>79969.48282</v>
      </c>
      <c r="V20" s="51">
        <f t="shared" si="11"/>
        <v>65028.54101</v>
      </c>
      <c r="W20" s="51">
        <f t="shared" si="12"/>
        <v>17151.27769</v>
      </c>
      <c r="X20" s="51">
        <f t="shared" si="13"/>
        <v>14940.94174</v>
      </c>
      <c r="Y20" s="51">
        <f t="shared" si="14"/>
        <v>62818.20513</v>
      </c>
      <c r="Z20" s="12"/>
      <c r="AA20" s="52"/>
      <c r="AB20" s="11"/>
      <c r="AC20" s="51">
        <f>AC19*(1+'HIER Rechnung Thesaurierer '!I20)</f>
        <v>0</v>
      </c>
      <c r="AD20" s="51">
        <f>IF((M20+U20)&lt;AC20,(M20+U20)*'HIER Rechnung Ausschütter'!O$1,AC20*'HIER Rechnung Ausschütter'!O$1)</f>
        <v>0</v>
      </c>
      <c r="AE20" s="12">
        <f>'HIER Rechnung Ausschütter'!AM20-AG20</f>
        <v>-57680.7681</v>
      </c>
      <c r="AF20" s="63">
        <f>AF19*(1+'HIER Rechnung Thesaurierer '!I19)</f>
        <v>0</v>
      </c>
      <c r="AG20" s="12">
        <f t="shared" si="15"/>
        <v>144223.3891</v>
      </c>
    </row>
    <row r="21" ht="12.75" customHeight="1">
      <c r="A21" s="11">
        <v>18.0</v>
      </c>
      <c r="B21" s="40">
        <f t="shared" si="16"/>
        <v>3.56825</v>
      </c>
      <c r="C21" s="41">
        <f t="shared" si="19"/>
        <v>578405.7102</v>
      </c>
      <c r="D21" s="12">
        <f t="shared" si="17"/>
        <v>2063896.174</v>
      </c>
      <c r="E21" s="15">
        <f>'HIER Rechnung Ausschütter'!E21+'HIER Rechnung Ausschütter'!K$1</f>
        <v>0.1434008267</v>
      </c>
      <c r="F21" s="12">
        <f t="shared" si="2"/>
        <v>2359860.591</v>
      </c>
      <c r="G21" s="17">
        <v>0.024231581089733</v>
      </c>
      <c r="H21" s="44">
        <f t="shared" si="1"/>
        <v>2248671.083</v>
      </c>
      <c r="I21" s="49">
        <f t="shared" si="3"/>
        <v>0.08952723078</v>
      </c>
      <c r="J21" s="49">
        <f t="shared" si="4"/>
        <v>3.07994</v>
      </c>
      <c r="K21" s="51">
        <f>H21-'HIER Rechnung Thesaurierer '!J21</f>
        <v>225008.8473</v>
      </c>
      <c r="L21" s="50"/>
      <c r="M21" s="51">
        <f t="shared" si="5"/>
        <v>57183.15328</v>
      </c>
      <c r="N21" s="51">
        <f t="shared" si="6"/>
        <v>42101.09664</v>
      </c>
      <c r="O21" s="51">
        <f t="shared" si="7"/>
        <v>15082.05668</v>
      </c>
      <c r="P21" s="52">
        <f t="shared" si="18"/>
        <v>0.05725884686</v>
      </c>
      <c r="Q21" s="51">
        <f>Q20*(1+'HIER Rechnung Thesaurierer '!I21)</f>
        <v>128756.3129</v>
      </c>
      <c r="R21" s="51">
        <f t="shared" si="8"/>
        <v>128756.3131</v>
      </c>
      <c r="S21" s="15"/>
      <c r="T21" s="53">
        <f t="shared" si="9"/>
        <v>27252.73125</v>
      </c>
      <c r="U21" s="54">
        <f t="shared" si="10"/>
        <v>111189.5081</v>
      </c>
      <c r="V21" s="51">
        <f t="shared" si="11"/>
        <v>93021.01153</v>
      </c>
      <c r="W21" s="51">
        <f t="shared" si="12"/>
        <v>24534.29179</v>
      </c>
      <c r="X21" s="51">
        <f t="shared" si="13"/>
        <v>18168.49658</v>
      </c>
      <c r="Y21" s="51">
        <f t="shared" si="14"/>
        <v>86655.21636</v>
      </c>
      <c r="Z21" s="12"/>
      <c r="AA21" s="52"/>
      <c r="AB21" s="11"/>
      <c r="AC21" s="51">
        <f>AC20*(1+'HIER Rechnung Thesaurierer '!I21)</f>
        <v>0</v>
      </c>
      <c r="AD21" s="51">
        <f>IF((M21+U21)&lt;AC21,(M21+U21)*'HIER Rechnung Ausschütter'!O$1,AC21*'HIER Rechnung Ausschütter'!O$1)</f>
        <v>0</v>
      </c>
      <c r="AE21" s="12">
        <f>'HIER Rechnung Ausschütter'!AM21-AG21</f>
        <v>-27209.43075</v>
      </c>
      <c r="AF21" s="63">
        <f>AF20*(1+'HIER Rechnung Thesaurierer '!I20)</f>
        <v>0</v>
      </c>
      <c r="AG21" s="12">
        <f t="shared" si="15"/>
        <v>150204.1648</v>
      </c>
    </row>
    <row r="22" ht="12.75" customHeight="1">
      <c r="A22" s="11">
        <v>19.0</v>
      </c>
      <c r="B22" s="40">
        <f t="shared" si="16"/>
        <v>4.07994</v>
      </c>
      <c r="C22" s="41">
        <f t="shared" si="19"/>
        <v>551152.9789</v>
      </c>
      <c r="D22" s="12">
        <f t="shared" si="17"/>
        <v>2248671.083</v>
      </c>
      <c r="E22" s="15">
        <f>'HIER Rechnung Ausschütter'!E22+'HIER Rechnung Ausschütter'!K$1</f>
        <v>0.2118511547</v>
      </c>
      <c r="F22" s="12">
        <f t="shared" si="2"/>
        <v>2725054.648</v>
      </c>
      <c r="G22" s="17">
        <v>0.027655360268658</v>
      </c>
      <c r="H22" s="44">
        <f t="shared" si="1"/>
        <v>2619277.821</v>
      </c>
      <c r="I22" s="49">
        <f t="shared" si="3"/>
        <v>0.1648114484</v>
      </c>
      <c r="J22" s="49">
        <f t="shared" si="4"/>
        <v>3.94428</v>
      </c>
      <c r="K22" s="51">
        <f>H22-'HIER Rechnung Thesaurierer '!J22</f>
        <v>288123.7564</v>
      </c>
      <c r="L22" s="50"/>
      <c r="M22" s="51">
        <f t="shared" si="5"/>
        <v>75362.36804</v>
      </c>
      <c r="N22" s="51">
        <f t="shared" si="6"/>
        <v>55485.54352</v>
      </c>
      <c r="O22" s="51">
        <f t="shared" si="7"/>
        <v>19876.82457</v>
      </c>
      <c r="P22" s="52">
        <f t="shared" si="18"/>
        <v>0.05235239747</v>
      </c>
      <c r="Q22" s="51">
        <f>Q21*(1+'HIER Rechnung Thesaurierer '!I22)</f>
        <v>137125.4733</v>
      </c>
      <c r="R22" s="51">
        <f t="shared" si="8"/>
        <v>137125.4735</v>
      </c>
      <c r="S22" s="15"/>
      <c r="T22" s="53">
        <f t="shared" si="9"/>
        <v>21393.77766</v>
      </c>
      <c r="U22" s="54">
        <f t="shared" si="10"/>
        <v>105776.8268</v>
      </c>
      <c r="V22" s="51">
        <f t="shared" si="11"/>
        <v>91514.30116</v>
      </c>
      <c r="W22" s="51">
        <f t="shared" si="12"/>
        <v>24136.89693</v>
      </c>
      <c r="X22" s="51">
        <f t="shared" si="13"/>
        <v>14262.52557</v>
      </c>
      <c r="Y22" s="51">
        <f t="shared" si="14"/>
        <v>81639.92983</v>
      </c>
      <c r="Z22" s="12"/>
      <c r="AA22" s="52"/>
      <c r="AB22" s="11"/>
      <c r="AC22" s="51">
        <f>AC21*(1+'HIER Rechnung Thesaurierer '!I22)</f>
        <v>0</v>
      </c>
      <c r="AD22" s="51">
        <f>IF((M22+U22)&lt;AC22,(M22+U22)*'HIER Rechnung Ausschütter'!O$1,AC22*'HIER Rechnung Ausschütter'!O$1)</f>
        <v>0</v>
      </c>
      <c r="AE22" s="12">
        <f>'HIER Rechnung Ausschütter'!AM22-AG22</f>
        <v>-42753.30438</v>
      </c>
      <c r="AF22" s="63">
        <f>AF21*(1+'HIER Rechnung Thesaurierer '!I21)</f>
        <v>0</v>
      </c>
      <c r="AG22" s="12">
        <f t="shared" si="15"/>
        <v>166876.6692</v>
      </c>
    </row>
    <row r="23" ht="12.75" customHeight="1">
      <c r="A23" s="11">
        <v>20.0</v>
      </c>
      <c r="B23" s="40">
        <f t="shared" si="16"/>
        <v>4.94428</v>
      </c>
      <c r="C23" s="41">
        <f t="shared" si="19"/>
        <v>529759.2013</v>
      </c>
      <c r="D23" s="12">
        <f t="shared" si="17"/>
        <v>2619277.821</v>
      </c>
      <c r="E23" s="15">
        <f>'HIER Rechnung Ausschütter'!E23+'HIER Rechnung Ausschütter'!K$1</f>
        <v>0.1474633314</v>
      </c>
      <c r="F23" s="12">
        <f t="shared" si="2"/>
        <v>3005525.254</v>
      </c>
      <c r="G23" s="17">
        <v>0.024474316925674</v>
      </c>
      <c r="H23" s="44">
        <f t="shared" si="1"/>
        <v>2884876.276</v>
      </c>
      <c r="I23" s="49">
        <f t="shared" si="3"/>
        <v>0.1014014067</v>
      </c>
      <c r="J23" s="49">
        <f t="shared" si="4"/>
        <v>4.67338</v>
      </c>
      <c r="K23" s="51">
        <f>H23-'HIER Rechnung Thesaurierer '!J23</f>
        <v>349196.2199</v>
      </c>
      <c r="L23" s="50"/>
      <c r="M23" s="51">
        <f t="shared" si="5"/>
        <v>73558.17759</v>
      </c>
      <c r="N23" s="51">
        <f t="shared" si="6"/>
        <v>54157.2083</v>
      </c>
      <c r="O23" s="51">
        <f t="shared" si="7"/>
        <v>19400.96934</v>
      </c>
      <c r="P23" s="52">
        <f t="shared" si="18"/>
        <v>0.05085980908</v>
      </c>
      <c r="Q23" s="51">
        <f>Q22*(1+'HIER Rechnung Thesaurierer '!I23)</f>
        <v>146724.2564</v>
      </c>
      <c r="R23" s="51">
        <f t="shared" si="8"/>
        <v>146724.2566</v>
      </c>
      <c r="S23" s="15"/>
      <c r="T23" s="53">
        <f t="shared" si="9"/>
        <v>21265.80228</v>
      </c>
      <c r="U23" s="54">
        <f t="shared" si="10"/>
        <v>120648.9771</v>
      </c>
      <c r="V23" s="51">
        <f t="shared" si="11"/>
        <v>106471.7685</v>
      </c>
      <c r="W23" s="51">
        <f t="shared" si="12"/>
        <v>28081.92894</v>
      </c>
      <c r="X23" s="51">
        <f t="shared" si="13"/>
        <v>14177.20861</v>
      </c>
      <c r="Y23" s="51">
        <f t="shared" si="14"/>
        <v>92567.04818</v>
      </c>
      <c r="Z23" s="12"/>
      <c r="AA23" s="52"/>
      <c r="AB23" s="11"/>
      <c r="AC23" s="51">
        <f>AC22*(1+'HIER Rechnung Thesaurierer '!I23)</f>
        <v>0</v>
      </c>
      <c r="AD23" s="51">
        <f>IF((M23+U23)&lt;AC23,(M23+U23)*'HIER Rechnung Ausschütter'!O$1,AC23*'HIER Rechnung Ausschütter'!O$1)</f>
        <v>0</v>
      </c>
      <c r="AE23" s="12">
        <f>'HIER Rechnung Ausschütter'!AM23-AG23</f>
        <v>-32985.68433</v>
      </c>
      <c r="AF23" s="63">
        <f>AF22*(1+'HIER Rechnung Thesaurierer '!I22)</f>
        <v>0</v>
      </c>
      <c r="AG23" s="12">
        <f t="shared" si="15"/>
        <v>180029.9461</v>
      </c>
    </row>
    <row r="24" ht="12.75" customHeight="1">
      <c r="A24" s="11">
        <v>21.0</v>
      </c>
      <c r="B24" s="40">
        <f t="shared" si="16"/>
        <v>5.67338</v>
      </c>
      <c r="C24" s="41">
        <f t="shared" si="19"/>
        <v>508493.399</v>
      </c>
      <c r="D24" s="12">
        <f t="shared" si="17"/>
        <v>2884876.276</v>
      </c>
      <c r="E24" s="15">
        <f>'HIER Rechnung Ausschütter'!E24+'HIER Rechnung Ausschütter'!K$1</f>
        <v>-0.1865043413</v>
      </c>
      <c r="F24" s="12">
        <f t="shared" si="2"/>
        <v>2346834.327</v>
      </c>
      <c r="G24" s="17">
        <v>0.021327265769625</v>
      </c>
      <c r="H24" s="44">
        <f t="shared" si="1"/>
        <v>2188457.503</v>
      </c>
      <c r="I24" s="49">
        <f t="shared" si="3"/>
        <v>-0.2414033417</v>
      </c>
      <c r="J24" s="49">
        <f t="shared" si="4"/>
        <v>3.61527</v>
      </c>
      <c r="K24" s="51">
        <f>H24-'HIER Rechnung Thesaurierer '!J24</f>
        <v>269405.7461</v>
      </c>
      <c r="L24" s="50"/>
      <c r="M24" s="51">
        <f t="shared" si="5"/>
        <v>50051.5594</v>
      </c>
      <c r="N24" s="51">
        <f t="shared" si="6"/>
        <v>36850.46064</v>
      </c>
      <c r="O24" s="51">
        <f t="shared" si="7"/>
        <v>13201.09879</v>
      </c>
      <c r="P24" s="52">
        <f t="shared" si="18"/>
        <v>0.07287747953</v>
      </c>
      <c r="Q24" s="51">
        <f>Q23*(1+'HIER Rechnung Thesaurierer '!I24)</f>
        <v>159489.2667</v>
      </c>
      <c r="R24" s="51">
        <f t="shared" si="8"/>
        <v>159489.2669</v>
      </c>
      <c r="S24" s="15"/>
      <c r="T24" s="53">
        <f t="shared" si="9"/>
        <v>34315.83061</v>
      </c>
      <c r="U24" s="54">
        <f t="shared" si="10"/>
        <v>158376.8234</v>
      </c>
      <c r="V24" s="51">
        <f t="shared" si="11"/>
        <v>135499.5915</v>
      </c>
      <c r="W24" s="51">
        <f t="shared" si="12"/>
        <v>35738.01726</v>
      </c>
      <c r="X24" s="51">
        <f t="shared" si="13"/>
        <v>22877.23185</v>
      </c>
      <c r="Y24" s="51">
        <f t="shared" si="14"/>
        <v>122638.8061</v>
      </c>
      <c r="Z24" s="12"/>
      <c r="AA24" s="52"/>
      <c r="AB24" s="11"/>
      <c r="AC24" s="51">
        <f>AC23*(1+'HIER Rechnung Thesaurierer '!I24)</f>
        <v>0</v>
      </c>
      <c r="AD24" s="51">
        <f>IF((M24+U24)&lt;AC24,(M24+U24)*'HIER Rechnung Ausschütter'!O$1,AC24*'HIER Rechnung Ausschütter'!O$1)</f>
        <v>0</v>
      </c>
      <c r="AE24" s="12">
        <f>'HIER Rechnung Ausschütter'!AM24-AG24</f>
        <v>-99163.87062</v>
      </c>
      <c r="AF24" s="63">
        <f>AF23*(1+'HIER Rechnung Thesaurierer '!I23)</f>
        <v>0</v>
      </c>
      <c r="AG24" s="12">
        <f t="shared" si="15"/>
        <v>185551.1509</v>
      </c>
    </row>
    <row r="25" ht="12.75" customHeight="1">
      <c r="A25" s="11">
        <v>22.0</v>
      </c>
      <c r="B25" s="40">
        <f t="shared" si="16"/>
        <v>4.61527</v>
      </c>
      <c r="C25" s="41">
        <f t="shared" si="19"/>
        <v>474177.5684</v>
      </c>
      <c r="D25" s="12">
        <f t="shared" si="17"/>
        <v>2188457.503</v>
      </c>
      <c r="E25" s="15">
        <f>'HIER Rechnung Ausschütter'!E25+'HIER Rechnung Ausschütter'!K$1</f>
        <v>0.1599841396</v>
      </c>
      <c r="F25" s="12">
        <f t="shared" si="2"/>
        <v>2538575.994</v>
      </c>
      <c r="G25" s="17">
        <v>0.029688264834398</v>
      </c>
      <c r="H25" s="44">
        <f t="shared" si="1"/>
        <v>2385931.124</v>
      </c>
      <c r="I25" s="49">
        <f t="shared" si="3"/>
        <v>0.09023415854</v>
      </c>
      <c r="J25" s="49">
        <f t="shared" si="4"/>
        <v>4.35364</v>
      </c>
      <c r="K25" s="51">
        <f>H25-'HIER Rechnung Thesaurierer '!J25</f>
        <v>326288.8214</v>
      </c>
      <c r="L25" s="50"/>
      <c r="M25" s="51">
        <f t="shared" si="5"/>
        <v>75365.9164</v>
      </c>
      <c r="N25" s="51">
        <f t="shared" si="6"/>
        <v>55488.156</v>
      </c>
      <c r="O25" s="51">
        <f t="shared" si="7"/>
        <v>19877.76045</v>
      </c>
      <c r="P25" s="52">
        <f t="shared" si="18"/>
        <v>0.07246075277</v>
      </c>
      <c r="Q25" s="51">
        <f>Q24*(1+'HIER Rechnung Thesaurierer '!I25)</f>
        <v>172886.3651</v>
      </c>
      <c r="R25" s="51">
        <f t="shared" si="8"/>
        <v>172886.3654</v>
      </c>
      <c r="S25" s="15"/>
      <c r="T25" s="53">
        <f t="shared" si="9"/>
        <v>28512.35219</v>
      </c>
      <c r="U25" s="54">
        <f t="shared" si="10"/>
        <v>152644.8689</v>
      </c>
      <c r="V25" s="51">
        <f t="shared" si="11"/>
        <v>133636.6246</v>
      </c>
      <c r="W25" s="51">
        <f t="shared" si="12"/>
        <v>35246.65974</v>
      </c>
      <c r="X25" s="51">
        <f t="shared" si="13"/>
        <v>19008.2443</v>
      </c>
      <c r="Y25" s="51">
        <f t="shared" si="14"/>
        <v>117398.2092</v>
      </c>
      <c r="Z25" s="12"/>
      <c r="AA25" s="52"/>
      <c r="AB25" s="11"/>
      <c r="AC25" s="51">
        <f>AC24*(1+'HIER Rechnung Thesaurierer '!I25)</f>
        <v>0</v>
      </c>
      <c r="AD25" s="51">
        <f>IF((M25+U25)&lt;AC25,(M25+U25)*'HIER Rechnung Ausschütter'!O$1,AC25*'HIER Rechnung Ausschütter'!O$1)</f>
        <v>0</v>
      </c>
      <c r="AE25" s="12">
        <f>'HIER Rechnung Ausschütter'!AM25-AG25</f>
        <v>-51634.00209</v>
      </c>
      <c r="AF25" s="63">
        <f>AF24*(1+'HIER Rechnung Thesaurierer '!I24)</f>
        <v>0</v>
      </c>
      <c r="AG25" s="12">
        <f t="shared" si="15"/>
        <v>209002.541</v>
      </c>
    </row>
    <row r="26" ht="12.75" customHeight="1">
      <c r="A26" s="11">
        <v>23.0</v>
      </c>
      <c r="B26" s="40">
        <f t="shared" si="16"/>
        <v>5.35364</v>
      </c>
      <c r="C26" s="41">
        <f t="shared" si="19"/>
        <v>445665.2162</v>
      </c>
      <c r="D26" s="12">
        <f t="shared" si="17"/>
        <v>2385931.124</v>
      </c>
      <c r="E26" s="15">
        <f>'HIER Rechnung Ausschütter'!E26+'HIER Rechnung Ausschütter'!K$1</f>
        <v>-0.07141309464</v>
      </c>
      <c r="F26" s="12">
        <f t="shared" si="2"/>
        <v>2215544.399</v>
      </c>
      <c r="G26" s="17">
        <v>0.0248144608673268</v>
      </c>
      <c r="H26" s="44">
        <f t="shared" si="1"/>
        <v>2026468.986</v>
      </c>
      <c r="I26" s="49">
        <f t="shared" si="3"/>
        <v>-0.1506590593</v>
      </c>
      <c r="J26" s="49">
        <f t="shared" si="4"/>
        <v>3.97132</v>
      </c>
      <c r="K26" s="51">
        <f>H26-'HIER Rechnung Thesaurierer '!J26</f>
        <v>284419.227</v>
      </c>
      <c r="L26" s="50"/>
      <c r="M26" s="51">
        <f t="shared" si="5"/>
        <v>54977.53979</v>
      </c>
      <c r="N26" s="51">
        <f t="shared" si="6"/>
        <v>40477.21371</v>
      </c>
      <c r="O26" s="51">
        <f t="shared" si="7"/>
        <v>14500.32612</v>
      </c>
      <c r="P26" s="52">
        <f t="shared" si="18"/>
        <v>0.09196859318</v>
      </c>
      <c r="Q26" s="51">
        <f>Q25*(1+'HIER Rechnung Thesaurierer '!I26)</f>
        <v>186371.5016</v>
      </c>
      <c r="R26" s="51">
        <f t="shared" si="8"/>
        <v>186371.5018</v>
      </c>
      <c r="S26" s="15"/>
      <c r="T26" s="53">
        <f t="shared" si="9"/>
        <v>38033.24136</v>
      </c>
      <c r="U26" s="54">
        <f t="shared" si="10"/>
        <v>189075.4132</v>
      </c>
      <c r="V26" s="51">
        <f t="shared" si="11"/>
        <v>163719.9063</v>
      </c>
      <c r="W26" s="51">
        <f t="shared" si="12"/>
        <v>43181.12529</v>
      </c>
      <c r="X26" s="51">
        <f t="shared" si="13"/>
        <v>25355.50692</v>
      </c>
      <c r="Y26" s="51">
        <f t="shared" si="14"/>
        <v>145894.288</v>
      </c>
      <c r="Z26" s="12"/>
      <c r="AA26" s="52"/>
      <c r="AB26" s="11"/>
      <c r="AC26" s="51">
        <f>AC25*(1+'HIER Rechnung Thesaurierer '!I26)</f>
        <v>0</v>
      </c>
      <c r="AD26" s="51">
        <f>IF((M26+U26)&lt;AC26,(M26+U26)*'HIER Rechnung Ausschütter'!O$1,AC26*'HIER Rechnung Ausschütter'!O$1)</f>
        <v>0</v>
      </c>
      <c r="AE26" s="12">
        <f>'HIER Rechnung Ausschütter'!AM26-AG26</f>
        <v>-119658.8924</v>
      </c>
      <c r="AF26" s="63">
        <f>AF25*(1+'HIER Rechnung Thesaurierer '!I25)</f>
        <v>0</v>
      </c>
      <c r="AG26" s="12">
        <f t="shared" si="15"/>
        <v>218697.4461</v>
      </c>
    </row>
    <row r="27" ht="12.75" customHeight="1">
      <c r="A27" s="11">
        <v>24.0</v>
      </c>
      <c r="B27" s="40">
        <f t="shared" si="16"/>
        <v>4.97132</v>
      </c>
      <c r="C27" s="41">
        <f t="shared" si="19"/>
        <v>407631.9748</v>
      </c>
      <c r="D27" s="12">
        <f t="shared" si="17"/>
        <v>2026468.986</v>
      </c>
      <c r="E27" s="15">
        <f>'HIER Rechnung Ausschütter'!E27+'HIER Rechnung Ausschütter'!K$1</f>
        <v>0.2038975564</v>
      </c>
      <c r="F27" s="12">
        <f t="shared" si="2"/>
        <v>2439661.06</v>
      </c>
      <c r="G27" s="17">
        <v>0.027391093477314</v>
      </c>
      <c r="H27" s="44">
        <f t="shared" si="1"/>
        <v>2244676.657</v>
      </c>
      <c r="I27" s="49">
        <f t="shared" si="3"/>
        <v>0.107678762</v>
      </c>
      <c r="J27" s="49">
        <f t="shared" si="4"/>
        <v>4.98496</v>
      </c>
      <c r="K27" s="51">
        <f>H27-'HIER Rechnung Thesaurierer '!J27</f>
        <v>343278.3658</v>
      </c>
      <c r="L27" s="50"/>
      <c r="M27" s="51">
        <f t="shared" si="5"/>
        <v>66824.98414</v>
      </c>
      <c r="N27" s="51">
        <f t="shared" si="6"/>
        <v>49199.89462</v>
      </c>
      <c r="O27" s="51">
        <f t="shared" si="7"/>
        <v>17625.08957</v>
      </c>
      <c r="P27" s="52">
        <f t="shared" si="18"/>
        <v>0.08842505164</v>
      </c>
      <c r="Q27" s="51">
        <f>Q26*(1+'HIER Rechnung Thesaurierer '!I27)</f>
        <v>198485.6492</v>
      </c>
      <c r="R27" s="51">
        <f t="shared" si="8"/>
        <v>198485.6494</v>
      </c>
      <c r="S27" s="15"/>
      <c r="T27" s="53">
        <f t="shared" si="9"/>
        <v>32579.06527</v>
      </c>
      <c r="U27" s="54">
        <f t="shared" si="10"/>
        <v>194984.4022</v>
      </c>
      <c r="V27" s="51">
        <f t="shared" si="11"/>
        <v>173265.0145</v>
      </c>
      <c r="W27" s="51">
        <f t="shared" si="12"/>
        <v>45698.64758</v>
      </c>
      <c r="X27" s="51">
        <f t="shared" si="13"/>
        <v>21719.38771</v>
      </c>
      <c r="Y27" s="51">
        <f t="shared" si="14"/>
        <v>149285.7547</v>
      </c>
      <c r="Z27" s="12"/>
      <c r="AA27" s="52"/>
      <c r="AB27" s="11"/>
      <c r="AC27" s="51">
        <f>AC26*(1+'HIER Rechnung Thesaurierer '!I27)</f>
        <v>0</v>
      </c>
      <c r="AD27" s="51">
        <f>IF((M27+U27)&lt;AC27,(M27+U27)*'HIER Rechnung Ausschütter'!O$1,AC27*'HIER Rechnung Ausschütter'!O$1)</f>
        <v>0</v>
      </c>
      <c r="AE27" s="12">
        <f>'HIER Rechnung Ausschütter'!AM27-AG27</f>
        <v>-88368.46371</v>
      </c>
      <c r="AF27" s="63">
        <f>AF26*(1+'HIER Rechnung Thesaurierer '!I26)</f>
        <v>0</v>
      </c>
      <c r="AG27" s="12">
        <f t="shared" si="15"/>
        <v>240089.9987</v>
      </c>
    </row>
    <row r="28" ht="12.75" customHeight="1">
      <c r="A28" s="11">
        <v>25.0</v>
      </c>
      <c r="B28" s="40">
        <f t="shared" si="16"/>
        <v>5.98496</v>
      </c>
      <c r="C28" s="41">
        <f t="shared" si="19"/>
        <v>375052.9095</v>
      </c>
      <c r="D28" s="12">
        <f t="shared" si="17"/>
        <v>2244676.657</v>
      </c>
      <c r="E28" s="15">
        <f>'HIER Rechnung Ausschütter'!E28+'HIER Rechnung Ausschütter'!K$1</f>
        <v>0.03357415923</v>
      </c>
      <c r="F28" s="12">
        <f t="shared" si="2"/>
        <v>2320039.789</v>
      </c>
      <c r="G28" s="17">
        <v>0.0222437780060602</v>
      </c>
      <c r="H28" s="44">
        <f t="shared" si="1"/>
        <v>2092248.976</v>
      </c>
      <c r="I28" s="49">
        <f t="shared" si="3"/>
        <v>-0.06790629743</v>
      </c>
      <c r="J28" s="49">
        <f t="shared" si="4"/>
        <v>5.1859</v>
      </c>
      <c r="K28" s="51">
        <f>H28-'HIER Rechnung Thesaurierer '!J28</f>
        <v>351572.1539</v>
      </c>
      <c r="L28" s="50"/>
      <c r="M28" s="51">
        <f t="shared" si="5"/>
        <v>51606.45002</v>
      </c>
      <c r="N28" s="51">
        <f t="shared" si="6"/>
        <v>37995.24887</v>
      </c>
      <c r="O28" s="51">
        <f t="shared" si="7"/>
        <v>13611.20119</v>
      </c>
      <c r="P28" s="52">
        <f t="shared" si="18"/>
        <v>0.1014129587</v>
      </c>
      <c r="Q28" s="51">
        <f>Q27*(1+'HIER Rechnung Thesaurierer '!I28)</f>
        <v>212181.159</v>
      </c>
      <c r="R28" s="51">
        <f t="shared" si="8"/>
        <v>212181.1592</v>
      </c>
      <c r="S28" s="15"/>
      <c r="T28" s="53">
        <f t="shared" si="9"/>
        <v>36824.19893</v>
      </c>
      <c r="U28" s="54">
        <f t="shared" si="10"/>
        <v>227790.812</v>
      </c>
      <c r="V28" s="51">
        <f t="shared" si="11"/>
        <v>203241.3337</v>
      </c>
      <c r="W28" s="51">
        <f t="shared" si="12"/>
        <v>53604.90177</v>
      </c>
      <c r="X28" s="51">
        <f t="shared" si="13"/>
        <v>24549.47823</v>
      </c>
      <c r="Y28" s="51">
        <f t="shared" si="14"/>
        <v>174185.9102</v>
      </c>
      <c r="Z28" s="12"/>
      <c r="AA28" s="52"/>
      <c r="AB28" s="11"/>
      <c r="AC28" s="51">
        <f>AC27*(1+'HIER Rechnung Thesaurierer '!I28)</f>
        <v>0</v>
      </c>
      <c r="AD28" s="51">
        <f>IF((M28+U28)&lt;AC28,(M28+U28)*'HIER Rechnung Ausschütter'!O$1,AC28*'HIER Rechnung Ausschütter'!O$1)</f>
        <v>0</v>
      </c>
      <c r="AE28" s="12">
        <f>'HIER Rechnung Ausschütter'!AM28-AG28</f>
        <v>-102877.2706</v>
      </c>
      <c r="AF28" s="63">
        <f>AF27*(1+'HIER Rechnung Thesaurierer '!I27)</f>
        <v>0</v>
      </c>
      <c r="AG28" s="12">
        <f t="shared" si="15"/>
        <v>254847.7838</v>
      </c>
    </row>
    <row r="29" ht="12.75" customHeight="1">
      <c r="A29" s="11">
        <v>26.0</v>
      </c>
      <c r="B29" s="40">
        <f t="shared" si="16"/>
        <v>6.1859</v>
      </c>
      <c r="C29" s="41">
        <f t="shared" si="19"/>
        <v>338228.7106</v>
      </c>
      <c r="D29" s="12">
        <f t="shared" si="17"/>
        <v>2092248.976</v>
      </c>
      <c r="E29" s="15">
        <f>'HIER Rechnung Ausschütter'!E29+'HIER Rechnung Ausschütter'!K$1</f>
        <v>0.1870220986</v>
      </c>
      <c r="F29" s="12">
        <f t="shared" si="2"/>
        <v>2483545.771</v>
      </c>
      <c r="G29" s="17">
        <v>0.026143851239646</v>
      </c>
      <c r="H29" s="44">
        <f t="shared" si="1"/>
        <v>2248057.472</v>
      </c>
      <c r="I29" s="49">
        <f t="shared" si="3"/>
        <v>0.07446938531</v>
      </c>
      <c r="J29" s="49">
        <f t="shared" si="4"/>
        <v>6.3428</v>
      </c>
      <c r="K29" s="51">
        <f>H29-'HIER Rechnung Thesaurierer '!J29</f>
        <v>413529.3717</v>
      </c>
      <c r="L29" s="50"/>
      <c r="M29" s="51">
        <f t="shared" si="5"/>
        <v>64929.45118</v>
      </c>
      <c r="N29" s="51">
        <f t="shared" si="6"/>
        <v>47804.30848</v>
      </c>
      <c r="O29" s="51">
        <f t="shared" si="7"/>
        <v>17125.14275</v>
      </c>
      <c r="P29" s="52">
        <f t="shared" si="18"/>
        <v>0.100896735</v>
      </c>
      <c r="Q29" s="51">
        <f>Q28*(1+'HIER Rechnung Thesaurierer '!I29)</f>
        <v>226821.659</v>
      </c>
      <c r="R29" s="51">
        <f t="shared" si="8"/>
        <v>226821.6592</v>
      </c>
      <c r="S29" s="15"/>
      <c r="T29" s="53">
        <f t="shared" si="9"/>
        <v>32070.64052</v>
      </c>
      <c r="U29" s="54">
        <f t="shared" si="10"/>
        <v>235488.299</v>
      </c>
      <c r="V29" s="51">
        <f t="shared" si="11"/>
        <v>214107.8613</v>
      </c>
      <c r="W29" s="51">
        <f t="shared" si="12"/>
        <v>56470.94841</v>
      </c>
      <c r="X29" s="51">
        <f t="shared" si="13"/>
        <v>21380.4377</v>
      </c>
      <c r="Y29" s="51">
        <f t="shared" si="14"/>
        <v>179017.3506</v>
      </c>
      <c r="Z29" s="12"/>
      <c r="AA29" s="52"/>
      <c r="AB29" s="11"/>
      <c r="AC29" s="51">
        <f>AC28*(1+'HIER Rechnung Thesaurierer '!I29)</f>
        <v>0</v>
      </c>
      <c r="AD29" s="51">
        <f>IF((M29+U29)&lt;AC29,(M29+U29)*'HIER Rechnung Ausschütter'!O$1,AC29*'HIER Rechnung Ausschütter'!O$1)</f>
        <v>0</v>
      </c>
      <c r="AE29" s="12">
        <f>'HIER Rechnung Ausschütter'!AM29-AG29</f>
        <v>-99230.03122</v>
      </c>
      <c r="AF29" s="63">
        <f>AF28*(1+'HIER Rechnung Thesaurierer '!I28)</f>
        <v>0</v>
      </c>
      <c r="AG29" s="12">
        <f t="shared" si="15"/>
        <v>279037.3125</v>
      </c>
    </row>
    <row r="30" ht="12.75" customHeight="1">
      <c r="A30" s="11">
        <v>27.0</v>
      </c>
      <c r="B30" s="40">
        <f t="shared" si="16"/>
        <v>7.3428</v>
      </c>
      <c r="C30" s="41">
        <f t="shared" si="19"/>
        <v>306158.0701</v>
      </c>
      <c r="D30" s="12">
        <f t="shared" si="17"/>
        <v>2248057.472</v>
      </c>
      <c r="E30" s="15">
        <f>'HIER Rechnung Ausschütter'!E30+'HIER Rechnung Ausschütter'!K$1</f>
        <v>0.117233208</v>
      </c>
      <c r="F30" s="12">
        <f t="shared" si="2"/>
        <v>2511604.461</v>
      </c>
      <c r="G30" s="17">
        <v>0.022727126367845</v>
      </c>
      <c r="H30" s="44">
        <f t="shared" si="1"/>
        <v>2249148.867</v>
      </c>
      <c r="I30" s="49">
        <f t="shared" si="3"/>
        <v>0.0004854836383</v>
      </c>
      <c r="J30" s="49">
        <f t="shared" si="4"/>
        <v>7.20362</v>
      </c>
      <c r="K30" s="51">
        <f>H30-'HIER Rechnung Thesaurierer '!J30</f>
        <v>452598.4208</v>
      </c>
      <c r="L30" s="50"/>
      <c r="M30" s="51">
        <f t="shared" si="5"/>
        <v>57081.55197</v>
      </c>
      <c r="N30" s="51">
        <f t="shared" si="6"/>
        <v>42026.29268</v>
      </c>
      <c r="O30" s="51">
        <f t="shared" si="7"/>
        <v>15055.25933</v>
      </c>
      <c r="P30" s="52">
        <f t="shared" si="18"/>
        <v>0.1071003371</v>
      </c>
      <c r="Q30" s="51">
        <f>Q29*(1+'HIER Rechnung Thesaurierer '!I30)</f>
        <v>240884.6018</v>
      </c>
      <c r="R30" s="51">
        <f t="shared" si="8"/>
        <v>240884.602</v>
      </c>
      <c r="S30" s="15"/>
      <c r="T30" s="53">
        <f t="shared" si="9"/>
        <v>31992.65618</v>
      </c>
      <c r="U30" s="54">
        <f t="shared" si="10"/>
        <v>262455.5939</v>
      </c>
      <c r="V30" s="51">
        <f t="shared" si="11"/>
        <v>241127.1458</v>
      </c>
      <c r="W30" s="51">
        <f t="shared" si="12"/>
        <v>63597.28471</v>
      </c>
      <c r="X30" s="51">
        <f t="shared" si="13"/>
        <v>21328.44812</v>
      </c>
      <c r="Y30" s="51">
        <f t="shared" si="14"/>
        <v>198858.3092</v>
      </c>
      <c r="Z30" s="12"/>
      <c r="AA30" s="52"/>
      <c r="AB30" s="11"/>
      <c r="AC30" s="51">
        <f>AC29*(1+'HIER Rechnung Thesaurierer '!I30)</f>
        <v>0</v>
      </c>
      <c r="AD30" s="51">
        <f>IF((M30+U30)&lt;AC30,(M30+U30)*'HIER Rechnung Ausschütter'!O$1,AC30*'HIER Rechnung Ausschütter'!O$1)</f>
        <v>0</v>
      </c>
      <c r="AE30" s="12">
        <f>'HIER Rechnung Ausschütter'!AM30-AG30</f>
        <v>-112932.6039</v>
      </c>
      <c r="AF30" s="63">
        <f>AF29*(1+'HIER Rechnung Thesaurierer '!I29)</f>
        <v>0</v>
      </c>
      <c r="AG30" s="12">
        <f t="shared" si="15"/>
        <v>298208.6978</v>
      </c>
    </row>
    <row r="31" ht="12.75" customHeight="1">
      <c r="A31" s="11">
        <v>28.0</v>
      </c>
      <c r="B31" s="40">
        <f t="shared" si="16"/>
        <v>8.20362</v>
      </c>
      <c r="C31" s="41">
        <f t="shared" si="19"/>
        <v>274165.4139</v>
      </c>
      <c r="D31" s="12">
        <f t="shared" si="17"/>
        <v>2249148.867</v>
      </c>
      <c r="E31" s="15">
        <f>'HIER Rechnung Ausschütter'!E31+'HIER Rechnung Ausschütter'!K$1</f>
        <v>0.1416801363</v>
      </c>
      <c r="F31" s="12">
        <f t="shared" si="2"/>
        <v>2567808.585</v>
      </c>
      <c r="G31" s="17">
        <v>0.020590960383848</v>
      </c>
      <c r="H31" s="44">
        <f t="shared" si="1"/>
        <v>2282458.735</v>
      </c>
      <c r="I31" s="49">
        <f t="shared" si="3"/>
        <v>0.01480998831</v>
      </c>
      <c r="J31" s="49">
        <f t="shared" si="4"/>
        <v>8.36591</v>
      </c>
      <c r="K31" s="51">
        <f>H31-'HIER Rechnung Thesaurierer '!J31</f>
        <v>501976.1262</v>
      </c>
      <c r="L31" s="50"/>
      <c r="M31" s="51">
        <f t="shared" si="5"/>
        <v>52873.64484</v>
      </c>
      <c r="N31" s="51">
        <f t="shared" si="6"/>
        <v>38928.22106</v>
      </c>
      <c r="O31" s="51">
        <f t="shared" si="7"/>
        <v>13945.42383</v>
      </c>
      <c r="P31" s="52">
        <f t="shared" si="18"/>
        <v>0.111447421</v>
      </c>
      <c r="Q31" s="51">
        <f>Q30*(1+'HIER Rechnung Thesaurierer '!I31)</f>
        <v>254374.1395</v>
      </c>
      <c r="R31" s="51">
        <f t="shared" si="8"/>
        <v>254374.1397</v>
      </c>
      <c r="S31" s="15"/>
      <c r="T31" s="53">
        <f t="shared" si="9"/>
        <v>30466.85796</v>
      </c>
      <c r="U31" s="54">
        <f t="shared" si="10"/>
        <v>285349.8495</v>
      </c>
      <c r="V31" s="51">
        <f t="shared" si="11"/>
        <v>265038.6007</v>
      </c>
      <c r="W31" s="51">
        <f t="shared" si="12"/>
        <v>69903.93093</v>
      </c>
      <c r="X31" s="51">
        <f t="shared" si="13"/>
        <v>20311.2488</v>
      </c>
      <c r="Y31" s="51">
        <f t="shared" si="14"/>
        <v>215445.9185</v>
      </c>
      <c r="Z31" s="12"/>
      <c r="AA31" s="52"/>
      <c r="AB31" s="11"/>
      <c r="AC31" s="51">
        <f>AC30*(1+'HIER Rechnung Thesaurierer '!I31)</f>
        <v>0</v>
      </c>
      <c r="AD31" s="51">
        <f>IF((M31+U31)&lt;AC31,(M31+U31)*'HIER Rechnung Ausschütter'!O$1,AC31*'HIER Rechnung Ausschütter'!O$1)</f>
        <v>0</v>
      </c>
      <c r="AE31" s="12">
        <f>'HIER Rechnung Ausschütter'!AM31-AG31</f>
        <v>-128789.6474</v>
      </c>
      <c r="AF31" s="63">
        <f>AF30*(1+'HIER Rechnung Thesaurierer '!I30)</f>
        <v>0</v>
      </c>
      <c r="AG31" s="12">
        <f t="shared" si="15"/>
        <v>317912.2455</v>
      </c>
    </row>
    <row r="32" ht="12.75" customHeight="1">
      <c r="A32" s="11">
        <v>29.0</v>
      </c>
      <c r="B32" s="40">
        <f t="shared" si="16"/>
        <v>9.36591</v>
      </c>
      <c r="C32" s="41">
        <f t="shared" si="19"/>
        <v>243698.556</v>
      </c>
      <c r="D32" s="12">
        <f t="shared" si="17"/>
        <v>2282458.735</v>
      </c>
      <c r="E32" s="15">
        <f>'HIER Rechnung Ausschütter'!E32+'HIER Rechnung Ausschütter'!K$1</f>
        <v>0.2278059473</v>
      </c>
      <c r="F32" s="12">
        <f t="shared" si="2"/>
        <v>2802416.41</v>
      </c>
      <c r="G32" s="17">
        <v>0.020146585141558</v>
      </c>
      <c r="H32" s="44">
        <f t="shared" si="1"/>
        <v>2503686.904</v>
      </c>
      <c r="I32" s="49">
        <f t="shared" si="3"/>
        <v>0.0969253749</v>
      </c>
      <c r="J32" s="49">
        <f t="shared" si="4"/>
        <v>10.49952</v>
      </c>
      <c r="K32" s="51">
        <f>H32-'HIER Rechnung Thesaurierer '!J32</f>
        <v>599322.2165</v>
      </c>
      <c r="L32" s="50"/>
      <c r="M32" s="51">
        <f t="shared" si="5"/>
        <v>56459.1208</v>
      </c>
      <c r="N32" s="51">
        <f t="shared" si="6"/>
        <v>41568.02773</v>
      </c>
      <c r="O32" s="51">
        <f t="shared" si="7"/>
        <v>14891.09311</v>
      </c>
      <c r="P32" s="52">
        <f t="shared" si="18"/>
        <v>0.106273412</v>
      </c>
      <c r="Q32" s="51">
        <f>Q31*(1+'HIER Rechnung Thesaurierer '!I32)</f>
        <v>266075.35</v>
      </c>
      <c r="R32" s="51">
        <f t="shared" si="8"/>
        <v>266075.3502</v>
      </c>
      <c r="S32" s="15"/>
      <c r="T32" s="53">
        <f t="shared" si="9"/>
        <v>25977.56305</v>
      </c>
      <c r="U32" s="54">
        <f t="shared" si="10"/>
        <v>298729.5056</v>
      </c>
      <c r="V32" s="51">
        <f t="shared" si="11"/>
        <v>281411.1216</v>
      </c>
      <c r="W32" s="51">
        <f t="shared" si="12"/>
        <v>74222.18332</v>
      </c>
      <c r="X32" s="51">
        <f t="shared" si="13"/>
        <v>17318.38402</v>
      </c>
      <c r="Y32" s="51">
        <f t="shared" si="14"/>
        <v>224507.3223</v>
      </c>
      <c r="Z32" s="12"/>
      <c r="AA32" s="52"/>
      <c r="AB32" s="11"/>
      <c r="AC32" s="51">
        <f>AC31*(1+'HIER Rechnung Thesaurierer '!I32)</f>
        <v>0</v>
      </c>
      <c r="AD32" s="51">
        <f>IF((M32+U32)&lt;AC32,(M32+U32)*'HIER Rechnung Ausschütter'!O$1,AC32*'HIER Rechnung Ausschütter'!O$1)</f>
        <v>0</v>
      </c>
      <c r="AE32" s="12">
        <f>'HIER Rechnung Ausschütter'!AM32-AG32</f>
        <v>-142742.2925</v>
      </c>
      <c r="AF32" s="63">
        <f>AF31*(1+'HIER Rechnung Thesaurierer '!I31)</f>
        <v>0</v>
      </c>
      <c r="AG32" s="12">
        <f t="shared" si="15"/>
        <v>337870.2424</v>
      </c>
    </row>
    <row r="33" ht="12.75" customHeight="1">
      <c r="A33" s="11">
        <v>30.0</v>
      </c>
      <c r="B33" s="40">
        <f t="shared" si="16"/>
        <v>11.49952</v>
      </c>
      <c r="C33" s="41">
        <f t="shared" si="19"/>
        <v>217720.9929</v>
      </c>
      <c r="D33" s="12">
        <f t="shared" si="17"/>
        <v>2503686.904</v>
      </c>
      <c r="E33" s="15">
        <f>'HIER Rechnung Ausschütter'!E33+'HIER Rechnung Ausschütter'!K$1</f>
        <v>0.2356037469</v>
      </c>
      <c r="F33" s="12">
        <f t="shared" si="2"/>
        <v>3093564.92</v>
      </c>
      <c r="G33" s="17">
        <v>0.017794717970258</v>
      </c>
      <c r="H33" s="44">
        <f t="shared" si="1"/>
        <v>2776291.446</v>
      </c>
      <c r="I33" s="49">
        <f t="shared" si="3"/>
        <v>0.108881243</v>
      </c>
      <c r="J33" s="49">
        <f t="shared" si="4"/>
        <v>13.20885</v>
      </c>
      <c r="K33" s="51">
        <f>H33-'HIER Rechnung Thesaurierer '!J33</f>
        <v>723522.9693</v>
      </c>
      <c r="L33" s="50"/>
      <c r="M33" s="51">
        <f t="shared" si="5"/>
        <v>55049.11527</v>
      </c>
      <c r="N33" s="51">
        <f t="shared" si="6"/>
        <v>40529.91116</v>
      </c>
      <c r="O33" s="51">
        <f t="shared" si="7"/>
        <v>14519.20415</v>
      </c>
      <c r="P33" s="52">
        <f t="shared" si="18"/>
        <v>0.1001511354</v>
      </c>
      <c r="Q33" s="51">
        <f>Q32*(1+'HIER Rechnung Thesaurierer '!I33)</f>
        <v>278048.7407</v>
      </c>
      <c r="R33" s="51">
        <f t="shared" si="8"/>
        <v>278048.7409</v>
      </c>
      <c r="S33" s="15"/>
      <c r="T33" s="53">
        <f t="shared" si="9"/>
        <v>22329.28588</v>
      </c>
      <c r="U33" s="54">
        <f t="shared" si="10"/>
        <v>317273.4735</v>
      </c>
      <c r="V33" s="51">
        <f t="shared" si="11"/>
        <v>302387.2755</v>
      </c>
      <c r="W33" s="51">
        <f t="shared" si="12"/>
        <v>79754.64391</v>
      </c>
      <c r="X33" s="51">
        <f t="shared" si="13"/>
        <v>14886.19803</v>
      </c>
      <c r="Y33" s="51">
        <f t="shared" si="14"/>
        <v>237518.8296</v>
      </c>
      <c r="Z33" s="12"/>
      <c r="AA33" s="52"/>
      <c r="AB33" s="11"/>
      <c r="AC33" s="51">
        <f>AC32*(1+'HIER Rechnung Thesaurierer '!I33)</f>
        <v>0</v>
      </c>
      <c r="AD33" s="51">
        <f>IF((M33+U33)&lt;AC33,(M33+U33)*'HIER Rechnung Ausschütter'!O$1,AC33*'HIER Rechnung Ausschütter'!O$1)</f>
        <v>0</v>
      </c>
      <c r="AE33" s="12">
        <f>'HIER Rechnung Ausschütter'!AM33-AG33</f>
        <v>-125052.1413</v>
      </c>
      <c r="AF33" s="63">
        <f>AF32*(1+'HIER Rechnung Thesaurierer '!I32)</f>
        <v>0</v>
      </c>
      <c r="AG33" s="12">
        <f t="shared" si="15"/>
        <v>357436.3908</v>
      </c>
    </row>
    <row r="34" ht="12.75" customHeight="1">
      <c r="B34" s="40">
        <f t="shared" si="16"/>
        <v>14.20885</v>
      </c>
      <c r="C34" s="41">
        <f t="shared" si="19"/>
        <v>195391.707</v>
      </c>
      <c r="G34" s="15"/>
      <c r="K34" s="11"/>
      <c r="Z34" s="15"/>
    </row>
    <row r="35" ht="12.75" customHeight="1">
      <c r="G35" s="15">
        <f>SUM(G4:G34)</f>
        <v>1.070769876</v>
      </c>
      <c r="K35" s="11"/>
      <c r="M35" s="12">
        <f t="shared" ref="M35:O35" si="20">SUM(M4:M34)</f>
        <v>1682297.871</v>
      </c>
      <c r="N35" s="12">
        <f t="shared" si="20"/>
        <v>1238591.808</v>
      </c>
      <c r="O35" s="12">
        <f t="shared" si="20"/>
        <v>443706.0634</v>
      </c>
      <c r="P35" s="24">
        <f>AVERAGE(P4:P34)</f>
        <v>0.07284582175</v>
      </c>
      <c r="R35" s="44">
        <f>SUM(R4:R34)</f>
        <v>3815705.22</v>
      </c>
      <c r="U35" s="46">
        <f>SUM(U4:U34)</f>
        <v>3308021.656</v>
      </c>
      <c r="Y35" s="12">
        <f>SUM(Y4:Y34)</f>
        <v>2577113.41</v>
      </c>
      <c r="AG35" s="12">
        <f>SUM(AG4:AG34)</f>
        <v>4453513.972</v>
      </c>
    </row>
    <row r="36" ht="12.75" customHeight="1">
      <c r="B36" s="11" t="s">
        <v>72</v>
      </c>
      <c r="D36" s="15">
        <f>H33/D4-1</f>
        <v>1.776291446</v>
      </c>
      <c r="G36" s="15">
        <f>AVERAGE(G4:G33)</f>
        <v>0.0356923292</v>
      </c>
      <c r="J36" s="52">
        <f>(J33+1)^(1/30)-1</f>
        <v>0.09249291954</v>
      </c>
      <c r="K36" s="11" t="s">
        <v>17</v>
      </c>
      <c r="L36" s="11"/>
      <c r="N36" s="12"/>
      <c r="P36" s="46"/>
      <c r="Q36" s="46"/>
      <c r="R36" s="12"/>
      <c r="S36" s="12"/>
      <c r="T36" s="12"/>
      <c r="V36" s="104"/>
      <c r="W36" s="104"/>
      <c r="Z36" s="15"/>
      <c r="AA36" s="11"/>
      <c r="AB36" s="12"/>
    </row>
    <row r="37" ht="12.75" customHeight="1">
      <c r="B37" s="11" t="s">
        <v>73</v>
      </c>
      <c r="D37" s="15">
        <f>(H33/C4)^(1/29)-1</f>
        <v>0.03583814134</v>
      </c>
      <c r="F37" s="6" t="s">
        <v>113</v>
      </c>
      <c r="G37" s="12">
        <f>SUM(O4:O33)+SUM(Z4:Z33)</f>
        <v>443706.0634</v>
      </c>
      <c r="K37" s="11"/>
      <c r="P37" s="46"/>
      <c r="Q37" s="46"/>
      <c r="R37" s="12"/>
      <c r="S37" s="12"/>
      <c r="V37" s="104"/>
      <c r="W37" s="104"/>
      <c r="AA37" s="11"/>
      <c r="AB37" s="15"/>
    </row>
    <row r="38" ht="12.75" customHeight="1">
      <c r="K38" s="11"/>
      <c r="R38" s="12"/>
      <c r="S38" s="12"/>
      <c r="V38" s="105"/>
      <c r="W38" s="105"/>
      <c r="X38" s="106"/>
      <c r="Y38" s="106"/>
      <c r="AA38" s="11"/>
      <c r="AB38" s="107"/>
    </row>
    <row r="39" ht="12.75" customHeight="1">
      <c r="B39" s="27" t="s">
        <v>114</v>
      </c>
      <c r="C39" s="24">
        <f>D37-'HIER Rechnung Thesaurierer '!D37</f>
        <v>0.0107284395</v>
      </c>
      <c r="D39" s="23" t="s">
        <v>17</v>
      </c>
      <c r="K39" s="11"/>
      <c r="P39" s="15"/>
      <c r="Q39" s="15"/>
      <c r="R39" s="11"/>
      <c r="S39" s="11"/>
      <c r="V39" s="105"/>
      <c r="W39" s="105"/>
      <c r="AA39" s="11"/>
      <c r="AB39" s="40"/>
      <c r="AD39" s="40"/>
    </row>
    <row r="40" ht="12.75" customHeight="1">
      <c r="B40" s="27" t="s">
        <v>115</v>
      </c>
      <c r="C40" s="24">
        <f>D37-'HIER Rechnung Ausschütter'!D37</f>
        <v>0.001934904051</v>
      </c>
      <c r="D40" s="23" t="s">
        <v>17</v>
      </c>
      <c r="E40" s="6" t="s">
        <v>116</v>
      </c>
      <c r="F40" s="12">
        <f>H33-'HIER Rechnung Ausschütter'!I33</f>
        <v>146526.3321</v>
      </c>
      <c r="G40" s="11" t="s">
        <v>117</v>
      </c>
      <c r="H40" s="15">
        <f>F40/H33</f>
        <v>0.05277771984</v>
      </c>
      <c r="K40" s="11"/>
      <c r="R40" s="12"/>
      <c r="S40" s="12"/>
      <c r="T40" s="46"/>
      <c r="V40" s="105"/>
      <c r="W40" s="105"/>
      <c r="AA40" s="11"/>
      <c r="AB40" s="12"/>
    </row>
    <row r="41" ht="12.75" customHeight="1">
      <c r="B41" s="18"/>
      <c r="K41" s="11"/>
      <c r="R41" s="11"/>
      <c r="S41" s="11"/>
      <c r="AA41" s="11"/>
      <c r="AB41" s="12"/>
    </row>
    <row r="42" ht="12.75" customHeight="1">
      <c r="B42" s="61" t="s">
        <v>75</v>
      </c>
      <c r="K42" s="11"/>
      <c r="Z42" s="11"/>
    </row>
    <row r="43" ht="12.75" customHeight="1">
      <c r="B43" s="14" t="s">
        <v>76</v>
      </c>
      <c r="C43" s="12">
        <f>(B34-D1)*C34</f>
        <v>2646030.253</v>
      </c>
      <c r="K43" s="11"/>
      <c r="R43" s="15"/>
      <c r="S43" s="15"/>
      <c r="Z43" s="11"/>
    </row>
    <row r="44" ht="12.75" customHeight="1">
      <c r="B44" s="14" t="s">
        <v>77</v>
      </c>
      <c r="C44" s="12">
        <f>C43*P1</f>
        <v>697890.4793</v>
      </c>
      <c r="K44" s="11"/>
    </row>
    <row r="45" ht="12.75" customHeight="1">
      <c r="B45" s="14" t="s">
        <v>78</v>
      </c>
      <c r="C45" s="12">
        <f>H33-C44</f>
        <v>2078400.967</v>
      </c>
      <c r="G45" s="108"/>
      <c r="K45" s="11"/>
      <c r="R45" s="63"/>
      <c r="S45" s="63"/>
    </row>
    <row r="46" ht="12.75" customHeight="1">
      <c r="B46" s="1" t="s">
        <v>73</v>
      </c>
      <c r="C46" s="15">
        <f>(C45/C4)^(1/29)-1</f>
        <v>0.02554845335</v>
      </c>
      <c r="D46" s="11" t="s">
        <v>17</v>
      </c>
      <c r="K46" s="11"/>
      <c r="R46" s="63"/>
      <c r="S46" s="63"/>
    </row>
    <row r="47" ht="12.75" customHeight="1">
      <c r="B47" s="18"/>
      <c r="K47" s="11"/>
    </row>
    <row r="48" ht="12.75" customHeight="1">
      <c r="B48" s="27" t="s">
        <v>115</v>
      </c>
      <c r="C48" s="24">
        <f>C46-'HIER Rechnung Ausschütter'!C46</f>
        <v>-0.001547401249</v>
      </c>
      <c r="D48" s="23" t="s">
        <v>17</v>
      </c>
      <c r="K48" s="11"/>
    </row>
    <row r="49" ht="12.75" customHeight="1">
      <c r="B49" s="27" t="s">
        <v>114</v>
      </c>
      <c r="C49" s="24">
        <f>C46-'HIER Rechnung Thesaurierer '!C46</f>
        <v>0.005502225057</v>
      </c>
      <c r="D49" s="23" t="s">
        <v>17</v>
      </c>
      <c r="K49" s="11"/>
      <c r="R49" s="15"/>
      <c r="S49" s="15"/>
    </row>
    <row r="50" ht="12.75" customHeight="1">
      <c r="B50" s="18"/>
      <c r="K50" s="11"/>
    </row>
    <row r="51" ht="12.75" customHeight="1">
      <c r="B51" s="18"/>
      <c r="K51" s="11"/>
      <c r="R51" s="63"/>
      <c r="S51" s="63"/>
    </row>
    <row r="52" ht="12.75" customHeight="1">
      <c r="B52" s="18"/>
      <c r="K52" s="11"/>
      <c r="R52" s="64"/>
      <c r="S52" s="64"/>
    </row>
    <row r="53" ht="12.75" customHeight="1">
      <c r="B53" s="18"/>
      <c r="K53" s="11"/>
      <c r="R53" s="64"/>
      <c r="S53" s="64"/>
    </row>
    <row r="54" ht="12.75" customHeight="1">
      <c r="B54" s="18"/>
      <c r="K54" s="11"/>
      <c r="R54" s="64"/>
      <c r="S54" s="64"/>
    </row>
    <row r="55" ht="12.75" customHeight="1">
      <c r="B55" s="18"/>
      <c r="K55" s="11"/>
      <c r="R55" s="64"/>
      <c r="S55" s="64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1" width="12.75"/>
  </cols>
  <sheetData>
    <row r="1" ht="15.75" customHeight="1">
      <c r="A1" s="109" t="s">
        <v>118</v>
      </c>
    </row>
    <row r="2" ht="15.75" customHeight="1">
      <c r="A2" s="110" t="s">
        <v>119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ht="15.75" customHeight="1">
      <c r="A3" s="11" t="s">
        <v>120</v>
      </c>
    </row>
    <row r="4" ht="15.75" customHeight="1">
      <c r="A4" s="112" t="s">
        <v>121</v>
      </c>
      <c r="B4" s="113"/>
      <c r="C4" s="113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4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5" t="s">
        <v>127</v>
      </c>
    </row>
    <row r="13" ht="15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2.75"/>
  </cols>
  <sheetData>
    <row r="1" ht="15.75" customHeight="1">
      <c r="A1" s="116" t="s">
        <v>128</v>
      </c>
      <c r="B1" s="117" t="s">
        <v>129</v>
      </c>
      <c r="C1" s="117"/>
      <c r="D1" s="117"/>
      <c r="E1" s="117"/>
      <c r="F1" s="117"/>
      <c r="G1" s="116" t="s">
        <v>128</v>
      </c>
      <c r="H1" s="117" t="s">
        <v>130</v>
      </c>
      <c r="I1" s="117"/>
      <c r="N1" s="11"/>
    </row>
    <row r="2" ht="15.75" customHeight="1">
      <c r="A2" s="116" t="s">
        <v>131</v>
      </c>
      <c r="B2" s="117" t="s">
        <v>132</v>
      </c>
      <c r="C2" s="117"/>
      <c r="D2" s="117"/>
      <c r="E2" s="117"/>
      <c r="F2" s="117"/>
      <c r="G2" s="116" t="s">
        <v>131</v>
      </c>
      <c r="H2" s="117" t="s">
        <v>132</v>
      </c>
      <c r="I2" s="117"/>
      <c r="N2" s="11"/>
    </row>
    <row r="3" ht="15.75" customHeight="1">
      <c r="A3" s="117"/>
      <c r="B3" s="117"/>
      <c r="C3" s="117"/>
      <c r="D3" s="117"/>
      <c r="E3" s="117"/>
      <c r="F3" s="117"/>
      <c r="G3" s="117"/>
      <c r="H3" s="117"/>
      <c r="I3" s="117"/>
      <c r="N3" s="118"/>
    </row>
    <row r="4" ht="15.75" customHeight="1">
      <c r="A4" s="117"/>
      <c r="B4" s="117"/>
      <c r="C4" s="117"/>
      <c r="D4" s="117"/>
      <c r="E4" s="117"/>
      <c r="F4" s="117"/>
      <c r="G4" s="117"/>
      <c r="H4" s="117"/>
      <c r="N4" s="119"/>
    </row>
    <row r="5" ht="15.75" customHeight="1">
      <c r="A5" s="116" t="s">
        <v>133</v>
      </c>
      <c r="B5" s="116" t="s">
        <v>134</v>
      </c>
      <c r="C5" s="117"/>
      <c r="D5" s="117"/>
      <c r="E5" s="117"/>
      <c r="F5" s="117"/>
      <c r="G5" s="116" t="s">
        <v>133</v>
      </c>
      <c r="H5" s="116" t="s">
        <v>134</v>
      </c>
      <c r="I5" s="117"/>
      <c r="K5" s="11" t="s">
        <v>135</v>
      </c>
      <c r="M5" s="6" t="s">
        <v>136</v>
      </c>
      <c r="N5" s="118"/>
    </row>
    <row r="6" ht="69.75" customHeight="1">
      <c r="A6" s="117" t="s">
        <v>137</v>
      </c>
      <c r="B6" s="120">
        <v>100.0</v>
      </c>
      <c r="C6" s="117"/>
      <c r="D6" s="117"/>
      <c r="E6" s="117"/>
      <c r="F6" s="117"/>
      <c r="G6" s="117" t="s">
        <v>137</v>
      </c>
      <c r="H6" s="120">
        <v>100.0</v>
      </c>
      <c r="I6" s="121" t="s">
        <v>138</v>
      </c>
      <c r="K6" s="121" t="s">
        <v>139</v>
      </c>
      <c r="L6" s="11" t="s">
        <v>140</v>
      </c>
      <c r="M6" s="121" t="s">
        <v>141</v>
      </c>
      <c r="N6" s="122" t="s">
        <v>142</v>
      </c>
    </row>
    <row r="7" ht="15.75" customHeight="1">
      <c r="A7" s="117" t="s">
        <v>143</v>
      </c>
      <c r="B7" s="120">
        <v>98.017</v>
      </c>
      <c r="C7" s="42">
        <v>-0.01983</v>
      </c>
      <c r="D7" s="117"/>
      <c r="E7" s="117"/>
      <c r="F7" s="117"/>
      <c r="G7" s="117" t="s">
        <v>143</v>
      </c>
      <c r="H7" s="120">
        <v>94.292</v>
      </c>
      <c r="I7" s="123">
        <v>-0.05708</v>
      </c>
      <c r="K7" s="124">
        <v>0.03725</v>
      </c>
      <c r="L7" s="15">
        <f t="shared" ref="L7:L61" si="1">M7-K7</f>
        <v>0.04575</v>
      </c>
      <c r="M7" s="125">
        <v>0.083</v>
      </c>
      <c r="N7" s="118"/>
    </row>
    <row r="8" ht="15.75" customHeight="1">
      <c r="A8" s="117" t="s">
        <v>144</v>
      </c>
      <c r="B8" s="120">
        <v>117.193</v>
      </c>
      <c r="C8" s="42">
        <v>0.195639531917933</v>
      </c>
      <c r="D8" s="117"/>
      <c r="E8" s="117"/>
      <c r="F8" s="117"/>
      <c r="G8" s="117" t="s">
        <v>144</v>
      </c>
      <c r="H8" s="120">
        <v>108.993</v>
      </c>
      <c r="I8" s="123">
        <v>0.155909303016162</v>
      </c>
      <c r="K8" s="124">
        <v>0.039730228901771</v>
      </c>
      <c r="L8" s="15">
        <f t="shared" si="1"/>
        <v>0.0402697711</v>
      </c>
      <c r="M8" s="125">
        <v>0.08</v>
      </c>
      <c r="N8" s="119"/>
    </row>
    <row r="9" ht="15.75" customHeight="1">
      <c r="A9" s="117" t="s">
        <v>145</v>
      </c>
      <c r="B9" s="120">
        <v>144.79</v>
      </c>
      <c r="C9" s="42">
        <v>0.235483347981535</v>
      </c>
      <c r="D9" s="117"/>
      <c r="E9" s="117"/>
      <c r="F9" s="117"/>
      <c r="G9" s="117" t="s">
        <v>145</v>
      </c>
      <c r="H9" s="120">
        <v>130.737</v>
      </c>
      <c r="I9" s="123">
        <v>0.199499050397732</v>
      </c>
      <c r="K9" s="124">
        <v>0.035984297583803</v>
      </c>
      <c r="L9" s="15">
        <f t="shared" si="1"/>
        <v>0.04301570242</v>
      </c>
      <c r="M9" s="125">
        <v>0.079</v>
      </c>
      <c r="N9" s="118"/>
    </row>
    <row r="10" ht="15.75" customHeight="1">
      <c r="A10" s="117" t="s">
        <v>146</v>
      </c>
      <c r="B10" s="120">
        <v>123.787</v>
      </c>
      <c r="C10" s="42">
        <v>-0.145058360384004</v>
      </c>
      <c r="D10" s="117"/>
      <c r="E10" s="117"/>
      <c r="F10" s="117"/>
      <c r="G10" s="117" t="s">
        <v>146</v>
      </c>
      <c r="H10" s="120">
        <v>108.41</v>
      </c>
      <c r="I10" s="123">
        <v>-0.170777974100675</v>
      </c>
      <c r="K10" s="124">
        <v>0.025719613716671</v>
      </c>
      <c r="L10" s="15">
        <f t="shared" si="1"/>
        <v>0.06728038628</v>
      </c>
      <c r="M10" s="125">
        <v>0.093</v>
      </c>
      <c r="N10" s="119"/>
    </row>
    <row r="11" ht="15.75" customHeight="1">
      <c r="A11" s="117" t="s">
        <v>147</v>
      </c>
      <c r="B11" s="120">
        <v>93.484</v>
      </c>
      <c r="C11" s="42">
        <v>-0.244799534684579</v>
      </c>
      <c r="D11" s="117"/>
      <c r="E11" s="117"/>
      <c r="F11" s="117"/>
      <c r="G11" s="117" t="s">
        <v>147</v>
      </c>
      <c r="H11" s="120">
        <v>78.237</v>
      </c>
      <c r="I11" s="123">
        <v>-0.278323032930541</v>
      </c>
      <c r="K11" s="124">
        <v>0.033523498245962</v>
      </c>
      <c r="L11" s="15">
        <f t="shared" si="1"/>
        <v>0.07047650175</v>
      </c>
      <c r="M11" s="125">
        <v>0.104</v>
      </c>
      <c r="N11" s="118"/>
    </row>
    <row r="12" ht="15.75" customHeight="1">
      <c r="A12" s="117" t="s">
        <v>148</v>
      </c>
      <c r="B12" s="120">
        <v>125.732</v>
      </c>
      <c r="C12" s="42">
        <v>0.344957425869668</v>
      </c>
      <c r="D12" s="117"/>
      <c r="E12" s="117"/>
      <c r="F12" s="117"/>
      <c r="G12" s="117" t="s">
        <v>148</v>
      </c>
      <c r="H12" s="120">
        <v>100.863</v>
      </c>
      <c r="I12" s="123">
        <v>0.289198205452663</v>
      </c>
      <c r="K12" s="124">
        <v>0.055759220417005</v>
      </c>
      <c r="L12" s="15">
        <f t="shared" si="1"/>
        <v>0.03124077958</v>
      </c>
      <c r="M12" s="125">
        <v>0.087</v>
      </c>
      <c r="N12" s="119"/>
    </row>
    <row r="13" ht="15.75" customHeight="1">
      <c r="A13" s="117" t="s">
        <v>149</v>
      </c>
      <c r="B13" s="120">
        <v>144.228</v>
      </c>
      <c r="C13" s="42">
        <v>0.14710654407788</v>
      </c>
      <c r="D13" s="117"/>
      <c r="E13" s="117"/>
      <c r="F13" s="117"/>
      <c r="G13" s="117" t="s">
        <v>149</v>
      </c>
      <c r="H13" s="120">
        <v>111.262</v>
      </c>
      <c r="I13" s="123">
        <v>0.103100244886629</v>
      </c>
      <c r="K13" s="124">
        <v>0.044006299191251</v>
      </c>
      <c r="L13" s="15">
        <f t="shared" si="1"/>
        <v>0.03599370081</v>
      </c>
      <c r="M13" s="125">
        <v>0.08</v>
      </c>
      <c r="N13" s="118"/>
    </row>
    <row r="14" ht="15.75" customHeight="1">
      <c r="A14" s="117" t="s">
        <v>150</v>
      </c>
      <c r="B14" s="120">
        <v>147.115</v>
      </c>
      <c r="C14" s="42">
        <v>0.0200169176581524</v>
      </c>
      <c r="D14" s="117"/>
      <c r="E14" s="117"/>
      <c r="F14" s="117"/>
      <c r="G14" s="117" t="s">
        <v>150</v>
      </c>
      <c r="H14" s="120">
        <v>108.521</v>
      </c>
      <c r="I14" s="123">
        <v>-0.0246355449299851</v>
      </c>
      <c r="K14" s="124">
        <v>0.0446524625881375</v>
      </c>
      <c r="L14" s="15">
        <f t="shared" si="1"/>
        <v>0.02034753741</v>
      </c>
      <c r="M14" s="125">
        <v>0.065</v>
      </c>
      <c r="N14" s="119"/>
    </row>
    <row r="15" ht="15.75" customHeight="1">
      <c r="A15" s="117" t="s">
        <v>151</v>
      </c>
      <c r="B15" s="120">
        <v>173.914</v>
      </c>
      <c r="C15" s="42">
        <v>0.182163613499643</v>
      </c>
      <c r="D15" s="117"/>
      <c r="E15" s="117"/>
      <c r="F15" s="117"/>
      <c r="G15" s="117" t="s">
        <v>151</v>
      </c>
      <c r="H15" s="120">
        <v>122.28</v>
      </c>
      <c r="I15" s="123">
        <v>0.12678652058127</v>
      </c>
      <c r="K15" s="124">
        <v>0.055377092918373</v>
      </c>
      <c r="L15" s="15">
        <f t="shared" si="1"/>
        <v>0.005622907082</v>
      </c>
      <c r="M15" s="125">
        <v>0.061</v>
      </c>
      <c r="N15" s="118"/>
    </row>
    <row r="16" ht="15.75" customHeight="1">
      <c r="A16" s="117" t="s">
        <v>152</v>
      </c>
      <c r="B16" s="120">
        <v>195.949</v>
      </c>
      <c r="C16" s="42">
        <v>0.126700553146958</v>
      </c>
      <c r="D16" s="117"/>
      <c r="E16" s="117"/>
      <c r="F16" s="117"/>
      <c r="G16" s="117" t="s">
        <v>152</v>
      </c>
      <c r="H16" s="120">
        <v>131.101</v>
      </c>
      <c r="I16" s="123">
        <v>0.0721377167157344</v>
      </c>
      <c r="K16" s="124">
        <v>0.0545628364312236</v>
      </c>
      <c r="L16" s="15">
        <f t="shared" si="1"/>
        <v>0.02143716357</v>
      </c>
      <c r="M16" s="125">
        <v>0.076</v>
      </c>
      <c r="N16" s="119"/>
    </row>
    <row r="17" ht="15.75" customHeight="1">
      <c r="A17" s="117" t="s">
        <v>153</v>
      </c>
      <c r="B17" s="120">
        <v>250.269</v>
      </c>
      <c r="C17" s="42">
        <v>0.277214989614645</v>
      </c>
      <c r="D17" s="117"/>
      <c r="E17" s="117"/>
      <c r="F17" s="117"/>
      <c r="G17" s="117" t="s">
        <v>153</v>
      </c>
      <c r="H17" s="120">
        <v>159.228</v>
      </c>
      <c r="I17" s="123">
        <v>0.214544511483513</v>
      </c>
      <c r="K17" s="124">
        <v>0.062670478131132</v>
      </c>
      <c r="L17" s="15">
        <f t="shared" si="1"/>
        <v>0.02132952187</v>
      </c>
      <c r="M17" s="125">
        <v>0.084</v>
      </c>
      <c r="N17" s="118"/>
    </row>
    <row r="18" ht="15.75" customHeight="1">
      <c r="A18" s="117" t="s">
        <v>154</v>
      </c>
      <c r="B18" s="120">
        <v>241.998</v>
      </c>
      <c r="C18" s="42">
        <v>-0.0330484398786905</v>
      </c>
      <c r="D18" s="117"/>
      <c r="E18" s="117"/>
      <c r="F18" s="117"/>
      <c r="G18" s="117" t="s">
        <v>154</v>
      </c>
      <c r="H18" s="120">
        <v>146.62</v>
      </c>
      <c r="I18" s="123">
        <v>-0.0791820534076921</v>
      </c>
      <c r="K18" s="124">
        <v>0.0461336135290016</v>
      </c>
      <c r="L18" s="15">
        <f t="shared" si="1"/>
        <v>0.05486638647</v>
      </c>
      <c r="M18" s="125">
        <v>0.101</v>
      </c>
      <c r="N18" s="119"/>
    </row>
    <row r="19" ht="15.75" customHeight="1">
      <c r="A19" s="117" t="s">
        <v>155</v>
      </c>
      <c r="B19" s="120">
        <v>269.277</v>
      </c>
      <c r="C19" s="42">
        <v>0.112724072099769</v>
      </c>
      <c r="D19" s="117"/>
      <c r="E19" s="117"/>
      <c r="F19" s="117"/>
      <c r="G19" s="117" t="s">
        <v>155</v>
      </c>
      <c r="H19" s="120">
        <v>155.156</v>
      </c>
      <c r="I19" s="123">
        <v>0.0582185240758424</v>
      </c>
      <c r="K19" s="124">
        <v>0.0545055480239266</v>
      </c>
      <c r="L19" s="15">
        <f t="shared" si="1"/>
        <v>0.03449445198</v>
      </c>
      <c r="M19" s="125">
        <v>0.089</v>
      </c>
      <c r="N19" s="118"/>
    </row>
    <row r="20" ht="15.75" customHeight="1">
      <c r="A20" s="117" t="s">
        <v>156</v>
      </c>
      <c r="B20" s="120">
        <v>331.964</v>
      </c>
      <c r="C20" s="42">
        <v>0.232797453922912</v>
      </c>
      <c r="D20" s="117"/>
      <c r="E20" s="117"/>
      <c r="F20" s="117"/>
      <c r="G20" s="117" t="s">
        <v>156</v>
      </c>
      <c r="H20" s="120">
        <v>183.952</v>
      </c>
      <c r="I20" s="123">
        <v>0.18559385392766</v>
      </c>
      <c r="K20" s="124">
        <v>0.047203599995252</v>
      </c>
      <c r="L20" s="15">
        <f t="shared" si="1"/>
        <v>0.0337964</v>
      </c>
      <c r="M20" s="125">
        <v>0.081</v>
      </c>
      <c r="N20" s="119"/>
    </row>
    <row r="21" ht="15.75" customHeight="1">
      <c r="A21" s="117" t="s">
        <v>157</v>
      </c>
      <c r="B21" s="120">
        <v>351.132</v>
      </c>
      <c r="C21" s="42">
        <v>0.0577412008531046</v>
      </c>
      <c r="D21" s="117"/>
      <c r="E21" s="117"/>
      <c r="F21" s="117"/>
      <c r="G21" s="117" t="s">
        <v>157</v>
      </c>
      <c r="H21" s="120">
        <v>187.205</v>
      </c>
      <c r="I21" s="123">
        <v>0.017683961033313</v>
      </c>
      <c r="K21" s="124">
        <v>0.0400572398197916</v>
      </c>
      <c r="L21" s="15">
        <f t="shared" si="1"/>
        <v>0.03994276018</v>
      </c>
      <c r="M21" s="125">
        <v>0.08</v>
      </c>
      <c r="N21" s="118"/>
    </row>
    <row r="22" ht="15.75" customHeight="1">
      <c r="A22" s="117" t="s">
        <v>158</v>
      </c>
      <c r="B22" s="120">
        <v>497.798</v>
      </c>
      <c r="C22" s="42">
        <v>0.417694770057984</v>
      </c>
      <c r="D22" s="117"/>
      <c r="E22" s="117"/>
      <c r="F22" s="117"/>
      <c r="G22" s="117" t="s">
        <v>158</v>
      </c>
      <c r="H22" s="120">
        <v>256.514</v>
      </c>
      <c r="I22" s="123">
        <v>0.370230495980342</v>
      </c>
      <c r="K22" s="124">
        <v>0.047464274077642</v>
      </c>
      <c r="L22" s="15">
        <f t="shared" si="1"/>
        <v>0.02253572592</v>
      </c>
      <c r="M22" s="125">
        <v>0.07</v>
      </c>
      <c r="N22" s="119"/>
    </row>
    <row r="23" ht="15.75" customHeight="1">
      <c r="A23" s="117" t="s">
        <v>159</v>
      </c>
      <c r="B23" s="120">
        <v>710.853</v>
      </c>
      <c r="C23" s="42">
        <v>0.427994889493329</v>
      </c>
      <c r="D23" s="117"/>
      <c r="E23" s="117"/>
      <c r="F23" s="117"/>
      <c r="G23" s="117" t="s">
        <v>159</v>
      </c>
      <c r="H23" s="120">
        <v>356.825</v>
      </c>
      <c r="I23" s="123">
        <v>0.391054679276765</v>
      </c>
      <c r="K23" s="124">
        <v>0.036940210216564</v>
      </c>
      <c r="L23" s="15">
        <f t="shared" si="1"/>
        <v>0.02505978978</v>
      </c>
      <c r="M23" s="125">
        <v>0.062</v>
      </c>
      <c r="N23" s="118"/>
    </row>
    <row r="24" ht="15.75" customHeight="1">
      <c r="A24" s="117" t="s">
        <v>160</v>
      </c>
      <c r="B24" s="120">
        <v>830.015</v>
      </c>
      <c r="C24" s="42">
        <v>0.167632407825528</v>
      </c>
      <c r="D24" s="117"/>
      <c r="E24" s="117"/>
      <c r="F24" s="117"/>
      <c r="G24" s="117" t="s">
        <v>160</v>
      </c>
      <c r="H24" s="120">
        <v>407.994</v>
      </c>
      <c r="I24" s="123">
        <v>0.143400826735795</v>
      </c>
      <c r="K24" s="124">
        <v>0.024231581089733</v>
      </c>
      <c r="L24" s="15">
        <f t="shared" si="1"/>
        <v>0.03876841891</v>
      </c>
      <c r="M24" s="125">
        <v>0.063</v>
      </c>
      <c r="N24" s="119"/>
    </row>
    <row r="25" ht="15.75" customHeight="1">
      <c r="A25" s="117" t="s">
        <v>161</v>
      </c>
      <c r="B25" s="120">
        <v>1028.809</v>
      </c>
      <c r="C25" s="42">
        <v>0.239506514942501</v>
      </c>
      <c r="D25" s="117"/>
      <c r="E25" s="117"/>
      <c r="F25" s="117"/>
      <c r="G25" s="117" t="s">
        <v>161</v>
      </c>
      <c r="H25" s="120">
        <v>494.428</v>
      </c>
      <c r="I25" s="123">
        <v>0.211851154673843</v>
      </c>
      <c r="K25" s="124">
        <v>0.027655360268658</v>
      </c>
      <c r="L25" s="15">
        <f t="shared" si="1"/>
        <v>0.03734463973</v>
      </c>
      <c r="M25" s="125">
        <v>0.065</v>
      </c>
      <c r="N25" s="118"/>
    </row>
    <row r="26" ht="15.75" customHeight="1">
      <c r="A26" s="117" t="s">
        <v>162</v>
      </c>
      <c r="B26" s="120">
        <v>1205.7</v>
      </c>
      <c r="C26" s="42">
        <v>0.171937648290402</v>
      </c>
      <c r="D26" s="117"/>
      <c r="E26" s="117"/>
      <c r="F26" s="117"/>
      <c r="G26" s="117" t="s">
        <v>162</v>
      </c>
      <c r="H26" s="120">
        <v>567.338</v>
      </c>
      <c r="I26" s="123">
        <v>0.147463331364728</v>
      </c>
      <c r="K26" s="124">
        <v>0.024474316925674</v>
      </c>
      <c r="L26" s="15">
        <f t="shared" si="1"/>
        <v>0.04552568307</v>
      </c>
      <c r="M26" s="125">
        <v>0.07</v>
      </c>
      <c r="N26" s="119"/>
    </row>
    <row r="27" ht="15.75" customHeight="1">
      <c r="A27" s="117" t="s">
        <v>163</v>
      </c>
      <c r="B27" s="120">
        <v>1006.546</v>
      </c>
      <c r="C27" s="42">
        <v>-0.165177075557767</v>
      </c>
      <c r="D27" s="117"/>
      <c r="E27" s="117"/>
      <c r="F27" s="117"/>
      <c r="G27" s="117" t="s">
        <v>163</v>
      </c>
      <c r="H27" s="120">
        <v>461.527</v>
      </c>
      <c r="I27" s="123">
        <v>-0.186504341327392</v>
      </c>
      <c r="K27" s="124">
        <v>0.021327265769625</v>
      </c>
      <c r="L27" s="15">
        <f t="shared" si="1"/>
        <v>0.06567273423</v>
      </c>
      <c r="M27" s="125">
        <v>0.087</v>
      </c>
      <c r="N27" s="118"/>
    </row>
    <row r="28" ht="15.75" customHeight="1">
      <c r="A28" s="117" t="s">
        <v>164</v>
      </c>
      <c r="B28" s="120">
        <v>1197.46</v>
      </c>
      <c r="C28" s="42">
        <v>0.189672404440532</v>
      </c>
      <c r="D28" s="117"/>
      <c r="E28" s="117"/>
      <c r="F28" s="117"/>
      <c r="G28" s="117" t="s">
        <v>164</v>
      </c>
      <c r="H28" s="120">
        <v>535.364</v>
      </c>
      <c r="I28" s="123">
        <v>0.159984139606134</v>
      </c>
      <c r="K28" s="124">
        <v>0.029688264834398</v>
      </c>
      <c r="L28" s="15">
        <f t="shared" si="1"/>
        <v>0.05431173517</v>
      </c>
      <c r="M28" s="125">
        <v>0.084</v>
      </c>
      <c r="N28" s="119"/>
    </row>
    <row r="29" ht="15.75" customHeight="1">
      <c r="A29" s="117" t="s">
        <v>165</v>
      </c>
      <c r="B29" s="120">
        <v>1141.66</v>
      </c>
      <c r="C29" s="42">
        <v>-0.0465986337748233</v>
      </c>
      <c r="D29" s="117"/>
      <c r="E29" s="117"/>
      <c r="F29" s="117"/>
      <c r="G29" s="117" t="s">
        <v>165</v>
      </c>
      <c r="H29" s="120">
        <v>497.132</v>
      </c>
      <c r="I29" s="123">
        <v>-0.0714130946421501</v>
      </c>
      <c r="K29" s="124">
        <v>0.0248144608673268</v>
      </c>
      <c r="L29" s="15">
        <f t="shared" si="1"/>
        <v>0.05318553913</v>
      </c>
      <c r="M29" s="125">
        <v>0.078</v>
      </c>
      <c r="N29" s="118"/>
    </row>
    <row r="30" ht="15.75" customHeight="1">
      <c r="A30" s="117" t="s">
        <v>166</v>
      </c>
      <c r="B30" s="120">
        <v>1405.713</v>
      </c>
      <c r="C30" s="42">
        <v>0.231288649860729</v>
      </c>
      <c r="D30" s="117"/>
      <c r="E30" s="117"/>
      <c r="F30" s="117"/>
      <c r="G30" s="117" t="s">
        <v>166</v>
      </c>
      <c r="H30" s="120">
        <v>598.496</v>
      </c>
      <c r="I30" s="123">
        <v>0.203897556383415</v>
      </c>
      <c r="K30" s="124">
        <v>0.027391093477314</v>
      </c>
      <c r="L30" s="15">
        <f t="shared" si="1"/>
        <v>0.03760890652</v>
      </c>
      <c r="M30" s="125">
        <v>0.065</v>
      </c>
      <c r="N30" s="119"/>
    </row>
    <row r="31" ht="15.75" customHeight="1">
      <c r="A31" s="117" t="s">
        <v>167</v>
      </c>
      <c r="B31" s="120">
        <v>1484.177</v>
      </c>
      <c r="C31" s="42">
        <v>0.055817937231853</v>
      </c>
      <c r="D31" s="117"/>
      <c r="E31" s="117"/>
      <c r="F31" s="117"/>
      <c r="G31" s="117" t="s">
        <v>167</v>
      </c>
      <c r="H31" s="120">
        <v>618.59</v>
      </c>
      <c r="I31" s="123">
        <v>0.0335741592257928</v>
      </c>
      <c r="K31" s="124">
        <v>0.0222437780060602</v>
      </c>
      <c r="L31" s="15">
        <f t="shared" si="1"/>
        <v>0.04675622199</v>
      </c>
      <c r="M31" s="125">
        <v>0.069</v>
      </c>
      <c r="N31" s="118"/>
    </row>
    <row r="32" ht="15.75" customHeight="1">
      <c r="A32" s="117" t="s">
        <v>168</v>
      </c>
      <c r="B32" s="120">
        <v>1800.553</v>
      </c>
      <c r="C32" s="42">
        <v>0.213165949883336</v>
      </c>
      <c r="D32" s="117"/>
      <c r="E32" s="117"/>
      <c r="F32" s="117"/>
      <c r="G32" s="117" t="s">
        <v>168</v>
      </c>
      <c r="H32" s="120">
        <v>734.28</v>
      </c>
      <c r="I32" s="123">
        <v>0.18702209864369</v>
      </c>
      <c r="K32" s="124">
        <v>0.026143851239646</v>
      </c>
      <c r="L32" s="15">
        <f t="shared" si="1"/>
        <v>0.04285614876</v>
      </c>
      <c r="M32" s="125">
        <v>0.069</v>
      </c>
      <c r="N32" s="119"/>
    </row>
    <row r="33" ht="15.75" customHeight="1">
      <c r="A33" s="117" t="s">
        <v>169</v>
      </c>
      <c r="B33" s="120">
        <v>2052.559</v>
      </c>
      <c r="C33" s="42">
        <v>0.139960334408374</v>
      </c>
      <c r="D33" s="117"/>
      <c r="E33" s="117"/>
      <c r="F33" s="117"/>
      <c r="G33" s="117" t="s">
        <v>169</v>
      </c>
      <c r="H33" s="120">
        <v>820.362</v>
      </c>
      <c r="I33" s="123">
        <v>0.117233208040529</v>
      </c>
      <c r="K33" s="124">
        <v>0.022727126367845</v>
      </c>
      <c r="L33" s="15">
        <f t="shared" si="1"/>
        <v>0.03927287363</v>
      </c>
      <c r="M33" s="125">
        <v>0.062</v>
      </c>
      <c r="N33" s="118"/>
    </row>
    <row r="34" ht="15.75" customHeight="1">
      <c r="A34" s="117" t="s">
        <v>170</v>
      </c>
      <c r="B34" s="120">
        <v>2385.63</v>
      </c>
      <c r="C34" s="42">
        <v>0.162271096713907</v>
      </c>
      <c r="D34" s="117"/>
      <c r="E34" s="117"/>
      <c r="F34" s="117"/>
      <c r="G34" s="117" t="s">
        <v>170</v>
      </c>
      <c r="H34" s="120">
        <v>936.591</v>
      </c>
      <c r="I34" s="123">
        <v>0.141680136330059</v>
      </c>
      <c r="K34" s="124">
        <v>0.020590960383848</v>
      </c>
      <c r="L34" s="15">
        <f t="shared" si="1"/>
        <v>0.03540903962</v>
      </c>
      <c r="M34" s="125">
        <v>0.056</v>
      </c>
    </row>
    <row r="35" ht="15.75" customHeight="1">
      <c r="A35" s="117" t="s">
        <v>171</v>
      </c>
      <c r="B35" s="120">
        <v>2977.153</v>
      </c>
      <c r="C35" s="42">
        <v>0.247952532454739</v>
      </c>
      <c r="D35" s="117"/>
      <c r="E35" s="117"/>
      <c r="F35" s="117"/>
      <c r="G35" s="117" t="s">
        <v>171</v>
      </c>
      <c r="H35" s="120">
        <v>1149.952</v>
      </c>
      <c r="I35" s="123">
        <v>0.227805947313181</v>
      </c>
      <c r="K35" s="124">
        <v>0.020146585141558</v>
      </c>
      <c r="L35" s="15">
        <f t="shared" si="1"/>
        <v>0.02585341486</v>
      </c>
      <c r="M35" s="125">
        <v>0.046</v>
      </c>
    </row>
    <row r="36" ht="15.75" customHeight="1">
      <c r="A36" s="117" t="s">
        <v>172</v>
      </c>
      <c r="B36" s="120">
        <v>3731.559</v>
      </c>
      <c r="C36" s="42">
        <v>0.253398464909261</v>
      </c>
      <c r="D36" s="117"/>
      <c r="E36" s="117"/>
      <c r="F36" s="117"/>
      <c r="G36" s="117" t="s">
        <v>172</v>
      </c>
      <c r="H36" s="120">
        <v>1420.885</v>
      </c>
      <c r="I36" s="123">
        <v>0.235603746939003</v>
      </c>
      <c r="K36" s="124">
        <v>0.017794717970258</v>
      </c>
      <c r="L36" s="15">
        <f t="shared" si="1"/>
        <v>0.02720528203</v>
      </c>
      <c r="M36" s="125">
        <v>0.045</v>
      </c>
    </row>
    <row r="37" ht="15.75" customHeight="1">
      <c r="A37" s="117" t="s">
        <v>173</v>
      </c>
      <c r="B37" s="120">
        <v>3249.513</v>
      </c>
      <c r="C37" s="42">
        <v>-0.129180859796134</v>
      </c>
      <c r="D37" s="117"/>
      <c r="E37" s="117"/>
      <c r="F37" s="117"/>
      <c r="G37" s="117" t="s">
        <v>173</v>
      </c>
      <c r="H37" s="120">
        <v>1221.253</v>
      </c>
      <c r="I37" s="123">
        <v>-0.140498351379598</v>
      </c>
      <c r="K37" s="124">
        <v>0.011317491583464</v>
      </c>
      <c r="L37" s="15">
        <f t="shared" si="1"/>
        <v>0.04168250842</v>
      </c>
      <c r="M37" s="125">
        <v>0.053</v>
      </c>
    </row>
    <row r="38" ht="15.75" customHeight="1">
      <c r="A38" s="117" t="s">
        <v>174</v>
      </c>
      <c r="B38" s="120">
        <v>2712.658</v>
      </c>
      <c r="C38" s="42">
        <v>-0.165210910065601</v>
      </c>
      <c r="D38" s="117"/>
      <c r="E38" s="117"/>
      <c r="F38" s="117"/>
      <c r="G38" s="117" t="s">
        <v>174</v>
      </c>
      <c r="H38" s="120">
        <v>1003.516</v>
      </c>
      <c r="I38" s="123">
        <v>-0.178289838387296</v>
      </c>
      <c r="K38" s="124">
        <v>0.013078928321695</v>
      </c>
      <c r="L38" s="15">
        <f t="shared" si="1"/>
        <v>0.03492107168</v>
      </c>
      <c r="M38" s="125">
        <v>0.048</v>
      </c>
    </row>
    <row r="39" ht="15.75" customHeight="1">
      <c r="A39" s="117" t="s">
        <v>175</v>
      </c>
      <c r="B39" s="120">
        <v>2182.57</v>
      </c>
      <c r="C39" s="42">
        <v>-0.195412764897012</v>
      </c>
      <c r="D39" s="117"/>
      <c r="E39" s="117"/>
      <c r="F39" s="117"/>
      <c r="G39" s="117" t="s">
        <v>175</v>
      </c>
      <c r="H39" s="120">
        <v>792.215</v>
      </c>
      <c r="I39" s="123">
        <v>-0.21056066868889</v>
      </c>
      <c r="K39" s="124">
        <v>0.015147903791878</v>
      </c>
      <c r="L39" s="15">
        <f t="shared" si="1"/>
        <v>0.03285209621</v>
      </c>
      <c r="M39" s="125">
        <v>0.048</v>
      </c>
    </row>
    <row r="40" ht="15.75" customHeight="1">
      <c r="A40" s="117" t="s">
        <v>176</v>
      </c>
      <c r="B40" s="120">
        <v>2919.442</v>
      </c>
      <c r="C40" s="42">
        <v>0.3376166629249</v>
      </c>
      <c r="D40" s="117"/>
      <c r="E40" s="117"/>
      <c r="F40" s="117"/>
      <c r="G40" s="117" t="s">
        <v>176</v>
      </c>
      <c r="H40" s="120">
        <v>1036.318</v>
      </c>
      <c r="I40" s="123">
        <v>0.308127212940931</v>
      </c>
      <c r="K40" s="124">
        <v>0.029489449983969</v>
      </c>
      <c r="L40" s="15">
        <f t="shared" si="1"/>
        <v>0.01151055002</v>
      </c>
      <c r="M40" s="125">
        <v>0.041</v>
      </c>
    </row>
    <row r="41" ht="15.75" customHeight="1">
      <c r="A41" s="117" t="s">
        <v>177</v>
      </c>
      <c r="B41" s="120">
        <v>3364.558</v>
      </c>
      <c r="C41" s="42">
        <v>0.152466121950702</v>
      </c>
      <c r="D41" s="117"/>
      <c r="E41" s="117"/>
      <c r="F41" s="117"/>
      <c r="G41" s="117" t="s">
        <v>177</v>
      </c>
      <c r="H41" s="120">
        <v>1169.341</v>
      </c>
      <c r="I41" s="123">
        <v>0.128361178711554</v>
      </c>
      <c r="K41" s="124">
        <v>0.024104943239148</v>
      </c>
      <c r="L41" s="15">
        <f t="shared" si="1"/>
        <v>0.01589505676</v>
      </c>
      <c r="M41" s="125">
        <v>0.04</v>
      </c>
    </row>
    <row r="42" ht="15.75" customHeight="1">
      <c r="A42" s="117" t="s">
        <v>178</v>
      </c>
      <c r="B42" s="120">
        <v>3701.795</v>
      </c>
      <c r="C42" s="42">
        <v>0.100232185029951</v>
      </c>
      <c r="D42" s="117"/>
      <c r="E42" s="117"/>
      <c r="F42" s="117"/>
      <c r="G42" s="117" t="s">
        <v>178</v>
      </c>
      <c r="H42" s="120">
        <v>1257.775</v>
      </c>
      <c r="I42" s="123">
        <v>0.075627212250319</v>
      </c>
      <c r="K42" s="124">
        <v>0.024604972779632</v>
      </c>
      <c r="L42" s="15">
        <f t="shared" si="1"/>
        <v>0.00939502722</v>
      </c>
      <c r="M42" s="125">
        <v>0.034</v>
      </c>
    </row>
    <row r="43" ht="15.75" customHeight="1">
      <c r="A43" s="117" t="s">
        <v>179</v>
      </c>
      <c r="B43" s="120">
        <v>4466.298</v>
      </c>
      <c r="C43" s="42">
        <v>0.206522241237021</v>
      </c>
      <c r="D43" s="117"/>
      <c r="E43" s="117"/>
      <c r="F43" s="117"/>
      <c r="G43" s="117" t="s">
        <v>179</v>
      </c>
      <c r="H43" s="120">
        <v>1483.578</v>
      </c>
      <c r="I43" s="123">
        <v>0.17952574983602</v>
      </c>
      <c r="K43" s="124">
        <v>0.026996491401001</v>
      </c>
      <c r="L43" s="15">
        <f t="shared" si="1"/>
        <v>0.0110035086</v>
      </c>
      <c r="M43" s="125">
        <v>0.038</v>
      </c>
    </row>
    <row r="44" ht="15.75" customHeight="1">
      <c r="A44" s="117" t="s">
        <v>180</v>
      </c>
      <c r="B44" s="120">
        <v>4893.543</v>
      </c>
      <c r="C44" s="42">
        <v>0.0956597611713326</v>
      </c>
      <c r="D44" s="117"/>
      <c r="E44" s="117"/>
      <c r="F44" s="117"/>
      <c r="G44" s="117" t="s">
        <v>180</v>
      </c>
      <c r="H44" s="120">
        <v>1588.803</v>
      </c>
      <c r="I44" s="123">
        <v>0.0709265033587718</v>
      </c>
      <c r="K44" s="124">
        <v>0.0247332578125608</v>
      </c>
      <c r="L44" s="15">
        <f t="shared" si="1"/>
        <v>0.01726674219</v>
      </c>
      <c r="M44" s="125">
        <v>0.042</v>
      </c>
    </row>
    <row r="45" ht="15.75" customHeight="1">
      <c r="A45" s="117" t="s">
        <v>181</v>
      </c>
      <c r="B45" s="120">
        <v>2919.783</v>
      </c>
      <c r="C45" s="42">
        <v>-0.403339666168255</v>
      </c>
      <c r="D45" s="117"/>
      <c r="E45" s="117"/>
      <c r="F45" s="117"/>
      <c r="G45" s="117" t="s">
        <v>181</v>
      </c>
      <c r="H45" s="120">
        <v>920.226</v>
      </c>
      <c r="I45" s="123">
        <v>-0.420805474309905</v>
      </c>
      <c r="K45" s="124">
        <v>0.01746580814165</v>
      </c>
      <c r="L45" s="15">
        <f t="shared" si="1"/>
        <v>0.02253419186</v>
      </c>
      <c r="M45" s="125">
        <v>0.04</v>
      </c>
    </row>
    <row r="46" ht="15.75" customHeight="1">
      <c r="A46" s="117" t="s">
        <v>182</v>
      </c>
      <c r="B46" s="120">
        <v>3818.859</v>
      </c>
      <c r="C46" s="42">
        <v>0.307925623239809</v>
      </c>
      <c r="D46" s="117"/>
      <c r="E46" s="117"/>
      <c r="F46" s="117"/>
      <c r="G46" s="117" t="s">
        <v>182</v>
      </c>
      <c r="H46" s="120">
        <v>1168.468</v>
      </c>
      <c r="I46" s="123">
        <v>0.269761993249484</v>
      </c>
      <c r="K46" s="124">
        <v>0.038163629990325</v>
      </c>
      <c r="L46" s="15">
        <f t="shared" si="1"/>
        <v>-0.00616362999</v>
      </c>
      <c r="M46" s="125">
        <v>0.032</v>
      </c>
    </row>
    <row r="47" ht="15.75" customHeight="1">
      <c r="A47" s="117" t="s">
        <v>183</v>
      </c>
      <c r="B47" s="120">
        <v>4290.045</v>
      </c>
      <c r="C47" s="42">
        <v>0.123383974113734</v>
      </c>
      <c r="D47" s="117"/>
      <c r="E47" s="117"/>
      <c r="F47" s="117"/>
      <c r="G47" s="117" t="s">
        <v>183</v>
      </c>
      <c r="H47" s="120">
        <v>1280.071</v>
      </c>
      <c r="I47" s="123">
        <v>0.0955122433819324</v>
      </c>
      <c r="K47" s="124">
        <v>0.0278717307318016</v>
      </c>
      <c r="L47" s="15">
        <f t="shared" si="1"/>
        <v>-0.0008717307318</v>
      </c>
      <c r="M47" s="125">
        <v>0.027</v>
      </c>
    </row>
    <row r="48" ht="15.75" customHeight="1">
      <c r="A48" s="117" t="s">
        <v>184</v>
      </c>
      <c r="B48" s="120">
        <v>4074.834</v>
      </c>
      <c r="C48" s="42">
        <v>-0.0501652080572582</v>
      </c>
      <c r="D48" s="117"/>
      <c r="E48" s="117"/>
      <c r="F48" s="117"/>
      <c r="G48" s="117" t="s">
        <v>184</v>
      </c>
      <c r="H48" s="120">
        <v>1182.595</v>
      </c>
      <c r="I48" s="123">
        <v>-0.0761489011156412</v>
      </c>
      <c r="K48" s="124">
        <v>0.025983693058383</v>
      </c>
      <c r="L48" s="15">
        <f t="shared" si="1"/>
        <v>0.00001630694162</v>
      </c>
      <c r="M48" s="125">
        <v>0.026</v>
      </c>
    </row>
    <row r="49" ht="15.75" customHeight="1">
      <c r="A49" s="117" t="s">
        <v>185</v>
      </c>
      <c r="B49" s="120">
        <v>4748.699</v>
      </c>
      <c r="C49" s="42">
        <v>0.16537238081355</v>
      </c>
      <c r="D49" s="117"/>
      <c r="E49" s="117"/>
      <c r="F49" s="117"/>
      <c r="G49" s="117" t="s">
        <v>185</v>
      </c>
      <c r="H49" s="120">
        <v>1338.5</v>
      </c>
      <c r="I49" s="123">
        <v>0.131832960565536</v>
      </c>
      <c r="K49" s="124">
        <v>0.033539420248014</v>
      </c>
      <c r="L49" s="15">
        <f t="shared" si="1"/>
        <v>-0.01853942025</v>
      </c>
      <c r="M49" s="125">
        <v>0.015</v>
      </c>
    </row>
    <row r="50" ht="15.75" customHeight="1">
      <c r="A50" s="117" t="s">
        <v>186</v>
      </c>
      <c r="B50" s="120">
        <v>6048.181</v>
      </c>
      <c r="C50" s="42">
        <v>0.273650109219388</v>
      </c>
      <c r="D50" s="117"/>
      <c r="E50" s="117"/>
      <c r="F50" s="117"/>
      <c r="G50" s="117" t="s">
        <v>186</v>
      </c>
      <c r="H50" s="120">
        <v>1661.069</v>
      </c>
      <c r="I50" s="123">
        <v>0.240992902502802</v>
      </c>
      <c r="K50" s="124">
        <v>0.032657206716586</v>
      </c>
      <c r="L50" s="15">
        <f t="shared" si="1"/>
        <v>-0.01665720672</v>
      </c>
      <c r="M50" s="125">
        <v>0.016</v>
      </c>
    </row>
    <row r="51" ht="15.75" customHeight="1">
      <c r="A51" s="117" t="s">
        <v>187</v>
      </c>
      <c r="B51" s="120">
        <v>6381.054</v>
      </c>
      <c r="C51" s="42">
        <v>0.05503687802994</v>
      </c>
      <c r="D51" s="117"/>
      <c r="E51" s="117"/>
      <c r="F51" s="117"/>
      <c r="G51" s="117" t="s">
        <v>187</v>
      </c>
      <c r="H51" s="120">
        <v>1709.672</v>
      </c>
      <c r="I51" s="123">
        <v>0.0292600728807775</v>
      </c>
      <c r="K51" s="124">
        <v>0.0257768051491625</v>
      </c>
      <c r="L51" s="15">
        <f t="shared" si="1"/>
        <v>-0.01377680515</v>
      </c>
      <c r="M51" s="125">
        <v>0.012</v>
      </c>
    </row>
    <row r="52" ht="15.75" customHeight="1">
      <c r="A52" s="117" t="s">
        <v>188</v>
      </c>
      <c r="B52" s="120">
        <v>6360.575</v>
      </c>
      <c r="C52" s="42">
        <v>-0.00320934441238085</v>
      </c>
      <c r="D52" s="117"/>
      <c r="E52" s="117"/>
      <c r="F52" s="117"/>
      <c r="G52" s="117" t="s">
        <v>188</v>
      </c>
      <c r="H52" s="120">
        <v>1662.794</v>
      </c>
      <c r="I52" s="123">
        <v>-0.0274192944611598</v>
      </c>
      <c r="K52" s="124">
        <v>0.0242099500487789</v>
      </c>
      <c r="L52" s="15">
        <f t="shared" si="1"/>
        <v>-0.01920995005</v>
      </c>
      <c r="M52" s="125">
        <v>0.005</v>
      </c>
    </row>
    <row r="53" ht="15.75" customHeight="1">
      <c r="A53" s="117" t="s">
        <v>189</v>
      </c>
      <c r="B53" s="120">
        <v>6879.162</v>
      </c>
      <c r="C53" s="42">
        <v>0.0815314653156358</v>
      </c>
      <c r="D53" s="117"/>
      <c r="E53" s="117"/>
      <c r="F53" s="117"/>
      <c r="G53" s="117" t="s">
        <v>189</v>
      </c>
      <c r="H53" s="120">
        <v>1751.219</v>
      </c>
      <c r="I53" s="123">
        <v>0.0531785657152961</v>
      </c>
      <c r="K53" s="124">
        <v>0.0283528996003397</v>
      </c>
      <c r="L53" s="15">
        <f t="shared" si="1"/>
        <v>-0.0273528996</v>
      </c>
      <c r="M53" s="125">
        <v>0.001</v>
      </c>
    </row>
    <row r="54" ht="15.75" customHeight="1">
      <c r="A54" s="117" t="s">
        <v>190</v>
      </c>
      <c r="B54" s="120">
        <v>8466.345</v>
      </c>
      <c r="C54" s="42">
        <v>0.230723306123624</v>
      </c>
      <c r="D54" s="117"/>
      <c r="E54" s="117"/>
      <c r="F54" s="117"/>
      <c r="G54" s="117" t="s">
        <v>190</v>
      </c>
      <c r="H54" s="120">
        <v>2103.448</v>
      </c>
      <c r="I54" s="123">
        <v>0.201133610359412</v>
      </c>
      <c r="K54" s="124">
        <v>0.029589695764212</v>
      </c>
      <c r="L54" s="15">
        <f t="shared" si="1"/>
        <v>-0.02658969576</v>
      </c>
      <c r="M54" s="125">
        <v>0.003</v>
      </c>
    </row>
    <row r="55" ht="15.75" customHeight="1">
      <c r="A55" s="117" t="s">
        <v>191</v>
      </c>
      <c r="B55" s="120">
        <v>7771.71</v>
      </c>
      <c r="C55" s="42">
        <v>-0.0820466210625718</v>
      </c>
      <c r="D55" s="117"/>
      <c r="E55" s="117"/>
      <c r="F55" s="117"/>
      <c r="G55" s="117" t="s">
        <v>191</v>
      </c>
      <c r="H55" s="120">
        <v>1883.901</v>
      </c>
      <c r="I55" s="123">
        <v>-0.104374816967189</v>
      </c>
      <c r="K55" s="124">
        <v>0.0223281959046172</v>
      </c>
      <c r="L55" s="15">
        <f t="shared" si="1"/>
        <v>-0.0183281959</v>
      </c>
      <c r="M55" s="125">
        <v>0.004</v>
      </c>
    </row>
    <row r="56" ht="15.75" customHeight="1">
      <c r="A56" s="117" t="s">
        <v>192</v>
      </c>
      <c r="B56" s="120">
        <v>9979.034</v>
      </c>
      <c r="C56" s="42">
        <v>0.284020376467984</v>
      </c>
      <c r="D56" s="117"/>
      <c r="E56" s="117"/>
      <c r="F56" s="117"/>
      <c r="G56" s="117" t="s">
        <v>192</v>
      </c>
      <c r="H56" s="120">
        <v>2358.468</v>
      </c>
      <c r="I56" s="123">
        <v>0.251906549229498</v>
      </c>
      <c r="K56" s="124">
        <v>0.032113827238486</v>
      </c>
      <c r="L56" s="15">
        <f t="shared" si="1"/>
        <v>-0.03511382724</v>
      </c>
      <c r="M56" s="125">
        <v>-0.003</v>
      </c>
    </row>
    <row r="57" ht="15.75" customHeight="1">
      <c r="A57" s="117" t="s">
        <v>193</v>
      </c>
      <c r="B57" s="120">
        <v>11625.199</v>
      </c>
      <c r="C57" s="42">
        <v>0.164962360084153</v>
      </c>
      <c r="D57" s="117"/>
      <c r="E57" s="117"/>
      <c r="F57" s="117"/>
      <c r="G57" s="117" t="s">
        <v>193</v>
      </c>
      <c r="H57" s="120">
        <v>2690.044</v>
      </c>
      <c r="I57" s="123">
        <v>0.140589569160998</v>
      </c>
      <c r="K57" s="124">
        <v>0.024372790923155</v>
      </c>
      <c r="L57" s="15">
        <f t="shared" si="1"/>
        <v>-0.02937279092</v>
      </c>
      <c r="M57" s="125">
        <v>-0.005</v>
      </c>
    </row>
    <row r="58" ht="15.75" customHeight="1">
      <c r="A58" s="117" t="s">
        <v>194</v>
      </c>
      <c r="B58" s="120">
        <v>14223.137</v>
      </c>
      <c r="C58" s="42">
        <v>0.223474712131809</v>
      </c>
      <c r="D58" s="117"/>
      <c r="E58" s="117"/>
      <c r="F58" s="117"/>
      <c r="G58" s="117" t="s">
        <v>194</v>
      </c>
      <c r="H58" s="120">
        <v>3231.727</v>
      </c>
      <c r="I58" s="123">
        <v>0.201365851264886</v>
      </c>
      <c r="K58" s="124">
        <v>0.022108860866923</v>
      </c>
      <c r="L58" s="15">
        <f t="shared" si="1"/>
        <v>-0.02610886087</v>
      </c>
      <c r="M58" s="125">
        <v>-0.004</v>
      </c>
    </row>
    <row r="59" ht="15.75" customHeight="1">
      <c r="A59" s="117" t="s">
        <v>195</v>
      </c>
      <c r="B59" s="120">
        <v>11700.992</v>
      </c>
      <c r="C59" s="42">
        <v>-0.177326914589939</v>
      </c>
      <c r="D59" s="117"/>
      <c r="E59" s="117"/>
      <c r="F59" s="117"/>
      <c r="G59" s="117" t="s">
        <v>195</v>
      </c>
      <c r="H59" s="120">
        <v>2602.685</v>
      </c>
      <c r="I59" s="123">
        <v>-0.194645772987632</v>
      </c>
      <c r="K59" s="124">
        <v>0.0173188583976927</v>
      </c>
      <c r="L59" s="15">
        <f t="shared" si="1"/>
        <v>-0.005918858398</v>
      </c>
      <c r="M59" s="125">
        <v>0.0114</v>
      </c>
    </row>
    <row r="60" ht="15.75" customHeight="1">
      <c r="A60" s="117" t="s">
        <v>196</v>
      </c>
      <c r="B60" s="120">
        <v>14557.826</v>
      </c>
      <c r="C60" s="42">
        <v>0.244153145305971</v>
      </c>
      <c r="D60" s="117"/>
      <c r="E60" s="117"/>
      <c r="F60" s="117"/>
      <c r="G60" s="117" t="s">
        <v>196</v>
      </c>
      <c r="H60" s="120">
        <v>3169.18</v>
      </c>
      <c r="I60" s="123">
        <v>0.217657918649395</v>
      </c>
      <c r="K60" s="124">
        <v>0.0264952266565759</v>
      </c>
      <c r="L60" s="15">
        <f t="shared" si="1"/>
        <v>-0.002195226657</v>
      </c>
      <c r="M60" s="125">
        <v>0.0243</v>
      </c>
    </row>
    <row r="61" ht="15.75" customHeight="1">
      <c r="A61" s="117" t="s">
        <v>197</v>
      </c>
      <c r="B61" s="120">
        <v>17352.115</v>
      </c>
      <c r="C61" s="42">
        <v>0.191944113083918</v>
      </c>
      <c r="D61" s="117"/>
      <c r="E61" s="117"/>
      <c r="F61" s="117"/>
      <c r="G61" s="117" t="s">
        <v>197</v>
      </c>
      <c r="H61" s="120">
        <v>3707.837</v>
      </c>
      <c r="I61" s="123">
        <v>0.169967310155939</v>
      </c>
      <c r="K61" s="124">
        <v>0.0219768029279788</v>
      </c>
      <c r="L61" s="15">
        <f t="shared" si="1"/>
        <v>0.001223197072</v>
      </c>
      <c r="M61" s="125">
        <v>0.0232</v>
      </c>
    </row>
    <row r="62" ht="15.75" customHeight="1">
      <c r="A62" s="117"/>
      <c r="B62" s="117"/>
      <c r="C62" s="117"/>
      <c r="D62" s="117"/>
      <c r="E62" s="117"/>
      <c r="F62" s="117"/>
      <c r="G62" s="117"/>
      <c r="H62" s="117"/>
      <c r="I62" s="117"/>
    </row>
    <row r="63" ht="15.75" customHeight="1">
      <c r="A63" s="117" t="s">
        <v>198</v>
      </c>
      <c r="B63" s="117"/>
      <c r="C63" s="117"/>
      <c r="D63" s="117"/>
      <c r="E63" s="117"/>
      <c r="F63" s="117"/>
      <c r="G63" s="117"/>
      <c r="H63" s="117"/>
      <c r="I63" s="117"/>
    </row>
    <row r="64" ht="15.75" customHeight="1">
      <c r="A64" s="117" t="s">
        <v>199</v>
      </c>
      <c r="B64" s="117"/>
      <c r="C64" s="117"/>
      <c r="D64" s="117"/>
      <c r="E64" s="117"/>
      <c r="F64" s="117"/>
      <c r="G64" s="117"/>
      <c r="H64" s="117"/>
      <c r="I64" s="117"/>
    </row>
    <row r="65" ht="15.75" customHeight="1">
      <c r="A65" s="117" t="s">
        <v>200</v>
      </c>
      <c r="B65" s="117"/>
      <c r="C65" s="117"/>
      <c r="D65" s="117"/>
      <c r="E65" s="117"/>
      <c r="F65" s="117"/>
      <c r="G65" s="117"/>
      <c r="H65" s="117"/>
      <c r="I65" s="117"/>
    </row>
    <row r="66" ht="15.75" customHeight="1">
      <c r="A66" s="117" t="s">
        <v>201</v>
      </c>
      <c r="B66" s="117"/>
      <c r="C66" s="117"/>
      <c r="D66" s="117"/>
      <c r="E66" s="117"/>
      <c r="F66" s="117"/>
      <c r="G66" s="117"/>
      <c r="H66" s="117"/>
      <c r="I66" s="117"/>
    </row>
    <row r="67" ht="15.75" customHeight="1">
      <c r="A67" s="117" t="s">
        <v>202</v>
      </c>
      <c r="B67" s="117"/>
      <c r="C67" s="117"/>
      <c r="D67" s="117"/>
      <c r="E67" s="117"/>
      <c r="F67" s="117"/>
      <c r="G67" s="117"/>
      <c r="H67" s="117"/>
      <c r="I67" s="117"/>
    </row>
    <row r="68" ht="15.75" customHeight="1">
      <c r="A68" s="117" t="s">
        <v>203</v>
      </c>
      <c r="B68" s="117"/>
      <c r="C68" s="117"/>
      <c r="D68" s="117"/>
      <c r="E68" s="117"/>
      <c r="F68" s="117"/>
      <c r="G68" s="117"/>
      <c r="H68" s="117"/>
      <c r="I68" s="117"/>
    </row>
    <row r="69" ht="15.75" customHeight="1">
      <c r="A69" s="117" t="s">
        <v>204</v>
      </c>
      <c r="B69" s="117"/>
      <c r="C69" s="117"/>
      <c r="D69" s="117"/>
      <c r="E69" s="117"/>
      <c r="F69" s="117"/>
      <c r="G69" s="117"/>
      <c r="H69" s="117"/>
      <c r="I69" s="117"/>
    </row>
    <row r="70" ht="15.75" customHeight="1">
      <c r="A70" s="117" t="s">
        <v>205</v>
      </c>
      <c r="B70" s="117"/>
      <c r="C70" s="117"/>
      <c r="D70" s="117"/>
      <c r="E70" s="117"/>
      <c r="F70" s="117"/>
      <c r="G70" s="117"/>
      <c r="H70" s="117"/>
      <c r="I70" s="117"/>
    </row>
    <row r="71" ht="15.75" customHeight="1">
      <c r="A71" s="117" t="s">
        <v>200</v>
      </c>
      <c r="B71" s="117"/>
      <c r="C71" s="117"/>
      <c r="D71" s="117"/>
      <c r="E71" s="117"/>
      <c r="F71" s="117"/>
      <c r="G71" s="117"/>
      <c r="H71" s="117"/>
      <c r="I71" s="117"/>
    </row>
    <row r="72" ht="15.75" customHeight="1">
      <c r="A72" s="117" t="s">
        <v>206</v>
      </c>
      <c r="B72" s="117"/>
      <c r="C72" s="117"/>
      <c r="D72" s="117"/>
      <c r="E72" s="117"/>
      <c r="F72" s="117"/>
      <c r="G72" s="117"/>
      <c r="H72" s="117"/>
      <c r="I72" s="117"/>
    </row>
    <row r="73" ht="15.75" customHeight="1">
      <c r="A73" s="117" t="s">
        <v>207</v>
      </c>
      <c r="B73" s="117"/>
      <c r="C73" s="117"/>
      <c r="D73" s="117"/>
      <c r="E73" s="117"/>
      <c r="F73" s="117"/>
      <c r="G73" s="117"/>
      <c r="H73" s="117"/>
      <c r="I73" s="117"/>
    </row>
    <row r="74" ht="15.75" customHeight="1">
      <c r="A74" s="117" t="s">
        <v>208</v>
      </c>
      <c r="B74" s="117"/>
      <c r="C74" s="117"/>
      <c r="D74" s="117"/>
      <c r="E74" s="117"/>
      <c r="F74" s="117"/>
      <c r="G74" s="117"/>
      <c r="H74" s="117"/>
      <c r="I74" s="117"/>
    </row>
    <row r="75" ht="15.75" customHeight="1">
      <c r="A75" s="117" t="s">
        <v>209</v>
      </c>
      <c r="B75" s="117"/>
      <c r="C75" s="117"/>
      <c r="D75" s="117"/>
      <c r="E75" s="117"/>
      <c r="F75" s="117"/>
      <c r="G75" s="117"/>
      <c r="H75" s="117"/>
      <c r="I75" s="117"/>
    </row>
    <row r="76" ht="15.75" customHeight="1">
      <c r="A76" s="117" t="s">
        <v>210</v>
      </c>
      <c r="B76" s="117"/>
      <c r="C76" s="117"/>
      <c r="D76" s="117"/>
      <c r="E76" s="117"/>
      <c r="F76" s="117"/>
      <c r="G76" s="117"/>
      <c r="H76" s="117"/>
      <c r="I76" s="117"/>
    </row>
    <row r="77" ht="15.75" customHeight="1">
      <c r="A77" s="117" t="s">
        <v>211</v>
      </c>
      <c r="B77" s="117"/>
      <c r="C77" s="117"/>
      <c r="D77" s="117"/>
      <c r="E77" s="117"/>
      <c r="F77" s="117"/>
      <c r="G77" s="117"/>
      <c r="H77" s="117"/>
      <c r="I77" s="117"/>
    </row>
    <row r="78" ht="15.75" customHeight="1">
      <c r="A78" s="117" t="s">
        <v>212</v>
      </c>
      <c r="B78" s="117"/>
      <c r="C78" s="117"/>
      <c r="D78" s="117"/>
      <c r="E78" s="117"/>
      <c r="F78" s="117"/>
      <c r="G78" s="117"/>
      <c r="H78" s="117"/>
      <c r="I78" s="117"/>
    </row>
    <row r="79" ht="15.75" customHeight="1">
      <c r="A79" s="117" t="s">
        <v>213</v>
      </c>
      <c r="B79" s="117"/>
      <c r="C79" s="117"/>
      <c r="D79" s="117"/>
      <c r="E79" s="117"/>
      <c r="F79" s="117"/>
      <c r="G79" s="117"/>
      <c r="H79" s="117"/>
      <c r="I79" s="117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