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90" windowWidth="21480" windowHeight="10035"/>
  </bookViews>
  <sheets>
    <sheet name="DWS RiesterRente Premium" sheetId="3" r:id="rId1"/>
  </sheets>
  <definedNames>
    <definedName name="_xlnm.Print_Area" localSheetId="0">'DWS RiesterRente Premium'!$G$75:$W$597,'DWS RiesterRente Premium'!$B$2:$Q$72</definedName>
    <definedName name="_xlnm.Print_Titles" localSheetId="0">'DWS RiesterRente Premium'!$75:$76</definedName>
  </definedNames>
  <calcPr calcId="125725"/>
</workbook>
</file>

<file path=xl/calcChain.xml><?xml version="1.0" encoding="utf-8"?>
<calcChain xmlns="http://schemas.openxmlformats.org/spreadsheetml/2006/main">
  <c r="C22" i="3"/>
  <c r="N66"/>
  <c r="O66"/>
  <c r="P66"/>
  <c r="Q66"/>
  <c r="M66"/>
  <c r="L66"/>
  <c r="K66"/>
  <c r="L59"/>
  <c r="M59"/>
  <c r="K59"/>
  <c r="J77"/>
  <c r="J78" s="1"/>
  <c r="D21"/>
  <c r="L142"/>
  <c r="L143"/>
  <c r="L144"/>
  <c r="L145"/>
  <c r="L146"/>
  <c r="L147"/>
  <c r="L148"/>
  <c r="L149"/>
  <c r="L150"/>
  <c r="L151"/>
  <c r="L152"/>
  <c r="L153"/>
  <c r="L155"/>
  <c r="L156"/>
  <c r="L157"/>
  <c r="L158"/>
  <c r="L159"/>
  <c r="L160"/>
  <c r="L161"/>
  <c r="L162"/>
  <c r="L163"/>
  <c r="L164"/>
  <c r="L165"/>
  <c r="L166"/>
  <c r="L168"/>
  <c r="L169"/>
  <c r="L170"/>
  <c r="L171"/>
  <c r="L172"/>
  <c r="L173"/>
  <c r="L174"/>
  <c r="L175"/>
  <c r="L176"/>
  <c r="L177"/>
  <c r="L178"/>
  <c r="L179"/>
  <c r="L181"/>
  <c r="L182"/>
  <c r="L183"/>
  <c r="L184"/>
  <c r="L185"/>
  <c r="L186"/>
  <c r="L187"/>
  <c r="L188"/>
  <c r="L189"/>
  <c r="L190"/>
  <c r="L191"/>
  <c r="L192"/>
  <c r="L194"/>
  <c r="L195"/>
  <c r="L196"/>
  <c r="L197"/>
  <c r="L198"/>
  <c r="L199"/>
  <c r="L200"/>
  <c r="L201"/>
  <c r="L202"/>
  <c r="L203"/>
  <c r="L204"/>
  <c r="L205"/>
  <c r="L207"/>
  <c r="L208"/>
  <c r="L209"/>
  <c r="L210"/>
  <c r="L211"/>
  <c r="L212"/>
  <c r="L213"/>
  <c r="L214"/>
  <c r="L215"/>
  <c r="L216"/>
  <c r="L217"/>
  <c r="L218"/>
  <c r="L220"/>
  <c r="L221"/>
  <c r="L222"/>
  <c r="L223"/>
  <c r="L224"/>
  <c r="L225"/>
  <c r="L226"/>
  <c r="L227"/>
  <c r="L228"/>
  <c r="L229"/>
  <c r="L230"/>
  <c r="L231"/>
  <c r="L233"/>
  <c r="L234"/>
  <c r="L235"/>
  <c r="L236"/>
  <c r="L237"/>
  <c r="L238"/>
  <c r="L239"/>
  <c r="L240"/>
  <c r="L241"/>
  <c r="L242"/>
  <c r="L243"/>
  <c r="L244"/>
  <c r="L246"/>
  <c r="L247"/>
  <c r="L248"/>
  <c r="L249"/>
  <c r="L250"/>
  <c r="L251"/>
  <c r="L252"/>
  <c r="L253"/>
  <c r="L254"/>
  <c r="L255"/>
  <c r="L256"/>
  <c r="L257"/>
  <c r="L259"/>
  <c r="L260"/>
  <c r="L261"/>
  <c r="L262"/>
  <c r="L263"/>
  <c r="L264"/>
  <c r="L265"/>
  <c r="L266"/>
  <c r="L267"/>
  <c r="L268"/>
  <c r="L269"/>
  <c r="L270"/>
  <c r="L272"/>
  <c r="L273"/>
  <c r="L274"/>
  <c r="L275"/>
  <c r="L276"/>
  <c r="L277"/>
  <c r="L278"/>
  <c r="L279"/>
  <c r="L280"/>
  <c r="L281"/>
  <c r="L282"/>
  <c r="L283"/>
  <c r="L285"/>
  <c r="L286"/>
  <c r="L287"/>
  <c r="L288"/>
  <c r="L289"/>
  <c r="L290"/>
  <c r="L291"/>
  <c r="L292"/>
  <c r="L293"/>
  <c r="L294"/>
  <c r="L295"/>
  <c r="L296"/>
  <c r="L298"/>
  <c r="L299"/>
  <c r="L300"/>
  <c r="L301"/>
  <c r="L302"/>
  <c r="L303"/>
  <c r="L304"/>
  <c r="L305"/>
  <c r="L306"/>
  <c r="L307"/>
  <c r="L308"/>
  <c r="L309"/>
  <c r="L311"/>
  <c r="L312"/>
  <c r="L313"/>
  <c r="L314"/>
  <c r="L315"/>
  <c r="L316"/>
  <c r="L317"/>
  <c r="L318"/>
  <c r="L319"/>
  <c r="L320"/>
  <c r="L321"/>
  <c r="L322"/>
  <c r="L324"/>
  <c r="L325"/>
  <c r="L326"/>
  <c r="L327"/>
  <c r="L328"/>
  <c r="L329"/>
  <c r="L330"/>
  <c r="L331"/>
  <c r="L332"/>
  <c r="L333"/>
  <c r="L334"/>
  <c r="L335"/>
  <c r="L337"/>
  <c r="L338"/>
  <c r="L339"/>
  <c r="L340"/>
  <c r="L341"/>
  <c r="L342"/>
  <c r="L343"/>
  <c r="L344"/>
  <c r="L345"/>
  <c r="L346"/>
  <c r="L347"/>
  <c r="L348"/>
  <c r="L350"/>
  <c r="L351"/>
  <c r="L352"/>
  <c r="L353"/>
  <c r="L354"/>
  <c r="L355"/>
  <c r="L356"/>
  <c r="L357"/>
  <c r="L358"/>
  <c r="L359"/>
  <c r="L360"/>
  <c r="L361"/>
  <c r="L363"/>
  <c r="L364"/>
  <c r="L365"/>
  <c r="L366"/>
  <c r="L367"/>
  <c r="L368"/>
  <c r="L369"/>
  <c r="L370"/>
  <c r="L371"/>
  <c r="L372"/>
  <c r="L373"/>
  <c r="L374"/>
  <c r="L376"/>
  <c r="L377"/>
  <c r="L378"/>
  <c r="L379"/>
  <c r="L380"/>
  <c r="L381"/>
  <c r="L382"/>
  <c r="L383"/>
  <c r="L384"/>
  <c r="L385"/>
  <c r="L386"/>
  <c r="L387"/>
  <c r="L389"/>
  <c r="L390"/>
  <c r="L391"/>
  <c r="L392"/>
  <c r="L393"/>
  <c r="L394"/>
  <c r="L395"/>
  <c r="L396"/>
  <c r="L397"/>
  <c r="L398"/>
  <c r="L399"/>
  <c r="L400"/>
  <c r="L402"/>
  <c r="L403"/>
  <c r="L404"/>
  <c r="L405"/>
  <c r="L406"/>
  <c r="L407"/>
  <c r="L408"/>
  <c r="L409"/>
  <c r="L410"/>
  <c r="L411"/>
  <c r="L412"/>
  <c r="L413"/>
  <c r="L415"/>
  <c r="L416"/>
  <c r="L417"/>
  <c r="L418"/>
  <c r="L419"/>
  <c r="L420"/>
  <c r="L421"/>
  <c r="L422"/>
  <c r="L423"/>
  <c r="L424"/>
  <c r="L425"/>
  <c r="L426"/>
  <c r="L428"/>
  <c r="L429"/>
  <c r="L430"/>
  <c r="L431"/>
  <c r="L432"/>
  <c r="L433"/>
  <c r="L434"/>
  <c r="L435"/>
  <c r="L436"/>
  <c r="L437"/>
  <c r="L438"/>
  <c r="L439"/>
  <c r="L441"/>
  <c r="L442"/>
  <c r="L443"/>
  <c r="L444"/>
  <c r="L445"/>
  <c r="L446"/>
  <c r="L447"/>
  <c r="L448"/>
  <c r="L449"/>
  <c r="L450"/>
  <c r="L451"/>
  <c r="L452"/>
  <c r="L454"/>
  <c r="L455"/>
  <c r="L456"/>
  <c r="L457"/>
  <c r="L458"/>
  <c r="L459"/>
  <c r="L460"/>
  <c r="L461"/>
  <c r="L462"/>
  <c r="L463"/>
  <c r="L464"/>
  <c r="L465"/>
  <c r="L467"/>
  <c r="L468"/>
  <c r="L469"/>
  <c r="L470"/>
  <c r="L471"/>
  <c r="L472"/>
  <c r="L473"/>
  <c r="L474"/>
  <c r="L475"/>
  <c r="L476"/>
  <c r="L477"/>
  <c r="L478"/>
  <c r="L480"/>
  <c r="L481"/>
  <c r="L482"/>
  <c r="L483"/>
  <c r="L484"/>
  <c r="L485"/>
  <c r="L486"/>
  <c r="L487"/>
  <c r="L488"/>
  <c r="L489"/>
  <c r="L490"/>
  <c r="L491"/>
  <c r="L493"/>
  <c r="L494"/>
  <c r="L495"/>
  <c r="L496"/>
  <c r="L497"/>
  <c r="L498"/>
  <c r="L499"/>
  <c r="L500"/>
  <c r="L501"/>
  <c r="L502"/>
  <c r="L503"/>
  <c r="L504"/>
  <c r="L506"/>
  <c r="L507"/>
  <c r="L508"/>
  <c r="L509"/>
  <c r="L510"/>
  <c r="L511"/>
  <c r="L512"/>
  <c r="L513"/>
  <c r="L514"/>
  <c r="L515"/>
  <c r="L516"/>
  <c r="L517"/>
  <c r="L519"/>
  <c r="L520"/>
  <c r="L521"/>
  <c r="L522"/>
  <c r="L523"/>
  <c r="L524"/>
  <c r="L525"/>
  <c r="L526"/>
  <c r="L527"/>
  <c r="L528"/>
  <c r="L529"/>
  <c r="L530"/>
  <c r="L532"/>
  <c r="L533"/>
  <c r="L534"/>
  <c r="L535"/>
  <c r="L536"/>
  <c r="L537"/>
  <c r="L538"/>
  <c r="L539"/>
  <c r="L540"/>
  <c r="L541"/>
  <c r="L542"/>
  <c r="L543"/>
  <c r="L545"/>
  <c r="L546"/>
  <c r="L547"/>
  <c r="L548"/>
  <c r="L549"/>
  <c r="L550"/>
  <c r="L551"/>
  <c r="L552"/>
  <c r="L553"/>
  <c r="L554"/>
  <c r="L555"/>
  <c r="L556"/>
  <c r="L558"/>
  <c r="L559"/>
  <c r="L560"/>
  <c r="L561"/>
  <c r="L562"/>
  <c r="L563"/>
  <c r="L564"/>
  <c r="L565"/>
  <c r="L566"/>
  <c r="L567"/>
  <c r="L568"/>
  <c r="L569"/>
  <c r="L571"/>
  <c r="L572"/>
  <c r="L573"/>
  <c r="L574"/>
  <c r="L575"/>
  <c r="L576"/>
  <c r="L577"/>
  <c r="L578"/>
  <c r="L579"/>
  <c r="L580"/>
  <c r="L581"/>
  <c r="L582"/>
  <c r="L584"/>
  <c r="L585"/>
  <c r="L586"/>
  <c r="L587"/>
  <c r="L588"/>
  <c r="L589"/>
  <c r="L590"/>
  <c r="L591"/>
  <c r="L592"/>
  <c r="L593"/>
  <c r="L594"/>
  <c r="L595"/>
  <c r="M86"/>
  <c r="M77"/>
  <c r="C20"/>
  <c r="B52"/>
  <c r="O102"/>
  <c r="P102"/>
  <c r="O115"/>
  <c r="P115"/>
  <c r="O128"/>
  <c r="P128"/>
  <c r="O141"/>
  <c r="P141"/>
  <c r="O154"/>
  <c r="P154"/>
  <c r="O167"/>
  <c r="P167"/>
  <c r="O180"/>
  <c r="P180"/>
  <c r="O193"/>
  <c r="P193"/>
  <c r="O206"/>
  <c r="P206"/>
  <c r="O219"/>
  <c r="P219"/>
  <c r="O232"/>
  <c r="P232"/>
  <c r="O245"/>
  <c r="P245"/>
  <c r="O258"/>
  <c r="P258"/>
  <c r="O271"/>
  <c r="P271"/>
  <c r="O284"/>
  <c r="P284"/>
  <c r="O297"/>
  <c r="P297"/>
  <c r="O310"/>
  <c r="P310"/>
  <c r="O323"/>
  <c r="P323"/>
  <c r="O336"/>
  <c r="P336"/>
  <c r="O349"/>
  <c r="P349"/>
  <c r="O362"/>
  <c r="P362"/>
  <c r="O375"/>
  <c r="P375"/>
  <c r="O388"/>
  <c r="P388"/>
  <c r="O401"/>
  <c r="P401"/>
  <c r="O414"/>
  <c r="P414"/>
  <c r="O427"/>
  <c r="P427"/>
  <c r="O440"/>
  <c r="P440"/>
  <c r="O453"/>
  <c r="P453"/>
  <c r="O466"/>
  <c r="P466"/>
  <c r="O479"/>
  <c r="P479"/>
  <c r="O492"/>
  <c r="P492"/>
  <c r="O505"/>
  <c r="P505"/>
  <c r="O518"/>
  <c r="P518"/>
  <c r="O531"/>
  <c r="P531"/>
  <c r="O544"/>
  <c r="P544"/>
  <c r="O557"/>
  <c r="P557"/>
  <c r="O570"/>
  <c r="P570"/>
  <c r="O583"/>
  <c r="P583"/>
  <c r="O596"/>
  <c r="P596"/>
  <c r="D43"/>
  <c r="T77"/>
  <c r="C10"/>
  <c r="C6"/>
  <c r="C12"/>
  <c r="O89"/>
  <c r="P89"/>
  <c r="H596"/>
  <c r="H583"/>
  <c r="H570"/>
  <c r="H557"/>
  <c r="H544"/>
  <c r="H531"/>
  <c r="H518"/>
  <c r="H505"/>
  <c r="H492"/>
  <c r="H479"/>
  <c r="H466"/>
  <c r="H453"/>
  <c r="H440"/>
  <c r="H427"/>
  <c r="H414"/>
  <c r="H401"/>
  <c r="H388"/>
  <c r="H375"/>
  <c r="H362"/>
  <c r="H349"/>
  <c r="H336"/>
  <c r="H323"/>
  <c r="H310"/>
  <c r="H297"/>
  <c r="H284"/>
  <c r="H271"/>
  <c r="H258"/>
  <c r="H245"/>
  <c r="H232"/>
  <c r="H219"/>
  <c r="H206"/>
  <c r="H193"/>
  <c r="H180"/>
  <c r="H167"/>
  <c r="H154"/>
  <c r="H141"/>
  <c r="H128"/>
  <c r="H115"/>
  <c r="I102"/>
  <c r="I115" s="1"/>
  <c r="I128" s="1"/>
  <c r="I141" s="1"/>
  <c r="I154" s="1"/>
  <c r="I167" s="1"/>
  <c r="I180" s="1"/>
  <c r="I193" s="1"/>
  <c r="I206" s="1"/>
  <c r="I219" s="1"/>
  <c r="I232" s="1"/>
  <c r="I245" s="1"/>
  <c r="I258" s="1"/>
  <c r="I271" s="1"/>
  <c r="I284" s="1"/>
  <c r="I297" s="1"/>
  <c r="I310" s="1"/>
  <c r="I323" s="1"/>
  <c r="I336" s="1"/>
  <c r="I349" s="1"/>
  <c r="I362" s="1"/>
  <c r="I375" s="1"/>
  <c r="I388" s="1"/>
  <c r="I401" s="1"/>
  <c r="I414" s="1"/>
  <c r="I427" s="1"/>
  <c r="I440" s="1"/>
  <c r="I453" s="1"/>
  <c r="I466" s="1"/>
  <c r="I479" s="1"/>
  <c r="I492" s="1"/>
  <c r="I505" s="1"/>
  <c r="I518" s="1"/>
  <c r="I531" s="1"/>
  <c r="I544" s="1"/>
  <c r="I557" s="1"/>
  <c r="I570" s="1"/>
  <c r="I583" s="1"/>
  <c r="I596" s="1"/>
  <c r="H102"/>
  <c r="H89"/>
  <c r="I90"/>
  <c r="I91"/>
  <c r="I92"/>
  <c r="I93"/>
  <c r="I94"/>
  <c r="I95"/>
  <c r="I96"/>
  <c r="I97"/>
  <c r="I98"/>
  <c r="I99"/>
  <c r="I100"/>
  <c r="I101"/>
  <c r="I103"/>
  <c r="I104"/>
  <c r="I105"/>
  <c r="I106"/>
  <c r="I107"/>
  <c r="I108"/>
  <c r="I109"/>
  <c r="I110"/>
  <c r="I111"/>
  <c r="I112"/>
  <c r="I113"/>
  <c r="I114"/>
  <c r="I116"/>
  <c r="I117"/>
  <c r="I118"/>
  <c r="I119"/>
  <c r="I120"/>
  <c r="I121"/>
  <c r="I122"/>
  <c r="I123"/>
  <c r="I124"/>
  <c r="I125"/>
  <c r="I126"/>
  <c r="I139" s="1"/>
  <c r="I152" s="1"/>
  <c r="I165" s="1"/>
  <c r="I178" s="1"/>
  <c r="I191" s="1"/>
  <c r="I204" s="1"/>
  <c r="I217" s="1"/>
  <c r="I230" s="1"/>
  <c r="I243" s="1"/>
  <c r="I256" s="1"/>
  <c r="I269" s="1"/>
  <c r="I282" s="1"/>
  <c r="I295" s="1"/>
  <c r="I308" s="1"/>
  <c r="I321" s="1"/>
  <c r="I334" s="1"/>
  <c r="I347" s="1"/>
  <c r="I360" s="1"/>
  <c r="I373" s="1"/>
  <c r="I386" s="1"/>
  <c r="I399" s="1"/>
  <c r="I412" s="1"/>
  <c r="I425" s="1"/>
  <c r="I438" s="1"/>
  <c r="I127"/>
  <c r="I129"/>
  <c r="I142" s="1"/>
  <c r="I155" s="1"/>
  <c r="I168" s="1"/>
  <c r="I181" s="1"/>
  <c r="I194" s="1"/>
  <c r="I207" s="1"/>
  <c r="I220" s="1"/>
  <c r="I233" s="1"/>
  <c r="I246" s="1"/>
  <c r="I259" s="1"/>
  <c r="I272" s="1"/>
  <c r="I285" s="1"/>
  <c r="I298" s="1"/>
  <c r="I311" s="1"/>
  <c r="I324" s="1"/>
  <c r="I337" s="1"/>
  <c r="I350" s="1"/>
  <c r="I363" s="1"/>
  <c r="I376" s="1"/>
  <c r="I389" s="1"/>
  <c r="I402" s="1"/>
  <c r="I415" s="1"/>
  <c r="I428" s="1"/>
  <c r="I130"/>
  <c r="I131"/>
  <c r="I144" s="1"/>
  <c r="I157" s="1"/>
  <c r="I170" s="1"/>
  <c r="I183" s="1"/>
  <c r="I196" s="1"/>
  <c r="I209" s="1"/>
  <c r="I222" s="1"/>
  <c r="I235" s="1"/>
  <c r="I248" s="1"/>
  <c r="I261" s="1"/>
  <c r="I274" s="1"/>
  <c r="I287" s="1"/>
  <c r="I300" s="1"/>
  <c r="I313" s="1"/>
  <c r="I326" s="1"/>
  <c r="I339" s="1"/>
  <c r="I352" s="1"/>
  <c r="I365" s="1"/>
  <c r="I378" s="1"/>
  <c r="I391" s="1"/>
  <c r="I404" s="1"/>
  <c r="I417" s="1"/>
  <c r="I430" s="1"/>
  <c r="I132"/>
  <c r="I133"/>
  <c r="I146" s="1"/>
  <c r="I159" s="1"/>
  <c r="I172" s="1"/>
  <c r="I185" s="1"/>
  <c r="I198" s="1"/>
  <c r="I211" s="1"/>
  <c r="I224" s="1"/>
  <c r="I237" s="1"/>
  <c r="I250" s="1"/>
  <c r="I263" s="1"/>
  <c r="I276" s="1"/>
  <c r="I289" s="1"/>
  <c r="I302" s="1"/>
  <c r="I315" s="1"/>
  <c r="I328" s="1"/>
  <c r="I341" s="1"/>
  <c r="I354" s="1"/>
  <c r="I367" s="1"/>
  <c r="I380" s="1"/>
  <c r="I393" s="1"/>
  <c r="I406" s="1"/>
  <c r="I419" s="1"/>
  <c r="I432" s="1"/>
  <c r="I134"/>
  <c r="I135"/>
  <c r="I148" s="1"/>
  <c r="I161" s="1"/>
  <c r="I174" s="1"/>
  <c r="I187" s="1"/>
  <c r="I200" s="1"/>
  <c r="I213" s="1"/>
  <c r="I226" s="1"/>
  <c r="I239" s="1"/>
  <c r="I252" s="1"/>
  <c r="I265" s="1"/>
  <c r="I278" s="1"/>
  <c r="I291" s="1"/>
  <c r="I304" s="1"/>
  <c r="I317" s="1"/>
  <c r="I330" s="1"/>
  <c r="I343" s="1"/>
  <c r="I356" s="1"/>
  <c r="I369" s="1"/>
  <c r="I382" s="1"/>
  <c r="I395" s="1"/>
  <c r="I408" s="1"/>
  <c r="I421" s="1"/>
  <c r="I434" s="1"/>
  <c r="I136"/>
  <c r="I137"/>
  <c r="I150" s="1"/>
  <c r="I163" s="1"/>
  <c r="I176" s="1"/>
  <c r="I189" s="1"/>
  <c r="I202" s="1"/>
  <c r="I215" s="1"/>
  <c r="I228" s="1"/>
  <c r="I241" s="1"/>
  <c r="I254" s="1"/>
  <c r="I267" s="1"/>
  <c r="I280" s="1"/>
  <c r="I293" s="1"/>
  <c r="I306" s="1"/>
  <c r="I319" s="1"/>
  <c r="I332" s="1"/>
  <c r="I345" s="1"/>
  <c r="I358" s="1"/>
  <c r="I371" s="1"/>
  <c r="I384" s="1"/>
  <c r="I397" s="1"/>
  <c r="I410" s="1"/>
  <c r="I423" s="1"/>
  <c r="I436" s="1"/>
  <c r="I138"/>
  <c r="I140"/>
  <c r="I153" s="1"/>
  <c r="I166" s="1"/>
  <c r="I179" s="1"/>
  <c r="I192" s="1"/>
  <c r="I205" s="1"/>
  <c r="I218" s="1"/>
  <c r="I231" s="1"/>
  <c r="I244" s="1"/>
  <c r="I257" s="1"/>
  <c r="I270" s="1"/>
  <c r="I283" s="1"/>
  <c r="I296" s="1"/>
  <c r="I309" s="1"/>
  <c r="I322" s="1"/>
  <c r="I335" s="1"/>
  <c r="I348" s="1"/>
  <c r="I361" s="1"/>
  <c r="I374" s="1"/>
  <c r="I387" s="1"/>
  <c r="I400" s="1"/>
  <c r="I413" s="1"/>
  <c r="I426" s="1"/>
  <c r="I439" s="1"/>
  <c r="I143"/>
  <c r="I156" s="1"/>
  <c r="I169" s="1"/>
  <c r="I182" s="1"/>
  <c r="I195" s="1"/>
  <c r="I208" s="1"/>
  <c r="I221" s="1"/>
  <c r="I234" s="1"/>
  <c r="I247" s="1"/>
  <c r="I260" s="1"/>
  <c r="I273" s="1"/>
  <c r="I286" s="1"/>
  <c r="I299" s="1"/>
  <c r="I312" s="1"/>
  <c r="I325" s="1"/>
  <c r="I338" s="1"/>
  <c r="I351" s="1"/>
  <c r="I364" s="1"/>
  <c r="I377" s="1"/>
  <c r="I390" s="1"/>
  <c r="I403" s="1"/>
  <c r="I416" s="1"/>
  <c r="I429" s="1"/>
  <c r="I145"/>
  <c r="I158" s="1"/>
  <c r="I171" s="1"/>
  <c r="I184" s="1"/>
  <c r="I197" s="1"/>
  <c r="I210" s="1"/>
  <c r="I223" s="1"/>
  <c r="I236" s="1"/>
  <c r="I249" s="1"/>
  <c r="I262" s="1"/>
  <c r="I275" s="1"/>
  <c r="I288" s="1"/>
  <c r="I301" s="1"/>
  <c r="I314" s="1"/>
  <c r="I327" s="1"/>
  <c r="I340" s="1"/>
  <c r="I353" s="1"/>
  <c r="I366" s="1"/>
  <c r="I379" s="1"/>
  <c r="I392" s="1"/>
  <c r="I405" s="1"/>
  <c r="I418" s="1"/>
  <c r="I431" s="1"/>
  <c r="I147"/>
  <c r="I160" s="1"/>
  <c r="I173" s="1"/>
  <c r="I186" s="1"/>
  <c r="I199" s="1"/>
  <c r="I212" s="1"/>
  <c r="I225" s="1"/>
  <c r="I238" s="1"/>
  <c r="I251" s="1"/>
  <c r="I264" s="1"/>
  <c r="I277" s="1"/>
  <c r="I290" s="1"/>
  <c r="I303" s="1"/>
  <c r="I316" s="1"/>
  <c r="I329" s="1"/>
  <c r="I342" s="1"/>
  <c r="I355" s="1"/>
  <c r="I368" s="1"/>
  <c r="I381" s="1"/>
  <c r="I394" s="1"/>
  <c r="I407" s="1"/>
  <c r="I420" s="1"/>
  <c r="I433" s="1"/>
  <c r="I149"/>
  <c r="I162" s="1"/>
  <c r="I175" s="1"/>
  <c r="I188" s="1"/>
  <c r="I201" s="1"/>
  <c r="I214" s="1"/>
  <c r="I227" s="1"/>
  <c r="I240" s="1"/>
  <c r="I253" s="1"/>
  <c r="I266" s="1"/>
  <c r="I279" s="1"/>
  <c r="I292" s="1"/>
  <c r="I305" s="1"/>
  <c r="I318" s="1"/>
  <c r="I331" s="1"/>
  <c r="I344" s="1"/>
  <c r="I357" s="1"/>
  <c r="I370" s="1"/>
  <c r="I383" s="1"/>
  <c r="I396" s="1"/>
  <c r="I409" s="1"/>
  <c r="I422" s="1"/>
  <c r="I435" s="1"/>
  <c r="I151"/>
  <c r="I164" s="1"/>
  <c r="I177" s="1"/>
  <c r="I190" s="1"/>
  <c r="I203" s="1"/>
  <c r="I216" s="1"/>
  <c r="I229" s="1"/>
  <c r="I242" s="1"/>
  <c r="I255" s="1"/>
  <c r="I268" s="1"/>
  <c r="I281" s="1"/>
  <c r="I294" s="1"/>
  <c r="I307" s="1"/>
  <c r="I320" s="1"/>
  <c r="I333" s="1"/>
  <c r="I346" s="1"/>
  <c r="I359" s="1"/>
  <c r="I372" s="1"/>
  <c r="I385" s="1"/>
  <c r="I398" s="1"/>
  <c r="I411" s="1"/>
  <c r="I424" s="1"/>
  <c r="I437" s="1"/>
  <c r="G77"/>
  <c r="J79" l="1"/>
  <c r="M78"/>
  <c r="G78"/>
  <c r="T78"/>
  <c r="C50"/>
  <c r="C51" s="1"/>
  <c r="D22"/>
  <c r="C52"/>
  <c r="J80"/>
  <c r="M80" s="1"/>
  <c r="G79"/>
  <c r="M79"/>
  <c r="T79"/>
  <c r="J81"/>
  <c r="L466"/>
  <c r="L167"/>
  <c r="O597"/>
  <c r="L570"/>
  <c r="P597"/>
  <c r="L297"/>
  <c r="L414"/>
  <c r="L336"/>
  <c r="L323"/>
  <c r="L310"/>
  <c r="L518"/>
  <c r="L232"/>
  <c r="L544"/>
  <c r="L440"/>
  <c r="L271"/>
  <c r="L154"/>
  <c r="L596"/>
  <c r="L492"/>
  <c r="L362"/>
  <c r="L193"/>
  <c r="L388"/>
  <c r="L284"/>
  <c r="L206"/>
  <c r="L245"/>
  <c r="L180"/>
  <c r="L583"/>
  <c r="L531"/>
  <c r="L479"/>
  <c r="L427"/>
  <c r="L375"/>
  <c r="L258"/>
  <c r="L219"/>
  <c r="L557"/>
  <c r="L505"/>
  <c r="L453"/>
  <c r="L401"/>
  <c r="L349"/>
  <c r="K77"/>
  <c r="K81"/>
  <c r="K79"/>
  <c r="K80"/>
  <c r="K78"/>
  <c r="I441"/>
  <c r="I454" s="1"/>
  <c r="I467" s="1"/>
  <c r="I480" s="1"/>
  <c r="I493" s="1"/>
  <c r="I506" s="1"/>
  <c r="I519" s="1"/>
  <c r="I532" s="1"/>
  <c r="I545" s="1"/>
  <c r="I558" s="1"/>
  <c r="I571" s="1"/>
  <c r="I584" s="1"/>
  <c r="L78" l="1"/>
  <c r="L79"/>
  <c r="T80"/>
  <c r="G80"/>
  <c r="L77"/>
  <c r="J82"/>
  <c r="K82" s="1"/>
  <c r="L82" s="1"/>
  <c r="M81"/>
  <c r="T81"/>
  <c r="G81"/>
  <c r="N77"/>
  <c r="R77" s="1"/>
  <c r="S77" s="1"/>
  <c r="N78"/>
  <c r="Q78" s="1"/>
  <c r="N81"/>
  <c r="L81"/>
  <c r="N80"/>
  <c r="L80"/>
  <c r="N79"/>
  <c r="Q79" s="1"/>
  <c r="I442"/>
  <c r="I455" s="1"/>
  <c r="I468" s="1"/>
  <c r="I481" s="1"/>
  <c r="I494" s="1"/>
  <c r="I507" s="1"/>
  <c r="I520" s="1"/>
  <c r="I533" s="1"/>
  <c r="I546" s="1"/>
  <c r="I559" s="1"/>
  <c r="I572" s="1"/>
  <c r="I585" s="1"/>
  <c r="R81" l="1"/>
  <c r="N82"/>
  <c r="J83"/>
  <c r="K83" s="1"/>
  <c r="M82"/>
  <c r="T82"/>
  <c r="G82"/>
  <c r="R78"/>
  <c r="S78" s="1"/>
  <c r="Q77"/>
  <c r="W77" s="1"/>
  <c r="V78" s="1"/>
  <c r="Q81"/>
  <c r="R80"/>
  <c r="Q80"/>
  <c r="R79"/>
  <c r="I443"/>
  <c r="I456" s="1"/>
  <c r="I469" s="1"/>
  <c r="I482" s="1"/>
  <c r="I495" s="1"/>
  <c r="I508" s="1"/>
  <c r="I521" s="1"/>
  <c r="I534" s="1"/>
  <c r="I547" s="1"/>
  <c r="I560" s="1"/>
  <c r="I573" s="1"/>
  <c r="I586" s="1"/>
  <c r="R82" l="1"/>
  <c r="Q82"/>
  <c r="L83"/>
  <c r="N83"/>
  <c r="U78"/>
  <c r="W78" s="1"/>
  <c r="V79" s="1"/>
  <c r="S79"/>
  <c r="S80" s="1"/>
  <c r="S81" s="1"/>
  <c r="J84"/>
  <c r="K84" s="1"/>
  <c r="M83"/>
  <c r="T83"/>
  <c r="G83"/>
  <c r="I444"/>
  <c r="I457" s="1"/>
  <c r="I470" s="1"/>
  <c r="I483" s="1"/>
  <c r="I496" s="1"/>
  <c r="I509" s="1"/>
  <c r="I522" s="1"/>
  <c r="I535" s="1"/>
  <c r="I548" s="1"/>
  <c r="I561" s="1"/>
  <c r="I574" s="1"/>
  <c r="I587" s="1"/>
  <c r="S82" l="1"/>
  <c r="L84"/>
  <c r="N84"/>
  <c r="U79"/>
  <c r="W79" s="1"/>
  <c r="V80" s="1"/>
  <c r="R83"/>
  <c r="Q83"/>
  <c r="J85"/>
  <c r="K85" s="1"/>
  <c r="M84"/>
  <c r="T84"/>
  <c r="G84"/>
  <c r="I445"/>
  <c r="I458" s="1"/>
  <c r="I471" s="1"/>
  <c r="I484" s="1"/>
  <c r="I497" s="1"/>
  <c r="I510" s="1"/>
  <c r="I523" s="1"/>
  <c r="I536" s="1"/>
  <c r="I549" s="1"/>
  <c r="I562" s="1"/>
  <c r="I575" s="1"/>
  <c r="I588" s="1"/>
  <c r="S83" l="1"/>
  <c r="L85"/>
  <c r="N85"/>
  <c r="J86"/>
  <c r="K86" s="1"/>
  <c r="M85"/>
  <c r="T85"/>
  <c r="G85"/>
  <c r="Q84"/>
  <c r="R84"/>
  <c r="U80"/>
  <c r="W80" s="1"/>
  <c r="V81" s="1"/>
  <c r="I446"/>
  <c r="I459" s="1"/>
  <c r="I472" s="1"/>
  <c r="I485" s="1"/>
  <c r="I498" s="1"/>
  <c r="I511" s="1"/>
  <c r="I524" s="1"/>
  <c r="I537" s="1"/>
  <c r="I550" s="1"/>
  <c r="I563" s="1"/>
  <c r="I576" s="1"/>
  <c r="I589" s="1"/>
  <c r="S84" l="1"/>
  <c r="N86"/>
  <c r="L86"/>
  <c r="Q85"/>
  <c r="R85"/>
  <c r="J87"/>
  <c r="K87" s="1"/>
  <c r="T86"/>
  <c r="G86"/>
  <c r="U81"/>
  <c r="I447"/>
  <c r="I460" s="1"/>
  <c r="I473" s="1"/>
  <c r="I486" s="1"/>
  <c r="I499" s="1"/>
  <c r="I512" s="1"/>
  <c r="I525" s="1"/>
  <c r="I538" s="1"/>
  <c r="I551" s="1"/>
  <c r="I564" s="1"/>
  <c r="I577" s="1"/>
  <c r="I590" s="1"/>
  <c r="L87" l="1"/>
  <c r="N87"/>
  <c r="R86"/>
  <c r="Q86"/>
  <c r="J88"/>
  <c r="T87"/>
  <c r="G87"/>
  <c r="M87"/>
  <c r="S85"/>
  <c r="S86" s="1"/>
  <c r="W81"/>
  <c r="V82" s="1"/>
  <c r="I448"/>
  <c r="I461" s="1"/>
  <c r="I474" s="1"/>
  <c r="I487" s="1"/>
  <c r="I500" s="1"/>
  <c r="I513" s="1"/>
  <c r="I526" s="1"/>
  <c r="I539" s="1"/>
  <c r="I552" s="1"/>
  <c r="I565" s="1"/>
  <c r="I578" s="1"/>
  <c r="I591" s="1"/>
  <c r="J89" l="1"/>
  <c r="K88"/>
  <c r="Q87"/>
  <c r="R87"/>
  <c r="S87" s="1"/>
  <c r="M88"/>
  <c r="T88"/>
  <c r="T89" s="1"/>
  <c r="G88"/>
  <c r="U82"/>
  <c r="W82" s="1"/>
  <c r="V83" s="1"/>
  <c r="I449"/>
  <c r="I462" s="1"/>
  <c r="I475" s="1"/>
  <c r="I488" s="1"/>
  <c r="I501" s="1"/>
  <c r="I514" s="1"/>
  <c r="I527" s="1"/>
  <c r="I540" s="1"/>
  <c r="I553" s="1"/>
  <c r="I566" s="1"/>
  <c r="I579" s="1"/>
  <c r="I592" s="1"/>
  <c r="J90" l="1"/>
  <c r="G89"/>
  <c r="L88"/>
  <c r="L89" s="1"/>
  <c r="N88"/>
  <c r="N89" s="1"/>
  <c r="K89"/>
  <c r="M89"/>
  <c r="U83"/>
  <c r="I450"/>
  <c r="I463" s="1"/>
  <c r="I476" s="1"/>
  <c r="I489" s="1"/>
  <c r="I502" s="1"/>
  <c r="I515" s="1"/>
  <c r="I528" s="1"/>
  <c r="I541" s="1"/>
  <c r="I554" s="1"/>
  <c r="I567" s="1"/>
  <c r="I580" s="1"/>
  <c r="I593" s="1"/>
  <c r="J91" l="1"/>
  <c r="M90"/>
  <c r="T90"/>
  <c r="G90"/>
  <c r="K90"/>
  <c r="R88"/>
  <c r="S88" s="1"/>
  <c r="S89" s="1"/>
  <c r="Q88"/>
  <c r="Q89" s="1"/>
  <c r="W83"/>
  <c r="V84" s="1"/>
  <c r="I452"/>
  <c r="I451"/>
  <c r="I464" s="1"/>
  <c r="I477" s="1"/>
  <c r="I490" s="1"/>
  <c r="I503" s="1"/>
  <c r="I516" s="1"/>
  <c r="I529" s="1"/>
  <c r="I542" s="1"/>
  <c r="I555" s="1"/>
  <c r="I568" s="1"/>
  <c r="I581" s="1"/>
  <c r="I594" s="1"/>
  <c r="R89" l="1"/>
  <c r="L90"/>
  <c r="N90"/>
  <c r="R90" s="1"/>
  <c r="S90" s="1"/>
  <c r="M91"/>
  <c r="G91"/>
  <c r="K91"/>
  <c r="J92"/>
  <c r="T91"/>
  <c r="U84"/>
  <c r="I465"/>
  <c r="L91" l="1"/>
  <c r="N91"/>
  <c r="R91" s="1"/>
  <c r="S91" s="1"/>
  <c r="Q90"/>
  <c r="M92"/>
  <c r="T92"/>
  <c r="K92"/>
  <c r="G92"/>
  <c r="J93"/>
  <c r="W84"/>
  <c r="I478"/>
  <c r="U85" l="1"/>
  <c r="V85"/>
  <c r="K93"/>
  <c r="J94"/>
  <c r="M93"/>
  <c r="G93"/>
  <c r="T93"/>
  <c r="L92"/>
  <c r="N92"/>
  <c r="Q92" s="1"/>
  <c r="Q91"/>
  <c r="I491"/>
  <c r="W85" l="1"/>
  <c r="V86" s="1"/>
  <c r="K94"/>
  <c r="M94"/>
  <c r="J95"/>
  <c r="T94"/>
  <c r="G94"/>
  <c r="R92"/>
  <c r="L93"/>
  <c r="N93"/>
  <c r="R93" s="1"/>
  <c r="I504"/>
  <c r="U86" l="1"/>
  <c r="W86" s="1"/>
  <c r="L94"/>
  <c r="N94"/>
  <c r="R94" s="1"/>
  <c r="S92"/>
  <c r="S93" s="1"/>
  <c r="K95"/>
  <c r="G95"/>
  <c r="J96"/>
  <c r="M95"/>
  <c r="T95"/>
  <c r="Q93"/>
  <c r="I517"/>
  <c r="U87" l="1"/>
  <c r="V87"/>
  <c r="K96"/>
  <c r="M96"/>
  <c r="J97"/>
  <c r="T96"/>
  <c r="G96"/>
  <c r="N95"/>
  <c r="Q95" s="1"/>
  <c r="L95"/>
  <c r="S94"/>
  <c r="Q94"/>
  <c r="I530"/>
  <c r="W87" l="1"/>
  <c r="U88" s="1"/>
  <c r="U89" s="1"/>
  <c r="R95"/>
  <c r="S95" s="1"/>
  <c r="K97"/>
  <c r="T97"/>
  <c r="J98"/>
  <c r="M97"/>
  <c r="G97"/>
  <c r="L96"/>
  <c r="N96"/>
  <c r="Q96" s="1"/>
  <c r="I543"/>
  <c r="V88" l="1"/>
  <c r="V89" s="1"/>
  <c r="L97"/>
  <c r="N97"/>
  <c r="R97" s="1"/>
  <c r="R96"/>
  <c r="S96" s="1"/>
  <c r="K98"/>
  <c r="T98"/>
  <c r="G98"/>
  <c r="M98"/>
  <c r="J99"/>
  <c r="I556"/>
  <c r="W88" l="1"/>
  <c r="W89" s="1"/>
  <c r="V90" s="1"/>
  <c r="Q97"/>
  <c r="K99"/>
  <c r="G99"/>
  <c r="T99"/>
  <c r="J100"/>
  <c r="M99"/>
  <c r="L98"/>
  <c r="N98"/>
  <c r="R98" s="1"/>
  <c r="S97"/>
  <c r="I569"/>
  <c r="U90" l="1"/>
  <c r="W90" s="1"/>
  <c r="V91" s="1"/>
  <c r="L99"/>
  <c r="N99"/>
  <c r="R99" s="1"/>
  <c r="Q98"/>
  <c r="S98"/>
  <c r="K100"/>
  <c r="T100"/>
  <c r="G100"/>
  <c r="M100"/>
  <c r="J101"/>
  <c r="I582"/>
  <c r="U91" l="1"/>
  <c r="Q99"/>
  <c r="J102"/>
  <c r="K101"/>
  <c r="G101"/>
  <c r="T101"/>
  <c r="T102" s="1"/>
  <c r="M101"/>
  <c r="L100"/>
  <c r="N100"/>
  <c r="R100" s="1"/>
  <c r="S99"/>
  <c r="I595"/>
  <c r="W91" l="1"/>
  <c r="V92" s="1"/>
  <c r="Q100"/>
  <c r="S100"/>
  <c r="M102"/>
  <c r="J103"/>
  <c r="G102"/>
  <c r="L101"/>
  <c r="L102" s="1"/>
  <c r="N101"/>
  <c r="N102" s="1"/>
  <c r="K102"/>
  <c r="U92" l="1"/>
  <c r="W92" s="1"/>
  <c r="V93" s="1"/>
  <c r="G103"/>
  <c r="J104"/>
  <c r="M103"/>
  <c r="T103"/>
  <c r="K103"/>
  <c r="R101"/>
  <c r="Q101"/>
  <c r="Q102" s="1"/>
  <c r="U93" l="1"/>
  <c r="W93" s="1"/>
  <c r="V94" s="1"/>
  <c r="N103"/>
  <c r="L103"/>
  <c r="R102"/>
  <c r="S101"/>
  <c r="J105"/>
  <c r="T104"/>
  <c r="G104"/>
  <c r="M104"/>
  <c r="K104"/>
  <c r="U94" l="1"/>
  <c r="R103"/>
  <c r="L104"/>
  <c r="N104"/>
  <c r="Q104" s="1"/>
  <c r="J106"/>
  <c r="K105"/>
  <c r="T105"/>
  <c r="M105"/>
  <c r="G105"/>
  <c r="S102"/>
  <c r="Q103"/>
  <c r="S103" l="1"/>
  <c r="W94"/>
  <c r="V95" s="1"/>
  <c r="J107"/>
  <c r="K106"/>
  <c r="G106"/>
  <c r="M106"/>
  <c r="T106"/>
  <c r="N105"/>
  <c r="Q105" s="1"/>
  <c r="L105"/>
  <c r="R104"/>
  <c r="S104" l="1"/>
  <c r="U95"/>
  <c r="R105"/>
  <c r="S105" s="1"/>
  <c r="J108"/>
  <c r="K107"/>
  <c r="T107"/>
  <c r="G107"/>
  <c r="M107"/>
  <c r="L106"/>
  <c r="N106"/>
  <c r="R106" s="1"/>
  <c r="W95" l="1"/>
  <c r="V96" s="1"/>
  <c r="S106"/>
  <c r="Q106"/>
  <c r="L107"/>
  <c r="N107"/>
  <c r="R107" s="1"/>
  <c r="J109"/>
  <c r="K108"/>
  <c r="G108"/>
  <c r="M108"/>
  <c r="T108"/>
  <c r="U96" l="1"/>
  <c r="W96" s="1"/>
  <c r="V97" s="1"/>
  <c r="Q107"/>
  <c r="J110"/>
  <c r="K109"/>
  <c r="T109"/>
  <c r="M109"/>
  <c r="G109"/>
  <c r="L108"/>
  <c r="N108"/>
  <c r="R108" s="1"/>
  <c r="S107"/>
  <c r="U97" l="1"/>
  <c r="W97" s="1"/>
  <c r="V98" s="1"/>
  <c r="Q108"/>
  <c r="S108"/>
  <c r="L109"/>
  <c r="N109"/>
  <c r="Q109" s="1"/>
  <c r="J111"/>
  <c r="K110"/>
  <c r="M110"/>
  <c r="T110"/>
  <c r="G110"/>
  <c r="U98" l="1"/>
  <c r="W98" s="1"/>
  <c r="V99" s="1"/>
  <c r="R109"/>
  <c r="S109" s="1"/>
  <c r="L110"/>
  <c r="N110"/>
  <c r="R110" s="1"/>
  <c r="J112"/>
  <c r="K111"/>
  <c r="T111"/>
  <c r="G111"/>
  <c r="M111"/>
  <c r="U99" l="1"/>
  <c r="W99" s="1"/>
  <c r="V100" s="1"/>
  <c r="Q110"/>
  <c r="S110"/>
  <c r="L111"/>
  <c r="N111"/>
  <c r="R111" s="1"/>
  <c r="J113"/>
  <c r="K112"/>
  <c r="M112"/>
  <c r="T112"/>
  <c r="G112"/>
  <c r="U100" l="1"/>
  <c r="S111"/>
  <c r="J114"/>
  <c r="K113"/>
  <c r="T113"/>
  <c r="M113"/>
  <c r="G113"/>
  <c r="L112"/>
  <c r="N112"/>
  <c r="R112" s="1"/>
  <c r="Q111"/>
  <c r="S112" l="1"/>
  <c r="W100"/>
  <c r="V101" s="1"/>
  <c r="V102" s="1"/>
  <c r="Q112"/>
  <c r="L113"/>
  <c r="N113"/>
  <c r="R113" s="1"/>
  <c r="J115"/>
  <c r="K114"/>
  <c r="M114"/>
  <c r="T114"/>
  <c r="T115" s="1"/>
  <c r="G114"/>
  <c r="S113" l="1"/>
  <c r="U101"/>
  <c r="U102" s="1"/>
  <c r="M115"/>
  <c r="J116"/>
  <c r="G115"/>
  <c r="L114"/>
  <c r="L115" s="1"/>
  <c r="N114"/>
  <c r="N115" s="1"/>
  <c r="K115"/>
  <c r="Q113"/>
  <c r="W101" l="1"/>
  <c r="W102" s="1"/>
  <c r="V103" s="1"/>
  <c r="R114"/>
  <c r="R115" s="1"/>
  <c r="M116"/>
  <c r="K116"/>
  <c r="J117"/>
  <c r="G116"/>
  <c r="T116"/>
  <c r="S114"/>
  <c r="S115" s="1"/>
  <c r="Q114"/>
  <c r="Q115" s="1"/>
  <c r="U103" l="1"/>
  <c r="W103" s="1"/>
  <c r="V104" s="1"/>
  <c r="K117"/>
  <c r="T117"/>
  <c r="G117"/>
  <c r="J118"/>
  <c r="M117"/>
  <c r="L116"/>
  <c r="N116"/>
  <c r="U104" l="1"/>
  <c r="W104" s="1"/>
  <c r="V105" s="1"/>
  <c r="R116"/>
  <c r="S116" s="1"/>
  <c r="L117"/>
  <c r="N117"/>
  <c r="Q117" s="1"/>
  <c r="K118"/>
  <c r="J119"/>
  <c r="G118"/>
  <c r="M118"/>
  <c r="T118"/>
  <c r="Q116"/>
  <c r="U105" l="1"/>
  <c r="W105" s="1"/>
  <c r="V106" s="1"/>
  <c r="L118"/>
  <c r="N118"/>
  <c r="Q118" s="1"/>
  <c r="R117"/>
  <c r="S117" s="1"/>
  <c r="K119"/>
  <c r="J120"/>
  <c r="M119"/>
  <c r="G119"/>
  <c r="T119"/>
  <c r="U106" l="1"/>
  <c r="R118"/>
  <c r="S118" s="1"/>
  <c r="K120"/>
  <c r="M120"/>
  <c r="G120"/>
  <c r="J121"/>
  <c r="T120"/>
  <c r="L119"/>
  <c r="N119"/>
  <c r="Q119" s="1"/>
  <c r="W106" l="1"/>
  <c r="V107" s="1"/>
  <c r="K121"/>
  <c r="J122"/>
  <c r="T121"/>
  <c r="M121"/>
  <c r="G121"/>
  <c r="R119"/>
  <c r="S119" s="1"/>
  <c r="L120"/>
  <c r="N120"/>
  <c r="Q120" s="1"/>
  <c r="U107" l="1"/>
  <c r="W107" s="1"/>
  <c r="V108" s="1"/>
  <c r="R120"/>
  <c r="S120" s="1"/>
  <c r="L121"/>
  <c r="N121"/>
  <c r="R121" s="1"/>
  <c r="K122"/>
  <c r="J123"/>
  <c r="G122"/>
  <c r="M122"/>
  <c r="T122"/>
  <c r="U108" l="1"/>
  <c r="W108" s="1"/>
  <c r="V109" s="1"/>
  <c r="Q121"/>
  <c r="L122"/>
  <c r="N122"/>
  <c r="R122" s="1"/>
  <c r="K123"/>
  <c r="J124"/>
  <c r="M123"/>
  <c r="G123"/>
  <c r="T123"/>
  <c r="S121"/>
  <c r="U109" l="1"/>
  <c r="W109" s="1"/>
  <c r="V110" s="1"/>
  <c r="L123"/>
  <c r="N123"/>
  <c r="R123" s="1"/>
  <c r="K124"/>
  <c r="T124"/>
  <c r="M124"/>
  <c r="J125"/>
  <c r="G124"/>
  <c r="S122"/>
  <c r="Q122"/>
  <c r="U110" l="1"/>
  <c r="W110" s="1"/>
  <c r="V111" s="1"/>
  <c r="Q123"/>
  <c r="L124"/>
  <c r="N124"/>
  <c r="R124" s="1"/>
  <c r="K125"/>
  <c r="J126"/>
  <c r="M125"/>
  <c r="G125"/>
  <c r="T125"/>
  <c r="S123"/>
  <c r="U111" l="1"/>
  <c r="W111" s="1"/>
  <c r="V112" s="1"/>
  <c r="L125"/>
  <c r="N125"/>
  <c r="R125" s="1"/>
  <c r="K126"/>
  <c r="J127"/>
  <c r="G126"/>
  <c r="M126"/>
  <c r="T126"/>
  <c r="S124"/>
  <c r="Q124"/>
  <c r="U112" l="1"/>
  <c r="W112" s="1"/>
  <c r="V113" s="1"/>
  <c r="Q125"/>
  <c r="S125"/>
  <c r="L126"/>
  <c r="N126"/>
  <c r="Q126" s="1"/>
  <c r="K127"/>
  <c r="T127"/>
  <c r="T128" s="1"/>
  <c r="J128"/>
  <c r="M127"/>
  <c r="G127"/>
  <c r="U113" l="1"/>
  <c r="W113" s="1"/>
  <c r="V114" s="1"/>
  <c r="V115" s="1"/>
  <c r="R126"/>
  <c r="G128"/>
  <c r="J129"/>
  <c r="L127"/>
  <c r="L128" s="1"/>
  <c r="N127"/>
  <c r="N128" s="1"/>
  <c r="K128"/>
  <c r="S126"/>
  <c r="M128"/>
  <c r="U114" l="1"/>
  <c r="Q127"/>
  <c r="Q128" s="1"/>
  <c r="R127"/>
  <c r="R128" s="1"/>
  <c r="K129"/>
  <c r="M129"/>
  <c r="T129"/>
  <c r="J130"/>
  <c r="G129"/>
  <c r="W114" l="1"/>
  <c r="W115" s="1"/>
  <c r="V116" s="1"/>
  <c r="U115"/>
  <c r="S127"/>
  <c r="S128" s="1"/>
  <c r="N129"/>
  <c r="Q129" s="1"/>
  <c r="L129"/>
  <c r="K130"/>
  <c r="J131"/>
  <c r="G130"/>
  <c r="M130"/>
  <c r="T130"/>
  <c r="U116" l="1"/>
  <c r="R129"/>
  <c r="S129" s="1"/>
  <c r="L130"/>
  <c r="N130"/>
  <c r="R130" s="1"/>
  <c r="K131"/>
  <c r="J132"/>
  <c r="T131"/>
  <c r="M131"/>
  <c r="G131"/>
  <c r="W116" l="1"/>
  <c r="V117" s="1"/>
  <c r="Q130"/>
  <c r="K132"/>
  <c r="T132"/>
  <c r="G132"/>
  <c r="J133"/>
  <c r="M132"/>
  <c r="L131"/>
  <c r="N131"/>
  <c r="R131" s="1"/>
  <c r="S130"/>
  <c r="U117" l="1"/>
  <c r="W117" s="1"/>
  <c r="V118" s="1"/>
  <c r="S131"/>
  <c r="K133"/>
  <c r="J134"/>
  <c r="M133"/>
  <c r="T133"/>
  <c r="G133"/>
  <c r="Q131"/>
  <c r="L132"/>
  <c r="N132"/>
  <c r="Q132" s="1"/>
  <c r="U118" l="1"/>
  <c r="R132"/>
  <c r="S132" s="1"/>
  <c r="N133"/>
  <c r="Q133" s="1"/>
  <c r="L133"/>
  <c r="K134"/>
  <c r="J135"/>
  <c r="G134"/>
  <c r="M134"/>
  <c r="T134"/>
  <c r="W118" l="1"/>
  <c r="V119" s="1"/>
  <c r="R133"/>
  <c r="S133" s="1"/>
  <c r="L134"/>
  <c r="N134"/>
  <c r="R134" s="1"/>
  <c r="K135"/>
  <c r="M135"/>
  <c r="G135"/>
  <c r="J136"/>
  <c r="T135"/>
  <c r="U119" l="1"/>
  <c r="W119" s="1"/>
  <c r="V120" s="1"/>
  <c r="S134"/>
  <c r="K136"/>
  <c r="J137"/>
  <c r="G136"/>
  <c r="M136"/>
  <c r="T136"/>
  <c r="L135"/>
  <c r="N135"/>
  <c r="R135" s="1"/>
  <c r="Q134"/>
  <c r="S135" l="1"/>
  <c r="U120"/>
  <c r="W120" s="1"/>
  <c r="V121" s="1"/>
  <c r="Q135"/>
  <c r="L136"/>
  <c r="N136"/>
  <c r="R136" s="1"/>
  <c r="K137"/>
  <c r="J138"/>
  <c r="M137"/>
  <c r="T137"/>
  <c r="G137"/>
  <c r="S136" l="1"/>
  <c r="U121"/>
  <c r="W121" s="1"/>
  <c r="V122" s="1"/>
  <c r="K138"/>
  <c r="J139"/>
  <c r="M138"/>
  <c r="T138"/>
  <c r="G138"/>
  <c r="L137"/>
  <c r="N137"/>
  <c r="R137" s="1"/>
  <c r="S137" s="1"/>
  <c r="Q136"/>
  <c r="U122" l="1"/>
  <c r="W122" s="1"/>
  <c r="V123" s="1"/>
  <c r="Q137"/>
  <c r="K139"/>
  <c r="J140"/>
  <c r="T139"/>
  <c r="M139"/>
  <c r="G139"/>
  <c r="L138"/>
  <c r="N138"/>
  <c r="Q138" s="1"/>
  <c r="U123" l="1"/>
  <c r="W123" s="1"/>
  <c r="V124" s="1"/>
  <c r="R138"/>
  <c r="S138" s="1"/>
  <c r="K140"/>
  <c r="J141"/>
  <c r="T140"/>
  <c r="T141" s="1"/>
  <c r="G140"/>
  <c r="M140"/>
  <c r="L139"/>
  <c r="N139"/>
  <c r="R139" s="1"/>
  <c r="U124" l="1"/>
  <c r="W124" s="1"/>
  <c r="V125" s="1"/>
  <c r="S139"/>
  <c r="M141"/>
  <c r="L140"/>
  <c r="L141" s="1"/>
  <c r="L597" s="1"/>
  <c r="N63" s="1"/>
  <c r="N140"/>
  <c r="N141" s="1"/>
  <c r="K141"/>
  <c r="Q139"/>
  <c r="G141"/>
  <c r="J142"/>
  <c r="U125" l="1"/>
  <c r="W125" s="1"/>
  <c r="V126" s="1"/>
  <c r="K142"/>
  <c r="M142"/>
  <c r="T142"/>
  <c r="J143"/>
  <c r="G142"/>
  <c r="R140"/>
  <c r="Q140"/>
  <c r="Q141" s="1"/>
  <c r="U126" l="1"/>
  <c r="R141"/>
  <c r="S140"/>
  <c r="S141" s="1"/>
  <c r="K143"/>
  <c r="G143"/>
  <c r="T143"/>
  <c r="J144"/>
  <c r="M143"/>
  <c r="N142"/>
  <c r="Q142" s="1"/>
  <c r="W126" l="1"/>
  <c r="V127" s="1"/>
  <c r="V128" s="1"/>
  <c r="R142"/>
  <c r="S142" s="1"/>
  <c r="N143"/>
  <c r="R143" s="1"/>
  <c r="K144"/>
  <c r="J145"/>
  <c r="T144"/>
  <c r="M144"/>
  <c r="G144"/>
  <c r="U127" l="1"/>
  <c r="U128" s="1"/>
  <c r="S143"/>
  <c r="Q143"/>
  <c r="N144"/>
  <c r="R144" s="1"/>
  <c r="K145"/>
  <c r="M145"/>
  <c r="J146"/>
  <c r="T145"/>
  <c r="G145"/>
  <c r="W127" l="1"/>
  <c r="W128" s="1"/>
  <c r="V129" s="1"/>
  <c r="S144"/>
  <c r="Q144"/>
  <c r="N145"/>
  <c r="R145" s="1"/>
  <c r="S145" s="1"/>
  <c r="K146"/>
  <c r="J147"/>
  <c r="G146"/>
  <c r="M146"/>
  <c r="T146"/>
  <c r="U129" l="1"/>
  <c r="W129" s="1"/>
  <c r="V130" s="1"/>
  <c r="Q145"/>
  <c r="K147"/>
  <c r="J148"/>
  <c r="M147"/>
  <c r="T147"/>
  <c r="G147"/>
  <c r="N146"/>
  <c r="Q146" s="1"/>
  <c r="U130" l="1"/>
  <c r="W130" s="1"/>
  <c r="V131" s="1"/>
  <c r="R146"/>
  <c r="S146" s="1"/>
  <c r="K148"/>
  <c r="J149"/>
  <c r="T148"/>
  <c r="G148"/>
  <c r="M148"/>
  <c r="N147"/>
  <c r="R147" s="1"/>
  <c r="S147" l="1"/>
  <c r="U131"/>
  <c r="W131" s="1"/>
  <c r="V132" s="1"/>
  <c r="N148"/>
  <c r="R148" s="1"/>
  <c r="S148" s="1"/>
  <c r="Q147"/>
  <c r="K149"/>
  <c r="G149"/>
  <c r="M149"/>
  <c r="J150"/>
  <c r="T149"/>
  <c r="U132" l="1"/>
  <c r="W132" s="1"/>
  <c r="V133" s="1"/>
  <c r="Q148"/>
  <c r="N149"/>
  <c r="R149" s="1"/>
  <c r="S149" s="1"/>
  <c r="K150"/>
  <c r="M150"/>
  <c r="J151"/>
  <c r="G150"/>
  <c r="T150"/>
  <c r="U133" l="1"/>
  <c r="W133" s="1"/>
  <c r="V134" s="1"/>
  <c r="Q149"/>
  <c r="N150"/>
  <c r="R150" s="1"/>
  <c r="S150" s="1"/>
  <c r="K151"/>
  <c r="J152"/>
  <c r="T151"/>
  <c r="M151"/>
  <c r="G151"/>
  <c r="U134" l="1"/>
  <c r="Q150"/>
  <c r="N151"/>
  <c r="R151" s="1"/>
  <c r="S151" s="1"/>
  <c r="K152"/>
  <c r="J153"/>
  <c r="M152"/>
  <c r="G152"/>
  <c r="T152"/>
  <c r="W134" l="1"/>
  <c r="V135" s="1"/>
  <c r="Q151"/>
  <c r="K153"/>
  <c r="M153"/>
  <c r="G153"/>
  <c r="J154"/>
  <c r="T153"/>
  <c r="T154" s="1"/>
  <c r="N152"/>
  <c r="Q152" s="1"/>
  <c r="U135" l="1"/>
  <c r="W135" s="1"/>
  <c r="V136" s="1"/>
  <c r="R152"/>
  <c r="S152" s="1"/>
  <c r="N153"/>
  <c r="N154" s="1"/>
  <c r="K154"/>
  <c r="G154"/>
  <c r="J155"/>
  <c r="M154"/>
  <c r="U136" l="1"/>
  <c r="W136" s="1"/>
  <c r="V137" s="1"/>
  <c r="Q153"/>
  <c r="Q154" s="1"/>
  <c r="R153"/>
  <c r="K155"/>
  <c r="J156"/>
  <c r="G155"/>
  <c r="T155"/>
  <c r="M155"/>
  <c r="U137" l="1"/>
  <c r="W137" s="1"/>
  <c r="V138" s="1"/>
  <c r="K156"/>
  <c r="J157"/>
  <c r="M156"/>
  <c r="T156"/>
  <c r="G156"/>
  <c r="N155"/>
  <c r="Q155" s="1"/>
  <c r="R154"/>
  <c r="S153"/>
  <c r="S154" s="1"/>
  <c r="U138" l="1"/>
  <c r="R155"/>
  <c r="S155" s="1"/>
  <c r="N156"/>
  <c r="Q156" s="1"/>
  <c r="K157"/>
  <c r="J158"/>
  <c r="T157"/>
  <c r="G157"/>
  <c r="M157"/>
  <c r="W138" l="1"/>
  <c r="V139" s="1"/>
  <c r="R156"/>
  <c r="S156" s="1"/>
  <c r="N157"/>
  <c r="Q157" s="1"/>
  <c r="K158"/>
  <c r="J159"/>
  <c r="M158"/>
  <c r="G158"/>
  <c r="T158"/>
  <c r="U139" l="1"/>
  <c r="W139" s="1"/>
  <c r="V140" s="1"/>
  <c r="V141" s="1"/>
  <c r="R157"/>
  <c r="S157" s="1"/>
  <c r="K159"/>
  <c r="J160"/>
  <c r="G159"/>
  <c r="M159"/>
  <c r="T159"/>
  <c r="N158"/>
  <c r="Q158" s="1"/>
  <c r="U140" l="1"/>
  <c r="K160"/>
  <c r="M160"/>
  <c r="T160"/>
  <c r="J161"/>
  <c r="G160"/>
  <c r="N159"/>
  <c r="R159" s="1"/>
  <c r="R158"/>
  <c r="S158" s="1"/>
  <c r="W140" l="1"/>
  <c r="W141" s="1"/>
  <c r="V142" s="1"/>
  <c r="U141"/>
  <c r="S159"/>
  <c r="Q159"/>
  <c r="K161"/>
  <c r="J162"/>
  <c r="M161"/>
  <c r="T161"/>
  <c r="G161"/>
  <c r="N160"/>
  <c r="Q160" s="1"/>
  <c r="U142" l="1"/>
  <c r="R160"/>
  <c r="S160" s="1"/>
  <c r="N161"/>
  <c r="R161" s="1"/>
  <c r="K162"/>
  <c r="J163"/>
  <c r="T162"/>
  <c r="M162"/>
  <c r="G162"/>
  <c r="W142" l="1"/>
  <c r="V143" s="1"/>
  <c r="S161"/>
  <c r="Q161"/>
  <c r="K163"/>
  <c r="J164"/>
  <c r="G163"/>
  <c r="M163"/>
  <c r="T163"/>
  <c r="N162"/>
  <c r="Q162" s="1"/>
  <c r="U143" l="1"/>
  <c r="W143" s="1"/>
  <c r="V144" s="1"/>
  <c r="R162"/>
  <c r="S162" s="1"/>
  <c r="N163"/>
  <c r="R163" s="1"/>
  <c r="K164"/>
  <c r="J165"/>
  <c r="G164"/>
  <c r="M164"/>
  <c r="T164"/>
  <c r="U144" l="1"/>
  <c r="S163"/>
  <c r="Q163"/>
  <c r="N164"/>
  <c r="R164" s="1"/>
  <c r="K165"/>
  <c r="M165"/>
  <c r="T165"/>
  <c r="J166"/>
  <c r="G165"/>
  <c r="S164" l="1"/>
  <c r="W144"/>
  <c r="V145" s="1"/>
  <c r="Q164"/>
  <c r="N165"/>
  <c r="Q165" s="1"/>
  <c r="K166"/>
  <c r="G166"/>
  <c r="M166"/>
  <c r="T166"/>
  <c r="T167" s="1"/>
  <c r="J167"/>
  <c r="U145" l="1"/>
  <c r="W145" s="1"/>
  <c r="V146" s="1"/>
  <c r="R165"/>
  <c r="S165" s="1"/>
  <c r="J168"/>
  <c r="G167"/>
  <c r="M167"/>
  <c r="N166"/>
  <c r="N167" s="1"/>
  <c r="K167"/>
  <c r="U146" l="1"/>
  <c r="W146" s="1"/>
  <c r="V147" s="1"/>
  <c r="R166"/>
  <c r="R167" s="1"/>
  <c r="K168"/>
  <c r="J169"/>
  <c r="M168"/>
  <c r="T168"/>
  <c r="G168"/>
  <c r="Q166"/>
  <c r="Q167" s="1"/>
  <c r="U147" l="1"/>
  <c r="W147" s="1"/>
  <c r="V148" s="1"/>
  <c r="S166"/>
  <c r="S167" s="1"/>
  <c r="K169"/>
  <c r="M169"/>
  <c r="T169"/>
  <c r="J170"/>
  <c r="G169"/>
  <c r="N168"/>
  <c r="Q168" s="1"/>
  <c r="U148" l="1"/>
  <c r="W148" s="1"/>
  <c r="V149" s="1"/>
  <c r="R168"/>
  <c r="S168" s="1"/>
  <c r="N169"/>
  <c r="Q169" s="1"/>
  <c r="K170"/>
  <c r="T170"/>
  <c r="G170"/>
  <c r="J171"/>
  <c r="M170"/>
  <c r="U149" l="1"/>
  <c r="W149" s="1"/>
  <c r="V150" s="1"/>
  <c r="K171"/>
  <c r="M171"/>
  <c r="G171"/>
  <c r="J172"/>
  <c r="T171"/>
  <c r="R169"/>
  <c r="S169" s="1"/>
  <c r="N170"/>
  <c r="Q170" s="1"/>
  <c r="U150" l="1"/>
  <c r="W150" s="1"/>
  <c r="V151" s="1"/>
  <c r="R170"/>
  <c r="S170" s="1"/>
  <c r="N171"/>
  <c r="R171" s="1"/>
  <c r="K172"/>
  <c r="M172"/>
  <c r="J173"/>
  <c r="G172"/>
  <c r="T172"/>
  <c r="U151" l="1"/>
  <c r="S171"/>
  <c r="Q171"/>
  <c r="K173"/>
  <c r="G173"/>
  <c r="J174"/>
  <c r="T173"/>
  <c r="M173"/>
  <c r="N172"/>
  <c r="R172" s="1"/>
  <c r="W151" l="1"/>
  <c r="V152" s="1"/>
  <c r="S172"/>
  <c r="K174"/>
  <c r="M174"/>
  <c r="J175"/>
  <c r="G174"/>
  <c r="T174"/>
  <c r="N173"/>
  <c r="R173" s="1"/>
  <c r="Q172"/>
  <c r="U152" l="1"/>
  <c r="W152" s="1"/>
  <c r="V153" s="1"/>
  <c r="V154" s="1"/>
  <c r="S173"/>
  <c r="K175"/>
  <c r="T175"/>
  <c r="J176"/>
  <c r="M175"/>
  <c r="G175"/>
  <c r="N174"/>
  <c r="Q174" s="1"/>
  <c r="Q173"/>
  <c r="U153" l="1"/>
  <c r="U154" s="1"/>
  <c r="K176"/>
  <c r="J177"/>
  <c r="G176"/>
  <c r="T176"/>
  <c r="M176"/>
  <c r="N175"/>
  <c r="R175" s="1"/>
  <c r="R174"/>
  <c r="S174" s="1"/>
  <c r="W153" l="1"/>
  <c r="W154" s="1"/>
  <c r="V155" s="1"/>
  <c r="Q175"/>
  <c r="S175"/>
  <c r="K177"/>
  <c r="G177"/>
  <c r="T177"/>
  <c r="J178"/>
  <c r="M177"/>
  <c r="N176"/>
  <c r="R176" s="1"/>
  <c r="U155" l="1"/>
  <c r="W155" s="1"/>
  <c r="V156" s="1"/>
  <c r="S176"/>
  <c r="K178"/>
  <c r="M178"/>
  <c r="T178"/>
  <c r="J179"/>
  <c r="G178"/>
  <c r="N177"/>
  <c r="R177" s="1"/>
  <c r="Q176"/>
  <c r="S177" l="1"/>
  <c r="U156"/>
  <c r="N178"/>
  <c r="R178" s="1"/>
  <c r="S178" s="1"/>
  <c r="Q177"/>
  <c r="K179"/>
  <c r="J180"/>
  <c r="G179"/>
  <c r="M179"/>
  <c r="T179"/>
  <c r="T180" s="1"/>
  <c r="W156" l="1"/>
  <c r="V157" s="1"/>
  <c r="Q178"/>
  <c r="M180"/>
  <c r="J181"/>
  <c r="G180"/>
  <c r="N179"/>
  <c r="N180" s="1"/>
  <c r="K180"/>
  <c r="U157" l="1"/>
  <c r="R179"/>
  <c r="R180" s="1"/>
  <c r="K181"/>
  <c r="J182"/>
  <c r="G181"/>
  <c r="M181"/>
  <c r="T181"/>
  <c r="Q179"/>
  <c r="Q180" s="1"/>
  <c r="W157" l="1"/>
  <c r="V158" s="1"/>
  <c r="S179"/>
  <c r="S180" s="1"/>
  <c r="K182"/>
  <c r="M182"/>
  <c r="T182"/>
  <c r="J183"/>
  <c r="G182"/>
  <c r="N181"/>
  <c r="R181" s="1"/>
  <c r="S181" l="1"/>
  <c r="U158"/>
  <c r="W158" s="1"/>
  <c r="V159" s="1"/>
  <c r="Q181"/>
  <c r="N182"/>
  <c r="Q182" s="1"/>
  <c r="K183"/>
  <c r="J184"/>
  <c r="M183"/>
  <c r="G183"/>
  <c r="T183"/>
  <c r="U159" l="1"/>
  <c r="W159" s="1"/>
  <c r="V160" s="1"/>
  <c r="R182"/>
  <c r="S182" s="1"/>
  <c r="N183"/>
  <c r="Q183" s="1"/>
  <c r="K184"/>
  <c r="J185"/>
  <c r="M184"/>
  <c r="G184"/>
  <c r="T184"/>
  <c r="U160" l="1"/>
  <c r="W160" s="1"/>
  <c r="V161" s="1"/>
  <c r="R183"/>
  <c r="S183" s="1"/>
  <c r="N184"/>
  <c r="R184" s="1"/>
  <c r="K185"/>
  <c r="J186"/>
  <c r="M185"/>
  <c r="T185"/>
  <c r="G185"/>
  <c r="U161" l="1"/>
  <c r="S184"/>
  <c r="Q184"/>
  <c r="N185"/>
  <c r="R185" s="1"/>
  <c r="K186"/>
  <c r="M186"/>
  <c r="J187"/>
  <c r="G186"/>
  <c r="T186"/>
  <c r="S185" l="1"/>
  <c r="W161"/>
  <c r="V162" s="1"/>
  <c r="Q185"/>
  <c r="K187"/>
  <c r="J188"/>
  <c r="G187"/>
  <c r="M187"/>
  <c r="T187"/>
  <c r="N186"/>
  <c r="Q186" s="1"/>
  <c r="U162" l="1"/>
  <c r="W162" s="1"/>
  <c r="V163" s="1"/>
  <c r="K188"/>
  <c r="T188"/>
  <c r="J189"/>
  <c r="M188"/>
  <c r="G188"/>
  <c r="N187"/>
  <c r="R187" s="1"/>
  <c r="R186"/>
  <c r="S186" s="1"/>
  <c r="U163" l="1"/>
  <c r="W163" s="1"/>
  <c r="V164" s="1"/>
  <c r="S187"/>
  <c r="K189"/>
  <c r="M189"/>
  <c r="T189"/>
  <c r="J190"/>
  <c r="G189"/>
  <c r="N188"/>
  <c r="R188" s="1"/>
  <c r="S188" s="1"/>
  <c r="Q187"/>
  <c r="U164" l="1"/>
  <c r="K190"/>
  <c r="G190"/>
  <c r="T190"/>
  <c r="J191"/>
  <c r="M190"/>
  <c r="N189"/>
  <c r="R189" s="1"/>
  <c r="S189" s="1"/>
  <c r="Q188"/>
  <c r="W164" l="1"/>
  <c r="V165" s="1"/>
  <c r="N190"/>
  <c r="Q190" s="1"/>
  <c r="Q189"/>
  <c r="K191"/>
  <c r="M191"/>
  <c r="T191"/>
  <c r="J192"/>
  <c r="G191"/>
  <c r="U165" l="1"/>
  <c r="R190"/>
  <c r="S190" s="1"/>
  <c r="N191"/>
  <c r="R191" s="1"/>
  <c r="K192"/>
  <c r="M192"/>
  <c r="J193"/>
  <c r="T192"/>
  <c r="T193" s="1"/>
  <c r="G192"/>
  <c r="W165" l="1"/>
  <c r="V166" s="1"/>
  <c r="V167" s="1"/>
  <c r="S191"/>
  <c r="Q191"/>
  <c r="J194"/>
  <c r="G193"/>
  <c r="N192"/>
  <c r="N193" s="1"/>
  <c r="K193"/>
  <c r="M193"/>
  <c r="U166" l="1"/>
  <c r="Q192"/>
  <c r="Q193" s="1"/>
  <c r="R192"/>
  <c r="R193" s="1"/>
  <c r="K194"/>
  <c r="J195"/>
  <c r="G194"/>
  <c r="M194"/>
  <c r="T194"/>
  <c r="W166" l="1"/>
  <c r="W167" s="1"/>
  <c r="V168" s="1"/>
  <c r="U167"/>
  <c r="S192"/>
  <c r="S193" s="1"/>
  <c r="K195"/>
  <c r="J196"/>
  <c r="G195"/>
  <c r="M195"/>
  <c r="T195"/>
  <c r="N194"/>
  <c r="Q194" s="1"/>
  <c r="U168" l="1"/>
  <c r="R194"/>
  <c r="S194" s="1"/>
  <c r="N195"/>
  <c r="R195" s="1"/>
  <c r="K196"/>
  <c r="T196"/>
  <c r="G196"/>
  <c r="J197"/>
  <c r="M196"/>
  <c r="W168" l="1"/>
  <c r="V169" s="1"/>
  <c r="S195"/>
  <c r="Q195"/>
  <c r="N196"/>
  <c r="Q196" s="1"/>
  <c r="K197"/>
  <c r="M197"/>
  <c r="J198"/>
  <c r="G197"/>
  <c r="T197"/>
  <c r="U169" l="1"/>
  <c r="W169" s="1"/>
  <c r="V170" s="1"/>
  <c r="R196"/>
  <c r="S196" s="1"/>
  <c r="N197"/>
  <c r="R197" s="1"/>
  <c r="K198"/>
  <c r="J199"/>
  <c r="M198"/>
  <c r="T198"/>
  <c r="G198"/>
  <c r="U170" l="1"/>
  <c r="W170" s="1"/>
  <c r="V171" s="1"/>
  <c r="S197"/>
  <c r="Q197"/>
  <c r="N198"/>
  <c r="Q198" s="1"/>
  <c r="K199"/>
  <c r="G199"/>
  <c r="J200"/>
  <c r="M199"/>
  <c r="T199"/>
  <c r="U171" l="1"/>
  <c r="W171" s="1"/>
  <c r="V172" s="1"/>
  <c r="R198"/>
  <c r="S198" s="1"/>
  <c r="K200"/>
  <c r="T200"/>
  <c r="J201"/>
  <c r="G200"/>
  <c r="M200"/>
  <c r="N199"/>
  <c r="R199" s="1"/>
  <c r="U172" l="1"/>
  <c r="W172" s="1"/>
  <c r="V173" s="1"/>
  <c r="S199"/>
  <c r="K201"/>
  <c r="M201"/>
  <c r="J202"/>
  <c r="T201"/>
  <c r="G201"/>
  <c r="N200"/>
  <c r="R200" s="1"/>
  <c r="Q199"/>
  <c r="U173" l="1"/>
  <c r="W173" s="1"/>
  <c r="V174" s="1"/>
  <c r="S200"/>
  <c r="K202"/>
  <c r="J203"/>
  <c r="T202"/>
  <c r="G202"/>
  <c r="M202"/>
  <c r="N201"/>
  <c r="R201" s="1"/>
  <c r="Q200"/>
  <c r="S201" l="1"/>
  <c r="U174"/>
  <c r="W174" s="1"/>
  <c r="V175" s="1"/>
  <c r="N202"/>
  <c r="R202" s="1"/>
  <c r="Q201"/>
  <c r="K203"/>
  <c r="M203"/>
  <c r="J204"/>
  <c r="G203"/>
  <c r="T203"/>
  <c r="S202" l="1"/>
  <c r="U175"/>
  <c r="W175" s="1"/>
  <c r="V176" s="1"/>
  <c r="Q202"/>
  <c r="K204"/>
  <c r="M204"/>
  <c r="J205"/>
  <c r="G204"/>
  <c r="T204"/>
  <c r="N203"/>
  <c r="Q203" s="1"/>
  <c r="U176" l="1"/>
  <c r="W176" s="1"/>
  <c r="V177" s="1"/>
  <c r="K205"/>
  <c r="J206"/>
  <c r="T205"/>
  <c r="T206" s="1"/>
  <c r="G205"/>
  <c r="M205"/>
  <c r="N204"/>
  <c r="R204" s="1"/>
  <c r="R203"/>
  <c r="S203" s="1"/>
  <c r="U177" l="1"/>
  <c r="W177" s="1"/>
  <c r="V178" s="1"/>
  <c r="S204"/>
  <c r="Q204"/>
  <c r="M206"/>
  <c r="N205"/>
  <c r="N206" s="1"/>
  <c r="K206"/>
  <c r="G206"/>
  <c r="J207"/>
  <c r="U178" l="1"/>
  <c r="Q205"/>
  <c r="Q206" s="1"/>
  <c r="R205"/>
  <c r="K207"/>
  <c r="T207"/>
  <c r="J208"/>
  <c r="G207"/>
  <c r="M207"/>
  <c r="W178" l="1"/>
  <c r="V179" s="1"/>
  <c r="V180" s="1"/>
  <c r="K208"/>
  <c r="J209"/>
  <c r="G208"/>
  <c r="M208"/>
  <c r="T208"/>
  <c r="N207"/>
  <c r="Q207" s="1"/>
  <c r="R206"/>
  <c r="S205"/>
  <c r="S206" s="1"/>
  <c r="U179" l="1"/>
  <c r="U180" s="1"/>
  <c r="R207"/>
  <c r="S207" s="1"/>
  <c r="N208"/>
  <c r="Q208" s="1"/>
  <c r="K209"/>
  <c r="G209"/>
  <c r="T209"/>
  <c r="J210"/>
  <c r="M209"/>
  <c r="W179" l="1"/>
  <c r="W180" s="1"/>
  <c r="V181" s="1"/>
  <c r="K210"/>
  <c r="M210"/>
  <c r="J211"/>
  <c r="G210"/>
  <c r="T210"/>
  <c r="R208"/>
  <c r="N209"/>
  <c r="Q209" s="1"/>
  <c r="U181" l="1"/>
  <c r="W181" s="1"/>
  <c r="V182" s="1"/>
  <c r="R209"/>
  <c r="S208"/>
  <c r="K211"/>
  <c r="M211"/>
  <c r="J212"/>
  <c r="G211"/>
  <c r="T211"/>
  <c r="N210"/>
  <c r="R210" s="1"/>
  <c r="U182" l="1"/>
  <c r="W182" s="1"/>
  <c r="V183" s="1"/>
  <c r="S209"/>
  <c r="S210" s="1"/>
  <c r="K212"/>
  <c r="T212"/>
  <c r="J213"/>
  <c r="M212"/>
  <c r="G212"/>
  <c r="N211"/>
  <c r="R211" s="1"/>
  <c r="Q210"/>
  <c r="U183" l="1"/>
  <c r="W183" s="1"/>
  <c r="V184" s="1"/>
  <c r="S211"/>
  <c r="K213"/>
  <c r="J214"/>
  <c r="G213"/>
  <c r="T213"/>
  <c r="M213"/>
  <c r="N212"/>
  <c r="Q212" s="1"/>
  <c r="Q211"/>
  <c r="U184" l="1"/>
  <c r="W184" s="1"/>
  <c r="V185" s="1"/>
  <c r="N213"/>
  <c r="R213" s="1"/>
  <c r="R212"/>
  <c r="K214"/>
  <c r="J215"/>
  <c r="G214"/>
  <c r="T214"/>
  <c r="M214"/>
  <c r="U185" l="1"/>
  <c r="W185" s="1"/>
  <c r="V186" s="1"/>
  <c r="Q213"/>
  <c r="K215"/>
  <c r="J216"/>
  <c r="G215"/>
  <c r="M215"/>
  <c r="T215"/>
  <c r="N214"/>
  <c r="Q214" s="1"/>
  <c r="S212"/>
  <c r="S213" s="1"/>
  <c r="U186" l="1"/>
  <c r="W186" s="1"/>
  <c r="V187" s="1"/>
  <c r="N215"/>
  <c r="R215" s="1"/>
  <c r="K216"/>
  <c r="T216"/>
  <c r="J217"/>
  <c r="G216"/>
  <c r="M216"/>
  <c r="R214"/>
  <c r="S214" s="1"/>
  <c r="U187" l="1"/>
  <c r="W187" s="1"/>
  <c r="V188" s="1"/>
  <c r="Q215"/>
  <c r="K217"/>
  <c r="J218"/>
  <c r="M217"/>
  <c r="T217"/>
  <c r="G217"/>
  <c r="N216"/>
  <c r="Q216" s="1"/>
  <c r="S215"/>
  <c r="U188" l="1"/>
  <c r="W188" s="1"/>
  <c r="V189" s="1"/>
  <c r="N217"/>
  <c r="R217" s="1"/>
  <c r="R216"/>
  <c r="S216" s="1"/>
  <c r="K218"/>
  <c r="J219"/>
  <c r="M218"/>
  <c r="T218"/>
  <c r="T219" s="1"/>
  <c r="G218"/>
  <c r="U189" l="1"/>
  <c r="W189" s="1"/>
  <c r="V190" s="1"/>
  <c r="S217"/>
  <c r="Q217"/>
  <c r="M219"/>
  <c r="N218"/>
  <c r="N219" s="1"/>
  <c r="K219"/>
  <c r="J220"/>
  <c r="G219"/>
  <c r="U190" l="1"/>
  <c r="W190" s="1"/>
  <c r="V191" s="1"/>
  <c r="R218"/>
  <c r="R219" s="1"/>
  <c r="K220"/>
  <c r="J221"/>
  <c r="G220"/>
  <c r="T220"/>
  <c r="M220"/>
  <c r="Q218"/>
  <c r="Q219" s="1"/>
  <c r="U191" l="1"/>
  <c r="W191" s="1"/>
  <c r="V192" s="1"/>
  <c r="V193" s="1"/>
  <c r="S218"/>
  <c r="S219" s="1"/>
  <c r="K221"/>
  <c r="M221"/>
  <c r="J222"/>
  <c r="T221"/>
  <c r="G221"/>
  <c r="N220"/>
  <c r="Q220" s="1"/>
  <c r="U192" l="1"/>
  <c r="U193" s="1"/>
  <c r="K222"/>
  <c r="G222"/>
  <c r="T222"/>
  <c r="J223"/>
  <c r="M222"/>
  <c r="N221"/>
  <c r="R221" s="1"/>
  <c r="R220"/>
  <c r="W192" l="1"/>
  <c r="W193" s="1"/>
  <c r="V194" s="1"/>
  <c r="Q221"/>
  <c r="S220"/>
  <c r="S221" s="1"/>
  <c r="K223"/>
  <c r="J224"/>
  <c r="M223"/>
  <c r="G223"/>
  <c r="T223"/>
  <c r="N222"/>
  <c r="R222" s="1"/>
  <c r="U194" l="1"/>
  <c r="W194" s="1"/>
  <c r="V195" s="1"/>
  <c r="S222"/>
  <c r="N223"/>
  <c r="R223" s="1"/>
  <c r="Q222"/>
  <c r="K224"/>
  <c r="M224"/>
  <c r="J225"/>
  <c r="G224"/>
  <c r="T224"/>
  <c r="U195" l="1"/>
  <c r="W195" s="1"/>
  <c r="V196" s="1"/>
  <c r="S223"/>
  <c r="K225"/>
  <c r="J226"/>
  <c r="M225"/>
  <c r="G225"/>
  <c r="T225"/>
  <c r="N224"/>
  <c r="R224" s="1"/>
  <c r="Q223"/>
  <c r="S224" l="1"/>
  <c r="U196"/>
  <c r="W196" s="1"/>
  <c r="V197" s="1"/>
  <c r="Q224"/>
  <c r="N225"/>
  <c r="R225" s="1"/>
  <c r="K226"/>
  <c r="T226"/>
  <c r="J227"/>
  <c r="G226"/>
  <c r="M226"/>
  <c r="U197" l="1"/>
  <c r="W197" s="1"/>
  <c r="V198" s="1"/>
  <c r="Q225"/>
  <c r="S225"/>
  <c r="K227"/>
  <c r="G227"/>
  <c r="J228"/>
  <c r="T227"/>
  <c r="M227"/>
  <c r="N226"/>
  <c r="R226" s="1"/>
  <c r="S226" s="1"/>
  <c r="U198" l="1"/>
  <c r="W198" s="1"/>
  <c r="V199" s="1"/>
  <c r="Q226"/>
  <c r="K228"/>
  <c r="J229"/>
  <c r="G228"/>
  <c r="M228"/>
  <c r="T228"/>
  <c r="N227"/>
  <c r="Q227" s="1"/>
  <c r="U199" l="1"/>
  <c r="W199" s="1"/>
  <c r="V200" s="1"/>
  <c r="N228"/>
  <c r="R228" s="1"/>
  <c r="R227"/>
  <c r="S227" s="1"/>
  <c r="K229"/>
  <c r="T229"/>
  <c r="J230"/>
  <c r="M229"/>
  <c r="G229"/>
  <c r="U200" l="1"/>
  <c r="W200" s="1"/>
  <c r="V201" s="1"/>
  <c r="Q228"/>
  <c r="K230"/>
  <c r="G230"/>
  <c r="J231"/>
  <c r="M230"/>
  <c r="T230"/>
  <c r="N229"/>
  <c r="R229" s="1"/>
  <c r="S228"/>
  <c r="U201" l="1"/>
  <c r="W201" s="1"/>
  <c r="V202" s="1"/>
  <c r="S229"/>
  <c r="K231"/>
  <c r="J232"/>
  <c r="T231"/>
  <c r="T232" s="1"/>
  <c r="M231"/>
  <c r="G231"/>
  <c r="N230"/>
  <c r="R230" s="1"/>
  <c r="Q229"/>
  <c r="S230" l="1"/>
  <c r="U202"/>
  <c r="W202" s="1"/>
  <c r="V203" s="1"/>
  <c r="Q230"/>
  <c r="N231"/>
  <c r="N232" s="1"/>
  <c r="K232"/>
  <c r="M232"/>
  <c r="G232"/>
  <c r="J233"/>
  <c r="U203" l="1"/>
  <c r="W203" s="1"/>
  <c r="V204" s="1"/>
  <c r="K233"/>
  <c r="J234"/>
  <c r="G233"/>
  <c r="M233"/>
  <c r="T233"/>
  <c r="Q231"/>
  <c r="Q232" s="1"/>
  <c r="R231"/>
  <c r="U204" l="1"/>
  <c r="W204" s="1"/>
  <c r="V205" s="1"/>
  <c r="V206" s="1"/>
  <c r="R232"/>
  <c r="S231"/>
  <c r="S232" s="1"/>
  <c r="N233"/>
  <c r="Q233" s="1"/>
  <c r="K234"/>
  <c r="J235"/>
  <c r="T234"/>
  <c r="M234"/>
  <c r="G234"/>
  <c r="U205" l="1"/>
  <c r="W205" s="1"/>
  <c r="W206" s="1"/>
  <c r="V207" s="1"/>
  <c r="N234"/>
  <c r="R234" s="1"/>
  <c r="K235"/>
  <c r="J236"/>
  <c r="M235"/>
  <c r="G235"/>
  <c r="T235"/>
  <c r="R233"/>
  <c r="S233" s="1"/>
  <c r="U207" l="1"/>
  <c r="U206"/>
  <c r="W207"/>
  <c r="V208" s="1"/>
  <c r="Q234"/>
  <c r="N235"/>
  <c r="Q235" s="1"/>
  <c r="K236"/>
  <c r="M236"/>
  <c r="J237"/>
  <c r="G236"/>
  <c r="T236"/>
  <c r="S234"/>
  <c r="U208" l="1"/>
  <c r="W208" s="1"/>
  <c r="V209" s="1"/>
  <c r="R235"/>
  <c r="S235" s="1"/>
  <c r="K237"/>
  <c r="G237"/>
  <c r="J238"/>
  <c r="T237"/>
  <c r="M237"/>
  <c r="N236"/>
  <c r="R236" s="1"/>
  <c r="U209" l="1"/>
  <c r="Q236"/>
  <c r="K238"/>
  <c r="J239"/>
  <c r="T238"/>
  <c r="G238"/>
  <c r="M238"/>
  <c r="N237"/>
  <c r="R237" s="1"/>
  <c r="S236"/>
  <c r="W209" l="1"/>
  <c r="V210" s="1"/>
  <c r="S237"/>
  <c r="N238"/>
  <c r="Q238" s="1"/>
  <c r="Q237"/>
  <c r="K239"/>
  <c r="J240"/>
  <c r="G239"/>
  <c r="M239"/>
  <c r="T239"/>
  <c r="U210" l="1"/>
  <c r="R238"/>
  <c r="S238" s="1"/>
  <c r="K240"/>
  <c r="T240"/>
  <c r="J241"/>
  <c r="G240"/>
  <c r="M240"/>
  <c r="N239"/>
  <c r="Q239" s="1"/>
  <c r="W210" l="1"/>
  <c r="V211" s="1"/>
  <c r="N240"/>
  <c r="Q240" s="1"/>
  <c r="R239"/>
  <c r="S239" s="1"/>
  <c r="K241"/>
  <c r="M241"/>
  <c r="T241"/>
  <c r="J242"/>
  <c r="G241"/>
  <c r="U211" l="1"/>
  <c r="W211" s="1"/>
  <c r="V212" s="1"/>
  <c r="R240"/>
  <c r="S240" s="1"/>
  <c r="K242"/>
  <c r="T242"/>
  <c r="M242"/>
  <c r="J243"/>
  <c r="G242"/>
  <c r="N241"/>
  <c r="Q241" s="1"/>
  <c r="U212" l="1"/>
  <c r="N242"/>
  <c r="R242" s="1"/>
  <c r="K243"/>
  <c r="T243"/>
  <c r="M243"/>
  <c r="J244"/>
  <c r="G243"/>
  <c r="R241"/>
  <c r="S241" s="1"/>
  <c r="W212" l="1"/>
  <c r="V213" s="1"/>
  <c r="Q242"/>
  <c r="S242"/>
  <c r="K244"/>
  <c r="J245"/>
  <c r="G244"/>
  <c r="T244"/>
  <c r="T245" s="1"/>
  <c r="M244"/>
  <c r="N243"/>
  <c r="Q243" s="1"/>
  <c r="U213" l="1"/>
  <c r="M245"/>
  <c r="N244"/>
  <c r="N245" s="1"/>
  <c r="K245"/>
  <c r="R243"/>
  <c r="S243" s="1"/>
  <c r="J246"/>
  <c r="G245"/>
  <c r="W213" l="1"/>
  <c r="V214" s="1"/>
  <c r="R244"/>
  <c r="S244" s="1"/>
  <c r="S245" s="1"/>
  <c r="K246"/>
  <c r="J247"/>
  <c r="G246"/>
  <c r="M246"/>
  <c r="T246"/>
  <c r="Q244"/>
  <c r="Q245" s="1"/>
  <c r="U214" l="1"/>
  <c r="W214" s="1"/>
  <c r="V215" s="1"/>
  <c r="R245"/>
  <c r="N246"/>
  <c r="Q246" s="1"/>
  <c r="K247"/>
  <c r="T247"/>
  <c r="M247"/>
  <c r="J248"/>
  <c r="G247"/>
  <c r="U215" l="1"/>
  <c r="W215" s="1"/>
  <c r="V216" s="1"/>
  <c r="K248"/>
  <c r="M248"/>
  <c r="T248"/>
  <c r="J249"/>
  <c r="G248"/>
  <c r="R246"/>
  <c r="S246" s="1"/>
  <c r="N247"/>
  <c r="Q247" s="1"/>
  <c r="U216" l="1"/>
  <c r="W216" s="1"/>
  <c r="V217" s="1"/>
  <c r="R247"/>
  <c r="S247" s="1"/>
  <c r="N248"/>
  <c r="R248" s="1"/>
  <c r="K249"/>
  <c r="J250"/>
  <c r="G249"/>
  <c r="T249"/>
  <c r="M249"/>
  <c r="U217" l="1"/>
  <c r="W217" s="1"/>
  <c r="V218" s="1"/>
  <c r="V219" s="1"/>
  <c r="S248"/>
  <c r="K250"/>
  <c r="J251"/>
  <c r="G250"/>
  <c r="T250"/>
  <c r="M250"/>
  <c r="Q248"/>
  <c r="N249"/>
  <c r="R249" s="1"/>
  <c r="U218" l="1"/>
  <c r="U219" s="1"/>
  <c r="S249"/>
  <c r="N250"/>
  <c r="R250" s="1"/>
  <c r="Q249"/>
  <c r="K251"/>
  <c r="J252"/>
  <c r="G251"/>
  <c r="T251"/>
  <c r="M251"/>
  <c r="W218" l="1"/>
  <c r="W219" s="1"/>
  <c r="V220" s="1"/>
  <c r="S250"/>
  <c r="Q250"/>
  <c r="N251"/>
  <c r="R251" s="1"/>
  <c r="S251" s="1"/>
  <c r="K252"/>
  <c r="J253"/>
  <c r="G252"/>
  <c r="M252"/>
  <c r="T252"/>
  <c r="U220" l="1"/>
  <c r="W220" s="1"/>
  <c r="V221" s="1"/>
  <c r="Q251"/>
  <c r="N252"/>
  <c r="R252" s="1"/>
  <c r="S252" s="1"/>
  <c r="K253"/>
  <c r="J254"/>
  <c r="G253"/>
  <c r="M253"/>
  <c r="T253"/>
  <c r="U221" l="1"/>
  <c r="Q252"/>
  <c r="K254"/>
  <c r="J255"/>
  <c r="G254"/>
  <c r="T254"/>
  <c r="M254"/>
  <c r="N253"/>
  <c r="Q253" s="1"/>
  <c r="W221" l="1"/>
  <c r="V222" s="1"/>
  <c r="N254"/>
  <c r="R254" s="1"/>
  <c r="R253"/>
  <c r="S253" s="1"/>
  <c r="K255"/>
  <c r="M255"/>
  <c r="T255"/>
  <c r="J256"/>
  <c r="G255"/>
  <c r="U222" l="1"/>
  <c r="W222" s="1"/>
  <c r="V223" s="1"/>
  <c r="Q254"/>
  <c r="S254"/>
  <c r="N255"/>
  <c r="R255" s="1"/>
  <c r="K256"/>
  <c r="T256"/>
  <c r="M256"/>
  <c r="J257"/>
  <c r="G256"/>
  <c r="U223" l="1"/>
  <c r="S255"/>
  <c r="Q255"/>
  <c r="K257"/>
  <c r="J258"/>
  <c r="M257"/>
  <c r="T257"/>
  <c r="T258" s="1"/>
  <c r="G257"/>
  <c r="N256"/>
  <c r="Q256" s="1"/>
  <c r="W223" l="1"/>
  <c r="V224" s="1"/>
  <c r="R256"/>
  <c r="S256" s="1"/>
  <c r="M258"/>
  <c r="N257"/>
  <c r="N258" s="1"/>
  <c r="K258"/>
  <c r="G258"/>
  <c r="J259"/>
  <c r="U224" l="1"/>
  <c r="Q257"/>
  <c r="Q258" s="1"/>
  <c r="R257"/>
  <c r="K259"/>
  <c r="J260"/>
  <c r="G259"/>
  <c r="M259"/>
  <c r="T259"/>
  <c r="W224" l="1"/>
  <c r="V225" s="1"/>
  <c r="K260"/>
  <c r="M260"/>
  <c r="T260"/>
  <c r="J261"/>
  <c r="G260"/>
  <c r="N259"/>
  <c r="Q259" s="1"/>
  <c r="R258"/>
  <c r="S257"/>
  <c r="S258" s="1"/>
  <c r="U225" l="1"/>
  <c r="R259"/>
  <c r="S259" s="1"/>
  <c r="N260"/>
  <c r="R260" s="1"/>
  <c r="K261"/>
  <c r="J262"/>
  <c r="G261"/>
  <c r="M261"/>
  <c r="T261"/>
  <c r="W225" l="1"/>
  <c r="V226" s="1"/>
  <c r="Q260"/>
  <c r="N261"/>
  <c r="R261" s="1"/>
  <c r="K262"/>
  <c r="J263"/>
  <c r="G262"/>
  <c r="M262"/>
  <c r="T262"/>
  <c r="S260"/>
  <c r="U226" l="1"/>
  <c r="S261"/>
  <c r="Q261"/>
  <c r="K263"/>
  <c r="M263"/>
  <c r="T263"/>
  <c r="J264"/>
  <c r="G263"/>
  <c r="N262"/>
  <c r="Q262" s="1"/>
  <c r="W226" l="1"/>
  <c r="V227" s="1"/>
  <c r="R262"/>
  <c r="S262" s="1"/>
  <c r="K264"/>
  <c r="J265"/>
  <c r="G264"/>
  <c r="M264"/>
  <c r="T264"/>
  <c r="N263"/>
  <c r="Q263" s="1"/>
  <c r="U227" l="1"/>
  <c r="N264"/>
  <c r="Q264" s="1"/>
  <c r="K265"/>
  <c r="M265"/>
  <c r="T265"/>
  <c r="J266"/>
  <c r="G265"/>
  <c r="R263"/>
  <c r="S263" s="1"/>
  <c r="W227" l="1"/>
  <c r="V228" s="1"/>
  <c r="R264"/>
  <c r="S264" s="1"/>
  <c r="N265"/>
  <c r="Q265" s="1"/>
  <c r="K266"/>
  <c r="M266"/>
  <c r="J267"/>
  <c r="G266"/>
  <c r="T266"/>
  <c r="U228" l="1"/>
  <c r="R265"/>
  <c r="S265" s="1"/>
  <c r="K267"/>
  <c r="J268"/>
  <c r="G267"/>
  <c r="T267"/>
  <c r="M267"/>
  <c r="N266"/>
  <c r="Q266" s="1"/>
  <c r="W228" l="1"/>
  <c r="V229" s="1"/>
  <c r="K268"/>
  <c r="M268"/>
  <c r="T268"/>
  <c r="J269"/>
  <c r="G268"/>
  <c r="N267"/>
  <c r="R267" s="1"/>
  <c r="R266"/>
  <c r="S266" s="1"/>
  <c r="U229" l="1"/>
  <c r="S267"/>
  <c r="K269"/>
  <c r="T269"/>
  <c r="M269"/>
  <c r="J270"/>
  <c r="G269"/>
  <c r="N268"/>
  <c r="Q268" s="1"/>
  <c r="Q267"/>
  <c r="W229" l="1"/>
  <c r="V230" s="1"/>
  <c r="K270"/>
  <c r="T270"/>
  <c r="T271" s="1"/>
  <c r="M270"/>
  <c r="J271"/>
  <c r="G270"/>
  <c r="N269"/>
  <c r="R269" s="1"/>
  <c r="R268"/>
  <c r="S268" s="1"/>
  <c r="U230" l="1"/>
  <c r="S269"/>
  <c r="Q269"/>
  <c r="M271"/>
  <c r="N270"/>
  <c r="N271" s="1"/>
  <c r="K271"/>
  <c r="G271"/>
  <c r="J272"/>
  <c r="W230" l="1"/>
  <c r="V231" s="1"/>
  <c r="V232" s="1"/>
  <c r="K272"/>
  <c r="J273"/>
  <c r="M272"/>
  <c r="T272"/>
  <c r="G272"/>
  <c r="R270"/>
  <c r="Q270"/>
  <c r="Q271" s="1"/>
  <c r="U231" l="1"/>
  <c r="U232" s="1"/>
  <c r="R271"/>
  <c r="S270"/>
  <c r="S271" s="1"/>
  <c r="N272"/>
  <c r="Q272" s="1"/>
  <c r="K273"/>
  <c r="T273"/>
  <c r="M273"/>
  <c r="J274"/>
  <c r="G273"/>
  <c r="W231" l="1"/>
  <c r="W232" s="1"/>
  <c r="V233" s="1"/>
  <c r="K274"/>
  <c r="J275"/>
  <c r="G274"/>
  <c r="M274"/>
  <c r="T274"/>
  <c r="R272"/>
  <c r="S272" s="1"/>
  <c r="N273"/>
  <c r="Q273" s="1"/>
  <c r="U233" l="1"/>
  <c r="K275"/>
  <c r="J276"/>
  <c r="G275"/>
  <c r="T275"/>
  <c r="M275"/>
  <c r="R273"/>
  <c r="S273" s="1"/>
  <c r="N274"/>
  <c r="Q274" s="1"/>
  <c r="W233" l="1"/>
  <c r="V234" s="1"/>
  <c r="R274"/>
  <c r="S274" s="1"/>
  <c r="K276"/>
  <c r="J277"/>
  <c r="G276"/>
  <c r="T276"/>
  <c r="M276"/>
  <c r="N275"/>
  <c r="Q275" s="1"/>
  <c r="U234" l="1"/>
  <c r="W234" s="1"/>
  <c r="V235" s="1"/>
  <c r="K277"/>
  <c r="M277"/>
  <c r="T277"/>
  <c r="J278"/>
  <c r="G277"/>
  <c r="N276"/>
  <c r="R276" s="1"/>
  <c r="R275"/>
  <c r="S275" s="1"/>
  <c r="U235" l="1"/>
  <c r="W235" s="1"/>
  <c r="V236" s="1"/>
  <c r="S276"/>
  <c r="K278"/>
  <c r="J279"/>
  <c r="G278"/>
  <c r="T278"/>
  <c r="M278"/>
  <c r="N277"/>
  <c r="R277" s="1"/>
  <c r="S277" s="1"/>
  <c r="Q276"/>
  <c r="U236" l="1"/>
  <c r="W236" s="1"/>
  <c r="V237" s="1"/>
  <c r="N278"/>
  <c r="R278" s="1"/>
  <c r="S278" s="1"/>
  <c r="Q277"/>
  <c r="K279"/>
  <c r="J280"/>
  <c r="G279"/>
  <c r="T279"/>
  <c r="M279"/>
  <c r="U237" l="1"/>
  <c r="W237" s="1"/>
  <c r="V238" s="1"/>
  <c r="Q278"/>
  <c r="N279"/>
  <c r="Q279" s="1"/>
  <c r="K280"/>
  <c r="J281"/>
  <c r="G280"/>
  <c r="T280"/>
  <c r="M280"/>
  <c r="U238" l="1"/>
  <c r="W238" s="1"/>
  <c r="V239" s="1"/>
  <c r="R279"/>
  <c r="S279" s="1"/>
  <c r="N280"/>
  <c r="R280" s="1"/>
  <c r="K281"/>
  <c r="M281"/>
  <c r="T281"/>
  <c r="J282"/>
  <c r="G281"/>
  <c r="U239" l="1"/>
  <c r="W239" s="1"/>
  <c r="V240" s="1"/>
  <c r="S280"/>
  <c r="Q280"/>
  <c r="K282"/>
  <c r="J283"/>
  <c r="G282"/>
  <c r="M282"/>
  <c r="T282"/>
  <c r="N281"/>
  <c r="Q281" s="1"/>
  <c r="U240" l="1"/>
  <c r="W240" s="1"/>
  <c r="V241" s="1"/>
  <c r="R281"/>
  <c r="S281" s="1"/>
  <c r="N282"/>
  <c r="R282" s="1"/>
  <c r="K283"/>
  <c r="J284"/>
  <c r="M283"/>
  <c r="T283"/>
  <c r="T284" s="1"/>
  <c r="G283"/>
  <c r="U241" l="1"/>
  <c r="W241" s="1"/>
  <c r="V242" s="1"/>
  <c r="S282"/>
  <c r="Q282"/>
  <c r="M284"/>
  <c r="N283"/>
  <c r="N284" s="1"/>
  <c r="K284"/>
  <c r="J285"/>
  <c r="G284"/>
  <c r="U242" l="1"/>
  <c r="W242" s="1"/>
  <c r="V243" s="1"/>
  <c r="R283"/>
  <c r="R284" s="1"/>
  <c r="K285"/>
  <c r="J286"/>
  <c r="T285"/>
  <c r="G285"/>
  <c r="M285"/>
  <c r="Q283"/>
  <c r="Q284" s="1"/>
  <c r="U243" l="1"/>
  <c r="W243" s="1"/>
  <c r="V244" s="1"/>
  <c r="V245" s="1"/>
  <c r="S283"/>
  <c r="S284" s="1"/>
  <c r="N285"/>
  <c r="Q285" s="1"/>
  <c r="K286"/>
  <c r="J287"/>
  <c r="G286"/>
  <c r="T286"/>
  <c r="M286"/>
  <c r="U244" l="1"/>
  <c r="U245" s="1"/>
  <c r="K287"/>
  <c r="J288"/>
  <c r="M287"/>
  <c r="T287"/>
  <c r="G287"/>
  <c r="R285"/>
  <c r="S285" s="1"/>
  <c r="N286"/>
  <c r="Q286" s="1"/>
  <c r="W244" l="1"/>
  <c r="W245" s="1"/>
  <c r="V246" s="1"/>
  <c r="K288"/>
  <c r="T288"/>
  <c r="J289"/>
  <c r="G288"/>
  <c r="M288"/>
  <c r="R286"/>
  <c r="S286" s="1"/>
  <c r="N287"/>
  <c r="Q287" s="1"/>
  <c r="U246" l="1"/>
  <c r="W246" s="1"/>
  <c r="V247" s="1"/>
  <c r="R287"/>
  <c r="S287" s="1"/>
  <c r="K289"/>
  <c r="T289"/>
  <c r="M289"/>
  <c r="J290"/>
  <c r="G289"/>
  <c r="N288"/>
  <c r="Q288" s="1"/>
  <c r="U247" l="1"/>
  <c r="W247" s="1"/>
  <c r="V248" s="1"/>
  <c r="K290"/>
  <c r="J291"/>
  <c r="G290"/>
  <c r="M290"/>
  <c r="T290"/>
  <c r="N289"/>
  <c r="R289" s="1"/>
  <c r="R288"/>
  <c r="S288" s="1"/>
  <c r="U248" l="1"/>
  <c r="W248" s="1"/>
  <c r="V249" s="1"/>
  <c r="S289"/>
  <c r="N290"/>
  <c r="R290" s="1"/>
  <c r="Q289"/>
  <c r="K291"/>
  <c r="M291"/>
  <c r="T291"/>
  <c r="J292"/>
  <c r="G291"/>
  <c r="U249" l="1"/>
  <c r="W249" s="1"/>
  <c r="V250" s="1"/>
  <c r="S290"/>
  <c r="K292"/>
  <c r="J293"/>
  <c r="G292"/>
  <c r="M292"/>
  <c r="T292"/>
  <c r="Q290"/>
  <c r="N291"/>
  <c r="R291" s="1"/>
  <c r="U250" l="1"/>
  <c r="W250" s="1"/>
  <c r="V251" s="1"/>
  <c r="S291"/>
  <c r="K293"/>
  <c r="J294"/>
  <c r="G293"/>
  <c r="T293"/>
  <c r="M293"/>
  <c r="N292"/>
  <c r="R292" s="1"/>
  <c r="S292" s="1"/>
  <c r="Q291"/>
  <c r="U251" l="1"/>
  <c r="W251" s="1"/>
  <c r="V252" s="1"/>
  <c r="N293"/>
  <c r="R293" s="1"/>
  <c r="S293" s="1"/>
  <c r="Q292"/>
  <c r="K294"/>
  <c r="J295"/>
  <c r="G294"/>
  <c r="T294"/>
  <c r="M294"/>
  <c r="U252" l="1"/>
  <c r="W252" s="1"/>
  <c r="V253" s="1"/>
  <c r="Q293"/>
  <c r="N294"/>
  <c r="R294" s="1"/>
  <c r="S294" s="1"/>
  <c r="K295"/>
  <c r="T295"/>
  <c r="M295"/>
  <c r="J296"/>
  <c r="G295"/>
  <c r="U253" l="1"/>
  <c r="Q294"/>
  <c r="N295"/>
  <c r="R295" s="1"/>
  <c r="S295" s="1"/>
  <c r="K296"/>
  <c r="J297"/>
  <c r="G296"/>
  <c r="M296"/>
  <c r="T296"/>
  <c r="T297" s="1"/>
  <c r="W253" l="1"/>
  <c r="V254" s="1"/>
  <c r="Q295"/>
  <c r="N296"/>
  <c r="N297" s="1"/>
  <c r="K297"/>
  <c r="M297"/>
  <c r="J298"/>
  <c r="G297"/>
  <c r="U254" l="1"/>
  <c r="Q296"/>
  <c r="Q297" s="1"/>
  <c r="R296"/>
  <c r="S296" s="1"/>
  <c r="S297" s="1"/>
  <c r="K298"/>
  <c r="T298"/>
  <c r="M298"/>
  <c r="J299"/>
  <c r="G298"/>
  <c r="W254"/>
  <c r="V255" s="1"/>
  <c r="R297" l="1"/>
  <c r="K299"/>
  <c r="J300"/>
  <c r="G299"/>
  <c r="T299"/>
  <c r="M299"/>
  <c r="N298"/>
  <c r="Q298" s="1"/>
  <c r="U255"/>
  <c r="R298" l="1"/>
  <c r="S298" s="1"/>
  <c r="N299"/>
  <c r="R299" s="1"/>
  <c r="K300"/>
  <c r="M300"/>
  <c r="T300"/>
  <c r="J301"/>
  <c r="G300"/>
  <c r="W255"/>
  <c r="V256" s="1"/>
  <c r="S299" l="1"/>
  <c r="Q299"/>
  <c r="N300"/>
  <c r="R300" s="1"/>
  <c r="K301"/>
  <c r="T301"/>
  <c r="M301"/>
  <c r="J302"/>
  <c r="G301"/>
  <c r="U256"/>
  <c r="S300" l="1"/>
  <c r="Q300"/>
  <c r="N301"/>
  <c r="R301" s="1"/>
  <c r="S301" s="1"/>
  <c r="K302"/>
  <c r="T302"/>
  <c r="M302"/>
  <c r="J303"/>
  <c r="G302"/>
  <c r="W256"/>
  <c r="V257" s="1"/>
  <c r="V258" s="1"/>
  <c r="Q301" l="1"/>
  <c r="N302"/>
  <c r="Q302" s="1"/>
  <c r="K303"/>
  <c r="J304"/>
  <c r="G303"/>
  <c r="T303"/>
  <c r="M303"/>
  <c r="U257"/>
  <c r="R302" l="1"/>
  <c r="S302" s="1"/>
  <c r="N303"/>
  <c r="Q303" s="1"/>
  <c r="K304"/>
  <c r="M304"/>
  <c r="T304"/>
  <c r="J305"/>
  <c r="G304"/>
  <c r="W257"/>
  <c r="W258" s="1"/>
  <c r="V259" s="1"/>
  <c r="U258"/>
  <c r="U259" l="1"/>
  <c r="R303"/>
  <c r="S303" s="1"/>
  <c r="K305"/>
  <c r="J306"/>
  <c r="G305"/>
  <c r="M305"/>
  <c r="T305"/>
  <c r="N304"/>
  <c r="R304" s="1"/>
  <c r="S304" l="1"/>
  <c r="W259"/>
  <c r="V260" s="1"/>
  <c r="N305"/>
  <c r="R305" s="1"/>
  <c r="S305" s="1"/>
  <c r="Q304"/>
  <c r="K306"/>
  <c r="J307"/>
  <c r="G306"/>
  <c r="T306"/>
  <c r="M306"/>
  <c r="U260" l="1"/>
  <c r="W260" s="1"/>
  <c r="V261" s="1"/>
  <c r="K307"/>
  <c r="T307"/>
  <c r="M307"/>
  <c r="J308"/>
  <c r="G307"/>
  <c r="Q305"/>
  <c r="N306"/>
  <c r="R306" s="1"/>
  <c r="S306" s="1"/>
  <c r="U261" l="1"/>
  <c r="N307"/>
  <c r="R307" s="1"/>
  <c r="S307" s="1"/>
  <c r="K308"/>
  <c r="T308"/>
  <c r="J309"/>
  <c r="G308"/>
  <c r="M308"/>
  <c r="Q306"/>
  <c r="W261"/>
  <c r="V262" s="1"/>
  <c r="Q307" l="1"/>
  <c r="K309"/>
  <c r="J310"/>
  <c r="G309"/>
  <c r="T309"/>
  <c r="T310" s="1"/>
  <c r="M309"/>
  <c r="N308"/>
  <c r="R308" s="1"/>
  <c r="S308" s="1"/>
  <c r="U262"/>
  <c r="W262" s="1"/>
  <c r="V263" s="1"/>
  <c r="M310" l="1"/>
  <c r="N309"/>
  <c r="N310" s="1"/>
  <c r="K310"/>
  <c r="J311"/>
  <c r="G310"/>
  <c r="Q308"/>
  <c r="U263"/>
  <c r="K311" l="1"/>
  <c r="J312"/>
  <c r="G311"/>
  <c r="T311"/>
  <c r="M311"/>
  <c r="R309"/>
  <c r="Q309"/>
  <c r="Q310" s="1"/>
  <c r="W263"/>
  <c r="V264" s="1"/>
  <c r="N311" l="1"/>
  <c r="Q311" s="1"/>
  <c r="R310"/>
  <c r="S309"/>
  <c r="S310" s="1"/>
  <c r="K312"/>
  <c r="J313"/>
  <c r="M312"/>
  <c r="T312"/>
  <c r="G312"/>
  <c r="U264"/>
  <c r="K313" l="1"/>
  <c r="G313"/>
  <c r="M313"/>
  <c r="J314"/>
  <c r="T313"/>
  <c r="R311"/>
  <c r="S311" s="1"/>
  <c r="N312"/>
  <c r="R312" s="1"/>
  <c r="W264"/>
  <c r="V265" s="1"/>
  <c r="S312" l="1"/>
  <c r="K314"/>
  <c r="T314"/>
  <c r="M314"/>
  <c r="J315"/>
  <c r="G314"/>
  <c r="Q312"/>
  <c r="N313"/>
  <c r="R313" s="1"/>
  <c r="U265"/>
  <c r="S313" l="1"/>
  <c r="K315"/>
  <c r="G315"/>
  <c r="T315"/>
  <c r="M315"/>
  <c r="J316"/>
  <c r="Q313"/>
  <c r="N314"/>
  <c r="R314" s="1"/>
  <c r="W265"/>
  <c r="V266" s="1"/>
  <c r="S314" l="1"/>
  <c r="N315"/>
  <c r="R315" s="1"/>
  <c r="Q314"/>
  <c r="K316"/>
  <c r="J317"/>
  <c r="G316"/>
  <c r="T316"/>
  <c r="M316"/>
  <c r="U266"/>
  <c r="S315" l="1"/>
  <c r="Q315"/>
  <c r="K317"/>
  <c r="G317"/>
  <c r="M317"/>
  <c r="J318"/>
  <c r="T317"/>
  <c r="N316"/>
  <c r="Q316" s="1"/>
  <c r="W266"/>
  <c r="V267" s="1"/>
  <c r="N317" l="1"/>
  <c r="R317" s="1"/>
  <c r="R316"/>
  <c r="S316" s="1"/>
  <c r="K318"/>
  <c r="J319"/>
  <c r="G318"/>
  <c r="T318"/>
  <c r="M318"/>
  <c r="U267"/>
  <c r="S317" l="1"/>
  <c r="N318"/>
  <c r="Q318" s="1"/>
  <c r="K319"/>
  <c r="J320"/>
  <c r="G319"/>
  <c r="M319"/>
  <c r="T319"/>
  <c r="Q317"/>
  <c r="W267"/>
  <c r="V268" s="1"/>
  <c r="R318" l="1"/>
  <c r="S318" s="1"/>
  <c r="K320"/>
  <c r="M320"/>
  <c r="T320"/>
  <c r="J321"/>
  <c r="G320"/>
  <c r="N319"/>
  <c r="Q319" s="1"/>
  <c r="U268"/>
  <c r="N320" l="1"/>
  <c r="R320" s="1"/>
  <c r="R319"/>
  <c r="S319" s="1"/>
  <c r="K321"/>
  <c r="J322"/>
  <c r="T321"/>
  <c r="G321"/>
  <c r="M321"/>
  <c r="W268"/>
  <c r="V269" s="1"/>
  <c r="Q320" l="1"/>
  <c r="K322"/>
  <c r="J323"/>
  <c r="G322"/>
  <c r="T322"/>
  <c r="T323" s="1"/>
  <c r="M322"/>
  <c r="N321"/>
  <c r="R321" s="1"/>
  <c r="S320"/>
  <c r="U269"/>
  <c r="Q321" l="1"/>
  <c r="M323"/>
  <c r="N322"/>
  <c r="N323" s="1"/>
  <c r="K323"/>
  <c r="S321"/>
  <c r="G323"/>
  <c r="J324"/>
  <c r="W269"/>
  <c r="V270" s="1"/>
  <c r="V271" s="1"/>
  <c r="R322" l="1"/>
  <c r="R323" s="1"/>
  <c r="Q322"/>
  <c r="Q323" s="1"/>
  <c r="K324"/>
  <c r="J325"/>
  <c r="G324"/>
  <c r="T324"/>
  <c r="M324"/>
  <c r="U270"/>
  <c r="U271" s="1"/>
  <c r="S322" l="1"/>
  <c r="S323" s="1"/>
  <c r="N324"/>
  <c r="Q324" s="1"/>
  <c r="K325"/>
  <c r="J326"/>
  <c r="T325"/>
  <c r="M325"/>
  <c r="G325"/>
  <c r="W270"/>
  <c r="W271" s="1"/>
  <c r="V272" s="1"/>
  <c r="U272" l="1"/>
  <c r="W272" s="1"/>
  <c r="V273" s="1"/>
  <c r="K326"/>
  <c r="G326"/>
  <c r="M326"/>
  <c r="J327"/>
  <c r="T326"/>
  <c r="R324"/>
  <c r="S324" s="1"/>
  <c r="N325"/>
  <c r="Q325" s="1"/>
  <c r="U273" l="1"/>
  <c r="R325"/>
  <c r="S325" s="1"/>
  <c r="K327"/>
  <c r="T327"/>
  <c r="M327"/>
  <c r="J328"/>
  <c r="G327"/>
  <c r="N326"/>
  <c r="Q326" s="1"/>
  <c r="W273" l="1"/>
  <c r="V274" s="1"/>
  <c r="R326"/>
  <c r="S326" s="1"/>
  <c r="K328"/>
  <c r="J329"/>
  <c r="G328"/>
  <c r="M328"/>
  <c r="T328"/>
  <c r="N327"/>
  <c r="Q327" s="1"/>
  <c r="U274" l="1"/>
  <c r="N328"/>
  <c r="R328" s="1"/>
  <c r="R327"/>
  <c r="S327" s="1"/>
  <c r="K329"/>
  <c r="J330"/>
  <c r="T329"/>
  <c r="G329"/>
  <c r="M329"/>
  <c r="W274"/>
  <c r="V275" s="1"/>
  <c r="S328" l="1"/>
  <c r="K330"/>
  <c r="M330"/>
  <c r="G330"/>
  <c r="J331"/>
  <c r="T330"/>
  <c r="N329"/>
  <c r="Q329" s="1"/>
  <c r="Q328"/>
  <c r="U275"/>
  <c r="W275" s="1"/>
  <c r="V276" s="1"/>
  <c r="K331" l="1"/>
  <c r="J332"/>
  <c r="G331"/>
  <c r="M331"/>
  <c r="T331"/>
  <c r="N330"/>
  <c r="R330" s="1"/>
  <c r="R329"/>
  <c r="S329" s="1"/>
  <c r="U276"/>
  <c r="S330" l="1"/>
  <c r="N331"/>
  <c r="R331" s="1"/>
  <c r="Q330"/>
  <c r="K332"/>
  <c r="J333"/>
  <c r="G332"/>
  <c r="T332"/>
  <c r="M332"/>
  <c r="W276"/>
  <c r="V277" s="1"/>
  <c r="S331" l="1"/>
  <c r="Q331"/>
  <c r="N332"/>
  <c r="R332" s="1"/>
  <c r="S332" s="1"/>
  <c r="K333"/>
  <c r="T333"/>
  <c r="M333"/>
  <c r="G333"/>
  <c r="J334"/>
  <c r="U277"/>
  <c r="Q332" l="1"/>
  <c r="N333"/>
  <c r="R333" s="1"/>
  <c r="S333" s="1"/>
  <c r="K334"/>
  <c r="J335"/>
  <c r="T334"/>
  <c r="M334"/>
  <c r="G334"/>
  <c r="W277"/>
  <c r="V278" s="1"/>
  <c r="Q333" l="1"/>
  <c r="N334"/>
  <c r="R334" s="1"/>
  <c r="S334" s="1"/>
  <c r="K335"/>
  <c r="J336"/>
  <c r="G335"/>
  <c r="T335"/>
  <c r="T336" s="1"/>
  <c r="M335"/>
  <c r="U278"/>
  <c r="Q334" l="1"/>
  <c r="N335"/>
  <c r="N336" s="1"/>
  <c r="K336"/>
  <c r="G336"/>
  <c r="J337"/>
  <c r="M336"/>
  <c r="W278"/>
  <c r="V279" s="1"/>
  <c r="Q335" l="1"/>
  <c r="Q336" s="1"/>
  <c r="R335"/>
  <c r="K337"/>
  <c r="T337"/>
  <c r="M337"/>
  <c r="J338"/>
  <c r="G337"/>
  <c r="U279"/>
  <c r="K338" l="1"/>
  <c r="J339"/>
  <c r="T338"/>
  <c r="G338"/>
  <c r="M338"/>
  <c r="N337"/>
  <c r="Q337" s="1"/>
  <c r="R336"/>
  <c r="S335"/>
  <c r="S336" s="1"/>
  <c r="W279"/>
  <c r="V280" s="1"/>
  <c r="R337" l="1"/>
  <c r="S337" s="1"/>
  <c r="N338"/>
  <c r="Q338" s="1"/>
  <c r="K339"/>
  <c r="T339"/>
  <c r="J340"/>
  <c r="G339"/>
  <c r="M339"/>
  <c r="U280"/>
  <c r="R338" l="1"/>
  <c r="S338" s="1"/>
  <c r="K340"/>
  <c r="J341"/>
  <c r="G340"/>
  <c r="M340"/>
  <c r="T340"/>
  <c r="N339"/>
  <c r="Q339" s="1"/>
  <c r="W280"/>
  <c r="V281" s="1"/>
  <c r="K341" l="1"/>
  <c r="M341"/>
  <c r="T341"/>
  <c r="J342"/>
  <c r="G341"/>
  <c r="N340"/>
  <c r="R340" s="1"/>
  <c r="R339"/>
  <c r="S339" s="1"/>
  <c r="U281"/>
  <c r="S340" l="1"/>
  <c r="K342"/>
  <c r="J343"/>
  <c r="G342"/>
  <c r="T342"/>
  <c r="M342"/>
  <c r="N341"/>
  <c r="Q341" s="1"/>
  <c r="Q340"/>
  <c r="W281"/>
  <c r="V282" s="1"/>
  <c r="K343" l="1"/>
  <c r="J344"/>
  <c r="T343"/>
  <c r="M343"/>
  <c r="G343"/>
  <c r="N342"/>
  <c r="Q342" s="1"/>
  <c r="R341"/>
  <c r="S341" s="1"/>
  <c r="U282"/>
  <c r="W282" s="1"/>
  <c r="V283" s="1"/>
  <c r="V284" s="1"/>
  <c r="N343" l="1"/>
  <c r="R343" s="1"/>
  <c r="R342"/>
  <c r="S342" s="1"/>
  <c r="K344"/>
  <c r="T344"/>
  <c r="M344"/>
  <c r="J345"/>
  <c r="G344"/>
  <c r="U283"/>
  <c r="S343" l="1"/>
  <c r="N344"/>
  <c r="R344" s="1"/>
  <c r="K345"/>
  <c r="J346"/>
  <c r="G345"/>
  <c r="T345"/>
  <c r="M345"/>
  <c r="Q343"/>
  <c r="W283"/>
  <c r="W284" s="1"/>
  <c r="V285" s="1"/>
  <c r="U284"/>
  <c r="U285" l="1"/>
  <c r="S344"/>
  <c r="K346"/>
  <c r="J347"/>
  <c r="G346"/>
  <c r="T346"/>
  <c r="M346"/>
  <c r="N345"/>
  <c r="R345" s="1"/>
  <c r="S345" s="1"/>
  <c r="Q344"/>
  <c r="W285" l="1"/>
  <c r="V286" s="1"/>
  <c r="Q345"/>
  <c r="N346"/>
  <c r="R346" s="1"/>
  <c r="S346" s="1"/>
  <c r="K347"/>
  <c r="J348"/>
  <c r="G347"/>
  <c r="M347"/>
  <c r="T347"/>
  <c r="U286" l="1"/>
  <c r="Q346"/>
  <c r="K348"/>
  <c r="J349"/>
  <c r="M348"/>
  <c r="T348"/>
  <c r="T349" s="1"/>
  <c r="G348"/>
  <c r="N347"/>
  <c r="R347" s="1"/>
  <c r="S347" s="1"/>
  <c r="W286"/>
  <c r="V287" s="1"/>
  <c r="M349" l="1"/>
  <c r="N348"/>
  <c r="N349" s="1"/>
  <c r="K349"/>
  <c r="Q347"/>
  <c r="G349"/>
  <c r="J350"/>
  <c r="U287"/>
  <c r="W287" s="1"/>
  <c r="V288" s="1"/>
  <c r="K350" l="1"/>
  <c r="T350"/>
  <c r="M350"/>
  <c r="J351"/>
  <c r="G350"/>
  <c r="R348"/>
  <c r="Q348"/>
  <c r="Q349" s="1"/>
  <c r="U288"/>
  <c r="N350" l="1"/>
  <c r="Q350" s="1"/>
  <c r="R349"/>
  <c r="S348"/>
  <c r="S349" s="1"/>
  <c r="K351"/>
  <c r="J352"/>
  <c r="G351"/>
  <c r="M351"/>
  <c r="T351"/>
  <c r="W288"/>
  <c r="V289" s="1"/>
  <c r="K352" l="1"/>
  <c r="J353"/>
  <c r="G352"/>
  <c r="M352"/>
  <c r="T352"/>
  <c r="R350"/>
  <c r="S350" s="1"/>
  <c r="N351"/>
  <c r="R351" s="1"/>
  <c r="U289"/>
  <c r="S351" l="1"/>
  <c r="K353"/>
  <c r="J354"/>
  <c r="G353"/>
  <c r="M353"/>
  <c r="T353"/>
  <c r="Q351"/>
  <c r="N352"/>
  <c r="Q352" s="1"/>
  <c r="W289"/>
  <c r="V290" s="1"/>
  <c r="K354" l="1"/>
  <c r="J355"/>
  <c r="G354"/>
  <c r="T354"/>
  <c r="M354"/>
  <c r="N353"/>
  <c r="Q353" s="1"/>
  <c r="R352"/>
  <c r="S352" s="1"/>
  <c r="U290"/>
  <c r="R353" l="1"/>
  <c r="S353" s="1"/>
  <c r="N354"/>
  <c r="R354" s="1"/>
  <c r="K355"/>
  <c r="T355"/>
  <c r="M355"/>
  <c r="J356"/>
  <c r="G355"/>
  <c r="W290"/>
  <c r="V291" s="1"/>
  <c r="S354" l="1"/>
  <c r="N355"/>
  <c r="Q355" s="1"/>
  <c r="K356"/>
  <c r="J357"/>
  <c r="M356"/>
  <c r="G356"/>
  <c r="T356"/>
  <c r="Q354"/>
  <c r="U291"/>
  <c r="K357" l="1"/>
  <c r="J358"/>
  <c r="G357"/>
  <c r="T357"/>
  <c r="M357"/>
  <c r="R355"/>
  <c r="S355" s="1"/>
  <c r="N356"/>
  <c r="Q356" s="1"/>
  <c r="W291"/>
  <c r="V292" s="1"/>
  <c r="R356" l="1"/>
  <c r="S356" s="1"/>
  <c r="N357"/>
  <c r="R357" s="1"/>
  <c r="K358"/>
  <c r="M358"/>
  <c r="J359"/>
  <c r="G358"/>
  <c r="T358"/>
  <c r="U292"/>
  <c r="S357" l="1"/>
  <c r="Q357"/>
  <c r="K359"/>
  <c r="M359"/>
  <c r="T359"/>
  <c r="J360"/>
  <c r="G359"/>
  <c r="N358"/>
  <c r="R358" s="1"/>
  <c r="W292"/>
  <c r="V293" s="1"/>
  <c r="S358" l="1"/>
  <c r="K360"/>
  <c r="J361"/>
  <c r="T360"/>
  <c r="M360"/>
  <c r="G360"/>
  <c r="Q358"/>
  <c r="N359"/>
  <c r="Q359" s="1"/>
  <c r="U293"/>
  <c r="N360" l="1"/>
  <c r="R360" s="1"/>
  <c r="R359"/>
  <c r="S359" s="1"/>
  <c r="K361"/>
  <c r="J362"/>
  <c r="M361"/>
  <c r="T361"/>
  <c r="T362" s="1"/>
  <c r="G361"/>
  <c r="W293"/>
  <c r="V294" s="1"/>
  <c r="S360" l="1"/>
  <c r="Q360"/>
  <c r="G362"/>
  <c r="J363"/>
  <c r="M362"/>
  <c r="N361"/>
  <c r="N362" s="1"/>
  <c r="K362"/>
  <c r="U294"/>
  <c r="K363" l="1"/>
  <c r="M363"/>
  <c r="T363"/>
  <c r="J364"/>
  <c r="G363"/>
  <c r="R361"/>
  <c r="Q361"/>
  <c r="Q362" s="1"/>
  <c r="W294"/>
  <c r="V295" s="1"/>
  <c r="N363" l="1"/>
  <c r="R363" s="1"/>
  <c r="R362"/>
  <c r="S361"/>
  <c r="S362" s="1"/>
  <c r="K364"/>
  <c r="J365"/>
  <c r="G364"/>
  <c r="M364"/>
  <c r="T364"/>
  <c r="U295"/>
  <c r="Q363" l="1"/>
  <c r="S363"/>
  <c r="K365"/>
  <c r="M365"/>
  <c r="G365"/>
  <c r="J366"/>
  <c r="T365"/>
  <c r="N364"/>
  <c r="Q364" s="1"/>
  <c r="W295"/>
  <c r="V296" s="1"/>
  <c r="V297" s="1"/>
  <c r="K366" l="1"/>
  <c r="T366"/>
  <c r="J367"/>
  <c r="G366"/>
  <c r="M366"/>
  <c r="N365"/>
  <c r="Q365" s="1"/>
  <c r="R364"/>
  <c r="S364" s="1"/>
  <c r="U296"/>
  <c r="R365" l="1"/>
  <c r="S365" s="1"/>
  <c r="K367"/>
  <c r="M367"/>
  <c r="J368"/>
  <c r="G367"/>
  <c r="T367"/>
  <c r="N366"/>
  <c r="R366" s="1"/>
  <c r="W296"/>
  <c r="W297" s="1"/>
  <c r="V298" s="1"/>
  <c r="U297"/>
  <c r="U298" l="1"/>
  <c r="S366"/>
  <c r="Q366"/>
  <c r="K368"/>
  <c r="J369"/>
  <c r="G368"/>
  <c r="T368"/>
  <c r="M368"/>
  <c r="N367"/>
  <c r="R367" s="1"/>
  <c r="W298" l="1"/>
  <c r="V299" s="1"/>
  <c r="S367"/>
  <c r="Q367"/>
  <c r="N368"/>
  <c r="R368" s="1"/>
  <c r="S368" s="1"/>
  <c r="K369"/>
  <c r="J370"/>
  <c r="T369"/>
  <c r="G369"/>
  <c r="M369"/>
  <c r="U299" l="1"/>
  <c r="W299" s="1"/>
  <c r="V300" s="1"/>
  <c r="Q368"/>
  <c r="K370"/>
  <c r="J371"/>
  <c r="G370"/>
  <c r="T370"/>
  <c r="M370"/>
  <c r="N369"/>
  <c r="Q369" s="1"/>
  <c r="N370" l="1"/>
  <c r="Q370" s="1"/>
  <c r="R369"/>
  <c r="S369" s="1"/>
  <c r="K371"/>
  <c r="J372"/>
  <c r="G371"/>
  <c r="T371"/>
  <c r="M371"/>
  <c r="U300"/>
  <c r="K372" l="1"/>
  <c r="J373"/>
  <c r="G372"/>
  <c r="M372"/>
  <c r="T372"/>
  <c r="N371"/>
  <c r="R371" s="1"/>
  <c r="R370"/>
  <c r="S370" s="1"/>
  <c r="W300"/>
  <c r="V301" s="1"/>
  <c r="S371" l="1"/>
  <c r="Q371"/>
  <c r="N372"/>
  <c r="Q372" s="1"/>
  <c r="K373"/>
  <c r="J374"/>
  <c r="T373"/>
  <c r="M373"/>
  <c r="G373"/>
  <c r="U301"/>
  <c r="W301" s="1"/>
  <c r="V302" s="1"/>
  <c r="R372" l="1"/>
  <c r="S372" s="1"/>
  <c r="N373"/>
  <c r="Q373" s="1"/>
  <c r="K374"/>
  <c r="J375"/>
  <c r="G374"/>
  <c r="M374"/>
  <c r="T374"/>
  <c r="T375" s="1"/>
  <c r="U302"/>
  <c r="W302" s="1"/>
  <c r="V303" s="1"/>
  <c r="R373" l="1"/>
  <c r="S373" s="1"/>
  <c r="N374"/>
  <c r="N375" s="1"/>
  <c r="K375"/>
  <c r="M375"/>
  <c r="J376"/>
  <c r="G375"/>
  <c r="U303"/>
  <c r="Q374" l="1"/>
  <c r="Q375" s="1"/>
  <c r="R374"/>
  <c r="S374" s="1"/>
  <c r="S375" s="1"/>
  <c r="K376"/>
  <c r="J377"/>
  <c r="G376"/>
  <c r="T376"/>
  <c r="M376"/>
  <c r="W303"/>
  <c r="V304" s="1"/>
  <c r="R375" l="1"/>
  <c r="N376"/>
  <c r="Q376" s="1"/>
  <c r="K377"/>
  <c r="M377"/>
  <c r="T377"/>
  <c r="J378"/>
  <c r="G377"/>
  <c r="U304"/>
  <c r="K378" l="1"/>
  <c r="G378"/>
  <c r="M378"/>
  <c r="J379"/>
  <c r="T378"/>
  <c r="R376"/>
  <c r="N377"/>
  <c r="Q377" s="1"/>
  <c r="W304"/>
  <c r="V305" s="1"/>
  <c r="N378" l="1"/>
  <c r="R378" s="1"/>
  <c r="S376"/>
  <c r="K379"/>
  <c r="J380"/>
  <c r="T379"/>
  <c r="G379"/>
  <c r="M379"/>
  <c r="R377"/>
  <c r="U305"/>
  <c r="W305" s="1"/>
  <c r="V306" s="1"/>
  <c r="Q378" l="1"/>
  <c r="S377"/>
  <c r="S378" s="1"/>
  <c r="N379"/>
  <c r="R379" s="1"/>
  <c r="K380"/>
  <c r="J381"/>
  <c r="G380"/>
  <c r="M380"/>
  <c r="T380"/>
  <c r="U306"/>
  <c r="Q379" l="1"/>
  <c r="K381"/>
  <c r="G381"/>
  <c r="T381"/>
  <c r="M381"/>
  <c r="J382"/>
  <c r="N380"/>
  <c r="Q380" s="1"/>
  <c r="S379"/>
  <c r="W306"/>
  <c r="V307" s="1"/>
  <c r="K382" l="1"/>
  <c r="M382"/>
  <c r="G382"/>
  <c r="T382"/>
  <c r="J383"/>
  <c r="N381"/>
  <c r="R381" s="1"/>
  <c r="R380"/>
  <c r="U307"/>
  <c r="K383" l="1"/>
  <c r="J384"/>
  <c r="G383"/>
  <c r="T383"/>
  <c r="M383"/>
  <c r="N382"/>
  <c r="R382" s="1"/>
  <c r="Q381"/>
  <c r="S380"/>
  <c r="S381" s="1"/>
  <c r="W307"/>
  <c r="V308" s="1"/>
  <c r="Q382" l="1"/>
  <c r="K384"/>
  <c r="T384"/>
  <c r="M384"/>
  <c r="J385"/>
  <c r="G384"/>
  <c r="N383"/>
  <c r="Q383" s="1"/>
  <c r="S382"/>
  <c r="U308"/>
  <c r="N384" l="1"/>
  <c r="R384" s="1"/>
  <c r="R383"/>
  <c r="S383" s="1"/>
  <c r="K385"/>
  <c r="J386"/>
  <c r="T385"/>
  <c r="M385"/>
  <c r="G385"/>
  <c r="W308"/>
  <c r="V309" s="1"/>
  <c r="V310" s="1"/>
  <c r="S384" l="1"/>
  <c r="Q384"/>
  <c r="N385"/>
  <c r="R385" s="1"/>
  <c r="K386"/>
  <c r="J387"/>
  <c r="T386"/>
  <c r="M386"/>
  <c r="G386"/>
  <c r="U309"/>
  <c r="W309" s="1"/>
  <c r="W310" s="1"/>
  <c r="V311" s="1"/>
  <c r="U311" l="1"/>
  <c r="S385"/>
  <c r="Q385"/>
  <c r="N386"/>
  <c r="Q386" s="1"/>
  <c r="K387"/>
  <c r="M387"/>
  <c r="T387"/>
  <c r="T388" s="1"/>
  <c r="J388"/>
  <c r="G387"/>
  <c r="U310"/>
  <c r="W311" l="1"/>
  <c r="V312" s="1"/>
  <c r="R386"/>
  <c r="S386" s="1"/>
  <c r="G388"/>
  <c r="J389"/>
  <c r="M388"/>
  <c r="N387"/>
  <c r="N388" s="1"/>
  <c r="K388"/>
  <c r="U312" l="1"/>
  <c r="W312" s="1"/>
  <c r="V313" s="1"/>
  <c r="R387"/>
  <c r="R388" s="1"/>
  <c r="K389"/>
  <c r="T389"/>
  <c r="M389"/>
  <c r="J390"/>
  <c r="G389"/>
  <c r="Q387"/>
  <c r="Q388" s="1"/>
  <c r="U313" l="1"/>
  <c r="W313" s="1"/>
  <c r="V314" s="1"/>
  <c r="S387"/>
  <c r="S388" s="1"/>
  <c r="K390"/>
  <c r="G390"/>
  <c r="J391"/>
  <c r="T390"/>
  <c r="M390"/>
  <c r="N389"/>
  <c r="Q389" s="1"/>
  <c r="U314" l="1"/>
  <c r="W314" s="1"/>
  <c r="V315" s="1"/>
  <c r="R389"/>
  <c r="S389" s="1"/>
  <c r="K391"/>
  <c r="T391"/>
  <c r="J392"/>
  <c r="M391"/>
  <c r="G391"/>
  <c r="N390"/>
  <c r="R390" s="1"/>
  <c r="S390" l="1"/>
  <c r="Q390"/>
  <c r="K392"/>
  <c r="J393"/>
  <c r="G392"/>
  <c r="M392"/>
  <c r="T392"/>
  <c r="N391"/>
  <c r="R391" s="1"/>
  <c r="U315"/>
  <c r="W315" s="1"/>
  <c r="V316" s="1"/>
  <c r="S391" l="1"/>
  <c r="Q391"/>
  <c r="N392"/>
  <c r="Q392" s="1"/>
  <c r="K393"/>
  <c r="J394"/>
  <c r="G393"/>
  <c r="M393"/>
  <c r="T393"/>
  <c r="U316"/>
  <c r="N393" l="1"/>
  <c r="R393" s="1"/>
  <c r="K394"/>
  <c r="T394"/>
  <c r="M394"/>
  <c r="J395"/>
  <c r="G394"/>
  <c r="R392"/>
  <c r="S392" s="1"/>
  <c r="W316"/>
  <c r="V317" s="1"/>
  <c r="Q393" l="1"/>
  <c r="K395"/>
  <c r="J396"/>
  <c r="T395"/>
  <c r="M395"/>
  <c r="G395"/>
  <c r="N394"/>
  <c r="R394" s="1"/>
  <c r="S393"/>
  <c r="U317"/>
  <c r="W317" s="1"/>
  <c r="V318" s="1"/>
  <c r="S394" l="1"/>
  <c r="K396"/>
  <c r="G396"/>
  <c r="J397"/>
  <c r="M396"/>
  <c r="T396"/>
  <c r="N395"/>
  <c r="R395" s="1"/>
  <c r="Q394"/>
  <c r="U318"/>
  <c r="S395" l="1"/>
  <c r="K397"/>
  <c r="T397"/>
  <c r="J398"/>
  <c r="M397"/>
  <c r="G397"/>
  <c r="N396"/>
  <c r="R396" s="1"/>
  <c r="S396" s="1"/>
  <c r="Q395"/>
  <c r="W318"/>
  <c r="V319" s="1"/>
  <c r="Q396" l="1"/>
  <c r="K398"/>
  <c r="J399"/>
  <c r="G398"/>
  <c r="T398"/>
  <c r="M398"/>
  <c r="N397"/>
  <c r="R397" s="1"/>
  <c r="S397" s="1"/>
  <c r="U319"/>
  <c r="Q397" l="1"/>
  <c r="K399"/>
  <c r="M399"/>
  <c r="J400"/>
  <c r="T399"/>
  <c r="G399"/>
  <c r="N398"/>
  <c r="R398" s="1"/>
  <c r="S398" s="1"/>
  <c r="W319"/>
  <c r="V320" s="1"/>
  <c r="Q398" l="1"/>
  <c r="K400"/>
  <c r="M400"/>
  <c r="T400"/>
  <c r="T401" s="1"/>
  <c r="J401"/>
  <c r="G400"/>
  <c r="N399"/>
  <c r="Q399" s="1"/>
  <c r="U320"/>
  <c r="R399" l="1"/>
  <c r="S399" s="1"/>
  <c r="J402"/>
  <c r="G401"/>
  <c r="M401"/>
  <c r="N400"/>
  <c r="N401" s="1"/>
  <c r="K401"/>
  <c r="W320"/>
  <c r="V321" s="1"/>
  <c r="K402" l="1"/>
  <c r="M402"/>
  <c r="T402"/>
  <c r="J403"/>
  <c r="G402"/>
  <c r="Q400"/>
  <c r="Q401" s="1"/>
  <c r="R400"/>
  <c r="U321"/>
  <c r="W321" s="1"/>
  <c r="V322" s="1"/>
  <c r="V323" s="1"/>
  <c r="K403" l="1"/>
  <c r="G403"/>
  <c r="J404"/>
  <c r="T403"/>
  <c r="M403"/>
  <c r="R401"/>
  <c r="S400"/>
  <c r="S401" s="1"/>
  <c r="N402"/>
  <c r="Q402" s="1"/>
  <c r="U322"/>
  <c r="U323" s="1"/>
  <c r="R402" l="1"/>
  <c r="S402" s="1"/>
  <c r="K404"/>
  <c r="M404"/>
  <c r="G404"/>
  <c r="J405"/>
  <c r="T404"/>
  <c r="N403"/>
  <c r="R403" s="1"/>
  <c r="S403" s="1"/>
  <c r="W322"/>
  <c r="W323" s="1"/>
  <c r="V324" s="1"/>
  <c r="U324" l="1"/>
  <c r="W324" s="1"/>
  <c r="V325" s="1"/>
  <c r="Q403"/>
  <c r="K405"/>
  <c r="J406"/>
  <c r="G405"/>
  <c r="T405"/>
  <c r="M405"/>
  <c r="N404"/>
  <c r="R404" s="1"/>
  <c r="S404" s="1"/>
  <c r="K406" l="1"/>
  <c r="T406"/>
  <c r="M406"/>
  <c r="J407"/>
  <c r="G406"/>
  <c r="N405"/>
  <c r="Q405" s="1"/>
  <c r="Q404"/>
  <c r="U325"/>
  <c r="K407" l="1"/>
  <c r="M407"/>
  <c r="T407"/>
  <c r="J408"/>
  <c r="G407"/>
  <c r="N406"/>
  <c r="Q406" s="1"/>
  <c r="R405"/>
  <c r="S405" s="1"/>
  <c r="W325"/>
  <c r="V326" s="1"/>
  <c r="K408" l="1"/>
  <c r="J409"/>
  <c r="T408"/>
  <c r="M408"/>
  <c r="G408"/>
  <c r="N407"/>
  <c r="R407" s="1"/>
  <c r="R406"/>
  <c r="S406" s="1"/>
  <c r="U326"/>
  <c r="W326" s="1"/>
  <c r="V327" s="1"/>
  <c r="S407" l="1"/>
  <c r="Q407"/>
  <c r="K409"/>
  <c r="T409"/>
  <c r="M409"/>
  <c r="J410"/>
  <c r="G409"/>
  <c r="N408"/>
  <c r="Q408" s="1"/>
  <c r="U327"/>
  <c r="K410" l="1"/>
  <c r="J411"/>
  <c r="G410"/>
  <c r="T410"/>
  <c r="M410"/>
  <c r="N409"/>
  <c r="R409" s="1"/>
  <c r="R408"/>
  <c r="S408" s="1"/>
  <c r="W327"/>
  <c r="V328" s="1"/>
  <c r="S409" l="1"/>
  <c r="K411"/>
  <c r="J412"/>
  <c r="M411"/>
  <c r="T411"/>
  <c r="G411"/>
  <c r="N410"/>
  <c r="R410" s="1"/>
  <c r="S410" s="1"/>
  <c r="Q409"/>
  <c r="U328"/>
  <c r="W328" s="1"/>
  <c r="V329" s="1"/>
  <c r="Q410" l="1"/>
  <c r="K412"/>
  <c r="M412"/>
  <c r="G412"/>
  <c r="J413"/>
  <c r="T412"/>
  <c r="N411"/>
  <c r="Q411" s="1"/>
  <c r="U329"/>
  <c r="K413" l="1"/>
  <c r="T413"/>
  <c r="T414" s="1"/>
  <c r="M413"/>
  <c r="J414"/>
  <c r="G413"/>
  <c r="N412"/>
  <c r="R412" s="1"/>
  <c r="R411"/>
  <c r="S411" s="1"/>
  <c r="W329"/>
  <c r="V330" s="1"/>
  <c r="Q412" l="1"/>
  <c r="J415"/>
  <c r="G414"/>
  <c r="M414"/>
  <c r="N413"/>
  <c r="N414" s="1"/>
  <c r="K414"/>
  <c r="S412"/>
  <c r="U330"/>
  <c r="W330" s="1"/>
  <c r="V331" s="1"/>
  <c r="R413" l="1"/>
  <c r="R414" s="1"/>
  <c r="K415"/>
  <c r="J416"/>
  <c r="M415"/>
  <c r="T415"/>
  <c r="G415"/>
  <c r="Q413"/>
  <c r="Q414" s="1"/>
  <c r="U331"/>
  <c r="S413" l="1"/>
  <c r="S414" s="1"/>
  <c r="K416"/>
  <c r="M416"/>
  <c r="T416"/>
  <c r="J417"/>
  <c r="G416"/>
  <c r="N415"/>
  <c r="Q415" s="1"/>
  <c r="W331"/>
  <c r="V332" s="1"/>
  <c r="R415" l="1"/>
  <c r="S415" s="1"/>
  <c r="K417"/>
  <c r="J418"/>
  <c r="T417"/>
  <c r="G417"/>
  <c r="M417"/>
  <c r="N416"/>
  <c r="R416" s="1"/>
  <c r="U332"/>
  <c r="W332" s="1"/>
  <c r="V333" s="1"/>
  <c r="S416" l="1"/>
  <c r="Q416"/>
  <c r="K418"/>
  <c r="J419"/>
  <c r="G418"/>
  <c r="T418"/>
  <c r="M418"/>
  <c r="N417"/>
  <c r="R417" s="1"/>
  <c r="U333"/>
  <c r="S417" l="1"/>
  <c r="K419"/>
  <c r="M419"/>
  <c r="T419"/>
  <c r="J420"/>
  <c r="G419"/>
  <c r="N418"/>
  <c r="R418" s="1"/>
  <c r="S418" s="1"/>
  <c r="Q417"/>
  <c r="W333"/>
  <c r="V334" s="1"/>
  <c r="K420" l="1"/>
  <c r="J421"/>
  <c r="G420"/>
  <c r="M420"/>
  <c r="T420"/>
  <c r="N419"/>
  <c r="R419" s="1"/>
  <c r="S419" s="1"/>
  <c r="Q418"/>
  <c r="U334"/>
  <c r="W334" s="1"/>
  <c r="V335" s="1"/>
  <c r="V336" s="1"/>
  <c r="Q419" l="1"/>
  <c r="K421"/>
  <c r="J422"/>
  <c r="T421"/>
  <c r="G421"/>
  <c r="M421"/>
  <c r="N420"/>
  <c r="R420" s="1"/>
  <c r="S420" s="1"/>
  <c r="U335"/>
  <c r="U336" s="1"/>
  <c r="Q420" l="1"/>
  <c r="K422"/>
  <c r="J423"/>
  <c r="G422"/>
  <c r="M422"/>
  <c r="T422"/>
  <c r="N421"/>
  <c r="R421" s="1"/>
  <c r="S421" s="1"/>
  <c r="W335"/>
  <c r="W336" s="1"/>
  <c r="V337" s="1"/>
  <c r="U337" l="1"/>
  <c r="W337" s="1"/>
  <c r="V338" s="1"/>
  <c r="K423"/>
  <c r="T423"/>
  <c r="J424"/>
  <c r="G423"/>
  <c r="M423"/>
  <c r="N422"/>
  <c r="R422" s="1"/>
  <c r="S422" s="1"/>
  <c r="Q421"/>
  <c r="U338" l="1"/>
  <c r="Q422"/>
  <c r="K424"/>
  <c r="J425"/>
  <c r="G424"/>
  <c r="T424"/>
  <c r="M424"/>
  <c r="N423"/>
  <c r="R423" s="1"/>
  <c r="S423" s="1"/>
  <c r="W338" l="1"/>
  <c r="V339" s="1"/>
  <c r="K425"/>
  <c r="J426"/>
  <c r="T425"/>
  <c r="G425"/>
  <c r="M425"/>
  <c r="N424"/>
  <c r="R424" s="1"/>
  <c r="S424" s="1"/>
  <c r="Q423"/>
  <c r="U339" l="1"/>
  <c r="W339" s="1"/>
  <c r="V340" s="1"/>
  <c r="K426"/>
  <c r="T426"/>
  <c r="T427" s="1"/>
  <c r="G426"/>
  <c r="J427"/>
  <c r="M426"/>
  <c r="N425"/>
  <c r="R425" s="1"/>
  <c r="S425" s="1"/>
  <c r="Q424"/>
  <c r="U340" l="1"/>
  <c r="W340" s="1"/>
  <c r="V341" s="1"/>
  <c r="Q425"/>
  <c r="J428"/>
  <c r="G427"/>
  <c r="M427"/>
  <c r="N426"/>
  <c r="N427" s="1"/>
  <c r="K427"/>
  <c r="K428" l="1"/>
  <c r="G428"/>
  <c r="M428"/>
  <c r="J429"/>
  <c r="T428"/>
  <c r="Q426"/>
  <c r="Q427" s="1"/>
  <c r="R426"/>
  <c r="U341"/>
  <c r="K429" l="1"/>
  <c r="M429"/>
  <c r="T429"/>
  <c r="J430"/>
  <c r="G429"/>
  <c r="R427"/>
  <c r="S426"/>
  <c r="S427" s="1"/>
  <c r="N428"/>
  <c r="Q428" s="1"/>
  <c r="W341"/>
  <c r="V342" s="1"/>
  <c r="R428" l="1"/>
  <c r="S428" s="1"/>
  <c r="K430"/>
  <c r="G430"/>
  <c r="M430"/>
  <c r="J431"/>
  <c r="T430"/>
  <c r="N429"/>
  <c r="R429" s="1"/>
  <c r="S429" s="1"/>
  <c r="U342"/>
  <c r="Q429" l="1"/>
  <c r="K431"/>
  <c r="J432"/>
  <c r="G431"/>
  <c r="M431"/>
  <c r="T431"/>
  <c r="N430"/>
  <c r="R430" s="1"/>
  <c r="S430" s="1"/>
  <c r="W342"/>
  <c r="V343" s="1"/>
  <c r="U343" l="1"/>
  <c r="K432"/>
  <c r="G432"/>
  <c r="M432"/>
  <c r="J433"/>
  <c r="T432"/>
  <c r="N431"/>
  <c r="Q431" s="1"/>
  <c r="Q430"/>
  <c r="W343"/>
  <c r="V344" s="1"/>
  <c r="K433" l="1"/>
  <c r="J434"/>
  <c r="G433"/>
  <c r="T433"/>
  <c r="M433"/>
  <c r="N432"/>
  <c r="R432" s="1"/>
  <c r="R431"/>
  <c r="S431" s="1"/>
  <c r="U344"/>
  <c r="W344" s="1"/>
  <c r="V345" s="1"/>
  <c r="S432" l="1"/>
  <c r="Q432"/>
  <c r="K434"/>
  <c r="J435"/>
  <c r="T434"/>
  <c r="M434"/>
  <c r="G434"/>
  <c r="N433"/>
  <c r="R433" s="1"/>
  <c r="U345"/>
  <c r="S433" l="1"/>
  <c r="K435"/>
  <c r="M435"/>
  <c r="T435"/>
  <c r="J436"/>
  <c r="G435"/>
  <c r="N434"/>
  <c r="R434" s="1"/>
  <c r="S434" s="1"/>
  <c r="Q433"/>
  <c r="W345"/>
  <c r="V346" s="1"/>
  <c r="Q434" l="1"/>
  <c r="K436"/>
  <c r="J437"/>
  <c r="T436"/>
  <c r="M436"/>
  <c r="G436"/>
  <c r="N435"/>
  <c r="R435" s="1"/>
  <c r="S435" s="1"/>
  <c r="U346"/>
  <c r="Q435" l="1"/>
  <c r="K437"/>
  <c r="T437"/>
  <c r="M437"/>
  <c r="J438"/>
  <c r="G437"/>
  <c r="N436"/>
  <c r="R436" s="1"/>
  <c r="S436" s="1"/>
  <c r="W346"/>
  <c r="V347" s="1"/>
  <c r="K438" l="1"/>
  <c r="J439"/>
  <c r="M438"/>
  <c r="G438"/>
  <c r="T438"/>
  <c r="N437"/>
  <c r="R437" s="1"/>
  <c r="S437" s="1"/>
  <c r="Q436"/>
  <c r="U347"/>
  <c r="K439" l="1"/>
  <c r="J440"/>
  <c r="G439"/>
  <c r="T439"/>
  <c r="T440" s="1"/>
  <c r="M439"/>
  <c r="N438"/>
  <c r="R438" s="1"/>
  <c r="S438" s="1"/>
  <c r="Q437"/>
  <c r="W347"/>
  <c r="V348" s="1"/>
  <c r="V349" s="1"/>
  <c r="Q438" l="1"/>
  <c r="G440"/>
  <c r="J441"/>
  <c r="M440"/>
  <c r="N439"/>
  <c r="N440" s="1"/>
  <c r="K440"/>
  <c r="U348"/>
  <c r="K441" l="1"/>
  <c r="J442"/>
  <c r="T441"/>
  <c r="G441"/>
  <c r="M441"/>
  <c r="Q439"/>
  <c r="Q440" s="1"/>
  <c r="R439"/>
  <c r="W348"/>
  <c r="W349" s="1"/>
  <c r="V350" s="1"/>
  <c r="U349"/>
  <c r="U350" l="1"/>
  <c r="K442"/>
  <c r="J443"/>
  <c r="G442"/>
  <c r="M442"/>
  <c r="T442"/>
  <c r="R440"/>
  <c r="S439"/>
  <c r="S440" s="1"/>
  <c r="N441"/>
  <c r="Q441" s="1"/>
  <c r="W350" l="1"/>
  <c r="V351" s="1"/>
  <c r="R441"/>
  <c r="S441" s="1"/>
  <c r="K443"/>
  <c r="M443"/>
  <c r="G443"/>
  <c r="J444"/>
  <c r="T443"/>
  <c r="N442"/>
  <c r="R442" s="1"/>
  <c r="U351" l="1"/>
  <c r="W351" s="1"/>
  <c r="V352" s="1"/>
  <c r="S442"/>
  <c r="Q442"/>
  <c r="K444"/>
  <c r="J445"/>
  <c r="T444"/>
  <c r="M444"/>
  <c r="G444"/>
  <c r="N443"/>
  <c r="R443" s="1"/>
  <c r="S443" l="1"/>
  <c r="N444"/>
  <c r="R444" s="1"/>
  <c r="Q443"/>
  <c r="K445"/>
  <c r="G445"/>
  <c r="M445"/>
  <c r="J446"/>
  <c r="T445"/>
  <c r="U352"/>
  <c r="W352" s="1"/>
  <c r="V353" s="1"/>
  <c r="S444" l="1"/>
  <c r="Q444"/>
  <c r="K446"/>
  <c r="J447"/>
  <c r="G446"/>
  <c r="M446"/>
  <c r="T446"/>
  <c r="N445"/>
  <c r="Q445" s="1"/>
  <c r="U353"/>
  <c r="N446" l="1"/>
  <c r="R446" s="1"/>
  <c r="R445"/>
  <c r="S445" s="1"/>
  <c r="K447"/>
  <c r="G447"/>
  <c r="M447"/>
  <c r="J448"/>
  <c r="T447"/>
  <c r="W353"/>
  <c r="V354" s="1"/>
  <c r="Q446" l="1"/>
  <c r="S446"/>
  <c r="K448"/>
  <c r="J449"/>
  <c r="G448"/>
  <c r="T448"/>
  <c r="M448"/>
  <c r="N447"/>
  <c r="Q447" s="1"/>
  <c r="U354"/>
  <c r="R447" l="1"/>
  <c r="S447" s="1"/>
  <c r="N448"/>
  <c r="R448" s="1"/>
  <c r="K449"/>
  <c r="J450"/>
  <c r="T449"/>
  <c r="M449"/>
  <c r="G449"/>
  <c r="W354"/>
  <c r="V355" s="1"/>
  <c r="S448" l="1"/>
  <c r="Q448"/>
  <c r="N449"/>
  <c r="R449" s="1"/>
  <c r="K450"/>
  <c r="J451"/>
  <c r="G450"/>
  <c r="T450"/>
  <c r="M450"/>
  <c r="U355"/>
  <c r="S449" l="1"/>
  <c r="Q449"/>
  <c r="K451"/>
  <c r="J452"/>
  <c r="T451"/>
  <c r="M451"/>
  <c r="G451"/>
  <c r="N450"/>
  <c r="Q450" s="1"/>
  <c r="W355"/>
  <c r="V356" s="1"/>
  <c r="R450" l="1"/>
  <c r="S450" s="1"/>
  <c r="N451"/>
  <c r="R451" s="1"/>
  <c r="K452"/>
  <c r="T452"/>
  <c r="T453" s="1"/>
  <c r="M452"/>
  <c r="J453"/>
  <c r="G452"/>
  <c r="U356"/>
  <c r="W356" s="1"/>
  <c r="V357" s="1"/>
  <c r="S451" l="1"/>
  <c r="Q451"/>
  <c r="J454"/>
  <c r="G453"/>
  <c r="M453"/>
  <c r="N452"/>
  <c r="N453" s="1"/>
  <c r="K453"/>
  <c r="U357"/>
  <c r="R452" l="1"/>
  <c r="R453" s="1"/>
  <c r="K454"/>
  <c r="J455"/>
  <c r="T454"/>
  <c r="M454"/>
  <c r="G454"/>
  <c r="Q452"/>
  <c r="Q453" s="1"/>
  <c r="W357"/>
  <c r="V358" s="1"/>
  <c r="S452" l="1"/>
  <c r="S453" s="1"/>
  <c r="K455"/>
  <c r="T455"/>
  <c r="M455"/>
  <c r="J456"/>
  <c r="G455"/>
  <c r="N454"/>
  <c r="R454" s="1"/>
  <c r="S454" s="1"/>
  <c r="U358"/>
  <c r="Q454" l="1"/>
  <c r="N455"/>
  <c r="Q455" s="1"/>
  <c r="K456"/>
  <c r="J457"/>
  <c r="T456"/>
  <c r="G456"/>
  <c r="M456"/>
  <c r="W358"/>
  <c r="V359" s="1"/>
  <c r="R455" l="1"/>
  <c r="S455" s="1"/>
  <c r="K457"/>
  <c r="T457"/>
  <c r="M457"/>
  <c r="J458"/>
  <c r="G457"/>
  <c r="N456"/>
  <c r="R456" s="1"/>
  <c r="S456" s="1"/>
  <c r="U359"/>
  <c r="K458" l="1"/>
  <c r="M458"/>
  <c r="G458"/>
  <c r="J459"/>
  <c r="T458"/>
  <c r="N457"/>
  <c r="R457" s="1"/>
  <c r="S457" s="1"/>
  <c r="Q456"/>
  <c r="W359"/>
  <c r="V360" s="1"/>
  <c r="K459" l="1"/>
  <c r="T459"/>
  <c r="M459"/>
  <c r="J460"/>
  <c r="G459"/>
  <c r="N458"/>
  <c r="Q458" s="1"/>
  <c r="Q457"/>
  <c r="U360"/>
  <c r="N459" l="1"/>
  <c r="R459" s="1"/>
  <c r="R458"/>
  <c r="S458" s="1"/>
  <c r="K460"/>
  <c r="G460"/>
  <c r="M460"/>
  <c r="J461"/>
  <c r="T460"/>
  <c r="W360"/>
  <c r="V361" s="1"/>
  <c r="V362" s="1"/>
  <c r="S459" l="1"/>
  <c r="Q459"/>
  <c r="N460"/>
  <c r="Q460" s="1"/>
  <c r="K461"/>
  <c r="J462"/>
  <c r="G461"/>
  <c r="T461"/>
  <c r="M461"/>
  <c r="U361"/>
  <c r="R460" l="1"/>
  <c r="S460" s="1"/>
  <c r="N461"/>
  <c r="R461" s="1"/>
  <c r="K462"/>
  <c r="J463"/>
  <c r="T462"/>
  <c r="G462"/>
  <c r="M462"/>
  <c r="W361"/>
  <c r="W362" s="1"/>
  <c r="V363" s="1"/>
  <c r="U362"/>
  <c r="U363" l="1"/>
  <c r="S461"/>
  <c r="Q461"/>
  <c r="N462"/>
  <c r="Q462" s="1"/>
  <c r="K463"/>
  <c r="M463"/>
  <c r="T463"/>
  <c r="J464"/>
  <c r="G463"/>
  <c r="W363" l="1"/>
  <c r="V364" s="1"/>
  <c r="R462"/>
  <c r="S462" s="1"/>
  <c r="K464"/>
  <c r="J465"/>
  <c r="G464"/>
  <c r="T464"/>
  <c r="M464"/>
  <c r="N463"/>
  <c r="Q463" s="1"/>
  <c r="U364" l="1"/>
  <c r="W364" s="1"/>
  <c r="V365" s="1"/>
  <c r="R463"/>
  <c r="S463" s="1"/>
  <c r="N464"/>
  <c r="R464" s="1"/>
  <c r="K465"/>
  <c r="T465"/>
  <c r="T466" s="1"/>
  <c r="M465"/>
  <c r="J466"/>
  <c r="G465"/>
  <c r="S464" l="1"/>
  <c r="Q464"/>
  <c r="M466"/>
  <c r="J467"/>
  <c r="G466"/>
  <c r="N465"/>
  <c r="N466" s="1"/>
  <c r="K466"/>
  <c r="U365"/>
  <c r="W365" s="1"/>
  <c r="V366" s="1"/>
  <c r="K467" l="1"/>
  <c r="J468"/>
  <c r="T467"/>
  <c r="M467"/>
  <c r="G467"/>
  <c r="Q465"/>
  <c r="Q466" s="1"/>
  <c r="R465"/>
  <c r="U366"/>
  <c r="R466" l="1"/>
  <c r="S465"/>
  <c r="S466" s="1"/>
  <c r="N467"/>
  <c r="Q467" s="1"/>
  <c r="K468"/>
  <c r="J469"/>
  <c r="G468"/>
  <c r="M468"/>
  <c r="T468"/>
  <c r="W366"/>
  <c r="V367" s="1"/>
  <c r="N468" l="1"/>
  <c r="R468" s="1"/>
  <c r="K469"/>
  <c r="G469"/>
  <c r="M469"/>
  <c r="J470"/>
  <c r="T469"/>
  <c r="R467"/>
  <c r="S467" s="1"/>
  <c r="U367"/>
  <c r="Q468" l="1"/>
  <c r="N469"/>
  <c r="Q469" s="1"/>
  <c r="K470"/>
  <c r="M470"/>
  <c r="J471"/>
  <c r="T470"/>
  <c r="G470"/>
  <c r="S468"/>
  <c r="W367"/>
  <c r="V368" s="1"/>
  <c r="R469" l="1"/>
  <c r="S469" s="1"/>
  <c r="K471"/>
  <c r="J472"/>
  <c r="T471"/>
  <c r="G471"/>
  <c r="M471"/>
  <c r="N470"/>
  <c r="R470" s="1"/>
  <c r="U368"/>
  <c r="S470" l="1"/>
  <c r="N471"/>
  <c r="R471" s="1"/>
  <c r="Q470"/>
  <c r="K472"/>
  <c r="T472"/>
  <c r="M472"/>
  <c r="J473"/>
  <c r="G472"/>
  <c r="W368"/>
  <c r="V369" s="1"/>
  <c r="S471" l="1"/>
  <c r="Q471"/>
  <c r="K473"/>
  <c r="G473"/>
  <c r="M473"/>
  <c r="J474"/>
  <c r="T473"/>
  <c r="N472"/>
  <c r="Q472" s="1"/>
  <c r="U369"/>
  <c r="N473" l="1"/>
  <c r="R473" s="1"/>
  <c r="R472"/>
  <c r="S472" s="1"/>
  <c r="K474"/>
  <c r="J475"/>
  <c r="G474"/>
  <c r="T474"/>
  <c r="M474"/>
  <c r="W369"/>
  <c r="V370" s="1"/>
  <c r="S473" l="1"/>
  <c r="N474"/>
  <c r="Q474" s="1"/>
  <c r="K475"/>
  <c r="J476"/>
  <c r="M475"/>
  <c r="G475"/>
  <c r="T475"/>
  <c r="Q473"/>
  <c r="U370"/>
  <c r="R474" l="1"/>
  <c r="S474" s="1"/>
  <c r="K476"/>
  <c r="T476"/>
  <c r="M476"/>
  <c r="J477"/>
  <c r="G476"/>
  <c r="N475"/>
  <c r="Q475" s="1"/>
  <c r="W370"/>
  <c r="V371" s="1"/>
  <c r="R475" l="1"/>
  <c r="S475" s="1"/>
  <c r="N476"/>
  <c r="R476" s="1"/>
  <c r="K477"/>
  <c r="J478"/>
  <c r="T477"/>
  <c r="G477"/>
  <c r="M477"/>
  <c r="U371"/>
  <c r="S476" l="1"/>
  <c r="Q476"/>
  <c r="N477"/>
  <c r="R477" s="1"/>
  <c r="S477" s="1"/>
  <c r="K478"/>
  <c r="G478"/>
  <c r="J479"/>
  <c r="M478"/>
  <c r="T478"/>
  <c r="T479" s="1"/>
  <c r="W371"/>
  <c r="V372" s="1"/>
  <c r="Q477" l="1"/>
  <c r="M479"/>
  <c r="G479"/>
  <c r="J480"/>
  <c r="N478"/>
  <c r="N479" s="1"/>
  <c r="K479"/>
  <c r="U372"/>
  <c r="R478" l="1"/>
  <c r="R479" s="1"/>
  <c r="Q478"/>
  <c r="Q479" s="1"/>
  <c r="K480"/>
  <c r="J481"/>
  <c r="M480"/>
  <c r="G480"/>
  <c r="T480"/>
  <c r="W372"/>
  <c r="V373" s="1"/>
  <c r="S478" l="1"/>
  <c r="S479" s="1"/>
  <c r="K481"/>
  <c r="M481"/>
  <c r="J482"/>
  <c r="G481"/>
  <c r="T481"/>
  <c r="N480"/>
  <c r="R480" s="1"/>
  <c r="S480" s="1"/>
  <c r="U373"/>
  <c r="K482" l="1"/>
  <c r="J483"/>
  <c r="T482"/>
  <c r="G482"/>
  <c r="M482"/>
  <c r="N481"/>
  <c r="R481" s="1"/>
  <c r="S481" s="1"/>
  <c r="Q480"/>
  <c r="W373"/>
  <c r="V374" s="1"/>
  <c r="V375" s="1"/>
  <c r="Q481" l="1"/>
  <c r="N482"/>
  <c r="R482" s="1"/>
  <c r="S482" s="1"/>
  <c r="K483"/>
  <c r="J484"/>
  <c r="G483"/>
  <c r="M483"/>
  <c r="T483"/>
  <c r="U374"/>
  <c r="K484" l="1"/>
  <c r="M484"/>
  <c r="G484"/>
  <c r="J485"/>
  <c r="T484"/>
  <c r="Q482"/>
  <c r="N483"/>
  <c r="Q483" s="1"/>
  <c r="W374"/>
  <c r="W375" s="1"/>
  <c r="V376" s="1"/>
  <c r="U375"/>
  <c r="U376" l="1"/>
  <c r="W376" s="1"/>
  <c r="V377" s="1"/>
  <c r="K485"/>
  <c r="J486"/>
  <c r="G485"/>
  <c r="T485"/>
  <c r="M485"/>
  <c r="R483"/>
  <c r="S483" s="1"/>
  <c r="N484"/>
  <c r="Q484" s="1"/>
  <c r="N485" l="1"/>
  <c r="Q485" s="1"/>
  <c r="R484"/>
  <c r="S484" s="1"/>
  <c r="K486"/>
  <c r="G486"/>
  <c r="M486"/>
  <c r="J487"/>
  <c r="T486"/>
  <c r="U377"/>
  <c r="R485" l="1"/>
  <c r="S485" s="1"/>
  <c r="N486"/>
  <c r="R486" s="1"/>
  <c r="K487"/>
  <c r="J488"/>
  <c r="T487"/>
  <c r="M487"/>
  <c r="G487"/>
  <c r="W377"/>
  <c r="V378" s="1"/>
  <c r="Q486" l="1"/>
  <c r="N487"/>
  <c r="Q487" s="1"/>
  <c r="K488"/>
  <c r="J489"/>
  <c r="G488"/>
  <c r="M488"/>
  <c r="T488"/>
  <c r="S486"/>
  <c r="U378"/>
  <c r="W378" s="1"/>
  <c r="V379" s="1"/>
  <c r="R487" l="1"/>
  <c r="S487" s="1"/>
  <c r="N488"/>
  <c r="R488" s="1"/>
  <c r="K489"/>
  <c r="M489"/>
  <c r="T489"/>
  <c r="J490"/>
  <c r="G489"/>
  <c r="U379"/>
  <c r="S488" l="1"/>
  <c r="Q488"/>
  <c r="N489"/>
  <c r="R489" s="1"/>
  <c r="S489" s="1"/>
  <c r="K490"/>
  <c r="M490"/>
  <c r="G490"/>
  <c r="J491"/>
  <c r="T490"/>
  <c r="W379"/>
  <c r="V380" s="1"/>
  <c r="Q489" l="1"/>
  <c r="N490"/>
  <c r="Q490" s="1"/>
  <c r="K491"/>
  <c r="M491"/>
  <c r="J492"/>
  <c r="G491"/>
  <c r="T491"/>
  <c r="T492" s="1"/>
  <c r="U380"/>
  <c r="W380" s="1"/>
  <c r="V381" s="1"/>
  <c r="R490" l="1"/>
  <c r="S490" s="1"/>
  <c r="G492"/>
  <c r="J493"/>
  <c r="N491"/>
  <c r="N492" s="1"/>
  <c r="K492"/>
  <c r="M492"/>
  <c r="U381"/>
  <c r="Q491" l="1"/>
  <c r="Q492" s="1"/>
  <c r="R491"/>
  <c r="R492" s="1"/>
  <c r="K493"/>
  <c r="G493"/>
  <c r="M493"/>
  <c r="J494"/>
  <c r="T493"/>
  <c r="W381"/>
  <c r="V382" s="1"/>
  <c r="S491" l="1"/>
  <c r="S492" s="1"/>
  <c r="K494"/>
  <c r="J495"/>
  <c r="M494"/>
  <c r="T494"/>
  <c r="G494"/>
  <c r="N493"/>
  <c r="Q493" s="1"/>
  <c r="U382"/>
  <c r="W382" s="1"/>
  <c r="V383" s="1"/>
  <c r="R493" l="1"/>
  <c r="S493" s="1"/>
  <c r="N494"/>
  <c r="R494" s="1"/>
  <c r="K495"/>
  <c r="M495"/>
  <c r="G495"/>
  <c r="J496"/>
  <c r="T495"/>
  <c r="U383"/>
  <c r="S494" l="1"/>
  <c r="Q494"/>
  <c r="N495"/>
  <c r="R495" s="1"/>
  <c r="S495" s="1"/>
  <c r="K496"/>
  <c r="J497"/>
  <c r="G496"/>
  <c r="M496"/>
  <c r="T496"/>
  <c r="W383"/>
  <c r="V384" s="1"/>
  <c r="Q495" l="1"/>
  <c r="K497"/>
  <c r="M497"/>
  <c r="G497"/>
  <c r="J498"/>
  <c r="T497"/>
  <c r="N496"/>
  <c r="Q496" s="1"/>
  <c r="U384"/>
  <c r="N497" l="1"/>
  <c r="R497" s="1"/>
  <c r="K498"/>
  <c r="J499"/>
  <c r="G498"/>
  <c r="M498"/>
  <c r="T498"/>
  <c r="R496"/>
  <c r="S496" s="1"/>
  <c r="W384"/>
  <c r="V385" s="1"/>
  <c r="Q497" l="1"/>
  <c r="N498"/>
  <c r="Q498" s="1"/>
  <c r="K499"/>
  <c r="J500"/>
  <c r="T499"/>
  <c r="M499"/>
  <c r="G499"/>
  <c r="S497"/>
  <c r="U385"/>
  <c r="K500" l="1"/>
  <c r="M500"/>
  <c r="T500"/>
  <c r="J501"/>
  <c r="G500"/>
  <c r="R498"/>
  <c r="S498" s="1"/>
  <c r="N499"/>
  <c r="Q499" s="1"/>
  <c r="W385"/>
  <c r="V386" s="1"/>
  <c r="U386" l="1"/>
  <c r="K501"/>
  <c r="M501"/>
  <c r="G501"/>
  <c r="J502"/>
  <c r="T501"/>
  <c r="N500"/>
  <c r="R500" s="1"/>
  <c r="R499"/>
  <c r="S499" s="1"/>
  <c r="W386"/>
  <c r="V387" s="1"/>
  <c r="V388" s="1"/>
  <c r="S500" l="1"/>
  <c r="K502"/>
  <c r="T502"/>
  <c r="M502"/>
  <c r="J503"/>
  <c r="G502"/>
  <c r="N501"/>
  <c r="R501" s="1"/>
  <c r="Q500"/>
  <c r="U387"/>
  <c r="S501" l="1"/>
  <c r="N502"/>
  <c r="R502" s="1"/>
  <c r="Q501"/>
  <c r="K503"/>
  <c r="M503"/>
  <c r="G503"/>
  <c r="J504"/>
  <c r="T503"/>
  <c r="W387"/>
  <c r="W388" s="1"/>
  <c r="V389" s="1"/>
  <c r="U388"/>
  <c r="S502" l="1"/>
  <c r="U389"/>
  <c r="W389" s="1"/>
  <c r="V390" s="1"/>
  <c r="Q502"/>
  <c r="K504"/>
  <c r="M504"/>
  <c r="J505"/>
  <c r="G504"/>
  <c r="T504"/>
  <c r="T505" s="1"/>
  <c r="N503"/>
  <c r="R503" s="1"/>
  <c r="S503" s="1"/>
  <c r="Q503" l="1"/>
  <c r="G505"/>
  <c r="J506"/>
  <c r="N504"/>
  <c r="N505" s="1"/>
  <c r="K505"/>
  <c r="M505"/>
  <c r="U390"/>
  <c r="K506" l="1"/>
  <c r="J507"/>
  <c r="T506"/>
  <c r="M506"/>
  <c r="G506"/>
  <c r="Q504"/>
  <c r="Q505" s="1"/>
  <c r="R504"/>
  <c r="W390"/>
  <c r="V391" s="1"/>
  <c r="U391" l="1"/>
  <c r="K507"/>
  <c r="J508"/>
  <c r="T507"/>
  <c r="M507"/>
  <c r="G507"/>
  <c r="R505"/>
  <c r="S504"/>
  <c r="S505" s="1"/>
  <c r="N506"/>
  <c r="R506" s="1"/>
  <c r="W391" l="1"/>
  <c r="V392" s="1"/>
  <c r="S506"/>
  <c r="Q506"/>
  <c r="N507"/>
  <c r="R507" s="1"/>
  <c r="S507" s="1"/>
  <c r="K508"/>
  <c r="G508"/>
  <c r="M508"/>
  <c r="J509"/>
  <c r="T508"/>
  <c r="U392" l="1"/>
  <c r="Q507"/>
  <c r="N508"/>
  <c r="Q508" s="1"/>
  <c r="K509"/>
  <c r="J510"/>
  <c r="G509"/>
  <c r="M509"/>
  <c r="T509"/>
  <c r="W392"/>
  <c r="V393" s="1"/>
  <c r="U393" l="1"/>
  <c r="R508"/>
  <c r="S508" s="1"/>
  <c r="N509"/>
  <c r="R509" s="1"/>
  <c r="K510"/>
  <c r="M510"/>
  <c r="G510"/>
  <c r="J511"/>
  <c r="T510"/>
  <c r="W393"/>
  <c r="V394" s="1"/>
  <c r="S509" l="1"/>
  <c r="Q509"/>
  <c r="K511"/>
  <c r="J512"/>
  <c r="G511"/>
  <c r="T511"/>
  <c r="M511"/>
  <c r="N510"/>
  <c r="R510" s="1"/>
  <c r="U394"/>
  <c r="S510" l="1"/>
  <c r="N511"/>
  <c r="R511" s="1"/>
  <c r="Q510"/>
  <c r="K512"/>
  <c r="G512"/>
  <c r="J513"/>
  <c r="T512"/>
  <c r="M512"/>
  <c r="W394"/>
  <c r="V395" s="1"/>
  <c r="S511" l="1"/>
  <c r="Q511"/>
  <c r="N512"/>
  <c r="R512" s="1"/>
  <c r="S512" s="1"/>
  <c r="K513"/>
  <c r="G513"/>
  <c r="M513"/>
  <c r="T513"/>
  <c r="J514"/>
  <c r="U395"/>
  <c r="Q512" l="1"/>
  <c r="N513"/>
  <c r="R513" s="1"/>
  <c r="S513" s="1"/>
  <c r="K514"/>
  <c r="G514"/>
  <c r="M514"/>
  <c r="J515"/>
  <c r="T514"/>
  <c r="W395"/>
  <c r="V396" s="1"/>
  <c r="K515" l="1"/>
  <c r="J516"/>
  <c r="G515"/>
  <c r="M515"/>
  <c r="T515"/>
  <c r="Q513"/>
  <c r="N514"/>
  <c r="Q514" s="1"/>
  <c r="U396"/>
  <c r="N515" l="1"/>
  <c r="R515" s="1"/>
  <c r="R514"/>
  <c r="S514" s="1"/>
  <c r="K516"/>
  <c r="G516"/>
  <c r="M516"/>
  <c r="J517"/>
  <c r="T516"/>
  <c r="W396"/>
  <c r="V397" s="1"/>
  <c r="Q515" l="1"/>
  <c r="N516"/>
  <c r="R516" s="1"/>
  <c r="K517"/>
  <c r="T517"/>
  <c r="T518" s="1"/>
  <c r="M517"/>
  <c r="J518"/>
  <c r="G517"/>
  <c r="S515"/>
  <c r="U397"/>
  <c r="Q516" l="1"/>
  <c r="N517"/>
  <c r="N518" s="1"/>
  <c r="K518"/>
  <c r="G518"/>
  <c r="J519"/>
  <c r="M518"/>
  <c r="S516"/>
  <c r="W397"/>
  <c r="V398" s="1"/>
  <c r="Q517" l="1"/>
  <c r="Q518" s="1"/>
  <c r="R517"/>
  <c r="R518" s="1"/>
  <c r="K519"/>
  <c r="G519"/>
  <c r="M519"/>
  <c r="J520"/>
  <c r="T519"/>
  <c r="U398"/>
  <c r="S517" l="1"/>
  <c r="S518" s="1"/>
  <c r="K520"/>
  <c r="M520"/>
  <c r="T520"/>
  <c r="J521"/>
  <c r="G520"/>
  <c r="N519"/>
  <c r="Q519" s="1"/>
  <c r="W398"/>
  <c r="V399" s="1"/>
  <c r="R519" l="1"/>
  <c r="S519" s="1"/>
  <c r="K521"/>
  <c r="M521"/>
  <c r="J522"/>
  <c r="T521"/>
  <c r="G521"/>
  <c r="N520"/>
  <c r="R520" s="1"/>
  <c r="U399"/>
  <c r="S520" l="1"/>
  <c r="Q520"/>
  <c r="K522"/>
  <c r="G522"/>
  <c r="J523"/>
  <c r="M522"/>
  <c r="T522"/>
  <c r="N521"/>
  <c r="R521" s="1"/>
  <c r="W399"/>
  <c r="V400" s="1"/>
  <c r="V401" s="1"/>
  <c r="S521" l="1"/>
  <c r="K523"/>
  <c r="J524"/>
  <c r="T523"/>
  <c r="M523"/>
  <c r="G523"/>
  <c r="N522"/>
  <c r="Q522" s="1"/>
  <c r="Q521"/>
  <c r="U400"/>
  <c r="R522" l="1"/>
  <c r="S522" s="1"/>
  <c r="K524"/>
  <c r="J525"/>
  <c r="T524"/>
  <c r="M524"/>
  <c r="G524"/>
  <c r="N523"/>
  <c r="Q523" s="1"/>
  <c r="W400"/>
  <c r="W401" s="1"/>
  <c r="V402" s="1"/>
  <c r="U401"/>
  <c r="U402" l="1"/>
  <c r="R523"/>
  <c r="S523" s="1"/>
  <c r="N524"/>
  <c r="R524" s="1"/>
  <c r="K525"/>
  <c r="J526"/>
  <c r="T525"/>
  <c r="M525"/>
  <c r="G525"/>
  <c r="W402"/>
  <c r="V403" s="1"/>
  <c r="S524" l="1"/>
  <c r="Q524"/>
  <c r="K526"/>
  <c r="T526"/>
  <c r="J527"/>
  <c r="G526"/>
  <c r="M526"/>
  <c r="N525"/>
  <c r="R525" s="1"/>
  <c r="U403"/>
  <c r="S525" l="1"/>
  <c r="K527"/>
  <c r="J528"/>
  <c r="T527"/>
  <c r="G527"/>
  <c r="M527"/>
  <c r="N526"/>
  <c r="R526" s="1"/>
  <c r="Q525"/>
  <c r="W403"/>
  <c r="V404" s="1"/>
  <c r="S526" l="1"/>
  <c r="U404"/>
  <c r="W404" s="1"/>
  <c r="V405" s="1"/>
  <c r="N527"/>
  <c r="R527" s="1"/>
  <c r="S527" s="1"/>
  <c r="Q526"/>
  <c r="K528"/>
  <c r="J529"/>
  <c r="G528"/>
  <c r="M528"/>
  <c r="T528"/>
  <c r="Q527" l="1"/>
  <c r="K529"/>
  <c r="M529"/>
  <c r="G529"/>
  <c r="J530"/>
  <c r="T529"/>
  <c r="N528"/>
  <c r="Q528" s="1"/>
  <c r="U405"/>
  <c r="R528" l="1"/>
  <c r="S528" s="1"/>
  <c r="N529"/>
  <c r="R529" s="1"/>
  <c r="K530"/>
  <c r="T530"/>
  <c r="T531" s="1"/>
  <c r="M530"/>
  <c r="J531"/>
  <c r="G530"/>
  <c r="W405"/>
  <c r="V406" s="1"/>
  <c r="S529" l="1"/>
  <c r="Q529"/>
  <c r="M531"/>
  <c r="N530"/>
  <c r="N531" s="1"/>
  <c r="K531"/>
  <c r="G531"/>
  <c r="J532"/>
  <c r="U406"/>
  <c r="R530" l="1"/>
  <c r="R531" s="1"/>
  <c r="K532"/>
  <c r="M532"/>
  <c r="G532"/>
  <c r="J533"/>
  <c r="T532"/>
  <c r="Q530"/>
  <c r="Q531" s="1"/>
  <c r="W406"/>
  <c r="V407" s="1"/>
  <c r="S530" l="1"/>
  <c r="S531" s="1"/>
  <c r="N532"/>
  <c r="Q532" s="1"/>
  <c r="K533"/>
  <c r="J534"/>
  <c r="M533"/>
  <c r="T533"/>
  <c r="G533"/>
  <c r="U407"/>
  <c r="K534" l="1"/>
  <c r="J535"/>
  <c r="T534"/>
  <c r="G534"/>
  <c r="M534"/>
  <c r="R532"/>
  <c r="S532" s="1"/>
  <c r="N533"/>
  <c r="Q533" s="1"/>
  <c r="W407"/>
  <c r="V408" s="1"/>
  <c r="N534" l="1"/>
  <c r="R534" s="1"/>
  <c r="K535"/>
  <c r="M535"/>
  <c r="T535"/>
  <c r="J536"/>
  <c r="G535"/>
  <c r="R533"/>
  <c r="S533" s="1"/>
  <c r="U408"/>
  <c r="Q534" l="1"/>
  <c r="K536"/>
  <c r="J537"/>
  <c r="T536"/>
  <c r="G536"/>
  <c r="M536"/>
  <c r="N535"/>
  <c r="R535" s="1"/>
  <c r="S534"/>
  <c r="W408"/>
  <c r="V409" s="1"/>
  <c r="S535" l="1"/>
  <c r="Q535"/>
  <c r="K537"/>
  <c r="J538"/>
  <c r="M537"/>
  <c r="T537"/>
  <c r="G537"/>
  <c r="N536"/>
  <c r="R536" s="1"/>
  <c r="U409"/>
  <c r="S536" l="1"/>
  <c r="N537"/>
  <c r="Q537" s="1"/>
  <c r="Q536"/>
  <c r="K538"/>
  <c r="J539"/>
  <c r="T538"/>
  <c r="G538"/>
  <c r="M538"/>
  <c r="W409"/>
  <c r="V410" s="1"/>
  <c r="R537" l="1"/>
  <c r="S537" s="1"/>
  <c r="N538"/>
  <c r="R538" s="1"/>
  <c r="K539"/>
  <c r="J540"/>
  <c r="T539"/>
  <c r="M539"/>
  <c r="G539"/>
  <c r="U410"/>
  <c r="S538" l="1"/>
  <c r="Q538"/>
  <c r="N539"/>
  <c r="R539" s="1"/>
  <c r="K540"/>
  <c r="M540"/>
  <c r="G540"/>
  <c r="J541"/>
  <c r="T540"/>
  <c r="W410"/>
  <c r="V411" s="1"/>
  <c r="S539" l="1"/>
  <c r="Q539"/>
  <c r="K541"/>
  <c r="T541"/>
  <c r="M541"/>
  <c r="J542"/>
  <c r="G541"/>
  <c r="N540"/>
  <c r="Q540" s="1"/>
  <c r="U411"/>
  <c r="K542" l="1"/>
  <c r="J543"/>
  <c r="T542"/>
  <c r="G542"/>
  <c r="M542"/>
  <c r="N541"/>
  <c r="R541" s="1"/>
  <c r="R540"/>
  <c r="S540" s="1"/>
  <c r="W411"/>
  <c r="V412" s="1"/>
  <c r="S541" l="1"/>
  <c r="N542"/>
  <c r="R542" s="1"/>
  <c r="Q541"/>
  <c r="K543"/>
  <c r="G543"/>
  <c r="J544"/>
  <c r="M543"/>
  <c r="T543"/>
  <c r="T544" s="1"/>
  <c r="U412"/>
  <c r="S542" l="1"/>
  <c r="Q542"/>
  <c r="G544"/>
  <c r="J545"/>
  <c r="N543"/>
  <c r="N544" s="1"/>
  <c r="K544"/>
  <c r="M544"/>
  <c r="W412"/>
  <c r="V413" s="1"/>
  <c r="V414" s="1"/>
  <c r="Q543" l="1"/>
  <c r="Q544" s="1"/>
  <c r="R543"/>
  <c r="R544" s="1"/>
  <c r="K545"/>
  <c r="J546"/>
  <c r="T545"/>
  <c r="G545"/>
  <c r="M545"/>
  <c r="U413"/>
  <c r="S543" l="1"/>
  <c r="S544" s="1"/>
  <c r="K546"/>
  <c r="T546"/>
  <c r="M546"/>
  <c r="J547"/>
  <c r="G546"/>
  <c r="N545"/>
  <c r="Q545" s="1"/>
  <c r="W413"/>
  <c r="W414" s="1"/>
  <c r="V415" s="1"/>
  <c r="U414"/>
  <c r="U415" l="1"/>
  <c r="R545"/>
  <c r="S545" s="1"/>
  <c r="N546"/>
  <c r="Q546" s="1"/>
  <c r="K547"/>
  <c r="M547"/>
  <c r="G547"/>
  <c r="J548"/>
  <c r="T547"/>
  <c r="W415"/>
  <c r="V416" s="1"/>
  <c r="R546" l="1"/>
  <c r="S546" s="1"/>
  <c r="N547"/>
  <c r="R547" s="1"/>
  <c r="K548"/>
  <c r="J549"/>
  <c r="G548"/>
  <c r="M548"/>
  <c r="T548"/>
  <c r="U416"/>
  <c r="S547" l="1"/>
  <c r="Q547"/>
  <c r="N548"/>
  <c r="R548" s="1"/>
  <c r="K549"/>
  <c r="G549"/>
  <c r="M549"/>
  <c r="J550"/>
  <c r="T549"/>
  <c r="W416"/>
  <c r="V417" s="1"/>
  <c r="S548" l="1"/>
  <c r="Q548"/>
  <c r="N549"/>
  <c r="Q549" s="1"/>
  <c r="K550"/>
  <c r="J551"/>
  <c r="M550"/>
  <c r="T550"/>
  <c r="G550"/>
  <c r="U417"/>
  <c r="R549" l="1"/>
  <c r="S549" s="1"/>
  <c r="N550"/>
  <c r="Q550" s="1"/>
  <c r="K551"/>
  <c r="M551"/>
  <c r="G551"/>
  <c r="J552"/>
  <c r="T551"/>
  <c r="W417"/>
  <c r="V418" s="1"/>
  <c r="R550" l="1"/>
  <c r="S550" s="1"/>
  <c r="N551"/>
  <c r="R551" s="1"/>
  <c r="K552"/>
  <c r="M552"/>
  <c r="J553"/>
  <c r="G552"/>
  <c r="T552"/>
  <c r="U418"/>
  <c r="W418" s="1"/>
  <c r="V419" s="1"/>
  <c r="S551" l="1"/>
  <c r="Q551"/>
  <c r="N552"/>
  <c r="R552" s="1"/>
  <c r="S552" s="1"/>
  <c r="K553"/>
  <c r="G553"/>
  <c r="M553"/>
  <c r="J554"/>
  <c r="T553"/>
  <c r="U419"/>
  <c r="Q552" l="1"/>
  <c r="N553"/>
  <c r="R553" s="1"/>
  <c r="S553" s="1"/>
  <c r="K554"/>
  <c r="J555"/>
  <c r="T554"/>
  <c r="M554"/>
  <c r="G554"/>
  <c r="W419"/>
  <c r="V420" s="1"/>
  <c r="U420" l="1"/>
  <c r="Q553"/>
  <c r="N554"/>
  <c r="R554" s="1"/>
  <c r="S554" s="1"/>
  <c r="K555"/>
  <c r="J556"/>
  <c r="G555"/>
  <c r="T555"/>
  <c r="M555"/>
  <c r="W420"/>
  <c r="V421" s="1"/>
  <c r="Q554" l="1"/>
  <c r="N555"/>
  <c r="Q555" s="1"/>
  <c r="K556"/>
  <c r="J557"/>
  <c r="G556"/>
  <c r="T556"/>
  <c r="T557" s="1"/>
  <c r="M556"/>
  <c r="U421"/>
  <c r="R555" l="1"/>
  <c r="S555" s="1"/>
  <c r="M557"/>
  <c r="J558"/>
  <c r="G557"/>
  <c r="N556"/>
  <c r="N557" s="1"/>
  <c r="K557"/>
  <c r="W421"/>
  <c r="V422" s="1"/>
  <c r="K558" l="1"/>
  <c r="J559"/>
  <c r="T558"/>
  <c r="M558"/>
  <c r="G558"/>
  <c r="Q556"/>
  <c r="Q557" s="1"/>
  <c r="R556"/>
  <c r="U422"/>
  <c r="R557" l="1"/>
  <c r="S556"/>
  <c r="S557" s="1"/>
  <c r="N558"/>
  <c r="Q558" s="1"/>
  <c r="K559"/>
  <c r="G559"/>
  <c r="T559"/>
  <c r="M559"/>
  <c r="J560"/>
  <c r="W422"/>
  <c r="V423" s="1"/>
  <c r="K560" l="1"/>
  <c r="M560"/>
  <c r="J561"/>
  <c r="T560"/>
  <c r="G560"/>
  <c r="R558"/>
  <c r="N559"/>
  <c r="Q559" s="1"/>
  <c r="U423"/>
  <c r="R559" l="1"/>
  <c r="S558"/>
  <c r="K561"/>
  <c r="T561"/>
  <c r="M561"/>
  <c r="J562"/>
  <c r="G561"/>
  <c r="N560"/>
  <c r="Q560" s="1"/>
  <c r="W423"/>
  <c r="V424" s="1"/>
  <c r="S559" l="1"/>
  <c r="N561"/>
  <c r="R561" s="1"/>
  <c r="K562"/>
  <c r="J563"/>
  <c r="T562"/>
  <c r="M562"/>
  <c r="G562"/>
  <c r="R560"/>
  <c r="U424"/>
  <c r="Q561" l="1"/>
  <c r="S560"/>
  <c r="S561" s="1"/>
  <c r="N562"/>
  <c r="R562" s="1"/>
  <c r="K563"/>
  <c r="J564"/>
  <c r="G563"/>
  <c r="M563"/>
  <c r="T563"/>
  <c r="W424"/>
  <c r="V425" s="1"/>
  <c r="Q562" l="1"/>
  <c r="S562"/>
  <c r="N563"/>
  <c r="R563" s="1"/>
  <c r="K564"/>
  <c r="M564"/>
  <c r="G564"/>
  <c r="J565"/>
  <c r="T564"/>
  <c r="U425"/>
  <c r="S563" l="1"/>
  <c r="Q563"/>
  <c r="N564"/>
  <c r="R564" s="1"/>
  <c r="K565"/>
  <c r="M565"/>
  <c r="G565"/>
  <c r="J566"/>
  <c r="T565"/>
  <c r="W425"/>
  <c r="V426" s="1"/>
  <c r="V427" s="1"/>
  <c r="S564" l="1"/>
  <c r="Q564"/>
  <c r="N565"/>
  <c r="R565" s="1"/>
  <c r="K566"/>
  <c r="J567"/>
  <c r="G566"/>
  <c r="M566"/>
  <c r="T566"/>
  <c r="U426"/>
  <c r="Q565" l="1"/>
  <c r="K567"/>
  <c r="T567"/>
  <c r="J568"/>
  <c r="G567"/>
  <c r="M567"/>
  <c r="N566"/>
  <c r="Q566" s="1"/>
  <c r="S565"/>
  <c r="W426"/>
  <c r="W427" s="1"/>
  <c r="V428" s="1"/>
  <c r="U427"/>
  <c r="U428" l="1"/>
  <c r="K568"/>
  <c r="J569"/>
  <c r="T568"/>
  <c r="M568"/>
  <c r="G568"/>
  <c r="N567"/>
  <c r="Q567" s="1"/>
  <c r="R566"/>
  <c r="S566" s="1"/>
  <c r="W428"/>
  <c r="V429" s="1"/>
  <c r="K569" l="1"/>
  <c r="G569"/>
  <c r="J570"/>
  <c r="M569"/>
  <c r="T569"/>
  <c r="T570" s="1"/>
  <c r="N568"/>
  <c r="R568" s="1"/>
  <c r="R567"/>
  <c r="S567" s="1"/>
  <c r="U429"/>
  <c r="S568" l="1"/>
  <c r="Q568"/>
  <c r="G570"/>
  <c r="J571"/>
  <c r="N569"/>
  <c r="N570" s="1"/>
  <c r="K570"/>
  <c r="M570"/>
  <c r="W429"/>
  <c r="V430" s="1"/>
  <c r="K571" l="1"/>
  <c r="J572"/>
  <c r="T571"/>
  <c r="M571"/>
  <c r="G571"/>
  <c r="Q569"/>
  <c r="Q570" s="1"/>
  <c r="R569"/>
  <c r="U430"/>
  <c r="R570" l="1"/>
  <c r="S569"/>
  <c r="S570" s="1"/>
  <c r="N571"/>
  <c r="Q571" s="1"/>
  <c r="K572"/>
  <c r="G572"/>
  <c r="J573"/>
  <c r="M572"/>
  <c r="T572"/>
  <c r="W430"/>
  <c r="V431" s="1"/>
  <c r="K573" l="1"/>
  <c r="J574"/>
  <c r="T573"/>
  <c r="M573"/>
  <c r="G573"/>
  <c r="N572"/>
  <c r="Q572" s="1"/>
  <c r="R571"/>
  <c r="S571" s="1"/>
  <c r="U431"/>
  <c r="W431" s="1"/>
  <c r="V432" s="1"/>
  <c r="N573" l="1"/>
  <c r="Q573" s="1"/>
  <c r="R572"/>
  <c r="S572" s="1"/>
  <c r="J575"/>
  <c r="K574"/>
  <c r="G574"/>
  <c r="M574"/>
  <c r="T574"/>
  <c r="U432"/>
  <c r="R573" l="1"/>
  <c r="S573" s="1"/>
  <c r="N574"/>
  <c r="R574" s="1"/>
  <c r="K575"/>
  <c r="M575"/>
  <c r="J576"/>
  <c r="T575"/>
  <c r="G575"/>
  <c r="W432"/>
  <c r="V433" s="1"/>
  <c r="S574" l="1"/>
  <c r="Q574"/>
  <c r="K576"/>
  <c r="M576"/>
  <c r="J577"/>
  <c r="T576"/>
  <c r="G576"/>
  <c r="N575"/>
  <c r="Q575" s="1"/>
  <c r="U433"/>
  <c r="K577" l="1"/>
  <c r="J578"/>
  <c r="G577"/>
  <c r="M577"/>
  <c r="T577"/>
  <c r="N576"/>
  <c r="Q576" s="1"/>
  <c r="R575"/>
  <c r="S575" s="1"/>
  <c r="W433"/>
  <c r="V434" s="1"/>
  <c r="N577" l="1"/>
  <c r="R577" s="1"/>
  <c r="R576"/>
  <c r="S576" s="1"/>
  <c r="K578"/>
  <c r="M578"/>
  <c r="J579"/>
  <c r="G578"/>
  <c r="T578"/>
  <c r="U434"/>
  <c r="W434" s="1"/>
  <c r="V435" s="1"/>
  <c r="S577" l="1"/>
  <c r="Q577"/>
  <c r="K579"/>
  <c r="M579"/>
  <c r="G579"/>
  <c r="J580"/>
  <c r="T579"/>
  <c r="N578"/>
  <c r="Q578" s="1"/>
  <c r="U435"/>
  <c r="R578" l="1"/>
  <c r="S578" s="1"/>
  <c r="K580"/>
  <c r="M580"/>
  <c r="T580"/>
  <c r="J581"/>
  <c r="G580"/>
  <c r="N579"/>
  <c r="Q579" s="1"/>
  <c r="W435"/>
  <c r="V436" s="1"/>
  <c r="K581" l="1"/>
  <c r="M581"/>
  <c r="G581"/>
  <c r="J582"/>
  <c r="T581"/>
  <c r="N580"/>
  <c r="R580" s="1"/>
  <c r="R579"/>
  <c r="S579" s="1"/>
  <c r="U436"/>
  <c r="W436" s="1"/>
  <c r="V437" s="1"/>
  <c r="S580" l="1"/>
  <c r="K582"/>
  <c r="T582"/>
  <c r="T583" s="1"/>
  <c r="M582"/>
  <c r="J583"/>
  <c r="G582"/>
  <c r="N581"/>
  <c r="R581" s="1"/>
  <c r="S581" s="1"/>
  <c r="Q580"/>
  <c r="U437"/>
  <c r="Q581" l="1"/>
  <c r="M583"/>
  <c r="N582"/>
  <c r="N583" s="1"/>
  <c r="K583"/>
  <c r="J584"/>
  <c r="G583"/>
  <c r="W437"/>
  <c r="V438" s="1"/>
  <c r="K584" l="1"/>
  <c r="J585"/>
  <c r="G584"/>
  <c r="T584"/>
  <c r="M584"/>
  <c r="Q582"/>
  <c r="Q583" s="1"/>
  <c r="R582"/>
  <c r="U438"/>
  <c r="K585" l="1"/>
  <c r="G585"/>
  <c r="M585"/>
  <c r="T585"/>
  <c r="J586"/>
  <c r="R583"/>
  <c r="S582"/>
  <c r="S583" s="1"/>
  <c r="N584"/>
  <c r="Q584" s="1"/>
  <c r="W438"/>
  <c r="V439" s="1"/>
  <c r="V440" s="1"/>
  <c r="K586" l="1"/>
  <c r="J587"/>
  <c r="M586"/>
  <c r="G586"/>
  <c r="T586"/>
  <c r="N585"/>
  <c r="Q585" s="1"/>
  <c r="R584"/>
  <c r="U439"/>
  <c r="R585" l="1"/>
  <c r="S584"/>
  <c r="N586"/>
  <c r="Q586" s="1"/>
  <c r="K587"/>
  <c r="T587"/>
  <c r="J588"/>
  <c r="G587"/>
  <c r="M587"/>
  <c r="W439"/>
  <c r="W440" s="1"/>
  <c r="V441" s="1"/>
  <c r="U440"/>
  <c r="U441" l="1"/>
  <c r="S585"/>
  <c r="R586"/>
  <c r="K588"/>
  <c r="J589"/>
  <c r="M588"/>
  <c r="T588"/>
  <c r="G588"/>
  <c r="N587"/>
  <c r="R587" s="1"/>
  <c r="W441" l="1"/>
  <c r="V442" s="1"/>
  <c r="S586"/>
  <c r="S587" s="1"/>
  <c r="Q587"/>
  <c r="N588"/>
  <c r="Q588" s="1"/>
  <c r="K589"/>
  <c r="J590"/>
  <c r="M589"/>
  <c r="T589"/>
  <c r="G589"/>
  <c r="U442" l="1"/>
  <c r="W442" s="1"/>
  <c r="V443" s="1"/>
  <c r="N589"/>
  <c r="Q589" s="1"/>
  <c r="R588"/>
  <c r="K590"/>
  <c r="J591"/>
  <c r="T590"/>
  <c r="G590"/>
  <c r="M590"/>
  <c r="U443" l="1"/>
  <c r="W443" s="1"/>
  <c r="V444" s="1"/>
  <c r="R589"/>
  <c r="K591"/>
  <c r="M591"/>
  <c r="T591"/>
  <c r="J592"/>
  <c r="G591"/>
  <c r="S588"/>
  <c r="N590"/>
  <c r="R590" s="1"/>
  <c r="U444" l="1"/>
  <c r="W444" s="1"/>
  <c r="V445" s="1"/>
  <c r="S589"/>
  <c r="S590" s="1"/>
  <c r="K592"/>
  <c r="G592"/>
  <c r="M592"/>
  <c r="J593"/>
  <c r="T592"/>
  <c r="N591"/>
  <c r="R591" s="1"/>
  <c r="Q590"/>
  <c r="U445" l="1"/>
  <c r="W445" s="1"/>
  <c r="V446" s="1"/>
  <c r="S591"/>
  <c r="Q591"/>
  <c r="K593"/>
  <c r="J594"/>
  <c r="G593"/>
  <c r="M593"/>
  <c r="T593"/>
  <c r="N592"/>
  <c r="Q592" s="1"/>
  <c r="R592" l="1"/>
  <c r="S592" s="1"/>
  <c r="N593"/>
  <c r="R593" s="1"/>
  <c r="K594"/>
  <c r="G594"/>
  <c r="M594"/>
  <c r="J595"/>
  <c r="T594"/>
  <c r="U446"/>
  <c r="S593" l="1"/>
  <c r="Q593"/>
  <c r="N594"/>
  <c r="R594" s="1"/>
  <c r="K595"/>
  <c r="J596"/>
  <c r="G596" s="1"/>
  <c r="M595"/>
  <c r="T595"/>
  <c r="T596" s="1"/>
  <c r="T597" s="1"/>
  <c r="G595"/>
  <c r="W446"/>
  <c r="V447" s="1"/>
  <c r="S594" l="1"/>
  <c r="Q594"/>
  <c r="M596"/>
  <c r="M597" s="1"/>
  <c r="L50" s="1"/>
  <c r="N595"/>
  <c r="N596" s="1"/>
  <c r="N597" s="1"/>
  <c r="K596"/>
  <c r="K597" s="1"/>
  <c r="U447"/>
  <c r="L49" l="1"/>
  <c r="M63"/>
  <c r="R595"/>
  <c r="S595" s="1"/>
  <c r="S596" s="1"/>
  <c r="S597" s="1"/>
  <c r="L51"/>
  <c r="L63"/>
  <c r="Q595"/>
  <c r="Q596" s="1"/>
  <c r="Q597" s="1"/>
  <c r="Q63" s="1"/>
  <c r="W447"/>
  <c r="V448" s="1"/>
  <c r="R596" l="1"/>
  <c r="R597" s="1"/>
  <c r="L52"/>
  <c r="M50" s="1"/>
  <c r="U448"/>
  <c r="M49" l="1"/>
  <c r="M52"/>
  <c r="M51"/>
  <c r="W448"/>
  <c r="V449" s="1"/>
  <c r="U449" l="1"/>
  <c r="W449" l="1"/>
  <c r="V450" s="1"/>
  <c r="U450" l="1"/>
  <c r="W450" l="1"/>
  <c r="V451" s="1"/>
  <c r="U451" l="1"/>
  <c r="W451" l="1"/>
  <c r="V452" s="1"/>
  <c r="V453" s="1"/>
  <c r="U452" l="1"/>
  <c r="U453" s="1"/>
  <c r="W452" l="1"/>
  <c r="W453" s="1"/>
  <c r="V454" s="1"/>
  <c r="U454" l="1"/>
  <c r="W454" l="1"/>
  <c r="V455" s="1"/>
  <c r="U455" l="1"/>
  <c r="W455" s="1"/>
  <c r="V456" s="1"/>
  <c r="U456" l="1"/>
  <c r="W456" s="1"/>
  <c r="V457" s="1"/>
  <c r="U457" l="1"/>
  <c r="W457" l="1"/>
  <c r="V458" s="1"/>
  <c r="U458" l="1"/>
  <c r="W458" s="1"/>
  <c r="V459" s="1"/>
  <c r="U459" l="1"/>
  <c r="W459" s="1"/>
  <c r="V460" s="1"/>
  <c r="U460" l="1"/>
  <c r="W460" s="1"/>
  <c r="V461" s="1"/>
  <c r="U461" l="1"/>
  <c r="W461" s="1"/>
  <c r="V462" s="1"/>
  <c r="U462" l="1"/>
  <c r="W462" s="1"/>
  <c r="V463" s="1"/>
  <c r="U463" l="1"/>
  <c r="W463" s="1"/>
  <c r="V464" s="1"/>
  <c r="U464" l="1"/>
  <c r="W464" s="1"/>
  <c r="V465" s="1"/>
  <c r="V466" s="1"/>
  <c r="U465" l="1"/>
  <c r="U466" s="1"/>
  <c r="W465" l="1"/>
  <c r="W466" s="1"/>
  <c r="V467" s="1"/>
  <c r="U467" l="1"/>
  <c r="W467" l="1"/>
  <c r="V468" s="1"/>
  <c r="U468" l="1"/>
  <c r="W468" l="1"/>
  <c r="V469" s="1"/>
  <c r="U469" l="1"/>
  <c r="W469" s="1"/>
  <c r="V470" s="1"/>
  <c r="U470" l="1"/>
  <c r="W470" s="1"/>
  <c r="V471" s="1"/>
  <c r="U471" l="1"/>
  <c r="W471" s="1"/>
  <c r="V472" s="1"/>
  <c r="U472" l="1"/>
  <c r="W472" s="1"/>
  <c r="V473" s="1"/>
  <c r="U473" l="1"/>
  <c r="W473" s="1"/>
  <c r="V474" s="1"/>
  <c r="U474" l="1"/>
  <c r="W474" s="1"/>
  <c r="V475" s="1"/>
  <c r="U475" l="1"/>
  <c r="W475" s="1"/>
  <c r="V476" s="1"/>
  <c r="U476" l="1"/>
  <c r="W476" l="1"/>
  <c r="V477" s="1"/>
  <c r="U477" l="1"/>
  <c r="W477" s="1"/>
  <c r="V478" s="1"/>
  <c r="V479" s="1"/>
  <c r="U478" l="1"/>
  <c r="U479" s="1"/>
  <c r="W478" l="1"/>
  <c r="W479" s="1"/>
  <c r="V480" s="1"/>
  <c r="U480" l="1"/>
  <c r="W480" l="1"/>
  <c r="V481" s="1"/>
  <c r="U481" l="1"/>
  <c r="W481" l="1"/>
  <c r="V482" s="1"/>
  <c r="U482" l="1"/>
  <c r="W482" s="1"/>
  <c r="V483" s="1"/>
  <c r="U483" l="1"/>
  <c r="W483" s="1"/>
  <c r="V484" s="1"/>
  <c r="U484" l="1"/>
  <c r="W484" s="1"/>
  <c r="V485" s="1"/>
  <c r="U485" l="1"/>
  <c r="W485" s="1"/>
  <c r="V486" s="1"/>
  <c r="U486" l="1"/>
  <c r="W486" s="1"/>
  <c r="V487" s="1"/>
  <c r="U487" l="1"/>
  <c r="W487" s="1"/>
  <c r="V488" s="1"/>
  <c r="U488" l="1"/>
  <c r="W488" s="1"/>
  <c r="V489" s="1"/>
  <c r="U489" l="1"/>
  <c r="W489" s="1"/>
  <c r="V490" s="1"/>
  <c r="U490" l="1"/>
  <c r="W490" s="1"/>
  <c r="V491" s="1"/>
  <c r="V492" s="1"/>
  <c r="U491" l="1"/>
  <c r="U492" s="1"/>
  <c r="W491" l="1"/>
  <c r="W492" s="1"/>
  <c r="V493" s="1"/>
  <c r="U493" l="1"/>
  <c r="W493" l="1"/>
  <c r="V494" s="1"/>
  <c r="U494" l="1"/>
  <c r="W494" s="1"/>
  <c r="V495" s="1"/>
  <c r="U495" l="1"/>
  <c r="W495" s="1"/>
  <c r="V496" s="1"/>
  <c r="U496" l="1"/>
  <c r="W496" s="1"/>
  <c r="V497" s="1"/>
  <c r="U497" l="1"/>
  <c r="W497" s="1"/>
  <c r="V498" s="1"/>
  <c r="U498" l="1"/>
  <c r="W498" s="1"/>
  <c r="V499" s="1"/>
  <c r="U499" l="1"/>
  <c r="W499" s="1"/>
  <c r="V500" s="1"/>
  <c r="U500" l="1"/>
  <c r="W500" s="1"/>
  <c r="V501" s="1"/>
  <c r="U501" l="1"/>
  <c r="W501" s="1"/>
  <c r="V502" s="1"/>
  <c r="U502" l="1"/>
  <c r="W502" s="1"/>
  <c r="V503" s="1"/>
  <c r="U503" l="1"/>
  <c r="W503" s="1"/>
  <c r="V504" s="1"/>
  <c r="V505" s="1"/>
  <c r="U504" l="1"/>
  <c r="U505" s="1"/>
  <c r="W504" l="1"/>
  <c r="W505" s="1"/>
  <c r="V506" s="1"/>
  <c r="U506" l="1"/>
  <c r="W506" l="1"/>
  <c r="V507" s="1"/>
  <c r="U507" l="1"/>
  <c r="W507" l="1"/>
  <c r="V508" s="1"/>
  <c r="U508" l="1"/>
  <c r="W508" l="1"/>
  <c r="V509" s="1"/>
  <c r="U509" l="1"/>
  <c r="W509" s="1"/>
  <c r="V510" s="1"/>
  <c r="U510" l="1"/>
  <c r="W510" s="1"/>
  <c r="V511" s="1"/>
  <c r="U511" l="1"/>
  <c r="W511" l="1"/>
  <c r="V512" s="1"/>
  <c r="U512" l="1"/>
  <c r="W512" l="1"/>
  <c r="V513" s="1"/>
  <c r="U513" l="1"/>
  <c r="W513" l="1"/>
  <c r="V514" s="1"/>
  <c r="U514" l="1"/>
  <c r="W514" s="1"/>
  <c r="V515" s="1"/>
  <c r="U515" l="1"/>
  <c r="W515" s="1"/>
  <c r="V516" s="1"/>
  <c r="U516" l="1"/>
  <c r="W516" s="1"/>
  <c r="V517" s="1"/>
  <c r="V518" s="1"/>
  <c r="U517" l="1"/>
  <c r="U518" s="1"/>
  <c r="W517" l="1"/>
  <c r="W518" s="1"/>
  <c r="V519" s="1"/>
  <c r="U519" l="1"/>
  <c r="W519" l="1"/>
  <c r="V520" s="1"/>
  <c r="U520" l="1"/>
  <c r="W520" l="1"/>
  <c r="V521" s="1"/>
  <c r="U521" l="1"/>
  <c r="W521" s="1"/>
  <c r="V522" s="1"/>
  <c r="U522" l="1"/>
  <c r="W522" l="1"/>
  <c r="V523" s="1"/>
  <c r="U523" l="1"/>
  <c r="W523" s="1"/>
  <c r="V524" s="1"/>
  <c r="U524" l="1"/>
  <c r="W524" s="1"/>
  <c r="V525" s="1"/>
  <c r="U525" l="1"/>
  <c r="W525" l="1"/>
  <c r="V526" s="1"/>
  <c r="U526" l="1"/>
  <c r="W526" s="1"/>
  <c r="V527" s="1"/>
  <c r="U527" l="1"/>
  <c r="W527" s="1"/>
  <c r="V528" s="1"/>
  <c r="U528" l="1"/>
  <c r="W528" s="1"/>
  <c r="V529" s="1"/>
  <c r="U529" l="1"/>
  <c r="W529" s="1"/>
  <c r="V530" s="1"/>
  <c r="V531" s="1"/>
  <c r="U530" l="1"/>
  <c r="U531" s="1"/>
  <c r="W530" l="1"/>
  <c r="W531" s="1"/>
  <c r="V532" s="1"/>
  <c r="U532" l="1"/>
  <c r="W532" s="1"/>
  <c r="V533" s="1"/>
  <c r="U533" l="1"/>
  <c r="W533" s="1"/>
  <c r="V534" s="1"/>
  <c r="U534" l="1"/>
  <c r="W534" s="1"/>
  <c r="V535" s="1"/>
  <c r="U535" l="1"/>
  <c r="W535" s="1"/>
  <c r="V536" s="1"/>
  <c r="U536" l="1"/>
  <c r="W536" s="1"/>
  <c r="V537" s="1"/>
  <c r="U537" l="1"/>
  <c r="W537" s="1"/>
  <c r="V538" s="1"/>
  <c r="U538" l="1"/>
  <c r="W538" s="1"/>
  <c r="V539" s="1"/>
  <c r="U539" l="1"/>
  <c r="W539" s="1"/>
  <c r="V540" s="1"/>
  <c r="U540" l="1"/>
  <c r="W540" s="1"/>
  <c r="V541" s="1"/>
  <c r="U541" l="1"/>
  <c r="W541" l="1"/>
  <c r="V542" s="1"/>
  <c r="U542" l="1"/>
  <c r="W542" s="1"/>
  <c r="V543" s="1"/>
  <c r="V544" s="1"/>
  <c r="U543" l="1"/>
  <c r="U544" s="1"/>
  <c r="W543" l="1"/>
  <c r="W544" s="1"/>
  <c r="V545" s="1"/>
  <c r="U545" l="1"/>
  <c r="W545" l="1"/>
  <c r="V546" s="1"/>
  <c r="U546" l="1"/>
  <c r="W546" l="1"/>
  <c r="V547" s="1"/>
  <c r="U547" l="1"/>
  <c r="W547" s="1"/>
  <c r="V548" s="1"/>
  <c r="U548" l="1"/>
  <c r="W548" l="1"/>
  <c r="V549" s="1"/>
  <c r="U549" l="1"/>
  <c r="W549" s="1"/>
  <c r="V550" s="1"/>
  <c r="U550" l="1"/>
  <c r="W550" s="1"/>
  <c r="V551" s="1"/>
  <c r="U551" l="1"/>
  <c r="W551" s="1"/>
  <c r="V552" s="1"/>
  <c r="U552" l="1"/>
  <c r="W552" s="1"/>
  <c r="V553" s="1"/>
  <c r="U553" l="1"/>
  <c r="W553" s="1"/>
  <c r="V554" s="1"/>
  <c r="U554" l="1"/>
  <c r="W554" s="1"/>
  <c r="V555" s="1"/>
  <c r="U555" l="1"/>
  <c r="W555" s="1"/>
  <c r="V556" s="1"/>
  <c r="V557" s="1"/>
  <c r="U556" l="1"/>
  <c r="U557" s="1"/>
  <c r="W556" l="1"/>
  <c r="W557" s="1"/>
  <c r="V558" s="1"/>
  <c r="U558" l="1"/>
  <c r="W558" s="1"/>
  <c r="V559" s="1"/>
  <c r="U559" l="1"/>
  <c r="W559" s="1"/>
  <c r="V560" s="1"/>
  <c r="U560" l="1"/>
  <c r="W560" s="1"/>
  <c r="V561" s="1"/>
  <c r="U561" l="1"/>
  <c r="W561" s="1"/>
  <c r="V562" s="1"/>
  <c r="U562" l="1"/>
  <c r="W562" s="1"/>
  <c r="V563" s="1"/>
  <c r="U563" l="1"/>
  <c r="W563" s="1"/>
  <c r="V564" s="1"/>
  <c r="U564" l="1"/>
  <c r="W564" s="1"/>
  <c r="V565" s="1"/>
  <c r="U565" l="1"/>
  <c r="W565" s="1"/>
  <c r="V566" s="1"/>
  <c r="U566" l="1"/>
  <c r="W566" s="1"/>
  <c r="V567" s="1"/>
  <c r="U567" l="1"/>
  <c r="W567" s="1"/>
  <c r="V568" s="1"/>
  <c r="U568" l="1"/>
  <c r="W568" s="1"/>
  <c r="V569" s="1"/>
  <c r="V570" s="1"/>
  <c r="U569" l="1"/>
  <c r="U570" s="1"/>
  <c r="W569" l="1"/>
  <c r="W570" s="1"/>
  <c r="V571" s="1"/>
  <c r="U571" l="1"/>
  <c r="W571" s="1"/>
  <c r="V572" s="1"/>
  <c r="U572" l="1"/>
  <c r="W572" s="1"/>
  <c r="V573" s="1"/>
  <c r="U573" l="1"/>
  <c r="W573" s="1"/>
  <c r="V574" s="1"/>
  <c r="U574" l="1"/>
  <c r="W574" s="1"/>
  <c r="V575" s="1"/>
  <c r="U575" l="1"/>
  <c r="W575" s="1"/>
  <c r="V576" s="1"/>
  <c r="U576" l="1"/>
  <c r="W576" s="1"/>
  <c r="V577" s="1"/>
  <c r="U577" l="1"/>
  <c r="W577" s="1"/>
  <c r="V578" s="1"/>
  <c r="U578" l="1"/>
  <c r="W578" s="1"/>
  <c r="V579" s="1"/>
  <c r="U579" l="1"/>
  <c r="W579" s="1"/>
  <c r="V580" s="1"/>
  <c r="U580" l="1"/>
  <c r="W580" s="1"/>
  <c r="V581" s="1"/>
  <c r="U581" l="1"/>
  <c r="W581" s="1"/>
  <c r="V582" s="1"/>
  <c r="V583" s="1"/>
  <c r="U582" l="1"/>
  <c r="U583" s="1"/>
  <c r="W582" l="1"/>
  <c r="W583" s="1"/>
  <c r="V584" s="1"/>
  <c r="U584" l="1"/>
  <c r="W584" s="1"/>
  <c r="V585" s="1"/>
  <c r="U585" l="1"/>
  <c r="W585" s="1"/>
  <c r="V586" s="1"/>
  <c r="U586" l="1"/>
  <c r="W586" s="1"/>
  <c r="V587" s="1"/>
  <c r="U587" l="1"/>
  <c r="W587" s="1"/>
  <c r="V588" s="1"/>
  <c r="U588" l="1"/>
  <c r="W588" s="1"/>
  <c r="V589" s="1"/>
  <c r="U589" l="1"/>
  <c r="W589" s="1"/>
  <c r="V590" s="1"/>
  <c r="U590" l="1"/>
  <c r="W590" s="1"/>
  <c r="V591" s="1"/>
  <c r="U591" l="1"/>
  <c r="W591" s="1"/>
  <c r="V592" s="1"/>
  <c r="U592" l="1"/>
  <c r="W592" s="1"/>
  <c r="V593" s="1"/>
  <c r="U593" l="1"/>
  <c r="W593" s="1"/>
  <c r="V594" s="1"/>
  <c r="U594" l="1"/>
  <c r="W594" s="1"/>
  <c r="V595" s="1"/>
  <c r="V596" s="1"/>
  <c r="V597" s="1"/>
  <c r="U595" l="1"/>
  <c r="U596" s="1"/>
  <c r="U597" s="1"/>
  <c r="W595" l="1"/>
  <c r="W596" s="1"/>
  <c r="W597" s="1"/>
  <c r="J56" s="1"/>
  <c r="L53" l="1"/>
  <c r="M53" s="1"/>
  <c r="J69"/>
  <c r="K63"/>
</calcChain>
</file>

<file path=xl/comments1.xml><?xml version="1.0" encoding="utf-8"?>
<comments xmlns="http://schemas.openxmlformats.org/spreadsheetml/2006/main">
  <authors>
    <author>Marcel Dege</author>
  </authors>
  <commentList>
    <comment ref="B17" authorId="0">
      <text>
        <r>
          <rPr>
            <sz val="9"/>
            <color indexed="81"/>
            <rFont val="Tahoma"/>
            <family val="2"/>
          </rPr>
          <t xml:space="preserve">regelmäßige Beiträge sind die Sparraten die zu Beginn im Vertrag angesetzt sind. Diese können erhöht und gesenkt werden.
Bei Senkung --&gt; </t>
        </r>
        <r>
          <rPr>
            <b/>
            <sz val="9"/>
            <color indexed="81"/>
            <rFont val="Tahoma"/>
            <family val="2"/>
          </rPr>
          <t xml:space="preserve">gesenkte regelm. Beiträge </t>
        </r>
        <r>
          <rPr>
            <sz val="9"/>
            <color indexed="81"/>
            <rFont val="Tahoma"/>
            <family val="2"/>
          </rPr>
          <t xml:space="preserve">(bei anschließender Wiedererhöhung auf das vorherige Niveau, KEINE "zusätzlichen Beiträge")
Bei Erhöhung --&gt; </t>
        </r>
        <r>
          <rPr>
            <b/>
            <sz val="9"/>
            <color indexed="81"/>
            <rFont val="Tahoma"/>
            <family val="2"/>
          </rPr>
          <t xml:space="preserve">erhöhte regelm. Beiträge </t>
        </r>
        <r>
          <rPr>
            <sz val="9"/>
            <color indexed="81"/>
            <rFont val="Tahoma"/>
            <family val="2"/>
          </rPr>
          <t xml:space="preserve">(die Erhöhungsbetrage über das ursprüngliche Niveau hinweg stellen "zusätzliche Beiträge" dar)
</t>
        </r>
      </text>
    </comment>
    <comment ref="B24" authorId="0">
      <text>
        <r>
          <rPr>
            <b/>
            <sz val="9"/>
            <color indexed="81"/>
            <rFont val="Tahoma"/>
            <family val="2"/>
          </rPr>
          <t>zusätzliche Beiträge enthalten:</t>
        </r>
        <r>
          <rPr>
            <sz val="9"/>
            <color indexed="81"/>
            <rFont val="Tahoma"/>
            <family val="2"/>
          </rPr>
          <t xml:space="preserve">
- Sonderzahlungen
- staatliche Zulagen
- durch die "Dynamisierung" (regelmäßiger Beitrag wächst um 5% p.a.) die </t>
        </r>
        <r>
          <rPr>
            <u/>
            <sz val="9"/>
            <color indexed="81"/>
            <rFont val="Tahoma"/>
            <family val="2"/>
          </rPr>
          <t>ursprünglichen</t>
        </r>
        <r>
          <rPr>
            <sz val="9"/>
            <color indexed="81"/>
            <rFont val="Tahoma"/>
            <family val="2"/>
          </rPr>
          <t xml:space="preserve"> regelmäßigen Beiträge übertreffenden Beträge
- Erhöhungsbeträge der zu Beginn festgelegten regelmäßigen Beiträge
</t>
        </r>
        <r>
          <rPr>
            <b/>
            <sz val="9"/>
            <color indexed="81"/>
            <rFont val="Tahoma"/>
            <family val="2"/>
          </rPr>
          <t xml:space="preserve">Annahme:
</t>
        </r>
        <r>
          <rPr>
            <sz val="9"/>
            <color indexed="81"/>
            <rFont val="Tahoma"/>
            <family val="2"/>
          </rPr>
          <t xml:space="preserve">andere zusätzliche Beiträge, als Riester Basiszulage und die Reinvestition der erstatteten A&amp;VK, sind nicht relevant.
</t>
        </r>
      </text>
    </comment>
    <comment ref="B25" authorId="0">
      <text>
        <r>
          <rPr>
            <b/>
            <sz val="9"/>
            <color indexed="81"/>
            <rFont val="Tahoma"/>
            <family val="2"/>
          </rPr>
          <t>Annahme:</t>
        </r>
        <r>
          <rPr>
            <sz val="9"/>
            <color indexed="81"/>
            <rFont val="Tahoma"/>
            <family val="2"/>
          </rPr>
          <t xml:space="preserve">
4% Regel eingehalten
</t>
        </r>
      </text>
    </comment>
    <comment ref="B31" authorId="0">
      <text>
        <r>
          <rPr>
            <b/>
            <sz val="9"/>
            <color indexed="81"/>
            <rFont val="Tahoma"/>
            <charset val="1"/>
          </rPr>
          <t>laut RRP Antrag</t>
        </r>
      </text>
    </comment>
    <comment ref="J46" authorId="0">
      <text>
        <r>
          <rPr>
            <sz val="9"/>
            <color indexed="81"/>
            <rFont val="Tahoma"/>
            <family val="2"/>
          </rPr>
          <t xml:space="preserve">bei gegebener Performance
</t>
        </r>
      </text>
    </comment>
    <comment ref="C50" authorId="0">
      <text>
        <r>
          <rPr>
            <sz val="9"/>
            <color indexed="81"/>
            <rFont val="Tahoma"/>
            <family val="2"/>
          </rPr>
          <t>Summe der anfangs im Vertrag (beim Abschluss) festgesetzten "regelmäßigen Beiträge" über die Vertragslaufzeit (maximal 45 Jahre) multipliziert mit 5,5 %.</t>
        </r>
      </text>
    </comment>
    <comment ref="L76" authorId="0">
      <text>
        <r>
          <rPr>
            <sz val="9"/>
            <color indexed="81"/>
            <rFont val="Tahoma"/>
            <family val="2"/>
          </rPr>
          <t>A&amp;VK i.H.v. 5,5 % gezillmert über 5 Jahre.</t>
        </r>
      </text>
    </comment>
    <comment ref="M76" authorId="0">
      <text>
        <r>
          <rPr>
            <sz val="9"/>
            <color indexed="81"/>
            <rFont val="Tahoma"/>
            <family val="2"/>
          </rPr>
          <t xml:space="preserve">hier:
nur Basiszulage
</t>
        </r>
        <r>
          <rPr>
            <b/>
            <sz val="9"/>
            <color indexed="81"/>
            <rFont val="Tahoma"/>
            <family val="2"/>
          </rPr>
          <t>Annahme:</t>
        </r>
        <r>
          <rPr>
            <sz val="9"/>
            <color indexed="81"/>
            <rFont val="Tahoma"/>
            <family val="2"/>
          </rPr>
          <t xml:space="preserve">
Rückwirkende Erstattung vom Fiskus </t>
        </r>
        <r>
          <rPr>
            <b/>
            <sz val="9"/>
            <color indexed="81"/>
            <rFont val="Tahoma"/>
            <family val="2"/>
          </rPr>
          <t>im April</t>
        </r>
        <r>
          <rPr>
            <sz val="9"/>
            <color indexed="81"/>
            <rFont val="Tahoma"/>
            <family val="2"/>
          </rPr>
          <t xml:space="preserve"> des Folgejahres.
Im ersten Jahr soll die Zulage anteilig gewährt werden (50%).</t>
        </r>
      </text>
    </comment>
    <comment ref="N76" authorId="0">
      <text>
        <r>
          <rPr>
            <b/>
            <sz val="9"/>
            <color indexed="81"/>
            <rFont val="Tahoma"/>
            <family val="2"/>
          </rPr>
          <t>Reinvestition der Rabatte</t>
        </r>
        <r>
          <rPr>
            <sz val="9"/>
            <color indexed="81"/>
            <rFont val="Tahoma"/>
            <family val="2"/>
          </rPr>
          <t xml:space="preserve">
bei Abschluss über einen Vermittler wird davon ausgegangen, dass dieser die A&amp;VK erstattet und diese wieder in die RRP reinvestiert werden. steuerliche Auswirkungen auf diese Erstattungen bleiben hier unberücksichtigt.
</t>
        </r>
        <r>
          <rPr>
            <b/>
            <sz val="9"/>
            <color indexed="81"/>
            <rFont val="Tahoma"/>
            <family val="2"/>
          </rPr>
          <t>Umfang der Erstattung</t>
        </r>
        <r>
          <rPr>
            <sz val="9"/>
            <color indexed="81"/>
            <rFont val="Tahoma"/>
            <family val="2"/>
          </rPr>
          <t xml:space="preserve">
90,91% auf A&amp;VK (Abschlusskosten, 5 Jahre Regel), 100% auf sonstige A&amp;VK der zusätzlichen Beiträge
</t>
        </r>
        <r>
          <rPr>
            <b/>
            <sz val="9"/>
            <color indexed="81"/>
            <rFont val="Tahoma"/>
            <family val="2"/>
          </rPr>
          <t>Zeitraum der Erstattung</t>
        </r>
        <r>
          <rPr>
            <sz val="9"/>
            <color indexed="81"/>
            <rFont val="Tahoma"/>
            <family val="2"/>
          </rPr>
          <t xml:space="preserve">
die Annahme ist, dass A&amp;VK die in dem Zeitraum Oktober - September angefallen sind, </t>
        </r>
        <r>
          <rPr>
            <b/>
            <sz val="9"/>
            <color indexed="81"/>
            <rFont val="Tahoma"/>
            <family val="2"/>
          </rPr>
          <t>im MÄRZ</t>
        </r>
        <r>
          <rPr>
            <sz val="9"/>
            <color indexed="81"/>
            <rFont val="Tahoma"/>
            <family val="2"/>
          </rPr>
          <t xml:space="preserve"> des Folgejahres erstattet werden (vom Vermittler)</t>
        </r>
      </text>
    </comment>
    <comment ref="O76" authorId="0">
      <text>
        <r>
          <rPr>
            <sz val="9"/>
            <color indexed="81"/>
            <rFont val="Tahoma"/>
            <family val="2"/>
          </rPr>
          <t>Durch Heraufsetzung der zu Vertragsbeginn vereinbarten "regelmäßigen Beitgräge".</t>
        </r>
      </text>
    </comment>
    <comment ref="P76" authorId="0">
      <text>
        <r>
          <rPr>
            <sz val="9"/>
            <color indexed="81"/>
            <rFont val="Tahoma"/>
            <family val="2"/>
          </rPr>
          <t>Durch Wählen der Dynamisierungsfunktion im Vertrag. 
--&gt; "regelmäßige Beiträge" wachsen 5,0 % p.a. zu jedem 1. Januar.</t>
        </r>
      </text>
    </comment>
    <comment ref="T76" authorId="0">
      <text>
        <r>
          <rPr>
            <sz val="9"/>
            <color indexed="81"/>
            <rFont val="Tahoma"/>
            <family val="2"/>
          </rPr>
          <t xml:space="preserve">Abgerechnet einmal im Jahr, 
</t>
        </r>
        <r>
          <rPr>
            <b/>
            <sz val="9"/>
            <color indexed="81"/>
            <rFont val="Tahoma"/>
            <family val="2"/>
          </rPr>
          <t xml:space="preserve">Annahme: </t>
        </r>
        <r>
          <rPr>
            <sz val="9"/>
            <color indexed="81"/>
            <rFont val="Tahoma"/>
            <family val="2"/>
          </rPr>
          <t>Dezember eines jeden Jahres.</t>
        </r>
      </text>
    </comment>
    <comment ref="U76" authorId="0">
      <text>
        <r>
          <rPr>
            <sz val="9"/>
            <color indexed="81"/>
            <rFont val="Tahoma"/>
            <family val="2"/>
          </rPr>
          <t xml:space="preserve">Abgerechnet einmal im Jahr.
</t>
        </r>
        <r>
          <rPr>
            <b/>
            <sz val="9"/>
            <color indexed="81"/>
            <rFont val="Tahoma"/>
            <family val="2"/>
          </rPr>
          <t xml:space="preserve"> Annahme: </t>
        </r>
        <r>
          <rPr>
            <sz val="9"/>
            <color indexed="81"/>
            <rFont val="Tahoma"/>
            <family val="2"/>
          </rPr>
          <t>Dezember eines jeden Jahres.</t>
        </r>
      </text>
    </comment>
  </commentList>
</comments>
</file>

<file path=xl/sharedStrings.xml><?xml version="1.0" encoding="utf-8"?>
<sst xmlns="http://schemas.openxmlformats.org/spreadsheetml/2006/main" count="119" uniqueCount="98">
  <si>
    <t>Alter</t>
  </si>
  <si>
    <t>Periode</t>
  </si>
  <si>
    <t>Datum</t>
  </si>
  <si>
    <t>Sonderzahlungen</t>
  </si>
  <si>
    <t>Beitrags-jahr</t>
  </si>
  <si>
    <t>Fondsgebühren</t>
  </si>
  <si>
    <t>zusätzliche Beiträge</t>
  </si>
  <si>
    <t>regelmäßige Beiträge</t>
  </si>
  <si>
    <t>Sparrate</t>
  </si>
  <si>
    <t>nachträgliche Erhöhung der Sparrate</t>
  </si>
  <si>
    <t>abzgl. 5,0 % A&amp;VK</t>
  </si>
  <si>
    <r>
      <t xml:space="preserve">nachträgliche Erhöhung der Sparrate </t>
    </r>
    <r>
      <rPr>
        <b/>
        <sz val="11"/>
        <color rgb="FFFF0000"/>
        <rFont val="Arial"/>
        <family val="2"/>
      </rPr>
      <t>2</t>
    </r>
  </si>
  <si>
    <t>Zeitraum</t>
  </si>
  <si>
    <t>sonstige Kosten</t>
  </si>
  <si>
    <t>Depot-
gebühr</t>
  </si>
  <si>
    <t>Fonds-
gebühren</t>
  </si>
  <si>
    <t>Rendite</t>
  </si>
  <si>
    <t>Wertentwicklung</t>
  </si>
  <si>
    <t>NAV</t>
  </si>
  <si>
    <t>DWS Vorsorge Dachfonds</t>
  </si>
  <si>
    <t>DWS Vorsorge Dachfonds Plus</t>
  </si>
  <si>
    <t>DWS Vorsorge Dachfonds Balance</t>
  </si>
  <si>
    <t>DWS Vorsorge Dachfonds Balance Plus</t>
  </si>
  <si>
    <t>DWS Vorsorge Rentenfonds 3Y</t>
  </si>
  <si>
    <t>DWS Vorsorge Rentenfonds 5Y</t>
  </si>
  <si>
    <t>DWS Vorsorge Rentenfonds 7Y</t>
  </si>
  <si>
    <t>DWS Vorsorge Rentenfonds 10Y</t>
  </si>
  <si>
    <t>DWS Vorsorge Rentenfonds 15Y</t>
  </si>
  <si>
    <t>DWS Vorsorge Rentenfonds XL Duration</t>
  </si>
  <si>
    <t>% p.a.</t>
  </si>
  <si>
    <t>kumuliert</t>
  </si>
  <si>
    <r>
      <t xml:space="preserve">S </t>
    </r>
    <r>
      <rPr>
        <b/>
        <sz val="14"/>
        <color theme="0"/>
        <rFont val="Arial"/>
        <family val="2"/>
      </rPr>
      <t>der Einzahlungen</t>
    </r>
  </si>
  <si>
    <t>periodisch</t>
  </si>
  <si>
    <t>Abschluss- und Vertriebskosten (A&amp;VK)</t>
  </si>
  <si>
    <t>monatlich</t>
  </si>
  <si>
    <t>Allgemeine Angaben</t>
  </si>
  <si>
    <t>Geburtstag</t>
  </si>
  <si>
    <t>Beginn Ansparphase</t>
  </si>
  <si>
    <t>Ende Ansparphase / Beginn Auszahlungsphase</t>
  </si>
  <si>
    <t>Laufzeit</t>
  </si>
  <si>
    <t>Kostenstruktur</t>
  </si>
  <si>
    <t>%</t>
  </si>
  <si>
    <t>Depotgebühren</t>
  </si>
  <si>
    <t>€</t>
  </si>
  <si>
    <t>minimal</t>
  </si>
  <si>
    <t>Wertentwicklung im Portfolio</t>
  </si>
  <si>
    <t>A&amp;VK, p.a.</t>
  </si>
  <si>
    <t>Beitragsangaben</t>
  </si>
  <si>
    <r>
      <t xml:space="preserve">A&amp;VK auf </t>
    </r>
    <r>
      <rPr>
        <b/>
        <sz val="11"/>
        <color rgb="FFFF0000"/>
        <rFont val="Arial"/>
        <family val="2"/>
      </rPr>
      <t>regelmäßige</t>
    </r>
    <r>
      <rPr>
        <b/>
        <sz val="11"/>
        <color theme="1"/>
        <rFont val="Arial"/>
        <family val="2"/>
      </rPr>
      <t xml:space="preserve"> Beiträge</t>
    </r>
  </si>
  <si>
    <r>
      <t xml:space="preserve">auf </t>
    </r>
    <r>
      <rPr>
        <b/>
        <sz val="11"/>
        <color rgb="FFFF0000"/>
        <rFont val="Arial"/>
        <family val="2"/>
      </rPr>
      <t>zusätzliche</t>
    </r>
    <r>
      <rPr>
        <sz val="11"/>
        <color theme="1"/>
        <rFont val="Arial"/>
        <family val="2"/>
      </rPr>
      <t xml:space="preserve"> Beiträge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</si>
  <si>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rial"/>
        <family val="2"/>
      </rPr>
      <t xml:space="preserve"> über 5 Jahre zu verteilen</t>
    </r>
  </si>
  <si>
    <t>Riester: Basiszulage</t>
  </si>
  <si>
    <t>abzgl. 
Abschluss-gebühren</t>
  </si>
  <si>
    <t>Rabattierung der A&amp;VK durch Vermittler</t>
  </si>
  <si>
    <r>
      <t xml:space="preserve">auf </t>
    </r>
    <r>
      <rPr>
        <b/>
        <sz val="11"/>
        <color rgb="FFFF0000"/>
        <rFont val="Arial"/>
        <family val="2"/>
      </rPr>
      <t>regelmäßige</t>
    </r>
    <r>
      <rPr>
        <sz val="11"/>
        <rFont val="Arial"/>
        <family val="2"/>
      </rPr>
      <t xml:space="preserve"> Beiträge entfallende A&amp;VK</t>
    </r>
  </si>
  <si>
    <r>
      <t xml:space="preserve">auf </t>
    </r>
    <r>
      <rPr>
        <b/>
        <sz val="11"/>
        <color rgb="FFFF0000"/>
        <rFont val="Arial"/>
        <family val="2"/>
      </rPr>
      <t>zusätzliche</t>
    </r>
    <r>
      <rPr>
        <sz val="11"/>
        <rFont val="Arial"/>
        <family val="2"/>
      </rPr>
      <t xml:space="preserve"> Beiträge entfallende A&amp;VK</t>
    </r>
  </si>
  <si>
    <t>Rabattierungs- und Renditeannahmen</t>
  </si>
  <si>
    <t>Reinvestierte Rabatte auf die A&amp;VK</t>
  </si>
  <si>
    <t>variabel</t>
  </si>
  <si>
    <t>€ p.a.</t>
  </si>
  <si>
    <t>DWS Depot</t>
  </si>
  <si>
    <t>TOTAL</t>
  </si>
  <si>
    <t>jährliches Sparziel</t>
  </si>
  <si>
    <t>vereinbarte Zahlungsmodalität</t>
  </si>
  <si>
    <t>regelmäßige Beträge laut Vertrag (anfangs)</t>
  </si>
  <si>
    <t>reduzierte regelmäßige Beträge</t>
  </si>
  <si>
    <t>ja</t>
  </si>
  <si>
    <t>nein</t>
  </si>
  <si>
    <t>quartalsweise</t>
  </si>
  <si>
    <t>jährlich</t>
  </si>
  <si>
    <t>durchschnittlich</t>
  </si>
  <si>
    <t>Rabattierungs- und Renditeannahmen (Fortsetzung)</t>
  </si>
  <si>
    <t>Ergebnis</t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</si>
  <si>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rial"/>
        <family val="2"/>
      </rPr>
      <t xml:space="preserve"> Sonderzahlungen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</si>
  <si>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rial"/>
        <family val="2"/>
      </rPr>
      <t xml:space="preserve"> gesamte Einzahlungen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</si>
  <si>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rial"/>
        <family val="2"/>
      </rPr>
      <t xml:space="preserve"> staatliche Zulagen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</si>
  <si>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rial"/>
        <family val="2"/>
      </rPr>
      <t xml:space="preserve"> regelmäßige Beträge</t>
    </r>
  </si>
  <si>
    <t>Zahlungsübersicht</t>
  </si>
  <si>
    <t>maximal</t>
  </si>
  <si>
    <t>Endvermögen (NAV)</t>
  </si>
  <si>
    <t>detaillierte Performanceannahmen (in % p.a.)</t>
  </si>
  <si>
    <t>Abschlussgeb.</t>
  </si>
  <si>
    <t>A&amp;VK</t>
  </si>
  <si>
    <t>regelm. Beiträge</t>
  </si>
  <si>
    <r>
      <t xml:space="preserve">Sensitivität (Fondsgebühren </t>
    </r>
    <r>
      <rPr>
        <b/>
        <sz val="11"/>
        <color rgb="FFFF0000"/>
        <rFont val="Arial"/>
        <family val="2"/>
      </rPr>
      <t>vs.</t>
    </r>
    <r>
      <rPr>
        <b/>
        <sz val="11"/>
        <color theme="1"/>
        <rFont val="Arial"/>
        <family val="2"/>
      </rPr>
      <t xml:space="preserve"> 5 € Trick)</t>
    </r>
  </si>
  <si>
    <r>
      <t xml:space="preserve">Sensitivität (Fondsgebühren </t>
    </r>
    <r>
      <rPr>
        <b/>
        <sz val="11"/>
        <color rgb="FFFF0000"/>
        <rFont val="Arial"/>
        <family val="2"/>
      </rPr>
      <t>vs.</t>
    </r>
    <r>
      <rPr>
        <b/>
        <sz val="11"/>
        <color theme="1"/>
        <rFont val="Arial"/>
        <family val="2"/>
      </rPr>
      <t xml:space="preserve"> Zahlungsweise)</t>
    </r>
  </si>
  <si>
    <t>pauschal</t>
  </si>
  <si>
    <r>
      <t xml:space="preserve">Sensitivität (NAV/Sonderzahlungen/regelm. Beiträge/Abschlussgebühren/A&amp;VK </t>
    </r>
    <r>
      <rPr>
        <b/>
        <sz val="11"/>
        <color rgb="FFFF0000"/>
        <rFont val="Arial"/>
        <family val="2"/>
      </rPr>
      <t>vs.</t>
    </r>
    <r>
      <rPr>
        <b/>
        <sz val="11"/>
        <rFont val="Arial"/>
        <family val="2"/>
      </rPr>
      <t xml:space="preserve"> 5 € T</t>
    </r>
    <r>
      <rPr>
        <b/>
        <sz val="11"/>
        <color theme="1"/>
        <rFont val="Arial"/>
        <family val="2"/>
      </rPr>
      <t>rick)</t>
    </r>
  </si>
  <si>
    <t>Verzinsungsannahme...</t>
  </si>
  <si>
    <t>... pauschal mit</t>
  </si>
  <si>
    <r>
      <t xml:space="preserve">auf die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rial"/>
        <family val="2"/>
      </rPr>
      <t xml:space="preserve"> der </t>
    </r>
    <r>
      <rPr>
        <b/>
        <sz val="11"/>
        <color rgb="FFFF0000"/>
        <rFont val="Arial"/>
        <family val="2"/>
      </rPr>
      <t>regelmäßigen</t>
    </r>
    <r>
      <rPr>
        <sz val="11"/>
        <color theme="1"/>
        <rFont val="Arial"/>
        <family val="2"/>
      </rPr>
      <t xml:space="preserve"> Beiträge</t>
    </r>
  </si>
  <si>
    <t>Kalkulationsgrundlage (Fondsgebühren)</t>
  </si>
  <si>
    <r>
      <t xml:space="preserve">D </t>
    </r>
    <r>
      <rPr>
        <sz val="11"/>
        <color theme="1"/>
        <rFont val="Arial"/>
        <family val="2"/>
      </rPr>
      <t>(5€ Trick)</t>
    </r>
  </si>
  <si>
    <t>zur Person</t>
  </si>
  <si>
    <t>zum Vertrag</t>
  </si>
  <si>
    <t>Sonder-
zahlungen</t>
  </si>
  <si>
    <t>staatliche 
Zulagen</t>
  </si>
  <si>
    <r>
      <t>Reduktion der Beträge ("</t>
    </r>
    <r>
      <rPr>
        <b/>
        <sz val="11"/>
        <color rgb="FFFF0000"/>
        <rFont val="Arial"/>
        <family val="2"/>
      </rPr>
      <t>5 € Trick", Jahre 1-5</t>
    </r>
    <r>
      <rPr>
        <sz val="11"/>
        <color theme="1"/>
        <rFont val="Arial"/>
        <family val="2"/>
      </rPr>
      <t>)?</t>
    </r>
  </si>
</sst>
</file>

<file path=xl/styles.xml><?xml version="1.0" encoding="utf-8"?>
<styleSheet xmlns="http://schemas.openxmlformats.org/spreadsheetml/2006/main">
  <numFmts count="10">
    <numFmt numFmtId="164" formatCode="#,##0.0"/>
    <numFmt numFmtId="165" formatCode="0.0"/>
    <numFmt numFmtId="166" formatCode="0.0\ &quot;Jahre&quot;"/>
    <numFmt numFmtId="167" formatCode="dd\.mm\.yy;@"/>
    <numFmt numFmtId="168" formatCode="General\ &quot;Monate&quot;"/>
    <numFmt numFmtId="169" formatCode="General&quot; Jahre&quot;"/>
    <numFmt numFmtId="170" formatCode="#,##0.0;[Red]\-#,##0.0"/>
    <numFmt numFmtId="171" formatCode="&quot;Σ &quot;#,##0.0;[Red]&quot;Σ &quot;\-#,##0.0"/>
    <numFmt numFmtId="172" formatCode="&quot;ΣΣ &quot;#,##0.0;[Red]&quot;ΣΣ &quot;\-#,##0.0"/>
    <numFmt numFmtId="173" formatCode="&quot;im Beitragsjahr &quot;0"/>
  </numFmts>
  <fonts count="16"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i/>
      <sz val="11"/>
      <color theme="1"/>
      <name val="Arial"/>
      <family val="2"/>
    </font>
    <font>
      <sz val="11"/>
      <color theme="1"/>
      <name val="Symbol"/>
      <family val="1"/>
      <charset val="2"/>
    </font>
    <font>
      <b/>
      <sz val="11"/>
      <color rgb="FF0000FF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b/>
      <sz val="14"/>
      <color theme="0"/>
      <name val="Arial"/>
      <family val="2"/>
    </font>
    <font>
      <b/>
      <sz val="24"/>
      <color theme="0"/>
      <name val="Symbol"/>
      <family val="1"/>
      <charset val="2"/>
    </font>
    <font>
      <b/>
      <sz val="11"/>
      <name val="Arial"/>
      <family val="2"/>
    </font>
    <font>
      <u/>
      <sz val="9"/>
      <color indexed="81"/>
      <name val="Tahoma"/>
      <family val="2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00FFFF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/>
      </right>
      <top/>
      <bottom style="thin">
        <color theme="0" tint="-0.24994659260841701"/>
      </bottom>
      <diagonal/>
    </border>
    <border>
      <left style="thin">
        <color theme="0"/>
      </left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2" fillId="0" borderId="1" xfId="0" applyFont="1" applyBorder="1"/>
    <xf numFmtId="0" fontId="0" fillId="0" borderId="2" xfId="0" applyFill="1" applyBorder="1"/>
    <xf numFmtId="0" fontId="0" fillId="0" borderId="0" xfId="0" applyFill="1"/>
    <xf numFmtId="0" fontId="0" fillId="0" borderId="3" xfId="0" applyFill="1" applyBorder="1"/>
    <xf numFmtId="0" fontId="2" fillId="0" borderId="0" xfId="0" applyFont="1" applyFill="1"/>
    <xf numFmtId="0" fontId="0" fillId="0" borderId="7" xfId="0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0" xfId="0" applyFont="1" applyFill="1" applyBorder="1"/>
    <xf numFmtId="2" fontId="13" fillId="0" borderId="0" xfId="0" applyNumberFormat="1" applyFont="1" applyFill="1" applyBorder="1"/>
    <xf numFmtId="165" fontId="0" fillId="0" borderId="12" xfId="0" applyNumberFormat="1" applyFill="1" applyBorder="1"/>
    <xf numFmtId="165" fontId="0" fillId="0" borderId="14" xfId="0" applyNumberFormat="1" applyFill="1" applyBorder="1"/>
    <xf numFmtId="165" fontId="0" fillId="0" borderId="16" xfId="0" applyNumberFormat="1" applyFill="1" applyBorder="1"/>
    <xf numFmtId="165" fontId="0" fillId="0" borderId="24" xfId="0" applyNumberFormat="1" applyFill="1" applyBorder="1"/>
    <xf numFmtId="0" fontId="0" fillId="0" borderId="25" xfId="0" applyFill="1" applyBorder="1"/>
    <xf numFmtId="0" fontId="0" fillId="0" borderId="0" xfId="0" applyFont="1" applyFill="1" applyBorder="1"/>
    <xf numFmtId="0" fontId="0" fillId="0" borderId="0" xfId="0" applyFont="1" applyFill="1"/>
    <xf numFmtId="2" fontId="6" fillId="4" borderId="28" xfId="0" applyNumberFormat="1" applyFont="1" applyFill="1" applyBorder="1" applyAlignment="1">
      <alignment horizontal="center"/>
    </xf>
    <xf numFmtId="0" fontId="0" fillId="0" borderId="29" xfId="0" applyFill="1" applyBorder="1"/>
    <xf numFmtId="0" fontId="2" fillId="0" borderId="30" xfId="0" applyFont="1" applyFill="1" applyBorder="1"/>
    <xf numFmtId="2" fontId="10" fillId="0" borderId="29" xfId="0" applyNumberFormat="1" applyFont="1" applyFill="1" applyBorder="1"/>
    <xf numFmtId="0" fontId="0" fillId="0" borderId="29" xfId="0" applyFill="1" applyBorder="1" applyAlignment="1">
      <alignment horizontal="left" indent="2"/>
    </xf>
    <xf numFmtId="0" fontId="4" fillId="0" borderId="29" xfId="0" applyFont="1" applyFill="1" applyBorder="1" applyAlignment="1">
      <alignment horizontal="left" indent="2"/>
    </xf>
    <xf numFmtId="166" fontId="0" fillId="0" borderId="29" xfId="0" applyNumberFormat="1" applyFill="1" applyBorder="1"/>
    <xf numFmtId="168" fontId="0" fillId="0" borderId="29" xfId="0" applyNumberFormat="1" applyFill="1" applyBorder="1"/>
    <xf numFmtId="167" fontId="0" fillId="0" borderId="29" xfId="0" applyNumberFormat="1" applyFill="1" applyBorder="1" applyAlignment="1">
      <alignment horizontal="right"/>
    </xf>
    <xf numFmtId="2" fontId="0" fillId="0" borderId="29" xfId="0" applyNumberFormat="1" applyFont="1" applyFill="1" applyBorder="1"/>
    <xf numFmtId="0" fontId="0" fillId="0" borderId="29" xfId="0" applyFont="1" applyFill="1" applyBorder="1" applyAlignment="1">
      <alignment horizontal="left" indent="2"/>
    </xf>
    <xf numFmtId="167" fontId="0" fillId="0" borderId="23" xfId="0" applyNumberFormat="1" applyFill="1" applyBorder="1"/>
    <xf numFmtId="167" fontId="0" fillId="0" borderId="15" xfId="0" applyNumberFormat="1" applyFill="1" applyBorder="1"/>
    <xf numFmtId="167" fontId="0" fillId="0" borderId="26" xfId="0" applyNumberFormat="1" applyFill="1" applyBorder="1"/>
    <xf numFmtId="167" fontId="0" fillId="0" borderId="13" xfId="0" applyNumberFormat="1" applyFill="1" applyBorder="1"/>
    <xf numFmtId="2" fontId="10" fillId="0" borderId="31" xfId="0" applyNumberFormat="1" applyFont="1" applyFill="1" applyBorder="1"/>
    <xf numFmtId="0" fontId="4" fillId="0" borderId="31" xfId="0" applyFont="1" applyFill="1" applyBorder="1" applyAlignment="1">
      <alignment horizontal="left" indent="4"/>
    </xf>
    <xf numFmtId="0" fontId="4" fillId="0" borderId="29" xfId="0" applyFont="1" applyFill="1" applyBorder="1" applyAlignment="1">
      <alignment horizontal="left" indent="4"/>
    </xf>
    <xf numFmtId="0" fontId="1" fillId="2" borderId="1" xfId="0" applyFont="1" applyFill="1" applyBorder="1"/>
    <xf numFmtId="2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4" fontId="10" fillId="0" borderId="29" xfId="0" applyNumberFormat="1" applyFont="1" applyFill="1" applyBorder="1"/>
    <xf numFmtId="4" fontId="6" fillId="4" borderId="28" xfId="0" applyNumberFormat="1" applyFont="1" applyFill="1" applyBorder="1"/>
    <xf numFmtId="2" fontId="6" fillId="4" borderId="28" xfId="0" applyNumberFormat="1" applyFont="1" applyFill="1" applyBorder="1" applyAlignment="1">
      <alignment horizontal="right"/>
    </xf>
    <xf numFmtId="0" fontId="10" fillId="0" borderId="29" xfId="0" applyFont="1" applyFill="1" applyBorder="1" applyAlignment="1">
      <alignment horizontal="left" indent="2"/>
    </xf>
    <xf numFmtId="4" fontId="10" fillId="0" borderId="31" xfId="0" applyNumberFormat="1" applyFont="1" applyFill="1" applyBorder="1"/>
    <xf numFmtId="2" fontId="0" fillId="0" borderId="31" xfId="0" applyNumberFormat="1" applyFont="1" applyFill="1" applyBorder="1"/>
    <xf numFmtId="2" fontId="6" fillId="4" borderId="33" xfId="0" applyNumberFormat="1" applyFont="1" applyFill="1" applyBorder="1" applyAlignment="1">
      <alignment horizontal="right"/>
    </xf>
    <xf numFmtId="0" fontId="2" fillId="0" borderId="30" xfId="0" applyFont="1" applyFill="1" applyBorder="1" applyAlignment="1">
      <alignment horizontal="right"/>
    </xf>
    <xf numFmtId="0" fontId="2" fillId="0" borderId="30" xfId="0" applyFont="1" applyFill="1" applyBorder="1" applyAlignment="1">
      <alignment horizontal="left"/>
    </xf>
    <xf numFmtId="2" fontId="13" fillId="0" borderId="30" xfId="0" applyNumberFormat="1" applyFont="1" applyFill="1" applyBorder="1" applyAlignment="1">
      <alignment horizontal="right"/>
    </xf>
    <xf numFmtId="2" fontId="13" fillId="0" borderId="1" xfId="0" applyNumberFormat="1" applyFont="1" applyFill="1" applyBorder="1" applyAlignment="1">
      <alignment horizontal="right"/>
    </xf>
    <xf numFmtId="0" fontId="0" fillId="0" borderId="31" xfId="0" applyFont="1" applyFill="1" applyBorder="1" applyAlignment="1">
      <alignment horizontal="left" indent="2"/>
    </xf>
    <xf numFmtId="0" fontId="10" fillId="0" borderId="31" xfId="0" applyFont="1" applyFill="1" applyBorder="1" applyAlignment="1">
      <alignment horizontal="left" indent="2"/>
    </xf>
    <xf numFmtId="0" fontId="0" fillId="0" borderId="31" xfId="0" applyFill="1" applyBorder="1" applyAlignment="1">
      <alignment horizontal="left" indent="2"/>
    </xf>
    <xf numFmtId="0" fontId="2" fillId="0" borderId="5" xfId="0" applyFont="1" applyFill="1" applyBorder="1"/>
    <xf numFmtId="0" fontId="2" fillId="0" borderId="5" xfId="0" applyFont="1" applyFill="1" applyBorder="1" applyAlignment="1">
      <alignment horizontal="right"/>
    </xf>
    <xf numFmtId="0" fontId="3" fillId="2" borderId="31" xfId="0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right" vertical="center" wrapText="1"/>
    </xf>
    <xf numFmtId="0" fontId="3" fillId="2" borderId="35" xfId="0" applyFont="1" applyFill="1" applyBorder="1" applyAlignment="1">
      <alignment horizontal="right" vertical="center" wrapText="1"/>
    </xf>
    <xf numFmtId="0" fontId="3" fillId="2" borderId="36" xfId="0" applyFont="1" applyFill="1" applyBorder="1" applyAlignment="1">
      <alignment horizontal="right" vertical="center" wrapText="1"/>
    </xf>
    <xf numFmtId="0" fontId="3" fillId="2" borderId="37" xfId="0" applyFont="1" applyFill="1" applyBorder="1" applyAlignment="1">
      <alignment horizontal="right" vertical="center" wrapText="1"/>
    </xf>
    <xf numFmtId="0" fontId="0" fillId="0" borderId="29" xfId="0" applyFill="1" applyBorder="1" applyAlignment="1">
      <alignment horizontal="left" wrapText="1" indent="2"/>
    </xf>
    <xf numFmtId="4" fontId="10" fillId="0" borderId="29" xfId="0" applyNumberFormat="1" applyFont="1" applyFill="1" applyBorder="1" applyAlignment="1">
      <alignment horizontal="right"/>
    </xf>
    <xf numFmtId="170" fontId="0" fillId="0" borderId="12" xfId="0" applyNumberFormat="1" applyFill="1" applyBorder="1"/>
    <xf numFmtId="170" fontId="0" fillId="0" borderId="13" xfId="0" applyNumberFormat="1" applyFill="1" applyBorder="1"/>
    <xf numFmtId="170" fontId="0" fillId="0" borderId="2" xfId="0" applyNumberFormat="1" applyFill="1" applyBorder="1"/>
    <xf numFmtId="170" fontId="0" fillId="0" borderId="21" xfId="0" applyNumberFormat="1" applyFill="1" applyBorder="1"/>
    <xf numFmtId="170" fontId="0" fillId="0" borderId="15" xfId="0" applyNumberFormat="1" applyFill="1" applyBorder="1"/>
    <xf numFmtId="170" fontId="0" fillId="0" borderId="3" xfId="0" applyNumberFormat="1" applyFill="1" applyBorder="1"/>
    <xf numFmtId="170" fontId="0" fillId="0" borderId="14" xfId="0" applyNumberFormat="1" applyFill="1" applyBorder="1"/>
    <xf numFmtId="170" fontId="0" fillId="0" borderId="22" xfId="0" applyNumberFormat="1" applyFill="1" applyBorder="1"/>
    <xf numFmtId="170" fontId="0" fillId="0" borderId="26" xfId="0" applyNumberFormat="1" applyFill="1" applyBorder="1"/>
    <xf numFmtId="170" fontId="0" fillId="0" borderId="25" xfId="0" applyNumberFormat="1" applyFill="1" applyBorder="1"/>
    <xf numFmtId="170" fontId="0" fillId="0" borderId="24" xfId="0" applyNumberFormat="1" applyFill="1" applyBorder="1"/>
    <xf numFmtId="170" fontId="0" fillId="0" borderId="27" xfId="0" applyNumberFormat="1" applyFill="1" applyBorder="1"/>
    <xf numFmtId="170" fontId="2" fillId="5" borderId="18" xfId="0" applyNumberFormat="1" applyFont="1" applyFill="1" applyBorder="1"/>
    <xf numFmtId="170" fontId="2" fillId="5" borderId="1" xfId="0" applyNumberFormat="1" applyFont="1" applyFill="1" applyBorder="1"/>
    <xf numFmtId="172" fontId="2" fillId="5" borderId="20" xfId="0" applyNumberFormat="1" applyFont="1" applyFill="1" applyBorder="1"/>
    <xf numFmtId="172" fontId="2" fillId="5" borderId="17" xfId="0" applyNumberFormat="1" applyFont="1" applyFill="1" applyBorder="1"/>
    <xf numFmtId="172" fontId="2" fillId="5" borderId="19" xfId="0" applyNumberFormat="1" applyFont="1" applyFill="1" applyBorder="1"/>
    <xf numFmtId="0" fontId="0" fillId="0" borderId="0" xfId="0" applyFill="1" applyBorder="1" applyAlignment="1">
      <alignment horizontal="left" indent="2"/>
    </xf>
    <xf numFmtId="4" fontId="0" fillId="0" borderId="0" xfId="0" applyNumberFormat="1" applyFill="1"/>
    <xf numFmtId="172" fontId="2" fillId="5" borderId="41" xfId="0" applyNumberFormat="1" applyFont="1" applyFill="1" applyBorder="1"/>
    <xf numFmtId="172" fontId="2" fillId="5" borderId="40" xfId="0" applyNumberFormat="1" applyFont="1" applyFill="1" applyBorder="1"/>
    <xf numFmtId="0" fontId="0" fillId="0" borderId="1" xfId="0" applyFill="1" applyBorder="1"/>
    <xf numFmtId="0" fontId="0" fillId="2" borderId="0" xfId="0" applyFill="1"/>
    <xf numFmtId="0" fontId="1" fillId="2" borderId="0" xfId="0" applyFont="1" applyFill="1"/>
    <xf numFmtId="0" fontId="0" fillId="0" borderId="31" xfId="0" applyBorder="1" applyAlignment="1">
      <alignment horizontal="left" indent="2"/>
    </xf>
    <xf numFmtId="0" fontId="0" fillId="0" borderId="29" xfId="0" applyBorder="1" applyAlignment="1">
      <alignment horizontal="left" indent="2"/>
    </xf>
    <xf numFmtId="0" fontId="0" fillId="0" borderId="45" xfId="0" applyBorder="1" applyAlignment="1">
      <alignment horizontal="left" indent="2"/>
    </xf>
    <xf numFmtId="0" fontId="0" fillId="0" borderId="45" xfId="0" applyFill="1" applyBorder="1" applyAlignment="1">
      <alignment horizontal="left" indent="2"/>
    </xf>
    <xf numFmtId="164" fontId="10" fillId="0" borderId="31" xfId="0" applyNumberFormat="1" applyFont="1" applyFill="1" applyBorder="1"/>
    <xf numFmtId="164" fontId="10" fillId="0" borderId="45" xfId="0" applyNumberFormat="1" applyFont="1" applyFill="1" applyBorder="1"/>
    <xf numFmtId="0" fontId="0" fillId="0" borderId="1" xfId="0" applyFill="1" applyBorder="1" applyAlignment="1">
      <alignment horizontal="right"/>
    </xf>
    <xf numFmtId="0" fontId="13" fillId="0" borderId="0" xfId="0" applyFont="1" applyFill="1" applyAlignment="1">
      <alignment horizontal="right"/>
    </xf>
    <xf numFmtId="0" fontId="9" fillId="0" borderId="0" xfId="0" applyFont="1" applyFill="1" applyAlignment="1">
      <alignment horizontal="right"/>
    </xf>
    <xf numFmtId="164" fontId="9" fillId="0" borderId="0" xfId="0" applyNumberFormat="1" applyFont="1" applyFill="1" applyBorder="1"/>
    <xf numFmtId="2" fontId="13" fillId="0" borderId="32" xfId="0" applyNumberFormat="1" applyFont="1" applyFill="1" applyBorder="1"/>
    <xf numFmtId="0" fontId="0" fillId="0" borderId="30" xfId="0" applyFill="1" applyBorder="1"/>
    <xf numFmtId="170" fontId="0" fillId="0" borderId="29" xfId="0" applyNumberFormat="1" applyFill="1" applyBorder="1"/>
    <xf numFmtId="170" fontId="3" fillId="0" borderId="1" xfId="0" applyNumberFormat="1" applyFont="1" applyBorder="1"/>
    <xf numFmtId="0" fontId="0" fillId="0" borderId="6" xfId="0" applyFill="1" applyBorder="1" applyAlignment="1">
      <alignment horizontal="right"/>
    </xf>
    <xf numFmtId="170" fontId="0" fillId="0" borderId="42" xfId="0" applyNumberFormat="1" applyFill="1" applyBorder="1"/>
    <xf numFmtId="169" fontId="6" fillId="4" borderId="28" xfId="0" applyNumberFormat="1" applyFont="1" applyFill="1" applyBorder="1"/>
    <xf numFmtId="0" fontId="0" fillId="0" borderId="31" xfId="0" applyBorder="1" applyAlignment="1">
      <alignment horizontal="right"/>
    </xf>
    <xf numFmtId="0" fontId="0" fillId="0" borderId="29" xfId="0" applyBorder="1" applyAlignment="1">
      <alignment horizontal="right"/>
    </xf>
    <xf numFmtId="170" fontId="0" fillId="0" borderId="31" xfId="0" applyNumberFormat="1" applyFill="1" applyBorder="1"/>
    <xf numFmtId="170" fontId="3" fillId="0" borderId="6" xfId="0" applyNumberFormat="1" applyFont="1" applyBorder="1"/>
    <xf numFmtId="2" fontId="6" fillId="0" borderId="0" xfId="0" applyNumberFormat="1" applyFont="1" applyFill="1" applyBorder="1" applyAlignment="1">
      <alignment horizontal="right"/>
    </xf>
    <xf numFmtId="0" fontId="2" fillId="0" borderId="6" xfId="0" applyFont="1" applyFill="1" applyBorder="1" applyAlignment="1">
      <alignment horizontal="left"/>
    </xf>
    <xf numFmtId="170" fontId="0" fillId="0" borderId="6" xfId="0" applyNumberFormat="1" applyFill="1" applyBorder="1" applyAlignment="1">
      <alignment horizontal="right"/>
    </xf>
    <xf numFmtId="0" fontId="10" fillId="0" borderId="31" xfId="0" applyFont="1" applyBorder="1"/>
    <xf numFmtId="170" fontId="0" fillId="0" borderId="30" xfId="0" applyNumberFormat="1" applyFill="1" applyBorder="1"/>
    <xf numFmtId="0" fontId="3" fillId="0" borderId="0" xfId="0" applyFont="1" applyFill="1"/>
    <xf numFmtId="170" fontId="10" fillId="5" borderId="29" xfId="0" applyNumberFormat="1" applyFont="1" applyFill="1" applyBorder="1"/>
    <xf numFmtId="0" fontId="0" fillId="0" borderId="0" xfId="0" applyFill="1" applyBorder="1"/>
    <xf numFmtId="165" fontId="2" fillId="3" borderId="8" xfId="0" applyNumberFormat="1" applyFont="1" applyFill="1" applyBorder="1"/>
    <xf numFmtId="0" fontId="2" fillId="3" borderId="9" xfId="0" applyFont="1" applyFill="1" applyBorder="1" applyAlignment="1">
      <alignment horizontal="right"/>
    </xf>
    <xf numFmtId="0" fontId="2" fillId="3" borderId="9" xfId="0" applyFont="1" applyFill="1" applyBorder="1"/>
    <xf numFmtId="17" fontId="2" fillId="3" borderId="10" xfId="0" applyNumberFormat="1" applyFont="1" applyFill="1" applyBorder="1"/>
    <xf numFmtId="171" fontId="2" fillId="3" borderId="8" xfId="0" applyNumberFormat="1" applyFont="1" applyFill="1" applyBorder="1"/>
    <xf numFmtId="171" fontId="2" fillId="3" borderId="10" xfId="0" applyNumberFormat="1" applyFont="1" applyFill="1" applyBorder="1"/>
    <xf numFmtId="171" fontId="2" fillId="3" borderId="9" xfId="0" applyNumberFormat="1" applyFont="1" applyFill="1" applyBorder="1"/>
    <xf numFmtId="170" fontId="2" fillId="3" borderId="6" xfId="0" applyNumberFormat="1" applyFont="1" applyFill="1" applyBorder="1"/>
    <xf numFmtId="170" fontId="2" fillId="3" borderId="10" xfId="0" applyNumberFormat="1" applyFont="1" applyFill="1" applyBorder="1"/>
    <xf numFmtId="0" fontId="0" fillId="0" borderId="29" xfId="0" applyFill="1" applyBorder="1" applyAlignment="1">
      <alignment horizontal="left"/>
    </xf>
    <xf numFmtId="0" fontId="0" fillId="0" borderId="45" xfId="0" applyBorder="1" applyAlignment="1">
      <alignment horizontal="right"/>
    </xf>
    <xf numFmtId="170" fontId="0" fillId="0" borderId="45" xfId="0" applyNumberFormat="1" applyFill="1" applyBorder="1"/>
    <xf numFmtId="0" fontId="5" fillId="0" borderId="31" xfId="0" applyFont="1" applyBorder="1" applyAlignment="1">
      <alignment horizontal="right"/>
    </xf>
    <xf numFmtId="170" fontId="0" fillId="0" borderId="46" xfId="0" applyNumberFormat="1" applyFill="1" applyBorder="1"/>
    <xf numFmtId="0" fontId="3" fillId="0" borderId="46" xfId="0" applyFont="1" applyFill="1" applyBorder="1"/>
    <xf numFmtId="0" fontId="13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right"/>
    </xf>
    <xf numFmtId="168" fontId="0" fillId="0" borderId="0" xfId="0" applyNumberFormat="1" applyFill="1" applyBorder="1"/>
    <xf numFmtId="167" fontId="6" fillId="4" borderId="33" xfId="0" applyNumberFormat="1" applyFont="1" applyFill="1" applyBorder="1" applyAlignment="1">
      <alignment horizontal="right"/>
    </xf>
    <xf numFmtId="164" fontId="0" fillId="0" borderId="31" xfId="0" applyNumberFormat="1" applyFill="1" applyBorder="1"/>
    <xf numFmtId="164" fontId="0" fillId="0" borderId="42" xfId="0" applyNumberFormat="1" applyFill="1" applyBorder="1"/>
    <xf numFmtId="0" fontId="0" fillId="0" borderId="44" xfId="0" applyFill="1" applyBorder="1" applyAlignment="1">
      <alignment horizontal="left"/>
    </xf>
    <xf numFmtId="170" fontId="2" fillId="5" borderId="39" xfId="0" applyNumberFormat="1" applyFont="1" applyFill="1" applyBorder="1"/>
    <xf numFmtId="172" fontId="2" fillId="5" borderId="48" xfId="0" applyNumberFormat="1" applyFont="1" applyFill="1" applyBorder="1"/>
    <xf numFmtId="173" fontId="0" fillId="0" borderId="29" xfId="0" applyNumberFormat="1" applyBorder="1" applyAlignment="1">
      <alignment horizontal="left" indent="2"/>
    </xf>
    <xf numFmtId="173" fontId="0" fillId="0" borderId="44" xfId="0" applyNumberFormat="1" applyBorder="1" applyAlignment="1">
      <alignment horizontal="left" indent="2"/>
    </xf>
    <xf numFmtId="0" fontId="11" fillId="2" borderId="11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165" fontId="2" fillId="5" borderId="38" xfId="0" applyNumberFormat="1" applyFont="1" applyFill="1" applyBorder="1" applyAlignment="1">
      <alignment horizontal="center"/>
    </xf>
    <xf numFmtId="165" fontId="2" fillId="5" borderId="6" xfId="0" applyNumberFormat="1" applyFont="1" applyFill="1" applyBorder="1" applyAlignment="1">
      <alignment horizontal="center"/>
    </xf>
    <xf numFmtId="165" fontId="2" fillId="5" borderId="39" xfId="0" applyNumberFormat="1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 vertical="center"/>
    </xf>
    <xf numFmtId="173" fontId="0" fillId="0" borderId="42" xfId="0" applyNumberFormat="1" applyBorder="1" applyAlignment="1">
      <alignment horizontal="left" indent="2"/>
    </xf>
    <xf numFmtId="173" fontId="0" fillId="0" borderId="43" xfId="0" applyNumberFormat="1" applyBorder="1" applyAlignment="1">
      <alignment horizontal="left" indent="2"/>
    </xf>
    <xf numFmtId="173" fontId="0" fillId="0" borderId="31" xfId="0" applyNumberFormat="1" applyBorder="1" applyAlignment="1">
      <alignment horizontal="left" indent="2"/>
    </xf>
    <xf numFmtId="173" fontId="0" fillId="0" borderId="47" xfId="0" applyNumberFormat="1" applyBorder="1" applyAlignment="1">
      <alignment horizontal="left" indent="2"/>
    </xf>
    <xf numFmtId="167" fontId="6" fillId="4" borderId="49" xfId="0" applyNumberFormat="1" applyFont="1" applyFill="1" applyBorder="1" applyAlignment="1">
      <alignment horizontal="right"/>
    </xf>
  </cellXfs>
  <cellStyles count="1">
    <cellStyle name="Normal" xfId="0" builtinId="0"/>
  </cellStyles>
  <dxfs count="8"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00FFFF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theme="0"/>
      </font>
      <border>
        <bottom/>
      </border>
    </dxf>
  </dxfs>
  <tableStyles count="0" defaultTableStyle="TableStyleMedium9" defaultPivotStyle="PivotStyleLight16"/>
  <colors>
    <mruColors>
      <color rgb="FF0000FF"/>
      <color rgb="FFFFFF66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B1:W765"/>
  <sheetViews>
    <sheetView showGridLines="0" tabSelected="1" view="pageBreakPreview" topLeftCell="J52" zoomScale="115" zoomScaleNormal="100" zoomScaleSheetLayoutView="115" zoomScalePageLayoutView="70" workbookViewId="0">
      <selection activeCell="R90" sqref="R90"/>
    </sheetView>
  </sheetViews>
  <sheetFormatPr defaultRowHeight="14.25" outlineLevelRow="1" outlineLevelCol="1"/>
  <cols>
    <col min="1" max="1" width="2.625" style="3" customWidth="1"/>
    <col min="2" max="2" width="45.625" style="17" bestFit="1" customWidth="1"/>
    <col min="3" max="3" width="15.25" style="3" bestFit="1" customWidth="1"/>
    <col min="4" max="4" width="8.375" style="3" bestFit="1" customWidth="1"/>
    <col min="5" max="6" width="1.125" style="3" customWidth="1"/>
    <col min="7" max="7" width="5.375" style="3" hidden="1" customWidth="1" outlineLevel="1"/>
    <col min="8" max="8" width="8.625" style="3" hidden="1" customWidth="1" outlineLevel="1"/>
    <col min="9" max="9" width="8.375" style="3" customWidth="1" collapsed="1"/>
    <col min="10" max="10" width="11" style="3" customWidth="1"/>
    <col min="11" max="14" width="15.125" style="3" customWidth="1"/>
    <col min="15" max="16" width="15.125" style="3" hidden="1" customWidth="1" outlineLevel="1"/>
    <col min="17" max="17" width="15.125" style="3" customWidth="1" collapsed="1"/>
    <col min="18" max="18" width="15.125" style="3" customWidth="1"/>
    <col min="19" max="22" width="14" style="3" customWidth="1"/>
    <col min="23" max="23" width="14.25" style="3" customWidth="1"/>
    <col min="24" max="16384" width="9" style="3"/>
  </cols>
  <sheetData>
    <row r="1" spans="2:17">
      <c r="G1"/>
      <c r="H1"/>
      <c r="I1"/>
      <c r="J1"/>
    </row>
    <row r="2" spans="2:17" ht="15">
      <c r="B2" s="36" t="s">
        <v>35</v>
      </c>
      <c r="C2" s="36"/>
      <c r="D2" s="84"/>
      <c r="G2"/>
      <c r="H2"/>
      <c r="I2"/>
      <c r="J2" s="85" t="s">
        <v>71</v>
      </c>
      <c r="K2" s="85"/>
      <c r="L2" s="85"/>
      <c r="M2" s="85"/>
      <c r="N2" s="85"/>
      <c r="O2" s="85"/>
      <c r="P2" s="85"/>
      <c r="Q2" s="85"/>
    </row>
    <row r="3" spans="2:17">
      <c r="G3"/>
      <c r="H3"/>
      <c r="I3"/>
      <c r="J3"/>
      <c r="K3"/>
      <c r="L3"/>
      <c r="M3"/>
    </row>
    <row r="4" spans="2:17" ht="15">
      <c r="B4" s="7" t="s">
        <v>93</v>
      </c>
      <c r="C4" s="7"/>
      <c r="G4"/>
      <c r="H4"/>
      <c r="I4"/>
      <c r="J4" s="1" t="s">
        <v>80</v>
      </c>
      <c r="K4" s="1"/>
      <c r="L4" s="1"/>
      <c r="M4"/>
    </row>
    <row r="5" spans="2:17" ht="15">
      <c r="B5" s="52" t="s">
        <v>36</v>
      </c>
      <c r="C5" s="153">
        <v>1</v>
      </c>
      <c r="G5"/>
      <c r="H5"/>
      <c r="I5"/>
      <c r="J5" s="149">
        <v>1</v>
      </c>
      <c r="K5" s="150"/>
      <c r="L5" s="45">
        <v>3</v>
      </c>
      <c r="M5"/>
    </row>
    <row r="6" spans="2:17" ht="15">
      <c r="B6" s="22" t="s">
        <v>0</v>
      </c>
      <c r="C6" s="24">
        <f ca="1">+(TODAY()-C5)/365</f>
        <v>111.35616438356165</v>
      </c>
      <c r="G6"/>
      <c r="H6"/>
      <c r="I6"/>
      <c r="J6" s="151">
        <v>2</v>
      </c>
      <c r="K6" s="152"/>
      <c r="L6" s="45">
        <v>3</v>
      </c>
      <c r="M6"/>
    </row>
    <row r="7" spans="2:17" ht="15">
      <c r="B7" s="28"/>
      <c r="C7" s="19"/>
      <c r="G7"/>
      <c r="H7"/>
      <c r="I7"/>
      <c r="J7" s="139">
        <v>3</v>
      </c>
      <c r="K7" s="140"/>
      <c r="L7" s="45">
        <v>3</v>
      </c>
      <c r="M7"/>
    </row>
    <row r="8" spans="2:17" ht="15">
      <c r="B8" s="47" t="s">
        <v>94</v>
      </c>
      <c r="C8" s="97"/>
      <c r="G8"/>
      <c r="H8"/>
      <c r="I8"/>
      <c r="J8" s="139">
        <v>4</v>
      </c>
      <c r="K8" s="140"/>
      <c r="L8" s="45">
        <v>3</v>
      </c>
      <c r="M8"/>
    </row>
    <row r="9" spans="2:17" ht="15">
      <c r="B9" s="52" t="s">
        <v>37</v>
      </c>
      <c r="C9" s="133">
        <v>40725</v>
      </c>
      <c r="G9"/>
      <c r="H9"/>
      <c r="I9"/>
      <c r="J9" s="139">
        <v>5</v>
      </c>
      <c r="K9" s="140"/>
      <c r="L9" s="45">
        <v>4</v>
      </c>
      <c r="M9"/>
    </row>
    <row r="10" spans="2:17" ht="15">
      <c r="B10" s="22" t="s">
        <v>38</v>
      </c>
      <c r="C10" s="26">
        <f>+DATE(YEAR(C9)+40,MONTH(C9),DAY(C9))</f>
        <v>55335</v>
      </c>
      <c r="G10"/>
      <c r="H10"/>
      <c r="I10"/>
      <c r="J10" s="139">
        <v>6</v>
      </c>
      <c r="K10" s="140"/>
      <c r="L10" s="45">
        <v>4</v>
      </c>
      <c r="M10"/>
    </row>
    <row r="11" spans="2:17" ht="15">
      <c r="B11" s="22" t="s">
        <v>39</v>
      </c>
      <c r="C11" s="102">
        <v>40</v>
      </c>
      <c r="G11"/>
      <c r="H11"/>
      <c r="I11"/>
      <c r="J11" s="139">
        <v>7</v>
      </c>
      <c r="K11" s="140"/>
      <c r="L11" s="45">
        <v>4</v>
      </c>
      <c r="M11"/>
    </row>
    <row r="12" spans="2:17" ht="15">
      <c r="B12" s="22" t="s">
        <v>39</v>
      </c>
      <c r="C12" s="25">
        <f>+C11*12</f>
        <v>480</v>
      </c>
      <c r="G12"/>
      <c r="H12"/>
      <c r="I12"/>
      <c r="J12" s="139">
        <v>8</v>
      </c>
      <c r="K12" s="140"/>
      <c r="L12" s="45">
        <v>4</v>
      </c>
      <c r="M12"/>
    </row>
    <row r="13" spans="2:17" ht="15">
      <c r="B13" s="79"/>
      <c r="C13" s="132"/>
      <c r="G13"/>
      <c r="H13"/>
      <c r="I13"/>
      <c r="J13" s="139">
        <v>9</v>
      </c>
      <c r="K13" s="140"/>
      <c r="L13" s="45">
        <v>4</v>
      </c>
      <c r="M13"/>
    </row>
    <row r="14" spans="2:17" ht="15">
      <c r="G14"/>
      <c r="H14"/>
      <c r="I14"/>
      <c r="J14" s="139">
        <v>10</v>
      </c>
      <c r="K14" s="140"/>
      <c r="L14" s="45">
        <v>5.5</v>
      </c>
      <c r="M14"/>
    </row>
    <row r="15" spans="2:17" ht="15">
      <c r="B15" s="36" t="s">
        <v>47</v>
      </c>
      <c r="C15" s="37"/>
      <c r="D15" s="84"/>
      <c r="G15"/>
      <c r="H15"/>
      <c r="I15"/>
      <c r="J15" s="139">
        <v>11</v>
      </c>
      <c r="K15" s="140"/>
      <c r="L15" s="45">
        <v>2</v>
      </c>
      <c r="M15"/>
    </row>
    <row r="16" spans="2:17" ht="15">
      <c r="B16" s="9"/>
      <c r="C16" s="10"/>
      <c r="G16"/>
      <c r="H16"/>
      <c r="I16"/>
      <c r="J16" s="139">
        <v>12</v>
      </c>
      <c r="K16" s="140"/>
      <c r="L16" s="45">
        <v>2</v>
      </c>
      <c r="M16"/>
    </row>
    <row r="17" spans="2:13" ht="15">
      <c r="B17" s="7" t="s">
        <v>7</v>
      </c>
      <c r="C17" s="49" t="s">
        <v>43</v>
      </c>
      <c r="G17"/>
      <c r="H17"/>
      <c r="I17"/>
      <c r="J17" s="139">
        <v>13</v>
      </c>
      <c r="K17" s="140"/>
      <c r="L17" s="45">
        <v>2</v>
      </c>
      <c r="M17"/>
    </row>
    <row r="18" spans="2:13" ht="15">
      <c r="B18" s="79" t="s">
        <v>62</v>
      </c>
      <c r="C18" s="40">
        <v>3600</v>
      </c>
      <c r="G18"/>
      <c r="H18"/>
      <c r="I18"/>
      <c r="J18" s="139">
        <v>14</v>
      </c>
      <c r="K18" s="140"/>
      <c r="L18" s="45">
        <v>-3</v>
      </c>
      <c r="M18"/>
    </row>
    <row r="19" spans="2:13" ht="15">
      <c r="B19" s="22" t="s">
        <v>63</v>
      </c>
      <c r="C19" s="18" t="s">
        <v>68</v>
      </c>
      <c r="G19"/>
      <c r="H19"/>
      <c r="I19"/>
      <c r="J19" s="139">
        <v>15</v>
      </c>
      <c r="K19" s="140"/>
      <c r="L19" s="45">
        <v>5</v>
      </c>
      <c r="M19"/>
    </row>
    <row r="20" spans="2:13" ht="15">
      <c r="B20" s="22" t="s">
        <v>64</v>
      </c>
      <c r="C20" s="39">
        <f>+IF(C19="monatlich",C18/12,IF(C19="quartalsweise",C18/4,IF(C19="jährlich",C18/1,"ERR#")))</f>
        <v>900</v>
      </c>
      <c r="G20"/>
      <c r="H20"/>
      <c r="I20"/>
      <c r="J20" s="139">
        <v>16</v>
      </c>
      <c r="K20" s="140"/>
      <c r="L20" s="45">
        <v>2</v>
      </c>
      <c r="M20"/>
    </row>
    <row r="21" spans="2:13" ht="15">
      <c r="B21" s="22" t="s">
        <v>97</v>
      </c>
      <c r="C21" s="18" t="s">
        <v>67</v>
      </c>
      <c r="D21" s="94" t="str">
        <f>+IF(C21="ja","%","")</f>
        <v/>
      </c>
      <c r="G21"/>
      <c r="H21"/>
      <c r="I21"/>
      <c r="J21" s="139">
        <v>17</v>
      </c>
      <c r="K21" s="140"/>
      <c r="L21" s="45">
        <v>6</v>
      </c>
      <c r="M21"/>
    </row>
    <row r="22" spans="2:13" ht="15">
      <c r="B22" s="60" t="s">
        <v>65</v>
      </c>
      <c r="C22" s="39">
        <f>+IF(C21="nein",0,IF(C19="monatlich",5,IF(C19="quartalsweise",5*3,IF(C19="jährlich",5*12,"ERR#"))))</f>
        <v>0</v>
      </c>
      <c r="D22" s="95" t="str">
        <f>+IF(C21="ja",100*(C22/C20-1),"")</f>
        <v/>
      </c>
      <c r="G22"/>
      <c r="H22"/>
      <c r="I22"/>
      <c r="J22" s="139">
        <v>18</v>
      </c>
      <c r="K22" s="140"/>
      <c r="L22" s="45">
        <v>-1</v>
      </c>
      <c r="M22"/>
    </row>
    <row r="23" spans="2:13" ht="15">
      <c r="B23" s="60"/>
      <c r="C23" s="19"/>
      <c r="G23"/>
      <c r="H23"/>
      <c r="I23"/>
      <c r="J23" s="139">
        <v>19</v>
      </c>
      <c r="K23" s="140"/>
      <c r="L23" s="45">
        <v>10</v>
      </c>
      <c r="M23"/>
    </row>
    <row r="24" spans="2:13" ht="15">
      <c r="B24" s="20" t="s">
        <v>6</v>
      </c>
      <c r="C24" s="46" t="s">
        <v>59</v>
      </c>
      <c r="G24"/>
      <c r="H24"/>
      <c r="I24"/>
      <c r="J24" s="139">
        <v>20</v>
      </c>
      <c r="K24" s="140"/>
      <c r="L24" s="45">
        <v>3</v>
      </c>
      <c r="M24"/>
    </row>
    <row r="25" spans="2:13" ht="15">
      <c r="B25" s="52" t="s">
        <v>51</v>
      </c>
      <c r="C25" s="40">
        <v>154</v>
      </c>
      <c r="J25" s="139">
        <v>21</v>
      </c>
      <c r="K25" s="140"/>
      <c r="L25" s="45">
        <v>3</v>
      </c>
      <c r="M25"/>
    </row>
    <row r="26" spans="2:13" ht="15">
      <c r="B26" s="60" t="s">
        <v>57</v>
      </c>
      <c r="C26" s="61" t="s">
        <v>58</v>
      </c>
      <c r="G26"/>
      <c r="H26"/>
      <c r="I26"/>
      <c r="J26" s="139">
        <v>22</v>
      </c>
      <c r="K26" s="140"/>
      <c r="L26" s="45">
        <v>3</v>
      </c>
      <c r="M26"/>
    </row>
    <row r="27" spans="2:13" ht="15">
      <c r="B27" s="16"/>
      <c r="C27" s="10"/>
      <c r="G27"/>
      <c r="H27"/>
      <c r="I27"/>
      <c r="J27" s="139">
        <v>23</v>
      </c>
      <c r="K27" s="140"/>
      <c r="L27" s="45">
        <v>3</v>
      </c>
      <c r="M27"/>
    </row>
    <row r="28" spans="2:13" ht="15">
      <c r="G28"/>
      <c r="H28"/>
      <c r="I28"/>
      <c r="J28" s="139">
        <v>24</v>
      </c>
      <c r="K28" s="140"/>
      <c r="L28" s="45">
        <v>5</v>
      </c>
      <c r="M28"/>
    </row>
    <row r="29" spans="2:13" ht="15">
      <c r="B29" s="36" t="s">
        <v>40</v>
      </c>
      <c r="C29" s="38"/>
      <c r="D29" s="84"/>
      <c r="G29"/>
      <c r="H29"/>
      <c r="I29"/>
      <c r="J29" s="139">
        <v>25</v>
      </c>
      <c r="K29" s="140"/>
      <c r="L29" s="45">
        <v>5</v>
      </c>
      <c r="M29"/>
    </row>
    <row r="30" spans="2:13" ht="15">
      <c r="B30" s="53"/>
      <c r="C30" s="54"/>
      <c r="G30"/>
      <c r="H30"/>
      <c r="I30"/>
      <c r="J30" s="139">
        <v>26</v>
      </c>
      <c r="K30" s="140"/>
      <c r="L30" s="45">
        <v>5</v>
      </c>
      <c r="M30"/>
    </row>
    <row r="31" spans="2:13" ht="15">
      <c r="B31" s="7" t="s">
        <v>5</v>
      </c>
      <c r="C31" s="8" t="s">
        <v>29</v>
      </c>
      <c r="G31"/>
      <c r="H31"/>
      <c r="I31"/>
      <c r="J31" s="139">
        <v>27</v>
      </c>
      <c r="K31" s="140"/>
      <c r="L31" s="45">
        <v>0</v>
      </c>
      <c r="M31"/>
    </row>
    <row r="32" spans="2:13" ht="15">
      <c r="B32" s="50" t="s">
        <v>19</v>
      </c>
      <c r="C32" s="44">
        <v>1.5</v>
      </c>
      <c r="G32"/>
      <c r="H32"/>
      <c r="I32"/>
      <c r="J32" s="139">
        <v>28</v>
      </c>
      <c r="K32" s="140"/>
      <c r="L32" s="45">
        <v>0</v>
      </c>
      <c r="M32"/>
    </row>
    <row r="33" spans="2:17" ht="15">
      <c r="B33" s="28" t="s">
        <v>20</v>
      </c>
      <c r="C33" s="27">
        <v>1.5</v>
      </c>
      <c r="G33"/>
      <c r="H33"/>
      <c r="I33"/>
      <c r="J33" s="139">
        <v>29</v>
      </c>
      <c r="K33" s="140"/>
      <c r="L33" s="45">
        <v>0</v>
      </c>
      <c r="M33"/>
    </row>
    <row r="34" spans="2:17" ht="15">
      <c r="B34" s="28" t="s">
        <v>21</v>
      </c>
      <c r="C34" s="27">
        <v>1.1499999999999999</v>
      </c>
      <c r="G34"/>
      <c r="H34"/>
      <c r="I34"/>
      <c r="J34" s="139">
        <v>30</v>
      </c>
      <c r="K34" s="140"/>
      <c r="L34" s="45">
        <v>0</v>
      </c>
      <c r="M34"/>
    </row>
    <row r="35" spans="2:17" ht="15">
      <c r="B35" s="28" t="s">
        <v>22</v>
      </c>
      <c r="C35" s="27">
        <v>1.1499999999999999</v>
      </c>
      <c r="G35"/>
      <c r="H35"/>
      <c r="I35"/>
      <c r="J35" s="139">
        <v>31</v>
      </c>
      <c r="K35" s="140"/>
      <c r="L35" s="45">
        <v>4</v>
      </c>
      <c r="M35"/>
    </row>
    <row r="36" spans="2:17" ht="15">
      <c r="B36" s="28" t="s">
        <v>23</v>
      </c>
      <c r="C36" s="27">
        <v>0.70000000000000007</v>
      </c>
      <c r="G36"/>
      <c r="H36"/>
      <c r="I36"/>
      <c r="J36" s="139">
        <v>32</v>
      </c>
      <c r="K36" s="140"/>
      <c r="L36" s="45">
        <v>4</v>
      </c>
      <c r="M36"/>
    </row>
    <row r="37" spans="2:17" ht="15">
      <c r="B37" s="28" t="s">
        <v>24</v>
      </c>
      <c r="C37" s="27">
        <v>0.75</v>
      </c>
      <c r="G37"/>
      <c r="H37"/>
      <c r="I37"/>
      <c r="J37" s="139">
        <v>33</v>
      </c>
      <c r="K37" s="140"/>
      <c r="L37" s="45">
        <v>4</v>
      </c>
      <c r="M37"/>
    </row>
    <row r="38" spans="2:17" ht="15">
      <c r="B38" s="28" t="s">
        <v>25</v>
      </c>
      <c r="C38" s="27">
        <v>0.75</v>
      </c>
      <c r="G38"/>
      <c r="H38"/>
      <c r="I38"/>
      <c r="J38" s="139">
        <v>34</v>
      </c>
      <c r="K38" s="140"/>
      <c r="L38" s="45">
        <v>6</v>
      </c>
      <c r="M38"/>
    </row>
    <row r="39" spans="2:17" ht="15">
      <c r="B39" s="28" t="s">
        <v>26</v>
      </c>
      <c r="C39" s="27">
        <v>0.75</v>
      </c>
      <c r="G39"/>
      <c r="H39"/>
      <c r="I39"/>
      <c r="J39" s="139">
        <v>35</v>
      </c>
      <c r="K39" s="140"/>
      <c r="L39" s="45">
        <v>6</v>
      </c>
      <c r="M39"/>
    </row>
    <row r="40" spans="2:17" ht="15">
      <c r="B40" s="28" t="s">
        <v>27</v>
      </c>
      <c r="C40" s="27">
        <v>0.75</v>
      </c>
      <c r="G40"/>
      <c r="H40"/>
      <c r="I40"/>
      <c r="J40" s="139">
        <v>36</v>
      </c>
      <c r="K40" s="140"/>
      <c r="L40" s="45">
        <v>6</v>
      </c>
      <c r="M40"/>
    </row>
    <row r="41" spans="2:17" ht="15">
      <c r="B41" s="28" t="s">
        <v>28</v>
      </c>
      <c r="C41" s="27">
        <v>0.75</v>
      </c>
      <c r="G41"/>
      <c r="H41"/>
      <c r="I41"/>
      <c r="J41" s="139">
        <v>37</v>
      </c>
      <c r="K41" s="140"/>
      <c r="L41" s="45">
        <v>6</v>
      </c>
      <c r="M41"/>
    </row>
    <row r="42" spans="2:17" ht="15">
      <c r="B42" s="34"/>
      <c r="C42" s="33"/>
      <c r="D42" s="93" t="s">
        <v>41</v>
      </c>
      <c r="G42"/>
      <c r="H42"/>
      <c r="I42"/>
      <c r="J42" s="139">
        <v>38</v>
      </c>
      <c r="K42" s="140"/>
      <c r="L42" s="45">
        <v>1</v>
      </c>
      <c r="M42"/>
    </row>
    <row r="43" spans="2:17" ht="15">
      <c r="B43" s="124" t="s">
        <v>91</v>
      </c>
      <c r="C43" s="18" t="s">
        <v>70</v>
      </c>
      <c r="D43" s="96">
        <f>+IF(C43="minimal",MIN(C32:C41),IF(C43="durchschnittlich",AVERAGE(C32:C41),IF(C43="maximal",MAX(C32:C41),"ERR#")))</f>
        <v>0.97499999999999998</v>
      </c>
      <c r="G43"/>
      <c r="H43"/>
      <c r="I43"/>
      <c r="J43" s="139">
        <v>39</v>
      </c>
      <c r="K43" s="140"/>
      <c r="L43" s="45">
        <v>2</v>
      </c>
      <c r="M43"/>
    </row>
    <row r="44" spans="2:17" ht="15">
      <c r="B44" s="35"/>
      <c r="G44"/>
      <c r="H44"/>
      <c r="I44"/>
      <c r="J44" s="139">
        <v>40</v>
      </c>
      <c r="K44" s="140"/>
      <c r="L44" s="45">
        <v>-1</v>
      </c>
      <c r="M44"/>
    </row>
    <row r="45" spans="2:17" ht="15">
      <c r="B45" s="47" t="s">
        <v>33</v>
      </c>
      <c r="C45" s="46" t="s">
        <v>41</v>
      </c>
      <c r="G45"/>
      <c r="H45"/>
      <c r="I45"/>
    </row>
    <row r="46" spans="2:17" ht="15">
      <c r="B46" s="52" t="s">
        <v>90</v>
      </c>
      <c r="C46" s="33">
        <v>5.5</v>
      </c>
      <c r="G46"/>
      <c r="H46"/>
      <c r="I46"/>
      <c r="J46" s="85" t="s">
        <v>72</v>
      </c>
      <c r="K46" s="84"/>
      <c r="L46" s="84"/>
      <c r="M46" s="84"/>
      <c r="N46" s="84"/>
      <c r="Q46" s="84"/>
    </row>
    <row r="47" spans="2:17" ht="15">
      <c r="B47" s="28" t="s">
        <v>49</v>
      </c>
      <c r="C47" s="21">
        <v>5</v>
      </c>
      <c r="G47"/>
      <c r="H47"/>
      <c r="I47"/>
    </row>
    <row r="48" spans="2:17" ht="15">
      <c r="B48" s="28"/>
      <c r="C48" s="21"/>
      <c r="G48"/>
      <c r="H48"/>
      <c r="I48"/>
      <c r="J48" s="7" t="s">
        <v>77</v>
      </c>
      <c r="K48" s="83"/>
      <c r="L48" s="8" t="s">
        <v>43</v>
      </c>
      <c r="M48" s="8" t="s">
        <v>41</v>
      </c>
    </row>
    <row r="49" spans="2:17" ht="15">
      <c r="B49" s="20" t="s">
        <v>48</v>
      </c>
      <c r="C49" s="48" t="s">
        <v>43</v>
      </c>
      <c r="G49"/>
      <c r="H49"/>
      <c r="I49"/>
      <c r="J49" s="86" t="s">
        <v>76</v>
      </c>
      <c r="K49" s="52"/>
      <c r="L49" s="90">
        <f>+K597</f>
        <v>144000</v>
      </c>
      <c r="M49" s="90">
        <f>+(L49/$L$52)*100</f>
        <v>91.154442992401343</v>
      </c>
    </row>
    <row r="50" spans="2:17" ht="15">
      <c r="B50" s="50" t="s">
        <v>50</v>
      </c>
      <c r="C50" s="43">
        <f>+IF(C21="nein",IF(C19="monatlich",C20*MIN(C12,45*12)*C46/100,IF(C19="quartalsweise",C20*MIN(C11*4,45*4)*C46/100,IF(C19="jährlich",C20*MIN(C11,45)*C46/100,"FEHLER"))),IF(C19="monatlich",C22*MIN(C12,45*12)*C46/100,IF(C19="quartalsweise",C22*MIN(C11*4,45*4)*C46/100,IF(C19="jährlich",C22*MIN(C11,45)*C46/100,"FEHLER"))))</f>
        <v>7920</v>
      </c>
      <c r="G50"/>
      <c r="H50"/>
      <c r="I50"/>
      <c r="J50" s="87" t="s">
        <v>75</v>
      </c>
      <c r="K50" s="22"/>
      <c r="L50" s="90">
        <f>+M597</f>
        <v>6083</v>
      </c>
      <c r="M50" s="90">
        <f>+(L50/$L$52)*100</f>
        <v>3.8506421994637314</v>
      </c>
    </row>
    <row r="51" spans="2:17" ht="15.75" thickBot="1">
      <c r="B51" s="28" t="s">
        <v>46</v>
      </c>
      <c r="C51" s="39">
        <f>+C50/5</f>
        <v>1584</v>
      </c>
      <c r="G51"/>
      <c r="H51"/>
      <c r="I51"/>
      <c r="J51" s="88" t="s">
        <v>73</v>
      </c>
      <c r="K51" s="89"/>
      <c r="L51" s="91">
        <f>+N597</f>
        <v>7890.6491966759004</v>
      </c>
      <c r="M51" s="91">
        <f>+(L51/$L$52)*100</f>
        <v>4.9949148081349355</v>
      </c>
    </row>
    <row r="52" spans="2:17" ht="15.75" thickTop="1">
      <c r="B52" s="28" t="str">
        <f>+IF(C19="jährlich","A&amp;VK, p.a.",IF(C19="quartalsweise","A&amp;VK, p.Q.",IF(C19="monatlich","A&amp;VK, p.M.","")))</f>
        <v>A&amp;VK, p.Q.</v>
      </c>
      <c r="C52" s="39">
        <f>+IF(C19="jährlich",C50/5,IF(C19="quartalsweise",C50/(5*4),IF(C19="monatlich",C50/(5*12))))</f>
        <v>396</v>
      </c>
      <c r="D52" s="80"/>
      <c r="G52"/>
      <c r="H52"/>
      <c r="I52"/>
      <c r="J52" s="86" t="s">
        <v>74</v>
      </c>
      <c r="K52" s="52"/>
      <c r="L52" s="90">
        <f>SUM(L49:L51)</f>
        <v>157973.64919667589</v>
      </c>
      <c r="M52" s="90">
        <f>+(L52/$L$52)*100</f>
        <v>100</v>
      </c>
    </row>
    <row r="53" spans="2:17">
      <c r="B53" s="23"/>
      <c r="C53" s="21"/>
      <c r="G53"/>
      <c r="H53"/>
      <c r="I53"/>
      <c r="J53" s="87" t="s">
        <v>79</v>
      </c>
      <c r="K53" s="19"/>
      <c r="L53" s="113">
        <f>+W597</f>
        <v>367682.10243071377</v>
      </c>
      <c r="M53" s="90">
        <f>+L53/L52*100</f>
        <v>232.74900864824147</v>
      </c>
    </row>
    <row r="54" spans="2:17" ht="15">
      <c r="B54" s="47" t="s">
        <v>42</v>
      </c>
      <c r="C54" s="46" t="s">
        <v>59</v>
      </c>
      <c r="G54"/>
      <c r="H54"/>
      <c r="I54"/>
    </row>
    <row r="55" spans="2:17" ht="15">
      <c r="B55" s="52" t="s">
        <v>60</v>
      </c>
      <c r="C55" s="33">
        <v>15.4</v>
      </c>
      <c r="G55"/>
      <c r="H55"/>
      <c r="I55"/>
      <c r="J55" s="47" t="s">
        <v>84</v>
      </c>
      <c r="K55" s="97"/>
      <c r="L55" s="97"/>
      <c r="M55" s="97"/>
    </row>
    <row r="56" spans="2:17">
      <c r="G56"/>
      <c r="H56"/>
      <c r="I56"/>
      <c r="J56" s="99">
        <f>+W597</f>
        <v>367682.10243071377</v>
      </c>
      <c r="K56" s="100" t="s">
        <v>44</v>
      </c>
      <c r="L56" s="92" t="s">
        <v>70</v>
      </c>
      <c r="M56" s="92" t="s">
        <v>78</v>
      </c>
    </row>
    <row r="57" spans="2:17">
      <c r="G57"/>
      <c r="H57"/>
      <c r="I57"/>
      <c r="J57" s="103" t="s">
        <v>67</v>
      </c>
      <c r="K57" s="101">
        <f t="dataTable" ref="K57:M58" dt2D="1" dtr="1" r1="C43" r2="C21" ca="1"/>
        <v>393817.61125298246</v>
      </c>
      <c r="L57" s="98">
        <v>367682.10243071377</v>
      </c>
      <c r="M57" s="98">
        <v>323270.10362424859</v>
      </c>
    </row>
    <row r="58" spans="2:17" ht="15" thickBot="1">
      <c r="G58"/>
      <c r="H58"/>
      <c r="I58"/>
      <c r="J58" s="125" t="s">
        <v>66</v>
      </c>
      <c r="K58" s="126">
        <v>398793.32998964825</v>
      </c>
      <c r="L58" s="126">
        <v>372090.41359870246</v>
      </c>
      <c r="M58" s="126">
        <v>326764.66648515488</v>
      </c>
    </row>
    <row r="59" spans="2:17" ht="15.75" thickTop="1">
      <c r="G59"/>
      <c r="H59"/>
      <c r="I59"/>
      <c r="J59" s="127" t="s">
        <v>92</v>
      </c>
      <c r="K59" s="135">
        <f>+K58-K57</f>
        <v>4975.718736665789</v>
      </c>
      <c r="L59" s="135">
        <f t="shared" ref="L59:M59" si="0">+L58-L57</f>
        <v>4408.3111679886933</v>
      </c>
      <c r="M59" s="135">
        <f t="shared" si="0"/>
        <v>3494.5628609062987</v>
      </c>
    </row>
    <row r="60" spans="2:17">
      <c r="G60"/>
      <c r="H60"/>
      <c r="I60"/>
    </row>
    <row r="61" spans="2:17" ht="15">
      <c r="G61"/>
      <c r="H61"/>
      <c r="I61"/>
      <c r="J61" s="47" t="s">
        <v>87</v>
      </c>
      <c r="K61" s="111"/>
      <c r="L61" s="111"/>
      <c r="M61" s="111"/>
      <c r="N61" s="111"/>
      <c r="O61" s="97"/>
      <c r="Q61" s="97"/>
    </row>
    <row r="62" spans="2:17" ht="15">
      <c r="B62" s="36" t="s">
        <v>56</v>
      </c>
      <c r="C62" s="37"/>
      <c r="D62" s="84"/>
      <c r="G62"/>
      <c r="H62"/>
      <c r="I62"/>
      <c r="J62" s="108"/>
      <c r="K62" s="109" t="s">
        <v>18</v>
      </c>
      <c r="L62" s="109" t="s">
        <v>3</v>
      </c>
      <c r="M62" s="109" t="s">
        <v>83</v>
      </c>
      <c r="N62" s="109" t="s">
        <v>81</v>
      </c>
      <c r="Q62" s="109" t="s">
        <v>82</v>
      </c>
    </row>
    <row r="63" spans="2:17" ht="15" hidden="1" outlineLevel="1">
      <c r="B63" s="16"/>
      <c r="C63" s="10"/>
      <c r="G63"/>
      <c r="H63"/>
      <c r="I63"/>
      <c r="J63" s="103"/>
      <c r="K63" s="110">
        <f>+W597</f>
        <v>367682.10243071377</v>
      </c>
      <c r="L63" s="110">
        <f>+N597</f>
        <v>7890.6491966759004</v>
      </c>
      <c r="M63" s="110">
        <f>+K597</f>
        <v>144000</v>
      </c>
      <c r="N63" s="110">
        <f>+L597</f>
        <v>-7920</v>
      </c>
      <c r="Q63" s="110">
        <f>+Q597</f>
        <v>-698.68245983379506</v>
      </c>
    </row>
    <row r="64" spans="2:17" collapsed="1">
      <c r="G64"/>
      <c r="H64"/>
      <c r="I64"/>
      <c r="J64" s="104" t="s">
        <v>67</v>
      </c>
      <c r="K64" s="105">
        <f t="dataTable" ref="K64:Q65" dt2D="0" dtr="0" r1="C21" ca="1"/>
        <v>367682.10243071377</v>
      </c>
      <c r="L64" s="105">
        <v>7890.6491966759004</v>
      </c>
      <c r="M64" s="105">
        <v>144000</v>
      </c>
      <c r="N64" s="105">
        <v>-7920</v>
      </c>
      <c r="O64" s="112">
        <v>0</v>
      </c>
      <c r="P64" s="112">
        <v>0</v>
      </c>
      <c r="Q64" s="105">
        <v>-698.68245983379506</v>
      </c>
    </row>
    <row r="65" spans="2:23" ht="15.75" thickBot="1">
      <c r="B65" s="130" t="s">
        <v>53</v>
      </c>
      <c r="C65" s="131" t="s">
        <v>41</v>
      </c>
      <c r="G65"/>
      <c r="H65"/>
      <c r="I65"/>
      <c r="J65" s="125" t="s">
        <v>66</v>
      </c>
      <c r="K65" s="128">
        <v>372090.41359870246</v>
      </c>
      <c r="L65" s="128">
        <v>19069.522038781164</v>
      </c>
      <c r="M65" s="128">
        <v>126300</v>
      </c>
      <c r="N65" s="128">
        <v>-132</v>
      </c>
      <c r="O65" s="129">
        <v>0</v>
      </c>
      <c r="P65" s="129">
        <v>0</v>
      </c>
      <c r="Q65" s="128">
        <v>-1257.6261019390583</v>
      </c>
    </row>
    <row r="66" spans="2:23" ht="15.75" thickTop="1">
      <c r="B66" s="51" t="s">
        <v>54</v>
      </c>
      <c r="C66" s="45">
        <v>90.91</v>
      </c>
      <c r="G66"/>
      <c r="H66"/>
      <c r="I66"/>
      <c r="J66" s="127" t="s">
        <v>92</v>
      </c>
      <c r="K66" s="134">
        <f>+K65-K64</f>
        <v>4408.3111679886933</v>
      </c>
      <c r="L66" s="134">
        <f t="shared" ref="L66" si="1">+L65-L64</f>
        <v>11178.872842105264</v>
      </c>
      <c r="M66" s="134">
        <f t="shared" ref="M66" si="2">+M65-M64</f>
        <v>-17700</v>
      </c>
      <c r="N66" s="134">
        <f t="shared" ref="N66" si="3">+N65-N64</f>
        <v>7788</v>
      </c>
      <c r="O66" s="134">
        <f t="shared" ref="O66" si="4">+O65-O64</f>
        <v>0</v>
      </c>
      <c r="P66" s="134">
        <f t="shared" ref="P66" si="5">+P65-P64</f>
        <v>0</v>
      </c>
      <c r="Q66" s="134">
        <f t="shared" ref="Q66" si="6">+Q65-Q64</f>
        <v>-558.94364210526328</v>
      </c>
    </row>
    <row r="67" spans="2:23" ht="15">
      <c r="B67" s="51" t="s">
        <v>55</v>
      </c>
      <c r="C67" s="41">
        <v>100</v>
      </c>
      <c r="G67"/>
      <c r="H67"/>
      <c r="I67"/>
    </row>
    <row r="68" spans="2:23" ht="15">
      <c r="B68" s="42"/>
      <c r="C68" s="42"/>
      <c r="J68" s="47" t="s">
        <v>85</v>
      </c>
      <c r="K68" s="97"/>
      <c r="L68" s="97"/>
      <c r="M68" s="97"/>
    </row>
    <row r="69" spans="2:23">
      <c r="J69" s="106">
        <f>+W597</f>
        <v>367682.10243071377</v>
      </c>
      <c r="K69" s="100" t="s">
        <v>44</v>
      </c>
      <c r="L69" s="100" t="s">
        <v>70</v>
      </c>
      <c r="M69" s="100" t="s">
        <v>78</v>
      </c>
    </row>
    <row r="70" spans="2:23" ht="14.25" customHeight="1">
      <c r="B70" s="20" t="s">
        <v>45</v>
      </c>
      <c r="C70" s="46" t="s">
        <v>29</v>
      </c>
      <c r="J70" s="103" t="s">
        <v>34</v>
      </c>
      <c r="K70" s="105">
        <f t="dataTable" ref="K70:M72" dt2D="1" dtr="1" r1="C43" r2="C19"/>
        <v>392590.80639865104</v>
      </c>
      <c r="L70" s="105">
        <v>366606.37619092368</v>
      </c>
      <c r="M70" s="105">
        <v>322442.47282376647</v>
      </c>
    </row>
    <row r="71" spans="2:23" ht="15">
      <c r="B71" s="114" t="s">
        <v>88</v>
      </c>
      <c r="C71" s="18" t="s">
        <v>86</v>
      </c>
      <c r="J71" s="104" t="s">
        <v>68</v>
      </c>
      <c r="K71" s="105">
        <v>393817.61125298246</v>
      </c>
      <c r="L71" s="105">
        <v>367682.10243071377</v>
      </c>
      <c r="M71" s="105">
        <v>323270.10362424859</v>
      </c>
    </row>
    <row r="72" spans="2:23" ht="15">
      <c r="B72" s="136" t="s">
        <v>89</v>
      </c>
      <c r="C72" s="45">
        <v>5</v>
      </c>
      <c r="J72" s="104" t="s">
        <v>69</v>
      </c>
      <c r="K72" s="105">
        <v>400496.44561066088</v>
      </c>
      <c r="L72" s="105">
        <v>373502.24061323027</v>
      </c>
      <c r="M72" s="105">
        <v>327695.68544502335</v>
      </c>
    </row>
    <row r="73" spans="2:23" ht="15">
      <c r="B73" s="16"/>
      <c r="C73" s="107"/>
    </row>
    <row r="74" spans="2:23">
      <c r="B74" s="3"/>
      <c r="G74"/>
      <c r="H74"/>
      <c r="I74"/>
      <c r="J74"/>
    </row>
    <row r="75" spans="2:23" ht="30.75" customHeight="1">
      <c r="G75" s="142" t="s">
        <v>12</v>
      </c>
      <c r="H75" s="142"/>
      <c r="I75" s="142"/>
      <c r="J75" s="148"/>
      <c r="K75" s="141" t="s">
        <v>7</v>
      </c>
      <c r="L75" s="148"/>
      <c r="M75" s="141" t="s">
        <v>6</v>
      </c>
      <c r="N75" s="142"/>
      <c r="O75" s="142"/>
      <c r="P75" s="142"/>
      <c r="Q75" s="148"/>
      <c r="R75" s="143" t="s">
        <v>31</v>
      </c>
      <c r="S75" s="144"/>
      <c r="T75" s="141" t="s">
        <v>13</v>
      </c>
      <c r="U75" s="148"/>
      <c r="V75" s="141" t="s">
        <v>17</v>
      </c>
      <c r="W75" s="142"/>
    </row>
    <row r="76" spans="2:23" ht="43.5">
      <c r="G76" s="55" t="s">
        <v>0</v>
      </c>
      <c r="H76" s="56" t="s">
        <v>1</v>
      </c>
      <c r="I76" s="56" t="s">
        <v>4</v>
      </c>
      <c r="J76" s="56" t="s">
        <v>2</v>
      </c>
      <c r="K76" s="57" t="s">
        <v>8</v>
      </c>
      <c r="L76" s="56" t="s">
        <v>52</v>
      </c>
      <c r="M76" s="57" t="s">
        <v>96</v>
      </c>
      <c r="N76" s="56" t="s">
        <v>95</v>
      </c>
      <c r="O76" s="56" t="s">
        <v>9</v>
      </c>
      <c r="P76" s="56" t="s">
        <v>11</v>
      </c>
      <c r="Q76" s="58" t="s">
        <v>10</v>
      </c>
      <c r="R76" s="57" t="s">
        <v>32</v>
      </c>
      <c r="S76" s="56" t="s">
        <v>30</v>
      </c>
      <c r="T76" s="57" t="s">
        <v>14</v>
      </c>
      <c r="U76" s="56" t="s">
        <v>15</v>
      </c>
      <c r="V76" s="55" t="s">
        <v>16</v>
      </c>
      <c r="W76" s="59" t="s">
        <v>18</v>
      </c>
    </row>
    <row r="77" spans="2:23" outlineLevel="1">
      <c r="G77" s="11">
        <f>+(J77-DATE(1984,8,11))/365</f>
        <v>26.904109589041095</v>
      </c>
      <c r="H77" s="2">
        <v>1</v>
      </c>
      <c r="I77" s="2">
        <v>1</v>
      </c>
      <c r="J77" s="32">
        <f>+C9</f>
        <v>40725</v>
      </c>
      <c r="K77" s="62">
        <f>+IF(OR(H77&gt;60,$C$21="nein"),IF($C$19="monatlich",$C$20,IF($C$19="quartalsweise",OR(MONTH(J77)={1,4,7,10})*$C$20,IF($C$19="jährlich",(MONTH(J77)=7)*$C$20))),IF($C$19="monatlich",$C$22,IF($C$19="quartalsweise",OR(MONTH(J77)={1,4,7,10})*$C$22,IF($C$19="jährlich",(MONTH(J77)=7)*$C$22))))</f>
        <v>900</v>
      </c>
      <c r="L77" s="63">
        <f t="shared" ref="L77:L88" si="7">-IF(H77&gt;60,0,IF($C$19="monatlich",$C$52,IF(AND($C$19="quartalsweise",K77&gt;0),$C$52,IF(AND($C$19="jährlich",K77&gt;0),$C$51,0))))</f>
        <v>-396</v>
      </c>
      <c r="M77" s="62">
        <f t="shared" ref="M77:M85" si="8">+IF(MONTH(J77)=4,$C$25,0)</f>
        <v>0</v>
      </c>
      <c r="N77" s="64">
        <f>+IF(AND($C$19="monatlich",K77&lt;$C$20),$C$20-K77,IF(AND($C$19="quartalsweise",OR(MONTH(J77)={1,4,7,10}),K77&lt;$C$20),$C$20-K77,IF(AND($C$19="jährlich",MONTH(J77)=7,K77&lt;$C$20),$C$20-K77,0)))</f>
        <v>0</v>
      </c>
      <c r="O77" s="64">
        <v>0</v>
      </c>
      <c r="P77" s="64">
        <v>0</v>
      </c>
      <c r="Q77" s="63">
        <f t="shared" ref="Q77:Q88" si="9">-SUM(M77:P77)*$C$47/100</f>
        <v>0</v>
      </c>
      <c r="R77" s="62">
        <f>+SUM(K77,M77:P77)</f>
        <v>900</v>
      </c>
      <c r="S77" s="65">
        <f>+IF(EXACT(J77,J76),S76,SUM(S76,R77))</f>
        <v>900</v>
      </c>
      <c r="T77" s="62">
        <f t="shared" ref="T77:T88" si="10">-IF(MONTH(J77)=12,$C$55,0)</f>
        <v>0</v>
      </c>
      <c r="U77" s="63">
        <v>0</v>
      </c>
      <c r="V77" s="62">
        <v>0</v>
      </c>
      <c r="W77" s="63">
        <f>+SUM(W76,R77,L77,Q77,T77:V77)</f>
        <v>504</v>
      </c>
    </row>
    <row r="78" spans="2:23" outlineLevel="1">
      <c r="G78" s="12">
        <f t="shared" ref="G78:G146" si="11">+(J78-DATE(1984,8,11))/365</f>
        <v>26.989041095890411</v>
      </c>
      <c r="H78" s="4">
        <v>2</v>
      </c>
      <c r="I78" s="4">
        <v>1</v>
      </c>
      <c r="J78" s="30">
        <f>+DATE(YEAR(J77),MONTH(J77)+1,1)</f>
        <v>40756</v>
      </c>
      <c r="K78" s="62">
        <f>+IF(OR(H78&gt;60,$C$21="nein"),IF($C$19="monatlich",$C$20,IF($C$19="quartalsweise",OR(MONTH(J78)={1,4,7,10})*$C$20,IF($C$19="jährlich",(MONTH(J78)=7)*$C$20))),IF($C$19="monatlich",$C$22,IF($C$19="quartalsweise",OR(MONTH(J78)={1,4,7,10})*$C$22,IF($C$19="jährlich",(MONTH(J78)=7)*$C$22))))</f>
        <v>0</v>
      </c>
      <c r="L78" s="63">
        <f t="shared" si="7"/>
        <v>0</v>
      </c>
      <c r="M78" s="62">
        <f t="shared" si="8"/>
        <v>0</v>
      </c>
      <c r="N78" s="64">
        <f>+IF(AND($C$19="monatlich",K78&lt;$C$20),$C$20-K78,IF(AND($C$19="quartalsweise",OR(MONTH(J78)={1,4,7,10}),K78&lt;$C$20),$C$20-K78,IF(AND($C$19="jährlich",MONTH(J78)=7,K78&lt;$C$20),$C$20-K78,0)))</f>
        <v>0</v>
      </c>
      <c r="O78" s="67">
        <v>0</v>
      </c>
      <c r="P78" s="67">
        <v>0</v>
      </c>
      <c r="Q78" s="63">
        <f t="shared" si="9"/>
        <v>0</v>
      </c>
      <c r="R78" s="68">
        <f t="shared" ref="R78:R88" si="12">+SUM(K78,M78:P78)</f>
        <v>0</v>
      </c>
      <c r="S78" s="69">
        <f t="shared" ref="S78:S141" si="13">+IF(EXACT(J78,J77),S77,SUM(S77,R78))</f>
        <v>900</v>
      </c>
      <c r="T78" s="68">
        <f t="shared" si="10"/>
        <v>0</v>
      </c>
      <c r="U78" s="66">
        <f t="shared" ref="U78:U88" si="14">-W77*($D$43/100/12)</f>
        <v>-0.40949999999999998</v>
      </c>
      <c r="V78" s="62">
        <f t="shared" ref="V78:V88" si="15">+(1+(IF($C$71="pauschal",$C$72/100/12,VLOOKUP(I77,$J$5:$L$44,3,FALSE)/100/12)*W77))</f>
        <v>3.1</v>
      </c>
      <c r="W78" s="66">
        <f>+SUM(W77,R78,L78,Q78,T78:V78)</f>
        <v>506.69050000000004</v>
      </c>
    </row>
    <row r="79" spans="2:23" outlineLevel="1">
      <c r="G79" s="12">
        <f t="shared" si="11"/>
        <v>27.073972602739726</v>
      </c>
      <c r="H79" s="4">
        <v>3</v>
      </c>
      <c r="I79" s="4">
        <v>1</v>
      </c>
      <c r="J79" s="30">
        <f t="shared" ref="J79:J142" si="16">+DATE(YEAR(J78),MONTH(J78)+1,1)</f>
        <v>40787</v>
      </c>
      <c r="K79" s="62">
        <f>+IF(OR(H79&gt;60,$C$21="nein"),IF($C$19="monatlich",$C$20,IF($C$19="quartalsweise",OR(MONTH(J79)={1,4,7,10})*$C$20,IF($C$19="jährlich",(MONTH(J79)=7)*$C$20))),IF($C$19="monatlich",$C$22,IF($C$19="quartalsweise",OR(MONTH(J79)={1,4,7,10})*$C$22,IF($C$19="jährlich",(MONTH(J79)=7)*$C$22))))</f>
        <v>0</v>
      </c>
      <c r="L79" s="63">
        <f t="shared" si="7"/>
        <v>0</v>
      </c>
      <c r="M79" s="62">
        <f t="shared" si="8"/>
        <v>0</v>
      </c>
      <c r="N79" s="64">
        <f>+IF(AND($C$19="monatlich",K79&lt;$C$20),$C$20-K79,IF(AND($C$19="quartalsweise",OR(MONTH(J79)={1,4,7,10}),K79&lt;$C$20),$C$20-K79,IF(AND($C$19="jährlich",MONTH(J79)=7,K79&lt;$C$20),$C$20-K79,0)))</f>
        <v>0</v>
      </c>
      <c r="O79" s="67">
        <v>0</v>
      </c>
      <c r="P79" s="67">
        <v>0</v>
      </c>
      <c r="Q79" s="63">
        <f t="shared" si="9"/>
        <v>0</v>
      </c>
      <c r="R79" s="68">
        <f t="shared" si="12"/>
        <v>0</v>
      </c>
      <c r="S79" s="69">
        <f t="shared" si="13"/>
        <v>900</v>
      </c>
      <c r="T79" s="68">
        <f t="shared" si="10"/>
        <v>0</v>
      </c>
      <c r="U79" s="66">
        <f t="shared" si="14"/>
        <v>-0.41168603125000003</v>
      </c>
      <c r="V79" s="62">
        <f t="shared" si="15"/>
        <v>3.1112104166666668</v>
      </c>
      <c r="W79" s="66">
        <f t="shared" ref="W79:W88" si="17">+SUM(W78,R79,L79,Q79,T79:V79)</f>
        <v>509.39002438541672</v>
      </c>
    </row>
    <row r="80" spans="2:23" outlineLevel="1">
      <c r="G80" s="12">
        <f t="shared" si="11"/>
        <v>27.156164383561645</v>
      </c>
      <c r="H80" s="4">
        <v>4</v>
      </c>
      <c r="I80" s="4">
        <v>1</v>
      </c>
      <c r="J80" s="30">
        <f t="shared" si="16"/>
        <v>40817</v>
      </c>
      <c r="K80" s="62">
        <f>+IF(OR(H80&gt;60,$C$21="nein"),IF($C$19="monatlich",$C$20,IF($C$19="quartalsweise",OR(MONTH(J80)={1,4,7,10})*$C$20,IF($C$19="jährlich",(MONTH(J80)=7)*$C$20))),IF($C$19="monatlich",$C$22,IF($C$19="quartalsweise",OR(MONTH(J80)={1,4,7,10})*$C$22,IF($C$19="jährlich",(MONTH(J80)=7)*$C$22))))</f>
        <v>900</v>
      </c>
      <c r="L80" s="63">
        <f t="shared" si="7"/>
        <v>-396</v>
      </c>
      <c r="M80" s="62">
        <f t="shared" si="8"/>
        <v>0</v>
      </c>
      <c r="N80" s="64">
        <f>+IF(AND($C$19="monatlich",K80&lt;$C$20),$C$20-K80,IF(AND($C$19="quartalsweise",OR(MONTH(J80)={1,4,7,10}),K80&lt;$C$20),$C$20-K80,IF(AND($C$19="jährlich",MONTH(J80)=7,K80&lt;$C$20),$C$20-K80,0)))</f>
        <v>0</v>
      </c>
      <c r="O80" s="67">
        <v>0</v>
      </c>
      <c r="P80" s="67">
        <v>0</v>
      </c>
      <c r="Q80" s="63">
        <f t="shared" si="9"/>
        <v>0</v>
      </c>
      <c r="R80" s="68">
        <f t="shared" si="12"/>
        <v>900</v>
      </c>
      <c r="S80" s="69">
        <f t="shared" si="13"/>
        <v>1800</v>
      </c>
      <c r="T80" s="68">
        <f t="shared" si="10"/>
        <v>0</v>
      </c>
      <c r="U80" s="66">
        <f t="shared" si="14"/>
        <v>-0.41387939481315106</v>
      </c>
      <c r="V80" s="62">
        <f t="shared" si="15"/>
        <v>3.1224584349392361</v>
      </c>
      <c r="W80" s="66">
        <f t="shared" si="17"/>
        <v>1016.0986034255429</v>
      </c>
    </row>
    <row r="81" spans="6:23" outlineLevel="1">
      <c r="G81" s="12">
        <f t="shared" si="11"/>
        <v>27.241095890410961</v>
      </c>
      <c r="H81" s="4">
        <v>5</v>
      </c>
      <c r="I81" s="4">
        <v>1</v>
      </c>
      <c r="J81" s="30">
        <f t="shared" si="16"/>
        <v>40848</v>
      </c>
      <c r="K81" s="62">
        <f>+IF(OR(H81&gt;60,$C$21="nein"),IF($C$19="monatlich",$C$20,IF($C$19="quartalsweise",OR(MONTH(J81)={1,4,7,10})*$C$20,IF($C$19="jährlich",(MONTH(J81)=7)*$C$20))),IF($C$19="monatlich",$C$22,IF($C$19="quartalsweise",OR(MONTH(J81)={1,4,7,10})*$C$22,IF($C$19="jährlich",(MONTH(J81)=7)*$C$22))))</f>
        <v>0</v>
      </c>
      <c r="L81" s="63">
        <f t="shared" si="7"/>
        <v>0</v>
      </c>
      <c r="M81" s="62">
        <f t="shared" si="8"/>
        <v>0</v>
      </c>
      <c r="N81" s="64">
        <f>+IF(AND($C$19="monatlich",K81&lt;$C$20),$C$20-K81,IF(AND($C$19="quartalsweise",OR(MONTH(J81)={1,4,7,10}),K81&lt;$C$20),$C$20-K81,IF(AND($C$19="jährlich",MONTH(J81)=7,K81&lt;$C$20),$C$20-K81,0)))</f>
        <v>0</v>
      </c>
      <c r="O81" s="67">
        <v>0</v>
      </c>
      <c r="P81" s="67">
        <v>0</v>
      </c>
      <c r="Q81" s="63">
        <f t="shared" si="9"/>
        <v>0</v>
      </c>
      <c r="R81" s="68">
        <f t="shared" si="12"/>
        <v>0</v>
      </c>
      <c r="S81" s="69">
        <f t="shared" si="13"/>
        <v>1800</v>
      </c>
      <c r="T81" s="68">
        <f t="shared" si="10"/>
        <v>0</v>
      </c>
      <c r="U81" s="66">
        <f t="shared" si="14"/>
        <v>-0.82558011528325359</v>
      </c>
      <c r="V81" s="62">
        <f t="shared" si="15"/>
        <v>5.2337441809397625</v>
      </c>
      <c r="W81" s="66">
        <f t="shared" si="17"/>
        <v>1020.5067674911994</v>
      </c>
    </row>
    <row r="82" spans="6:23" outlineLevel="1">
      <c r="G82" s="12">
        <f t="shared" si="11"/>
        <v>27.323287671232876</v>
      </c>
      <c r="H82" s="4">
        <v>6</v>
      </c>
      <c r="I82" s="4">
        <v>1</v>
      </c>
      <c r="J82" s="30">
        <f t="shared" si="16"/>
        <v>40878</v>
      </c>
      <c r="K82" s="62">
        <f>+IF(OR(H82&gt;60,$C$21="nein"),IF($C$19="monatlich",$C$20,IF($C$19="quartalsweise",OR(MONTH(J82)={1,4,7,10})*$C$20,IF($C$19="jährlich",(MONTH(J82)=7)*$C$20))),IF($C$19="monatlich",$C$22,IF($C$19="quartalsweise",OR(MONTH(J82)={1,4,7,10})*$C$22,IF($C$19="jährlich",(MONTH(J82)=7)*$C$22))))</f>
        <v>0</v>
      </c>
      <c r="L82" s="63">
        <f t="shared" si="7"/>
        <v>0</v>
      </c>
      <c r="M82" s="62">
        <f t="shared" si="8"/>
        <v>0</v>
      </c>
      <c r="N82" s="64">
        <f>+IF(AND($C$19="monatlich",K82&lt;$C$20),$C$20-K82,IF(AND($C$19="quartalsweise",OR(MONTH(J82)={1,4,7,10}),K82&lt;$C$20),$C$20-K82,IF(AND($C$19="jährlich",MONTH(J82)=7,K82&lt;$C$20),$C$20-K82,0)))</f>
        <v>0</v>
      </c>
      <c r="O82" s="67">
        <v>0</v>
      </c>
      <c r="P82" s="67">
        <v>0</v>
      </c>
      <c r="Q82" s="63">
        <f t="shared" si="9"/>
        <v>0</v>
      </c>
      <c r="R82" s="68">
        <f t="shared" si="12"/>
        <v>0</v>
      </c>
      <c r="S82" s="69">
        <f t="shared" si="13"/>
        <v>1800</v>
      </c>
      <c r="T82" s="68">
        <f t="shared" si="10"/>
        <v>-15.4</v>
      </c>
      <c r="U82" s="66">
        <f t="shared" si="14"/>
        <v>-0.82916174858659952</v>
      </c>
      <c r="V82" s="62">
        <f t="shared" si="15"/>
        <v>5.2521115312133304</v>
      </c>
      <c r="W82" s="66">
        <f t="shared" si="17"/>
        <v>1009.5297172738262</v>
      </c>
    </row>
    <row r="83" spans="6:23" outlineLevel="1">
      <c r="G83" s="12">
        <f t="shared" si="11"/>
        <v>27.408219178082192</v>
      </c>
      <c r="H83" s="4">
        <v>7</v>
      </c>
      <c r="I83" s="4">
        <v>1</v>
      </c>
      <c r="J83" s="30">
        <f t="shared" si="16"/>
        <v>40909</v>
      </c>
      <c r="K83" s="62">
        <f>+IF(OR(H83&gt;60,$C$21="nein"),IF($C$19="monatlich",$C$20,IF($C$19="quartalsweise",OR(MONTH(J83)={1,4,7,10})*$C$20,IF($C$19="jährlich",(MONTH(J83)=7)*$C$20))),IF($C$19="monatlich",$C$22,IF($C$19="quartalsweise",OR(MONTH(J83)={1,4,7,10})*$C$22,IF($C$19="jährlich",(MONTH(J83)=7)*$C$22))))</f>
        <v>900</v>
      </c>
      <c r="L83" s="63">
        <f t="shared" si="7"/>
        <v>-396</v>
      </c>
      <c r="M83" s="62">
        <f t="shared" si="8"/>
        <v>0</v>
      </c>
      <c r="N83" s="64">
        <f>+IF(AND($C$19="monatlich",K83&lt;$C$20),$C$20-K83,IF(AND($C$19="quartalsweise",OR(MONTH(J83)={1,4,7,10}),K83&lt;$C$20),$C$20-K83,IF(AND($C$19="jährlich",MONTH(J83)=7,K83&lt;$C$20),$C$20-K83,0)))</f>
        <v>0</v>
      </c>
      <c r="O83" s="67">
        <v>0</v>
      </c>
      <c r="P83" s="67">
        <v>0</v>
      </c>
      <c r="Q83" s="63">
        <f t="shared" si="9"/>
        <v>0</v>
      </c>
      <c r="R83" s="68">
        <f t="shared" si="12"/>
        <v>900</v>
      </c>
      <c r="S83" s="69">
        <f t="shared" si="13"/>
        <v>2700</v>
      </c>
      <c r="T83" s="68">
        <f t="shared" si="10"/>
        <v>0</v>
      </c>
      <c r="U83" s="66">
        <f t="shared" si="14"/>
        <v>-0.82024289528498373</v>
      </c>
      <c r="V83" s="62">
        <f t="shared" si="15"/>
        <v>5.2063738219742763</v>
      </c>
      <c r="W83" s="66">
        <f t="shared" si="17"/>
        <v>1517.9158482005155</v>
      </c>
    </row>
    <row r="84" spans="6:23" outlineLevel="1">
      <c r="G84" s="12">
        <f t="shared" si="11"/>
        <v>27.493150684931507</v>
      </c>
      <c r="H84" s="4">
        <v>8</v>
      </c>
      <c r="I84" s="4">
        <v>1</v>
      </c>
      <c r="J84" s="30">
        <f t="shared" si="16"/>
        <v>40940</v>
      </c>
      <c r="K84" s="62">
        <f>+IF(OR(H84&gt;60,$C$21="nein"),IF($C$19="monatlich",$C$20,IF($C$19="quartalsweise",OR(MONTH(J84)={1,4,7,10})*$C$20,IF($C$19="jährlich",(MONTH(J84)=7)*$C$20))),IF($C$19="monatlich",$C$22,IF($C$19="quartalsweise",OR(MONTH(J84)={1,4,7,10})*$C$22,IF($C$19="jährlich",(MONTH(J84)=7)*$C$22))))</f>
        <v>0</v>
      </c>
      <c r="L84" s="63">
        <f t="shared" si="7"/>
        <v>0</v>
      </c>
      <c r="M84" s="62">
        <f t="shared" si="8"/>
        <v>0</v>
      </c>
      <c r="N84" s="64">
        <f>+IF(AND($C$19="monatlich",K84&lt;$C$20),$C$20-K84,IF(AND($C$19="quartalsweise",OR(MONTH(J84)={1,4,7,10}),K84&lt;$C$20),$C$20-K84,IF(AND($C$19="jährlich",MONTH(J84)=7,K84&lt;$C$20),$C$20-K84,0)))</f>
        <v>0</v>
      </c>
      <c r="O84" s="67">
        <v>0</v>
      </c>
      <c r="P84" s="67">
        <v>0</v>
      </c>
      <c r="Q84" s="63">
        <f t="shared" si="9"/>
        <v>0</v>
      </c>
      <c r="R84" s="68">
        <f t="shared" si="12"/>
        <v>0</v>
      </c>
      <c r="S84" s="69">
        <f t="shared" si="13"/>
        <v>2700</v>
      </c>
      <c r="T84" s="68">
        <f t="shared" si="10"/>
        <v>0</v>
      </c>
      <c r="U84" s="66">
        <f t="shared" si="14"/>
        <v>-1.2333066266629187</v>
      </c>
      <c r="V84" s="62">
        <f t="shared" si="15"/>
        <v>7.3246493675021478</v>
      </c>
      <c r="W84" s="66">
        <f t="shared" si="17"/>
        <v>1524.0071909413548</v>
      </c>
    </row>
    <row r="85" spans="6:23" outlineLevel="1">
      <c r="G85" s="12">
        <f t="shared" si="11"/>
        <v>27.572602739726026</v>
      </c>
      <c r="H85" s="4">
        <v>9</v>
      </c>
      <c r="I85" s="4">
        <v>1</v>
      </c>
      <c r="J85" s="30">
        <f t="shared" si="16"/>
        <v>40969</v>
      </c>
      <c r="K85" s="62">
        <f>+IF(OR(H85&gt;60,$C$21="nein"),IF($C$19="monatlich",$C$20,IF($C$19="quartalsweise",OR(MONTH(J85)={1,4,7,10})*$C$20,IF($C$19="jährlich",(MONTH(J85)=7)*$C$20))),IF($C$19="monatlich",$C$22,IF($C$19="quartalsweise",OR(MONTH(J85)={1,4,7,10})*$C$22,IF($C$19="jährlich",(MONTH(J85)=7)*$C$22))))</f>
        <v>0</v>
      </c>
      <c r="L85" s="63">
        <f t="shared" si="7"/>
        <v>0</v>
      </c>
      <c r="M85" s="62">
        <f t="shared" si="8"/>
        <v>0</v>
      </c>
      <c r="N85" s="64">
        <f>+IF(AND($C$19="monatlich",K85&lt;$C$20),$C$20-K85,IF(AND($C$19="quartalsweise",OR(MONTH(J85)={1,4,7,10}),K85&lt;$C$20),$C$20-K85,IF(AND($C$19="jährlich",MONTH(J85)=7,K85&lt;$C$20),$C$20-K85,0)))-$C$67/100*SUM(Q77:Q79)-$C$66/100*SUM(L77:L79)</f>
        <v>360.00360000000001</v>
      </c>
      <c r="O85" s="67">
        <v>0</v>
      </c>
      <c r="P85" s="67">
        <v>0</v>
      </c>
      <c r="Q85" s="63">
        <f t="shared" si="9"/>
        <v>-18.00018</v>
      </c>
      <c r="R85" s="68">
        <f t="shared" si="12"/>
        <v>360.00360000000001</v>
      </c>
      <c r="S85" s="69">
        <f t="shared" si="13"/>
        <v>3060.0036</v>
      </c>
      <c r="T85" s="68">
        <f t="shared" si="10"/>
        <v>0</v>
      </c>
      <c r="U85" s="66">
        <f t="shared" si="14"/>
        <v>-1.2382558426398507</v>
      </c>
      <c r="V85" s="62">
        <f t="shared" si="15"/>
        <v>7.3500299622556451</v>
      </c>
      <c r="W85" s="66">
        <f t="shared" si="17"/>
        <v>1872.1223850609706</v>
      </c>
    </row>
    <row r="86" spans="6:23" outlineLevel="1">
      <c r="G86" s="12">
        <f t="shared" si="11"/>
        <v>27.657534246575342</v>
      </c>
      <c r="H86" s="4">
        <v>10</v>
      </c>
      <c r="I86" s="4">
        <v>1</v>
      </c>
      <c r="J86" s="30">
        <f t="shared" si="16"/>
        <v>41000</v>
      </c>
      <c r="K86" s="62">
        <f>+IF(OR(H86&gt;60,$C$21="nein"),IF($C$19="monatlich",$C$20,IF($C$19="quartalsweise",OR(MONTH(J86)={1,4,7,10})*$C$20,IF($C$19="jährlich",(MONTH(J86)=7)*$C$20))),IF($C$19="monatlich",$C$22,IF($C$19="quartalsweise",OR(MONTH(J86)={1,4,7,10})*$C$22,IF($C$19="jährlich",(MONTH(J86)=7)*$C$22))))</f>
        <v>900</v>
      </c>
      <c r="L86" s="63">
        <f t="shared" si="7"/>
        <v>-396</v>
      </c>
      <c r="M86" s="62">
        <f>+$C$25/2</f>
        <v>77</v>
      </c>
      <c r="N86" s="64">
        <f>+IF(AND($C$19="monatlich",K86&lt;$C$20),$C$20-K86,IF(AND($C$19="quartalsweise",OR(MONTH(J86)={1,4,7,10}),K86&lt;$C$20),$C$20-K86,IF(AND($C$19="jährlich",MONTH(J86)=7,K86&lt;$C$20),$C$20-K86,0)))</f>
        <v>0</v>
      </c>
      <c r="O86" s="67">
        <v>0</v>
      </c>
      <c r="P86" s="67">
        <v>0</v>
      </c>
      <c r="Q86" s="63">
        <f t="shared" si="9"/>
        <v>-3.85</v>
      </c>
      <c r="R86" s="68">
        <f t="shared" si="12"/>
        <v>977</v>
      </c>
      <c r="S86" s="69">
        <f t="shared" si="13"/>
        <v>4037.0036</v>
      </c>
      <c r="T86" s="68">
        <f t="shared" si="10"/>
        <v>0</v>
      </c>
      <c r="U86" s="66">
        <f t="shared" si="14"/>
        <v>-1.5210994378620386</v>
      </c>
      <c r="V86" s="62">
        <f t="shared" si="15"/>
        <v>8.8005099377540432</v>
      </c>
      <c r="W86" s="66">
        <f t="shared" si="17"/>
        <v>2456.5517955608625</v>
      </c>
    </row>
    <row r="87" spans="6:23" outlineLevel="1">
      <c r="G87" s="12">
        <f t="shared" si="11"/>
        <v>27.739726027397261</v>
      </c>
      <c r="H87" s="4">
        <v>11</v>
      </c>
      <c r="I87" s="4">
        <v>1</v>
      </c>
      <c r="J87" s="30">
        <f t="shared" si="16"/>
        <v>41030</v>
      </c>
      <c r="K87" s="62">
        <f>+IF(OR(H87&gt;60,$C$21="nein"),IF($C$19="monatlich",$C$20,IF($C$19="quartalsweise",OR(MONTH(J87)={1,4,7,10})*$C$20,IF($C$19="jährlich",(MONTH(J87)=7)*$C$20))),IF($C$19="monatlich",$C$22,IF($C$19="quartalsweise",OR(MONTH(J87)={1,4,7,10})*$C$22,IF($C$19="jährlich",(MONTH(J87)=7)*$C$22))))</f>
        <v>0</v>
      </c>
      <c r="L87" s="63">
        <f t="shared" si="7"/>
        <v>0</v>
      </c>
      <c r="M87" s="62">
        <f>+IF(MONTH(J87)=4,$C$25,0)</f>
        <v>0</v>
      </c>
      <c r="N87" s="64">
        <f>+IF(AND($C$19="monatlich",K87&lt;$C$20),$C$20-K87,IF(AND($C$19="quartalsweise",OR(MONTH(J87)={1,4,7,10}),K87&lt;$C$20),$C$20-K87,IF(AND($C$19="jährlich",MONTH(J87)=7,K87&lt;$C$20),$C$20-K87,0)))</f>
        <v>0</v>
      </c>
      <c r="O87" s="67">
        <v>0</v>
      </c>
      <c r="P87" s="67">
        <v>0</v>
      </c>
      <c r="Q87" s="63">
        <f t="shared" si="9"/>
        <v>0</v>
      </c>
      <c r="R87" s="68">
        <f t="shared" si="12"/>
        <v>0</v>
      </c>
      <c r="S87" s="69">
        <f t="shared" si="13"/>
        <v>4037.0036</v>
      </c>
      <c r="T87" s="68">
        <f t="shared" si="10"/>
        <v>0</v>
      </c>
      <c r="U87" s="66">
        <f t="shared" si="14"/>
        <v>-1.9959483338932007</v>
      </c>
      <c r="V87" s="62">
        <f t="shared" si="15"/>
        <v>11.235632481503593</v>
      </c>
      <c r="W87" s="66">
        <f t="shared" si="17"/>
        <v>2465.7914797084732</v>
      </c>
    </row>
    <row r="88" spans="6:23" outlineLevel="1">
      <c r="G88" s="14">
        <f t="shared" si="11"/>
        <v>27.824657534246576</v>
      </c>
      <c r="H88" s="15">
        <v>12</v>
      </c>
      <c r="I88" s="15">
        <v>1</v>
      </c>
      <c r="J88" s="30">
        <f t="shared" si="16"/>
        <v>41061</v>
      </c>
      <c r="K88" s="62">
        <f>+IF(OR(H88&gt;60,$C$21="nein"),IF($C$19="monatlich",$C$20,IF($C$19="quartalsweise",OR(MONTH(J88)={1,4,7,10})*$C$20,IF($C$19="jährlich",(MONTH(J88)=7)*$C$20))),IF($C$19="monatlich",$C$22,IF($C$19="quartalsweise",OR(MONTH(J88)={1,4,7,10})*$C$22,IF($C$19="jährlich",(MONTH(J88)=7)*$C$22))))</f>
        <v>0</v>
      </c>
      <c r="L88" s="63">
        <f t="shared" si="7"/>
        <v>0</v>
      </c>
      <c r="M88" s="62">
        <f>+IF(MONTH(J88)=4,$C$25,0)</f>
        <v>0</v>
      </c>
      <c r="N88" s="64">
        <f>+IF(AND($C$19="monatlich",K88&lt;$C$20),$C$20-K88,IF(AND($C$19="quartalsweise",OR(MONTH(J88)={1,4,7,10}),K88&lt;$C$20),$C$20-K88,IF(AND($C$19="jährlich",MONTH(J88)=7,K88&lt;$C$20),$C$20-K88,0)))</f>
        <v>0</v>
      </c>
      <c r="O88" s="71">
        <v>0</v>
      </c>
      <c r="P88" s="71">
        <v>0</v>
      </c>
      <c r="Q88" s="63">
        <f t="shared" si="9"/>
        <v>0</v>
      </c>
      <c r="R88" s="72">
        <f t="shared" si="12"/>
        <v>0</v>
      </c>
      <c r="S88" s="73">
        <f t="shared" si="13"/>
        <v>4037.0036</v>
      </c>
      <c r="T88" s="72">
        <f t="shared" si="10"/>
        <v>0</v>
      </c>
      <c r="U88" s="70">
        <f t="shared" si="14"/>
        <v>-2.0034555772631344</v>
      </c>
      <c r="V88" s="62">
        <f t="shared" si="15"/>
        <v>11.274131165451971</v>
      </c>
      <c r="W88" s="66">
        <f t="shared" si="17"/>
        <v>2475.0621552966618</v>
      </c>
    </row>
    <row r="89" spans="6:23" s="5" customFormat="1" ht="15">
      <c r="F89" s="3"/>
      <c r="G89" s="115">
        <f t="shared" si="11"/>
        <v>27.824657534246576</v>
      </c>
      <c r="H89" s="116" t="str">
        <f>H77&amp;" - "&amp;H88</f>
        <v>1 - 12</v>
      </c>
      <c r="I89" s="117">
        <v>1</v>
      </c>
      <c r="J89" s="118">
        <f>+J88</f>
        <v>41061</v>
      </c>
      <c r="K89" s="119">
        <f>SUM(K77:K88)</f>
        <v>3600</v>
      </c>
      <c r="L89" s="120">
        <f>SUM(L77:L88)</f>
        <v>-1584</v>
      </c>
      <c r="M89" s="119">
        <f t="shared" ref="M89:Q89" si="18">SUM(M77:M88)</f>
        <v>77</v>
      </c>
      <c r="N89" s="121">
        <f t="shared" si="18"/>
        <v>360.00360000000001</v>
      </c>
      <c r="O89" s="121">
        <f t="shared" si="18"/>
        <v>0</v>
      </c>
      <c r="P89" s="121">
        <f t="shared" si="18"/>
        <v>0</v>
      </c>
      <c r="Q89" s="120">
        <f t="shared" si="18"/>
        <v>-21.850180000000002</v>
      </c>
      <c r="R89" s="119">
        <f>SUM(R77:R88)</f>
        <v>4037.0036</v>
      </c>
      <c r="S89" s="122">
        <f t="shared" si="13"/>
        <v>4037.0036</v>
      </c>
      <c r="T89" s="119">
        <f>SUM(T77:T88)</f>
        <v>-15.4</v>
      </c>
      <c r="U89" s="120">
        <f>SUM(U77:U88)</f>
        <v>-11.702116003539132</v>
      </c>
      <c r="V89" s="119">
        <f>SUM(V77:V88)</f>
        <v>71.01085130020067</v>
      </c>
      <c r="W89" s="123">
        <f>+W88</f>
        <v>2475.0621552966618</v>
      </c>
    </row>
    <row r="90" spans="6:23" outlineLevel="1">
      <c r="G90" s="11">
        <f t="shared" si="11"/>
        <v>27.906849315068492</v>
      </c>
      <c r="H90" s="2">
        <v>13</v>
      </c>
      <c r="I90" s="2">
        <f t="shared" ref="I90:I128" si="19">+I77+1</f>
        <v>2</v>
      </c>
      <c r="J90" s="30">
        <f t="shared" si="16"/>
        <v>41091</v>
      </c>
      <c r="K90" s="62">
        <f>+IF(OR(H90&gt;60,$C$21="nein"),IF($C$19="monatlich",$C$20,IF($C$19="quartalsweise",OR(MONTH(J90)={1,4,7,10})*$C$20,IF($C$19="jährlich",(MONTH(J90)=7)*$C$20))),IF($C$19="monatlich",$C$22,IF($C$19="quartalsweise",OR(MONTH(J90)={1,4,7,10})*$C$22,IF($C$19="jährlich",(MONTH(J90)=7)*$C$22))))</f>
        <v>900</v>
      </c>
      <c r="L90" s="63">
        <f t="shared" ref="L90:L101" si="20">-IF(H90&gt;60,0,IF($C$19="monatlich",$C$52,IF(AND($C$19="quartalsweise",K90&gt;0),$C$52,IF(AND($C$19="jährlich",K90&gt;0),$C$51,0))))</f>
        <v>-396</v>
      </c>
      <c r="M90" s="62">
        <f t="shared" ref="M90:M101" si="21">+IF(MONTH(J90)=4,$C$25,0)</f>
        <v>0</v>
      </c>
      <c r="N90" s="64">
        <f>+IF(AND($C$19="monatlich",K90&lt;$C$20),$C$20-K90,IF(AND($C$19="quartalsweise",OR(MONTH(J90)={1,4,7,10}),K90&lt;$C$20),$C$20-K90,IF(AND($C$19="jährlich",MONTH(J90)=7,K90&lt;$C$20),$C$20-K90,0)))</f>
        <v>0</v>
      </c>
      <c r="O90" s="64">
        <v>0</v>
      </c>
      <c r="P90" s="64">
        <v>0</v>
      </c>
      <c r="Q90" s="63">
        <f t="shared" ref="Q90:Q101" si="22">-SUM(M90:P90)*$C$47/100</f>
        <v>0</v>
      </c>
      <c r="R90" s="62">
        <f t="shared" ref="R90:R153" si="23">+SUM(K90,M90:P90)</f>
        <v>900</v>
      </c>
      <c r="S90" s="65">
        <f t="shared" si="13"/>
        <v>4937.0036</v>
      </c>
      <c r="T90" s="62">
        <f t="shared" ref="T90:T101" si="24">-IF(MONTH(J90)=12,$C$55,0)</f>
        <v>0</v>
      </c>
      <c r="U90" s="63">
        <f t="shared" ref="U90:U101" si="25">-W89*($D$43/100/12)</f>
        <v>-2.0109880011785375</v>
      </c>
      <c r="V90" s="62">
        <f t="shared" ref="V90:V101" si="26">+(1+(IF($C$71="pauschal",$C$72/100/12,VLOOKUP(I89,$J$5:$L$44,3,FALSE)/100/12)*W89))</f>
        <v>11.312758980402757</v>
      </c>
      <c r="W90" s="63">
        <f>+SUM(W89,R90,L90,Q90,T90:V90)</f>
        <v>2988.3639262758857</v>
      </c>
    </row>
    <row r="91" spans="6:23" outlineLevel="1">
      <c r="G91" s="12">
        <f t="shared" si="11"/>
        <v>27.991780821917807</v>
      </c>
      <c r="H91" s="4">
        <v>14</v>
      </c>
      <c r="I91" s="4">
        <f t="shared" si="19"/>
        <v>2</v>
      </c>
      <c r="J91" s="30">
        <f t="shared" si="16"/>
        <v>41122</v>
      </c>
      <c r="K91" s="62">
        <f>+IF(OR(H91&gt;60,$C$21="nein"),IF($C$19="monatlich",$C$20,IF($C$19="quartalsweise",OR(MONTH(J91)={1,4,7,10})*$C$20,IF($C$19="jährlich",(MONTH(J91)=7)*$C$20))),IF($C$19="monatlich",$C$22,IF($C$19="quartalsweise",OR(MONTH(J91)={1,4,7,10})*$C$22,IF($C$19="jährlich",(MONTH(J91)=7)*$C$22))))</f>
        <v>0</v>
      </c>
      <c r="L91" s="66">
        <f t="shared" si="20"/>
        <v>0</v>
      </c>
      <c r="M91" s="62">
        <f t="shared" si="21"/>
        <v>0</v>
      </c>
      <c r="N91" s="64">
        <f>+IF(AND($C$19="monatlich",K91&lt;$C$20),$C$20-K91,IF(AND($C$19="quartalsweise",OR(MONTH(J91)={1,4,7,10}),K91&lt;$C$20),$C$20-K91,IF(AND($C$19="jährlich",MONTH(J91)=7,K91&lt;$C$20),$C$20-K91,0)))</f>
        <v>0</v>
      </c>
      <c r="O91" s="67">
        <v>0</v>
      </c>
      <c r="P91" s="67">
        <v>0</v>
      </c>
      <c r="Q91" s="63">
        <f t="shared" si="22"/>
        <v>0</v>
      </c>
      <c r="R91" s="68">
        <f t="shared" si="23"/>
        <v>0</v>
      </c>
      <c r="S91" s="69">
        <f t="shared" si="13"/>
        <v>4937.0036</v>
      </c>
      <c r="T91" s="68">
        <f t="shared" si="24"/>
        <v>0</v>
      </c>
      <c r="U91" s="66">
        <f t="shared" si="25"/>
        <v>-2.4280456900991569</v>
      </c>
      <c r="V91" s="62">
        <f t="shared" si="26"/>
        <v>13.451516359482858</v>
      </c>
      <c r="W91" s="66">
        <f>+SUM(W90,R91,L91,Q91,T91:V91)</f>
        <v>2999.3873969452693</v>
      </c>
    </row>
    <row r="92" spans="6:23" outlineLevel="1">
      <c r="G92" s="12">
        <f t="shared" si="11"/>
        <v>28.076712328767123</v>
      </c>
      <c r="H92" s="4">
        <v>15</v>
      </c>
      <c r="I92" s="4">
        <f t="shared" si="19"/>
        <v>2</v>
      </c>
      <c r="J92" s="30">
        <f t="shared" si="16"/>
        <v>41153</v>
      </c>
      <c r="K92" s="62">
        <f>+IF(OR(H92&gt;60,$C$21="nein"),IF($C$19="monatlich",$C$20,IF($C$19="quartalsweise",OR(MONTH(J92)={1,4,7,10})*$C$20,IF($C$19="jährlich",(MONTH(J92)=7)*$C$20))),IF($C$19="monatlich",$C$22,IF($C$19="quartalsweise",OR(MONTH(J92)={1,4,7,10})*$C$22,IF($C$19="jährlich",(MONTH(J92)=7)*$C$22))))</f>
        <v>0</v>
      </c>
      <c r="L92" s="66">
        <f t="shared" si="20"/>
        <v>0</v>
      </c>
      <c r="M92" s="62">
        <f t="shared" si="21"/>
        <v>0</v>
      </c>
      <c r="N92" s="64">
        <f>+IF(AND($C$19="monatlich",K92&lt;$C$20),$C$20-K92,IF(AND($C$19="quartalsweise",OR(MONTH(J92)={1,4,7,10}),K92&lt;$C$20),$C$20-K92,IF(AND($C$19="jährlich",MONTH(J92)=7,K92&lt;$C$20),$C$20-K92,0)))</f>
        <v>0</v>
      </c>
      <c r="O92" s="67">
        <v>0</v>
      </c>
      <c r="P92" s="67">
        <v>0</v>
      </c>
      <c r="Q92" s="63">
        <f t="shared" si="22"/>
        <v>0</v>
      </c>
      <c r="R92" s="68">
        <f t="shared" si="23"/>
        <v>0</v>
      </c>
      <c r="S92" s="69">
        <f t="shared" si="13"/>
        <v>4937.0036</v>
      </c>
      <c r="T92" s="68">
        <f t="shared" si="24"/>
        <v>0</v>
      </c>
      <c r="U92" s="66">
        <f t="shared" si="25"/>
        <v>-2.4370022600180312</v>
      </c>
      <c r="V92" s="62">
        <f t="shared" si="26"/>
        <v>13.497447487271955</v>
      </c>
      <c r="W92" s="66">
        <f t="shared" ref="W92:W101" si="27">+SUM(W91,R92,L92,Q92,T92:V92)</f>
        <v>3010.4478421725235</v>
      </c>
    </row>
    <row r="93" spans="6:23" outlineLevel="1">
      <c r="G93" s="12">
        <f t="shared" si="11"/>
        <v>28.158904109589042</v>
      </c>
      <c r="H93" s="4">
        <v>16</v>
      </c>
      <c r="I93" s="4">
        <f t="shared" si="19"/>
        <v>2</v>
      </c>
      <c r="J93" s="30">
        <f t="shared" si="16"/>
        <v>41183</v>
      </c>
      <c r="K93" s="62">
        <f>+IF(OR(H93&gt;60,$C$21="nein"),IF($C$19="monatlich",$C$20,IF($C$19="quartalsweise",OR(MONTH(J93)={1,4,7,10})*$C$20,IF($C$19="jährlich",(MONTH(J93)=7)*$C$20))),IF($C$19="monatlich",$C$22,IF($C$19="quartalsweise",OR(MONTH(J93)={1,4,7,10})*$C$22,IF($C$19="jährlich",(MONTH(J93)=7)*$C$22))))</f>
        <v>900</v>
      </c>
      <c r="L93" s="66">
        <f t="shared" si="20"/>
        <v>-396</v>
      </c>
      <c r="M93" s="62">
        <f t="shared" si="21"/>
        <v>0</v>
      </c>
      <c r="N93" s="64">
        <f>+IF(AND($C$19="monatlich",K93&lt;$C$20),$C$20-K93,IF(AND($C$19="quartalsweise",OR(MONTH(J93)={1,4,7,10}),K93&lt;$C$20),$C$20-K93,IF(AND($C$19="jährlich",MONTH(J93)=7,K93&lt;$C$20),$C$20-K93,0)))</f>
        <v>0</v>
      </c>
      <c r="O93" s="67">
        <v>0</v>
      </c>
      <c r="P93" s="67">
        <v>0</v>
      </c>
      <c r="Q93" s="63">
        <f t="shared" si="22"/>
        <v>0</v>
      </c>
      <c r="R93" s="68">
        <f t="shared" si="23"/>
        <v>900</v>
      </c>
      <c r="S93" s="69">
        <f t="shared" si="13"/>
        <v>5837.0036</v>
      </c>
      <c r="T93" s="68">
        <f t="shared" si="24"/>
        <v>0</v>
      </c>
      <c r="U93" s="66">
        <f t="shared" si="25"/>
        <v>-2.445988871765175</v>
      </c>
      <c r="V93" s="62">
        <f t="shared" si="26"/>
        <v>13.543532675718847</v>
      </c>
      <c r="W93" s="66">
        <f t="shared" si="27"/>
        <v>3525.5453859764771</v>
      </c>
    </row>
    <row r="94" spans="6:23" outlineLevel="1">
      <c r="G94" s="12">
        <f t="shared" si="11"/>
        <v>28.243835616438357</v>
      </c>
      <c r="H94" s="4">
        <v>17</v>
      </c>
      <c r="I94" s="4">
        <f t="shared" si="19"/>
        <v>2</v>
      </c>
      <c r="J94" s="30">
        <f t="shared" si="16"/>
        <v>41214</v>
      </c>
      <c r="K94" s="62">
        <f>+IF(OR(H94&gt;60,$C$21="nein"),IF($C$19="monatlich",$C$20,IF($C$19="quartalsweise",OR(MONTH(J94)={1,4,7,10})*$C$20,IF($C$19="jährlich",(MONTH(J94)=7)*$C$20))),IF($C$19="monatlich",$C$22,IF($C$19="quartalsweise",OR(MONTH(J94)={1,4,7,10})*$C$22,IF($C$19="jährlich",(MONTH(J94)=7)*$C$22))))</f>
        <v>0</v>
      </c>
      <c r="L94" s="66">
        <f t="shared" si="20"/>
        <v>0</v>
      </c>
      <c r="M94" s="62">
        <f t="shared" si="21"/>
        <v>0</v>
      </c>
      <c r="N94" s="64">
        <f>+IF(AND($C$19="monatlich",K94&lt;$C$20),$C$20-K94,IF(AND($C$19="quartalsweise",OR(MONTH(J94)={1,4,7,10}),K94&lt;$C$20),$C$20-K94,IF(AND($C$19="jährlich",MONTH(J94)=7,K94&lt;$C$20),$C$20-K94,0)))</f>
        <v>0</v>
      </c>
      <c r="O94" s="67">
        <v>0</v>
      </c>
      <c r="P94" s="67">
        <v>0</v>
      </c>
      <c r="Q94" s="63">
        <f t="shared" si="22"/>
        <v>0</v>
      </c>
      <c r="R94" s="68">
        <f t="shared" si="23"/>
        <v>0</v>
      </c>
      <c r="S94" s="69">
        <f t="shared" si="13"/>
        <v>5837.0036</v>
      </c>
      <c r="T94" s="68">
        <f t="shared" si="24"/>
        <v>0</v>
      </c>
      <c r="U94" s="66">
        <f t="shared" si="25"/>
        <v>-2.8645056261058874</v>
      </c>
      <c r="V94" s="62">
        <f t="shared" si="26"/>
        <v>15.689772441568655</v>
      </c>
      <c r="W94" s="66">
        <f t="shared" si="27"/>
        <v>3538.3706527919398</v>
      </c>
    </row>
    <row r="95" spans="6:23" outlineLevel="1">
      <c r="G95" s="12">
        <f t="shared" si="11"/>
        <v>28.326027397260273</v>
      </c>
      <c r="H95" s="4">
        <v>18</v>
      </c>
      <c r="I95" s="4">
        <f t="shared" si="19"/>
        <v>2</v>
      </c>
      <c r="J95" s="30">
        <f t="shared" si="16"/>
        <v>41244</v>
      </c>
      <c r="K95" s="62">
        <f>+IF(OR(H95&gt;60,$C$21="nein"),IF($C$19="monatlich",$C$20,IF($C$19="quartalsweise",OR(MONTH(J95)={1,4,7,10})*$C$20,IF($C$19="jährlich",(MONTH(J95)=7)*$C$20))),IF($C$19="monatlich",$C$22,IF($C$19="quartalsweise",OR(MONTH(J95)={1,4,7,10})*$C$22,IF($C$19="jährlich",(MONTH(J95)=7)*$C$22))))</f>
        <v>0</v>
      </c>
      <c r="L95" s="66">
        <f t="shared" si="20"/>
        <v>0</v>
      </c>
      <c r="M95" s="62">
        <f t="shared" si="21"/>
        <v>0</v>
      </c>
      <c r="N95" s="64">
        <f>+IF(AND($C$19="monatlich",K95&lt;$C$20),$C$20-K95,IF(AND($C$19="quartalsweise",OR(MONTH(J95)={1,4,7,10}),K95&lt;$C$20),$C$20-K95,IF(AND($C$19="jährlich",MONTH(J95)=7,K95&lt;$C$20),$C$20-K95,0)))</f>
        <v>0</v>
      </c>
      <c r="O95" s="67">
        <v>0</v>
      </c>
      <c r="P95" s="67">
        <v>0</v>
      </c>
      <c r="Q95" s="63">
        <f t="shared" si="22"/>
        <v>0</v>
      </c>
      <c r="R95" s="68">
        <f t="shared" si="23"/>
        <v>0</v>
      </c>
      <c r="S95" s="69">
        <f t="shared" si="13"/>
        <v>5837.0036</v>
      </c>
      <c r="T95" s="68">
        <f t="shared" si="24"/>
        <v>-15.4</v>
      </c>
      <c r="U95" s="66">
        <f t="shared" si="25"/>
        <v>-2.8749261553934509</v>
      </c>
      <c r="V95" s="62">
        <f t="shared" si="26"/>
        <v>15.743211053299749</v>
      </c>
      <c r="W95" s="66">
        <f t="shared" si="27"/>
        <v>3535.8389376898458</v>
      </c>
    </row>
    <row r="96" spans="6:23" outlineLevel="1">
      <c r="G96" s="12">
        <f t="shared" si="11"/>
        <v>28.410958904109588</v>
      </c>
      <c r="H96" s="4">
        <v>19</v>
      </c>
      <c r="I96" s="4">
        <f t="shared" si="19"/>
        <v>2</v>
      </c>
      <c r="J96" s="30">
        <f t="shared" si="16"/>
        <v>41275</v>
      </c>
      <c r="K96" s="62">
        <f>+IF(OR(H96&gt;60,$C$21="nein"),IF($C$19="monatlich",$C$20,IF($C$19="quartalsweise",OR(MONTH(J96)={1,4,7,10})*$C$20,IF($C$19="jährlich",(MONTH(J96)=7)*$C$20))),IF($C$19="monatlich",$C$22,IF($C$19="quartalsweise",OR(MONTH(J96)={1,4,7,10})*$C$22,IF($C$19="jährlich",(MONTH(J96)=7)*$C$22))))</f>
        <v>900</v>
      </c>
      <c r="L96" s="66">
        <f t="shared" si="20"/>
        <v>-396</v>
      </c>
      <c r="M96" s="62">
        <f t="shared" si="21"/>
        <v>0</v>
      </c>
      <c r="N96" s="64">
        <f>+IF(AND($C$19="monatlich",K96&lt;$C$20),$C$20-K96,IF(AND($C$19="quartalsweise",OR(MONTH(J96)={1,4,7,10}),K96&lt;$C$20),$C$20-K96,IF(AND($C$19="jährlich",MONTH(J96)=7,K96&lt;$C$20),$C$20-K96,0)))</f>
        <v>0</v>
      </c>
      <c r="O96" s="67">
        <v>0</v>
      </c>
      <c r="P96" s="67">
        <v>0</v>
      </c>
      <c r="Q96" s="63">
        <f t="shared" si="22"/>
        <v>0</v>
      </c>
      <c r="R96" s="68">
        <f t="shared" si="23"/>
        <v>900</v>
      </c>
      <c r="S96" s="69">
        <f t="shared" si="13"/>
        <v>6737.0036</v>
      </c>
      <c r="T96" s="68">
        <f t="shared" si="24"/>
        <v>0</v>
      </c>
      <c r="U96" s="66">
        <f t="shared" si="25"/>
        <v>-2.8728691368729997</v>
      </c>
      <c r="V96" s="62">
        <f t="shared" si="26"/>
        <v>15.732662240374358</v>
      </c>
      <c r="W96" s="66">
        <f t="shared" si="27"/>
        <v>4052.6987307933473</v>
      </c>
    </row>
    <row r="97" spans="6:23" outlineLevel="1">
      <c r="G97" s="12">
        <f t="shared" si="11"/>
        <v>28.495890410958904</v>
      </c>
      <c r="H97" s="4">
        <v>20</v>
      </c>
      <c r="I97" s="4">
        <f t="shared" si="19"/>
        <v>2</v>
      </c>
      <c r="J97" s="30">
        <f t="shared" si="16"/>
        <v>41306</v>
      </c>
      <c r="K97" s="62">
        <f>+IF(OR(H97&gt;60,$C$21="nein"),IF($C$19="monatlich",$C$20,IF($C$19="quartalsweise",OR(MONTH(J97)={1,4,7,10})*$C$20,IF($C$19="jährlich",(MONTH(J97)=7)*$C$20))),IF($C$19="monatlich",$C$22,IF($C$19="quartalsweise",OR(MONTH(J97)={1,4,7,10})*$C$22,IF($C$19="jährlich",(MONTH(J97)=7)*$C$22))))</f>
        <v>0</v>
      </c>
      <c r="L97" s="66">
        <f t="shared" si="20"/>
        <v>0</v>
      </c>
      <c r="M97" s="62">
        <f t="shared" si="21"/>
        <v>0</v>
      </c>
      <c r="N97" s="64">
        <f>+IF(AND($C$19="monatlich",K97&lt;$C$20),$C$20-K97,IF(AND($C$19="quartalsweise",OR(MONTH(J97)={1,4,7,10}),K97&lt;$C$20),$C$20-K97,IF(AND($C$19="jährlich",MONTH(J97)=7,K97&lt;$C$20),$C$20-K97,0)))</f>
        <v>0</v>
      </c>
      <c r="O97" s="67">
        <v>0</v>
      </c>
      <c r="P97" s="67">
        <v>0</v>
      </c>
      <c r="Q97" s="63">
        <f t="shared" si="22"/>
        <v>0</v>
      </c>
      <c r="R97" s="68">
        <f t="shared" si="23"/>
        <v>0</v>
      </c>
      <c r="S97" s="69">
        <f t="shared" si="13"/>
        <v>6737.0036</v>
      </c>
      <c r="T97" s="68">
        <f t="shared" si="24"/>
        <v>0</v>
      </c>
      <c r="U97" s="66">
        <f t="shared" si="25"/>
        <v>-3.2928177187695944</v>
      </c>
      <c r="V97" s="62">
        <f t="shared" si="26"/>
        <v>17.886244711638948</v>
      </c>
      <c r="W97" s="66">
        <f t="shared" si="27"/>
        <v>4067.2921577862166</v>
      </c>
    </row>
    <row r="98" spans="6:23" outlineLevel="1">
      <c r="G98" s="12">
        <f t="shared" si="11"/>
        <v>28.572602739726026</v>
      </c>
      <c r="H98" s="4">
        <v>21</v>
      </c>
      <c r="I98" s="4">
        <f t="shared" si="19"/>
        <v>2</v>
      </c>
      <c r="J98" s="30">
        <f t="shared" si="16"/>
        <v>41334</v>
      </c>
      <c r="K98" s="62">
        <f>+IF(OR(H98&gt;60,$C$21="nein"),IF($C$19="monatlich",$C$20,IF($C$19="quartalsweise",OR(MONTH(J98)={1,4,7,10})*$C$20,IF($C$19="jährlich",(MONTH(J98)=7)*$C$20))),IF($C$19="monatlich",$C$22,IF($C$19="quartalsweise",OR(MONTH(J98)={1,4,7,10})*$C$22,IF($C$19="jährlich",(MONTH(J98)=7)*$C$22))))</f>
        <v>0</v>
      </c>
      <c r="L98" s="66">
        <f t="shared" si="20"/>
        <v>0</v>
      </c>
      <c r="M98" s="62">
        <f t="shared" si="21"/>
        <v>0</v>
      </c>
      <c r="N98" s="64">
        <f>+IF(AND($C$19="monatlich",K98&lt;$C$20),$C$20-K98,IF(AND($C$19="quartalsweise",OR(MONTH(J98)={1,4,7,10}),K98&lt;$C$20),$C$20-K98,IF(AND($C$19="jährlich",MONTH(J98)=7,K98&lt;$C$20),$C$20-K98,0)))-$C$67/100*SUM(Q80:Q88,Q90:Q92)-$C$66/100*SUM(L80:L88,L90:L92)</f>
        <v>1461.8645799999999</v>
      </c>
      <c r="O98" s="67">
        <v>0</v>
      </c>
      <c r="P98" s="67">
        <v>0</v>
      </c>
      <c r="Q98" s="63">
        <f t="shared" si="22"/>
        <v>-73.093228999999994</v>
      </c>
      <c r="R98" s="68">
        <f t="shared" si="23"/>
        <v>1461.8645799999999</v>
      </c>
      <c r="S98" s="69">
        <f t="shared" si="13"/>
        <v>8198.8681799999995</v>
      </c>
      <c r="T98" s="68">
        <f t="shared" si="24"/>
        <v>0</v>
      </c>
      <c r="U98" s="66">
        <f t="shared" si="25"/>
        <v>-3.3046748782013009</v>
      </c>
      <c r="V98" s="62">
        <f t="shared" si="26"/>
        <v>17.947050657442571</v>
      </c>
      <c r="W98" s="66">
        <f t="shared" si="27"/>
        <v>5470.7058845654574</v>
      </c>
    </row>
    <row r="99" spans="6:23" outlineLevel="1">
      <c r="G99" s="12">
        <f t="shared" si="11"/>
        <v>28.657534246575342</v>
      </c>
      <c r="H99" s="4">
        <v>22</v>
      </c>
      <c r="I99" s="4">
        <f t="shared" si="19"/>
        <v>2</v>
      </c>
      <c r="J99" s="30">
        <f t="shared" si="16"/>
        <v>41365</v>
      </c>
      <c r="K99" s="62">
        <f>+IF(OR(H99&gt;60,$C$21="nein"),IF($C$19="monatlich",$C$20,IF($C$19="quartalsweise",OR(MONTH(J99)={1,4,7,10})*$C$20,IF($C$19="jährlich",(MONTH(J99)=7)*$C$20))),IF($C$19="monatlich",$C$22,IF($C$19="quartalsweise",OR(MONTH(J99)={1,4,7,10})*$C$22,IF($C$19="jährlich",(MONTH(J99)=7)*$C$22))))</f>
        <v>900</v>
      </c>
      <c r="L99" s="66">
        <f t="shared" si="20"/>
        <v>-396</v>
      </c>
      <c r="M99" s="62">
        <f t="shared" si="21"/>
        <v>154</v>
      </c>
      <c r="N99" s="64">
        <f>+IF(AND($C$19="monatlich",K99&lt;$C$20),$C$20-K99,IF(AND($C$19="quartalsweise",OR(MONTH(J99)={1,4,7,10}),K99&lt;$C$20),$C$20-K99,IF(AND($C$19="jährlich",MONTH(J99)=7,K99&lt;$C$20),$C$20-K99,0)))</f>
        <v>0</v>
      </c>
      <c r="O99" s="67">
        <v>0</v>
      </c>
      <c r="P99" s="67">
        <v>0</v>
      </c>
      <c r="Q99" s="63">
        <f t="shared" si="22"/>
        <v>-7.7</v>
      </c>
      <c r="R99" s="68">
        <f t="shared" si="23"/>
        <v>1054</v>
      </c>
      <c r="S99" s="69">
        <f t="shared" si="13"/>
        <v>9252.8681799999995</v>
      </c>
      <c r="T99" s="68">
        <f t="shared" si="24"/>
        <v>0</v>
      </c>
      <c r="U99" s="66">
        <f t="shared" si="25"/>
        <v>-4.4449485312094339</v>
      </c>
      <c r="V99" s="62">
        <f t="shared" si="26"/>
        <v>23.794607852356073</v>
      </c>
      <c r="W99" s="66">
        <f t="shared" si="27"/>
        <v>6140.3555438866042</v>
      </c>
    </row>
    <row r="100" spans="6:23" outlineLevel="1">
      <c r="G100" s="12">
        <f t="shared" si="11"/>
        <v>28.739726027397261</v>
      </c>
      <c r="H100" s="4">
        <v>23</v>
      </c>
      <c r="I100" s="4">
        <f t="shared" si="19"/>
        <v>2</v>
      </c>
      <c r="J100" s="30">
        <f t="shared" si="16"/>
        <v>41395</v>
      </c>
      <c r="K100" s="62">
        <f>+IF(OR(H100&gt;60,$C$21="nein"),IF($C$19="monatlich",$C$20,IF($C$19="quartalsweise",OR(MONTH(J100)={1,4,7,10})*$C$20,IF($C$19="jährlich",(MONTH(J100)=7)*$C$20))),IF($C$19="monatlich",$C$22,IF($C$19="quartalsweise",OR(MONTH(J100)={1,4,7,10})*$C$22,IF($C$19="jährlich",(MONTH(J100)=7)*$C$22))))</f>
        <v>0</v>
      </c>
      <c r="L100" s="66">
        <f t="shared" si="20"/>
        <v>0</v>
      </c>
      <c r="M100" s="62">
        <f t="shared" si="21"/>
        <v>0</v>
      </c>
      <c r="N100" s="64">
        <f>+IF(AND($C$19="monatlich",K100&lt;$C$20),$C$20-K100,IF(AND($C$19="quartalsweise",OR(MONTH(J100)={1,4,7,10}),K100&lt;$C$20),$C$20-K100,IF(AND($C$19="jährlich",MONTH(J100)=7,K100&lt;$C$20),$C$20-K100,0)))</f>
        <v>0</v>
      </c>
      <c r="O100" s="67">
        <v>0</v>
      </c>
      <c r="P100" s="67">
        <v>0</v>
      </c>
      <c r="Q100" s="63">
        <f t="shared" si="22"/>
        <v>0</v>
      </c>
      <c r="R100" s="68">
        <f t="shared" si="23"/>
        <v>0</v>
      </c>
      <c r="S100" s="69">
        <f t="shared" si="13"/>
        <v>9252.8681799999995</v>
      </c>
      <c r="T100" s="68">
        <f t="shared" si="24"/>
        <v>0</v>
      </c>
      <c r="U100" s="66">
        <f t="shared" si="25"/>
        <v>-4.9890388794078655</v>
      </c>
      <c r="V100" s="62">
        <f t="shared" si="26"/>
        <v>26.584814766194185</v>
      </c>
      <c r="W100" s="66">
        <f t="shared" si="27"/>
        <v>6161.9513197733913</v>
      </c>
    </row>
    <row r="101" spans="6:23" outlineLevel="1">
      <c r="G101" s="13">
        <f t="shared" si="11"/>
        <v>28.824657534246576</v>
      </c>
      <c r="H101" s="6">
        <v>24</v>
      </c>
      <c r="I101" s="6">
        <f t="shared" si="19"/>
        <v>2</v>
      </c>
      <c r="J101" s="30">
        <f t="shared" si="16"/>
        <v>41426</v>
      </c>
      <c r="K101" s="62">
        <f>+IF(OR(H101&gt;60,$C$21="nein"),IF($C$19="monatlich",$C$20,IF($C$19="quartalsweise",OR(MONTH(J101)={1,4,7,10})*$C$20,IF($C$19="jährlich",(MONTH(J101)=7)*$C$20))),IF($C$19="monatlich",$C$22,IF($C$19="quartalsweise",OR(MONTH(J101)={1,4,7,10})*$C$22,IF($C$19="jährlich",(MONTH(J101)=7)*$C$22))))</f>
        <v>0</v>
      </c>
      <c r="L101" s="70">
        <f t="shared" si="20"/>
        <v>0</v>
      </c>
      <c r="M101" s="62">
        <f t="shared" si="21"/>
        <v>0</v>
      </c>
      <c r="N101" s="64">
        <f>+IF(AND($C$19="monatlich",K101&lt;$C$20),$C$20-K101,IF(AND($C$19="quartalsweise",OR(MONTH(J101)={1,4,7,10}),K101&lt;$C$20),$C$20-K101,IF(AND($C$19="jährlich",MONTH(J101)=7,K101&lt;$C$20),$C$20-K101,0)))</f>
        <v>0</v>
      </c>
      <c r="O101" s="71">
        <v>0</v>
      </c>
      <c r="P101" s="71">
        <v>0</v>
      </c>
      <c r="Q101" s="63">
        <f t="shared" si="22"/>
        <v>0</v>
      </c>
      <c r="R101" s="72">
        <f t="shared" si="23"/>
        <v>0</v>
      </c>
      <c r="S101" s="73">
        <f t="shared" si="13"/>
        <v>9252.8681799999995</v>
      </c>
      <c r="T101" s="72">
        <f t="shared" si="24"/>
        <v>0</v>
      </c>
      <c r="U101" s="70">
        <f t="shared" si="25"/>
        <v>-5.0065854473158806</v>
      </c>
      <c r="V101" s="62">
        <f t="shared" si="26"/>
        <v>26.674797165722463</v>
      </c>
      <c r="W101" s="66">
        <f t="shared" si="27"/>
        <v>6183.6195314917977</v>
      </c>
    </row>
    <row r="102" spans="6:23" s="5" customFormat="1" ht="15">
      <c r="F102" s="3"/>
      <c r="G102" s="115">
        <f t="shared" si="11"/>
        <v>28.824657534246576</v>
      </c>
      <c r="H102" s="116" t="str">
        <f>H90&amp;" - "&amp;H101</f>
        <v>13 - 24</v>
      </c>
      <c r="I102" s="117">
        <f t="shared" si="19"/>
        <v>2</v>
      </c>
      <c r="J102" s="118">
        <f>+J101</f>
        <v>41426</v>
      </c>
      <c r="K102" s="119">
        <f t="shared" ref="K102:L102" si="28">SUM(K90:K101)</f>
        <v>3600</v>
      </c>
      <c r="L102" s="120">
        <f t="shared" si="28"/>
        <v>-1584</v>
      </c>
      <c r="M102" s="119">
        <f t="shared" ref="M102:N102" si="29">SUM(M90:M101)</f>
        <v>154</v>
      </c>
      <c r="N102" s="121">
        <f t="shared" si="29"/>
        <v>1461.8645799999999</v>
      </c>
      <c r="O102" s="121">
        <f t="shared" ref="O102" si="30">SUM(O90:O101)</f>
        <v>0</v>
      </c>
      <c r="P102" s="121">
        <f t="shared" ref="P102:Q115" si="31">SUM(P90:P101)</f>
        <v>0</v>
      </c>
      <c r="Q102" s="120">
        <f t="shared" si="31"/>
        <v>-80.793228999999997</v>
      </c>
      <c r="R102" s="119">
        <f t="shared" ref="R102" si="32">SUM(R90:R101)</f>
        <v>5215.8645799999995</v>
      </c>
      <c r="S102" s="122">
        <f t="shared" si="13"/>
        <v>9252.8681799999995</v>
      </c>
      <c r="T102" s="119">
        <f t="shared" ref="T102" si="33">SUM(T90:T101)</f>
        <v>-15.4</v>
      </c>
      <c r="U102" s="120">
        <f>SUM(U90:U101)</f>
        <v>-38.972391196337313</v>
      </c>
      <c r="V102" s="119">
        <f>SUM(V90:V101)</f>
        <v>211.85841639147338</v>
      </c>
      <c r="W102" s="123">
        <f>+W101</f>
        <v>6183.6195314917977</v>
      </c>
    </row>
    <row r="103" spans="6:23" outlineLevel="1">
      <c r="G103" s="11">
        <f t="shared" si="11"/>
        <v>28.906849315068492</v>
      </c>
      <c r="H103" s="2">
        <v>25</v>
      </c>
      <c r="I103" s="2">
        <f t="shared" si="19"/>
        <v>3</v>
      </c>
      <c r="J103" s="30">
        <f t="shared" si="16"/>
        <v>41456</v>
      </c>
      <c r="K103" s="62">
        <f>+IF(OR(H103&gt;60,$C$21="nein"),IF($C$19="monatlich",$C$20,IF($C$19="quartalsweise",OR(MONTH(J103)={1,4,7,10})*$C$20,IF($C$19="jährlich",(MONTH(J103)=7)*$C$20))),IF($C$19="monatlich",$C$22,IF($C$19="quartalsweise",OR(MONTH(J103)={1,4,7,10})*$C$22,IF($C$19="jährlich",(MONTH(J103)=7)*$C$22))))</f>
        <v>900</v>
      </c>
      <c r="L103" s="63">
        <f t="shared" ref="L103:L114" si="34">-IF(H103&gt;60,0,IF($C$19="monatlich",$C$52,IF(AND($C$19="quartalsweise",K103&gt;0),$C$52,IF(AND($C$19="jährlich",K103&gt;0),$C$51,0))))</f>
        <v>-396</v>
      </c>
      <c r="M103" s="62">
        <f t="shared" ref="M103:M114" si="35">+IF(MONTH(J103)=4,$C$25,0)</f>
        <v>0</v>
      </c>
      <c r="N103" s="64">
        <f>+IF(AND($C$19="monatlich",K103&lt;$C$20),$C$20-K103,IF(AND($C$19="quartalsweise",OR(MONTH(J103)={1,4,7,10}),K103&lt;$C$20),$C$20-K103,IF(AND($C$19="jährlich",MONTH(J103)=7,K103&lt;$C$20),$C$20-K103,0)))</f>
        <v>0</v>
      </c>
      <c r="O103" s="64">
        <v>0</v>
      </c>
      <c r="P103" s="64">
        <v>0</v>
      </c>
      <c r="Q103" s="63">
        <f t="shared" ref="Q103:Q114" si="36">-SUM(M103:P103)*$C$47/100</f>
        <v>0</v>
      </c>
      <c r="R103" s="62">
        <f t="shared" ref="R103" si="37">+SUM(K103,M103:P103)</f>
        <v>900</v>
      </c>
      <c r="S103" s="65">
        <f t="shared" si="13"/>
        <v>10152.868179999999</v>
      </c>
      <c r="T103" s="62">
        <f t="shared" ref="T103:T114" si="38">-IF(MONTH(J103)=12,$C$55,0)</f>
        <v>0</v>
      </c>
      <c r="U103" s="63">
        <f t="shared" ref="U103:U114" si="39">-W102*($D$43/100/12)</f>
        <v>-5.0241908693370858</v>
      </c>
      <c r="V103" s="62">
        <f t="shared" ref="V103:V114" si="40">+(1+(IF($C$71="pauschal",$C$72/100/12,VLOOKUP(I102,$J$5:$L$44,3,FALSE)/100/12)*W102))</f>
        <v>26.765081381215822</v>
      </c>
      <c r="W103" s="63">
        <f t="shared" ref="W103:W114" si="41">+SUM(W102,R103,L103,Q103,T103:V103)</f>
        <v>6709.3604220036768</v>
      </c>
    </row>
    <row r="104" spans="6:23" outlineLevel="1">
      <c r="G104" s="12">
        <f t="shared" si="11"/>
        <v>28.991780821917807</v>
      </c>
      <c r="H104" s="4">
        <v>26</v>
      </c>
      <c r="I104" s="4">
        <f t="shared" si="19"/>
        <v>3</v>
      </c>
      <c r="J104" s="30">
        <f t="shared" si="16"/>
        <v>41487</v>
      </c>
      <c r="K104" s="62">
        <f>+IF(OR(H104&gt;60,$C$21="nein"),IF($C$19="monatlich",$C$20,IF($C$19="quartalsweise",OR(MONTH(J104)={1,4,7,10})*$C$20,IF($C$19="jährlich",(MONTH(J104)=7)*$C$20))),IF($C$19="monatlich",$C$22,IF($C$19="quartalsweise",OR(MONTH(J104)={1,4,7,10})*$C$22,IF($C$19="jährlich",(MONTH(J104)=7)*$C$22))))</f>
        <v>0</v>
      </c>
      <c r="L104" s="66">
        <f t="shared" si="34"/>
        <v>0</v>
      </c>
      <c r="M104" s="62">
        <f t="shared" si="35"/>
        <v>0</v>
      </c>
      <c r="N104" s="64">
        <f>+IF(AND($C$19="monatlich",K104&lt;$C$20),$C$20-K104,IF(AND($C$19="quartalsweise",OR(MONTH(J104)={1,4,7,10}),K104&lt;$C$20),$C$20-K104,IF(AND($C$19="jährlich",MONTH(J104)=7,K104&lt;$C$20),$C$20-K104,0)))</f>
        <v>0</v>
      </c>
      <c r="O104" s="67">
        <v>0</v>
      </c>
      <c r="P104" s="67">
        <v>0</v>
      </c>
      <c r="Q104" s="63">
        <f t="shared" si="36"/>
        <v>0</v>
      </c>
      <c r="R104" s="68">
        <f t="shared" si="23"/>
        <v>0</v>
      </c>
      <c r="S104" s="69">
        <f t="shared" si="13"/>
        <v>10152.868179999999</v>
      </c>
      <c r="T104" s="68">
        <f t="shared" si="38"/>
        <v>0</v>
      </c>
      <c r="U104" s="66">
        <f t="shared" si="39"/>
        <v>-5.4513553428779868</v>
      </c>
      <c r="V104" s="62">
        <f t="shared" si="40"/>
        <v>28.955668425015318</v>
      </c>
      <c r="W104" s="66">
        <f t="shared" si="41"/>
        <v>6732.8647350858146</v>
      </c>
    </row>
    <row r="105" spans="6:23" outlineLevel="1">
      <c r="G105" s="12">
        <f t="shared" si="11"/>
        <v>29.076712328767123</v>
      </c>
      <c r="H105" s="4">
        <v>27</v>
      </c>
      <c r="I105" s="4">
        <f t="shared" si="19"/>
        <v>3</v>
      </c>
      <c r="J105" s="30">
        <f t="shared" si="16"/>
        <v>41518</v>
      </c>
      <c r="K105" s="62">
        <f>+IF(OR(H105&gt;60,$C$21="nein"),IF($C$19="monatlich",$C$20,IF($C$19="quartalsweise",OR(MONTH(J105)={1,4,7,10})*$C$20,IF($C$19="jährlich",(MONTH(J105)=7)*$C$20))),IF($C$19="monatlich",$C$22,IF($C$19="quartalsweise",OR(MONTH(J105)={1,4,7,10})*$C$22,IF($C$19="jährlich",(MONTH(J105)=7)*$C$22))))</f>
        <v>0</v>
      </c>
      <c r="L105" s="66">
        <f t="shared" si="34"/>
        <v>0</v>
      </c>
      <c r="M105" s="62">
        <f t="shared" si="35"/>
        <v>0</v>
      </c>
      <c r="N105" s="64">
        <f>+IF(AND($C$19="monatlich",K105&lt;$C$20),$C$20-K105,IF(AND($C$19="quartalsweise",OR(MONTH(J105)={1,4,7,10}),K105&lt;$C$20),$C$20-K105,IF(AND($C$19="jährlich",MONTH(J105)=7,K105&lt;$C$20),$C$20-K105,0)))</f>
        <v>0</v>
      </c>
      <c r="O105" s="67">
        <v>0</v>
      </c>
      <c r="P105" s="67">
        <v>0</v>
      </c>
      <c r="Q105" s="63">
        <f t="shared" si="36"/>
        <v>0</v>
      </c>
      <c r="R105" s="68">
        <f t="shared" si="23"/>
        <v>0</v>
      </c>
      <c r="S105" s="69">
        <f t="shared" si="13"/>
        <v>10152.868179999999</v>
      </c>
      <c r="T105" s="68">
        <f t="shared" si="38"/>
        <v>0</v>
      </c>
      <c r="U105" s="66">
        <f t="shared" si="39"/>
        <v>-5.470452597257224</v>
      </c>
      <c r="V105" s="62">
        <f t="shared" si="40"/>
        <v>29.053603062857562</v>
      </c>
      <c r="W105" s="66">
        <f t="shared" si="41"/>
        <v>6756.4478855514144</v>
      </c>
    </row>
    <row r="106" spans="6:23" outlineLevel="1">
      <c r="G106" s="12">
        <f t="shared" si="11"/>
        <v>29.158904109589042</v>
      </c>
      <c r="H106" s="4">
        <v>28</v>
      </c>
      <c r="I106" s="4">
        <f t="shared" si="19"/>
        <v>3</v>
      </c>
      <c r="J106" s="30">
        <f t="shared" si="16"/>
        <v>41548</v>
      </c>
      <c r="K106" s="62">
        <f>+IF(OR(H106&gt;60,$C$21="nein"),IF($C$19="monatlich",$C$20,IF($C$19="quartalsweise",OR(MONTH(J106)={1,4,7,10})*$C$20,IF($C$19="jährlich",(MONTH(J106)=7)*$C$20))),IF($C$19="monatlich",$C$22,IF($C$19="quartalsweise",OR(MONTH(J106)={1,4,7,10})*$C$22,IF($C$19="jährlich",(MONTH(J106)=7)*$C$22))))</f>
        <v>900</v>
      </c>
      <c r="L106" s="66">
        <f t="shared" si="34"/>
        <v>-396</v>
      </c>
      <c r="M106" s="62">
        <f t="shared" si="35"/>
        <v>0</v>
      </c>
      <c r="N106" s="64">
        <f>+IF(AND($C$19="monatlich",K106&lt;$C$20),$C$20-K106,IF(AND($C$19="quartalsweise",OR(MONTH(J106)={1,4,7,10}),K106&lt;$C$20),$C$20-K106,IF(AND($C$19="jährlich",MONTH(J106)=7,K106&lt;$C$20),$C$20-K106,0)))</f>
        <v>0</v>
      </c>
      <c r="O106" s="67">
        <v>0</v>
      </c>
      <c r="P106" s="67">
        <v>0</v>
      </c>
      <c r="Q106" s="63">
        <f t="shared" si="36"/>
        <v>0</v>
      </c>
      <c r="R106" s="68">
        <f t="shared" si="23"/>
        <v>900</v>
      </c>
      <c r="S106" s="69">
        <f t="shared" si="13"/>
        <v>11052.868179999999</v>
      </c>
      <c r="T106" s="68">
        <f t="shared" si="38"/>
        <v>0</v>
      </c>
      <c r="U106" s="66">
        <f t="shared" si="39"/>
        <v>-5.4896139070105239</v>
      </c>
      <c r="V106" s="62">
        <f t="shared" si="40"/>
        <v>29.151866189797559</v>
      </c>
      <c r="W106" s="66">
        <f t="shared" si="41"/>
        <v>7284.1101378342009</v>
      </c>
    </row>
    <row r="107" spans="6:23" outlineLevel="1">
      <c r="G107" s="12">
        <f t="shared" si="11"/>
        <v>29.243835616438357</v>
      </c>
      <c r="H107" s="4">
        <v>29</v>
      </c>
      <c r="I107" s="4">
        <f t="shared" si="19"/>
        <v>3</v>
      </c>
      <c r="J107" s="30">
        <f t="shared" si="16"/>
        <v>41579</v>
      </c>
      <c r="K107" s="62">
        <f>+IF(OR(H107&gt;60,$C$21="nein"),IF($C$19="monatlich",$C$20,IF($C$19="quartalsweise",OR(MONTH(J107)={1,4,7,10})*$C$20,IF($C$19="jährlich",(MONTH(J107)=7)*$C$20))),IF($C$19="monatlich",$C$22,IF($C$19="quartalsweise",OR(MONTH(J107)={1,4,7,10})*$C$22,IF($C$19="jährlich",(MONTH(J107)=7)*$C$22))))</f>
        <v>0</v>
      </c>
      <c r="L107" s="66">
        <f t="shared" si="34"/>
        <v>0</v>
      </c>
      <c r="M107" s="62">
        <f t="shared" si="35"/>
        <v>0</v>
      </c>
      <c r="N107" s="64">
        <f>+IF(AND($C$19="monatlich",K107&lt;$C$20),$C$20-K107,IF(AND($C$19="quartalsweise",OR(MONTH(J107)={1,4,7,10}),K107&lt;$C$20),$C$20-K107,IF(AND($C$19="jährlich",MONTH(J107)=7,K107&lt;$C$20),$C$20-K107,0)))</f>
        <v>0</v>
      </c>
      <c r="O107" s="67">
        <v>0</v>
      </c>
      <c r="P107" s="67">
        <v>0</v>
      </c>
      <c r="Q107" s="63">
        <f t="shared" si="36"/>
        <v>0</v>
      </c>
      <c r="R107" s="68">
        <f t="shared" si="23"/>
        <v>0</v>
      </c>
      <c r="S107" s="69">
        <f t="shared" si="13"/>
        <v>11052.868179999999</v>
      </c>
      <c r="T107" s="68">
        <f t="shared" si="38"/>
        <v>0</v>
      </c>
      <c r="U107" s="66">
        <f t="shared" si="39"/>
        <v>-5.9183394869902877</v>
      </c>
      <c r="V107" s="62">
        <f t="shared" si="40"/>
        <v>31.350458907642505</v>
      </c>
      <c r="W107" s="66">
        <f t="shared" si="41"/>
        <v>7309.5422572548532</v>
      </c>
    </row>
    <row r="108" spans="6:23" outlineLevel="1">
      <c r="G108" s="12">
        <f t="shared" si="11"/>
        <v>29.326027397260273</v>
      </c>
      <c r="H108" s="4">
        <v>30</v>
      </c>
      <c r="I108" s="4">
        <f t="shared" si="19"/>
        <v>3</v>
      </c>
      <c r="J108" s="30">
        <f t="shared" si="16"/>
        <v>41609</v>
      </c>
      <c r="K108" s="62">
        <f>+IF(OR(H108&gt;60,$C$21="nein"),IF($C$19="monatlich",$C$20,IF($C$19="quartalsweise",OR(MONTH(J108)={1,4,7,10})*$C$20,IF($C$19="jährlich",(MONTH(J108)=7)*$C$20))),IF($C$19="monatlich",$C$22,IF($C$19="quartalsweise",OR(MONTH(J108)={1,4,7,10})*$C$22,IF($C$19="jährlich",(MONTH(J108)=7)*$C$22))))</f>
        <v>0</v>
      </c>
      <c r="L108" s="66">
        <f t="shared" si="34"/>
        <v>0</v>
      </c>
      <c r="M108" s="62">
        <f t="shared" si="35"/>
        <v>0</v>
      </c>
      <c r="N108" s="64">
        <f>+IF(AND($C$19="monatlich",K108&lt;$C$20),$C$20-K108,IF(AND($C$19="quartalsweise",OR(MONTH(J108)={1,4,7,10}),K108&lt;$C$20),$C$20-K108,IF(AND($C$19="jährlich",MONTH(J108)=7,K108&lt;$C$20),$C$20-K108,0)))</f>
        <v>0</v>
      </c>
      <c r="O108" s="67">
        <v>0</v>
      </c>
      <c r="P108" s="67">
        <v>0</v>
      </c>
      <c r="Q108" s="63">
        <f t="shared" si="36"/>
        <v>0</v>
      </c>
      <c r="R108" s="68">
        <f t="shared" si="23"/>
        <v>0</v>
      </c>
      <c r="S108" s="69">
        <f t="shared" si="13"/>
        <v>11052.868179999999</v>
      </c>
      <c r="T108" s="68">
        <f t="shared" si="38"/>
        <v>-15.4</v>
      </c>
      <c r="U108" s="66">
        <f t="shared" si="39"/>
        <v>-5.9390030840195678</v>
      </c>
      <c r="V108" s="62">
        <f t="shared" si="40"/>
        <v>31.456426071895223</v>
      </c>
      <c r="W108" s="66">
        <f t="shared" si="41"/>
        <v>7319.6596802427293</v>
      </c>
    </row>
    <row r="109" spans="6:23" outlineLevel="1">
      <c r="G109" s="12">
        <f t="shared" si="11"/>
        <v>29.410958904109588</v>
      </c>
      <c r="H109" s="4">
        <v>31</v>
      </c>
      <c r="I109" s="4">
        <f t="shared" si="19"/>
        <v>3</v>
      </c>
      <c r="J109" s="30">
        <f t="shared" si="16"/>
        <v>41640</v>
      </c>
      <c r="K109" s="62">
        <f>+IF(OR(H109&gt;60,$C$21="nein"),IF($C$19="monatlich",$C$20,IF($C$19="quartalsweise",OR(MONTH(J109)={1,4,7,10})*$C$20,IF($C$19="jährlich",(MONTH(J109)=7)*$C$20))),IF($C$19="monatlich",$C$22,IF($C$19="quartalsweise",OR(MONTH(J109)={1,4,7,10})*$C$22,IF($C$19="jährlich",(MONTH(J109)=7)*$C$22))))</f>
        <v>900</v>
      </c>
      <c r="L109" s="66">
        <f t="shared" si="34"/>
        <v>-396</v>
      </c>
      <c r="M109" s="62">
        <f t="shared" si="35"/>
        <v>0</v>
      </c>
      <c r="N109" s="64">
        <f>+IF(AND($C$19="monatlich",K109&lt;$C$20),$C$20-K109,IF(AND($C$19="quartalsweise",OR(MONTH(J109)={1,4,7,10}),K109&lt;$C$20),$C$20-K109,IF(AND($C$19="jährlich",MONTH(J109)=7,K109&lt;$C$20),$C$20-K109,0)))</f>
        <v>0</v>
      </c>
      <c r="O109" s="67">
        <v>0</v>
      </c>
      <c r="P109" s="67">
        <v>0</v>
      </c>
      <c r="Q109" s="63">
        <f t="shared" si="36"/>
        <v>0</v>
      </c>
      <c r="R109" s="68">
        <f t="shared" si="23"/>
        <v>900</v>
      </c>
      <c r="S109" s="69">
        <f t="shared" si="13"/>
        <v>11952.868179999999</v>
      </c>
      <c r="T109" s="68">
        <f t="shared" si="38"/>
        <v>0</v>
      </c>
      <c r="U109" s="66">
        <f t="shared" si="39"/>
        <v>-5.9472234901972172</v>
      </c>
      <c r="V109" s="62">
        <f t="shared" si="40"/>
        <v>31.498582001011371</v>
      </c>
      <c r="W109" s="66">
        <f t="shared" si="41"/>
        <v>7849.2110387535449</v>
      </c>
    </row>
    <row r="110" spans="6:23" outlineLevel="1">
      <c r="G110" s="12">
        <f t="shared" si="11"/>
        <v>29.495890410958904</v>
      </c>
      <c r="H110" s="4">
        <v>32</v>
      </c>
      <c r="I110" s="4">
        <f t="shared" si="19"/>
        <v>3</v>
      </c>
      <c r="J110" s="30">
        <f t="shared" si="16"/>
        <v>41671</v>
      </c>
      <c r="K110" s="62">
        <f>+IF(OR(H110&gt;60,$C$21="nein"),IF($C$19="monatlich",$C$20,IF($C$19="quartalsweise",OR(MONTH(J110)={1,4,7,10})*$C$20,IF($C$19="jährlich",(MONTH(J110)=7)*$C$20))),IF($C$19="monatlich",$C$22,IF($C$19="quartalsweise",OR(MONTH(J110)={1,4,7,10})*$C$22,IF($C$19="jährlich",(MONTH(J110)=7)*$C$22))))</f>
        <v>0</v>
      </c>
      <c r="L110" s="66">
        <f t="shared" si="34"/>
        <v>0</v>
      </c>
      <c r="M110" s="62">
        <f t="shared" si="35"/>
        <v>0</v>
      </c>
      <c r="N110" s="64">
        <f>+IF(AND($C$19="monatlich",K110&lt;$C$20),$C$20-K110,IF(AND($C$19="quartalsweise",OR(MONTH(J110)={1,4,7,10}),K110&lt;$C$20),$C$20-K110,IF(AND($C$19="jährlich",MONTH(J110)=7,K110&lt;$C$20),$C$20-K110,0)))</f>
        <v>0</v>
      </c>
      <c r="O110" s="67">
        <v>0</v>
      </c>
      <c r="P110" s="67">
        <v>0</v>
      </c>
      <c r="Q110" s="63">
        <f t="shared" si="36"/>
        <v>0</v>
      </c>
      <c r="R110" s="68">
        <f t="shared" si="23"/>
        <v>0</v>
      </c>
      <c r="S110" s="69">
        <f t="shared" si="13"/>
        <v>11952.868179999999</v>
      </c>
      <c r="T110" s="68">
        <f t="shared" si="38"/>
        <v>0</v>
      </c>
      <c r="U110" s="66">
        <f t="shared" si="39"/>
        <v>-6.3774839689872547</v>
      </c>
      <c r="V110" s="62">
        <f t="shared" si="40"/>
        <v>33.70504599480644</v>
      </c>
      <c r="W110" s="66">
        <f t="shared" si="41"/>
        <v>7876.5386007793641</v>
      </c>
    </row>
    <row r="111" spans="6:23" outlineLevel="1">
      <c r="G111" s="12">
        <f t="shared" si="11"/>
        <v>29.572602739726026</v>
      </c>
      <c r="H111" s="4">
        <v>33</v>
      </c>
      <c r="I111" s="4">
        <f t="shared" si="19"/>
        <v>3</v>
      </c>
      <c r="J111" s="30">
        <f t="shared" si="16"/>
        <v>41699</v>
      </c>
      <c r="K111" s="62">
        <f>+IF(OR(H111&gt;60,$C$21="nein"),IF($C$19="monatlich",$C$20,IF($C$19="quartalsweise",OR(MONTH(J111)={1,4,7,10})*$C$20,IF($C$19="jährlich",(MONTH(J111)=7)*$C$20))),IF($C$19="monatlich",$C$22,IF($C$19="quartalsweise",OR(MONTH(J111)={1,4,7,10})*$C$22,IF($C$19="jährlich",(MONTH(J111)=7)*$C$22))))</f>
        <v>0</v>
      </c>
      <c r="L111" s="66">
        <f t="shared" si="34"/>
        <v>0</v>
      </c>
      <c r="M111" s="62">
        <f t="shared" si="35"/>
        <v>0</v>
      </c>
      <c r="N111" s="64">
        <f>+IF(AND($C$19="monatlich",K111&lt;$C$20),$C$20-K111,IF(AND($C$19="quartalsweise",OR(MONTH(J111)={1,4,7,10}),K111&lt;$C$20),$C$20-K111,IF(AND($C$19="jährlich",MONTH(J111)=7,K111&lt;$C$20),$C$20-K111,0)))-$C$67/100*SUM(Q93:Q101,Q103:Q105)-$C$66/100*SUM(L93:L101,L103:L105)</f>
        <v>1520.8076289999999</v>
      </c>
      <c r="O111" s="67">
        <v>0</v>
      </c>
      <c r="P111" s="67">
        <v>0</v>
      </c>
      <c r="Q111" s="63">
        <f t="shared" si="36"/>
        <v>-76.040381449999998</v>
      </c>
      <c r="R111" s="68">
        <f t="shared" si="23"/>
        <v>1520.8076289999999</v>
      </c>
      <c r="S111" s="69">
        <f t="shared" si="13"/>
        <v>13473.675809</v>
      </c>
      <c r="T111" s="68">
        <f t="shared" si="38"/>
        <v>0</v>
      </c>
      <c r="U111" s="66">
        <f t="shared" si="39"/>
        <v>-6.3996876131332332</v>
      </c>
      <c r="V111" s="62">
        <f t="shared" si="40"/>
        <v>33.818910836580685</v>
      </c>
      <c r="W111" s="66">
        <f t="shared" si="41"/>
        <v>9348.7250715528098</v>
      </c>
    </row>
    <row r="112" spans="6:23" outlineLevel="1">
      <c r="G112" s="12">
        <f t="shared" si="11"/>
        <v>29.657534246575342</v>
      </c>
      <c r="H112" s="4">
        <v>34</v>
      </c>
      <c r="I112" s="4">
        <f t="shared" si="19"/>
        <v>3</v>
      </c>
      <c r="J112" s="30">
        <f t="shared" si="16"/>
        <v>41730</v>
      </c>
      <c r="K112" s="62">
        <f>+IF(OR(H112&gt;60,$C$21="nein"),IF($C$19="monatlich",$C$20,IF($C$19="quartalsweise",OR(MONTH(J112)={1,4,7,10})*$C$20,IF($C$19="jährlich",(MONTH(J112)=7)*$C$20))),IF($C$19="monatlich",$C$22,IF($C$19="quartalsweise",OR(MONTH(J112)={1,4,7,10})*$C$22,IF($C$19="jährlich",(MONTH(J112)=7)*$C$22))))</f>
        <v>900</v>
      </c>
      <c r="L112" s="66">
        <f t="shared" si="34"/>
        <v>-396</v>
      </c>
      <c r="M112" s="62">
        <f t="shared" si="35"/>
        <v>154</v>
      </c>
      <c r="N112" s="64">
        <f>+IF(AND($C$19="monatlich",K112&lt;$C$20),$C$20-K112,IF(AND($C$19="quartalsweise",OR(MONTH(J112)={1,4,7,10}),K112&lt;$C$20),$C$20-K112,IF(AND($C$19="jährlich",MONTH(J112)=7,K112&lt;$C$20),$C$20-K112,0)))</f>
        <v>0</v>
      </c>
      <c r="O112" s="67">
        <v>0</v>
      </c>
      <c r="P112" s="67">
        <v>0</v>
      </c>
      <c r="Q112" s="63">
        <f t="shared" si="36"/>
        <v>-7.7</v>
      </c>
      <c r="R112" s="68">
        <f t="shared" si="23"/>
        <v>1054</v>
      </c>
      <c r="S112" s="69">
        <f t="shared" si="13"/>
        <v>14527.675809</v>
      </c>
      <c r="T112" s="68">
        <f t="shared" si="38"/>
        <v>0</v>
      </c>
      <c r="U112" s="66">
        <f t="shared" si="39"/>
        <v>-7.5958391206366578</v>
      </c>
      <c r="V112" s="62">
        <f t="shared" si="40"/>
        <v>39.953021131470038</v>
      </c>
      <c r="W112" s="66">
        <f t="shared" si="41"/>
        <v>10031.382253563643</v>
      </c>
    </row>
    <row r="113" spans="2:23" outlineLevel="1">
      <c r="G113" s="12">
        <f t="shared" si="11"/>
        <v>29.739726027397261</v>
      </c>
      <c r="H113" s="4">
        <v>35</v>
      </c>
      <c r="I113" s="4">
        <f t="shared" si="19"/>
        <v>3</v>
      </c>
      <c r="J113" s="30">
        <f t="shared" si="16"/>
        <v>41760</v>
      </c>
      <c r="K113" s="62">
        <f>+IF(OR(H113&gt;60,$C$21="nein"),IF($C$19="monatlich",$C$20,IF($C$19="quartalsweise",OR(MONTH(J113)={1,4,7,10})*$C$20,IF($C$19="jährlich",(MONTH(J113)=7)*$C$20))),IF($C$19="monatlich",$C$22,IF($C$19="quartalsweise",OR(MONTH(J113)={1,4,7,10})*$C$22,IF($C$19="jährlich",(MONTH(J113)=7)*$C$22))))</f>
        <v>0</v>
      </c>
      <c r="L113" s="66">
        <f t="shared" si="34"/>
        <v>0</v>
      </c>
      <c r="M113" s="62">
        <f t="shared" si="35"/>
        <v>0</v>
      </c>
      <c r="N113" s="64">
        <f>+IF(AND($C$19="monatlich",K113&lt;$C$20),$C$20-K113,IF(AND($C$19="quartalsweise",OR(MONTH(J113)={1,4,7,10}),K113&lt;$C$20),$C$20-K113,IF(AND($C$19="jährlich",MONTH(J113)=7,K113&lt;$C$20),$C$20-K113,0)))</f>
        <v>0</v>
      </c>
      <c r="O113" s="67">
        <v>0</v>
      </c>
      <c r="P113" s="67">
        <v>0</v>
      </c>
      <c r="Q113" s="63">
        <f t="shared" si="36"/>
        <v>0</v>
      </c>
      <c r="R113" s="68">
        <f t="shared" si="23"/>
        <v>0</v>
      </c>
      <c r="S113" s="69">
        <f t="shared" si="13"/>
        <v>14527.675809</v>
      </c>
      <c r="T113" s="68">
        <f t="shared" si="38"/>
        <v>0</v>
      </c>
      <c r="U113" s="66">
        <f t="shared" si="39"/>
        <v>-8.1504980810204586</v>
      </c>
      <c r="V113" s="62">
        <f t="shared" si="40"/>
        <v>42.797426056515178</v>
      </c>
      <c r="W113" s="66">
        <f t="shared" si="41"/>
        <v>10066.029181539137</v>
      </c>
    </row>
    <row r="114" spans="2:23" outlineLevel="1">
      <c r="G114" s="13">
        <f t="shared" si="11"/>
        <v>29.824657534246576</v>
      </c>
      <c r="H114" s="6">
        <v>36</v>
      </c>
      <c r="I114" s="6">
        <f t="shared" si="19"/>
        <v>3</v>
      </c>
      <c r="J114" s="30">
        <f t="shared" si="16"/>
        <v>41791</v>
      </c>
      <c r="K114" s="62">
        <f>+IF(OR(H114&gt;60,$C$21="nein"),IF($C$19="monatlich",$C$20,IF($C$19="quartalsweise",OR(MONTH(J114)={1,4,7,10})*$C$20,IF($C$19="jährlich",(MONTH(J114)=7)*$C$20))),IF($C$19="monatlich",$C$22,IF($C$19="quartalsweise",OR(MONTH(J114)={1,4,7,10})*$C$22,IF($C$19="jährlich",(MONTH(J114)=7)*$C$22))))</f>
        <v>0</v>
      </c>
      <c r="L114" s="70">
        <f t="shared" si="34"/>
        <v>0</v>
      </c>
      <c r="M114" s="62">
        <f t="shared" si="35"/>
        <v>0</v>
      </c>
      <c r="N114" s="64">
        <f>+IF(AND($C$19="monatlich",K114&lt;$C$20),$C$20-K114,IF(AND($C$19="quartalsweise",OR(MONTH(J114)={1,4,7,10}),K114&lt;$C$20),$C$20-K114,IF(AND($C$19="jährlich",MONTH(J114)=7,K114&lt;$C$20),$C$20-K114,0)))</f>
        <v>0</v>
      </c>
      <c r="O114" s="71">
        <v>0</v>
      </c>
      <c r="P114" s="71">
        <v>0</v>
      </c>
      <c r="Q114" s="63">
        <f t="shared" si="36"/>
        <v>0</v>
      </c>
      <c r="R114" s="72">
        <f t="shared" si="23"/>
        <v>0</v>
      </c>
      <c r="S114" s="73">
        <f t="shared" si="13"/>
        <v>14527.675809</v>
      </c>
      <c r="T114" s="72">
        <f t="shared" si="38"/>
        <v>0</v>
      </c>
      <c r="U114" s="70">
        <f t="shared" si="39"/>
        <v>-8.178648710000548</v>
      </c>
      <c r="V114" s="62">
        <f t="shared" si="40"/>
        <v>42.941788256413069</v>
      </c>
      <c r="W114" s="70">
        <f t="shared" si="41"/>
        <v>10100.792321085552</v>
      </c>
    </row>
    <row r="115" spans="2:23" s="5" customFormat="1" ht="15">
      <c r="G115" s="115">
        <f t="shared" ref="G115" si="42">+(J115-DATE(1984,8,11))/365</f>
        <v>29.824657534246576</v>
      </c>
      <c r="H115" s="116" t="str">
        <f>H103&amp;" - "&amp;H114</f>
        <v>25 - 36</v>
      </c>
      <c r="I115" s="117">
        <f t="shared" si="19"/>
        <v>3</v>
      </c>
      <c r="J115" s="118">
        <f t="shared" ref="J115" si="43">+J114</f>
        <v>41791</v>
      </c>
      <c r="K115" s="119">
        <f t="shared" ref="K115:L115" si="44">SUM(K103:K114)</f>
        <v>3600</v>
      </c>
      <c r="L115" s="120">
        <f t="shared" si="44"/>
        <v>-1584</v>
      </c>
      <c r="M115" s="119">
        <f t="shared" ref="M115" si="45">SUM(M103:M114)</f>
        <v>154</v>
      </c>
      <c r="N115" s="121">
        <f t="shared" ref="N115" si="46">SUM(N103:N114)</f>
        <v>1520.8076289999999</v>
      </c>
      <c r="O115" s="121">
        <f t="shared" ref="O115" si="47">SUM(O103:O114)</f>
        <v>0</v>
      </c>
      <c r="P115" s="121">
        <f t="shared" ref="P115" si="48">SUM(P103:P114)</f>
        <v>0</v>
      </c>
      <c r="Q115" s="120">
        <f t="shared" si="31"/>
        <v>-83.740381450000001</v>
      </c>
      <c r="R115" s="119">
        <f t="shared" ref="R115" si="49">SUM(R103:R114)</f>
        <v>5274.8076289999999</v>
      </c>
      <c r="S115" s="122">
        <f t="shared" si="13"/>
        <v>14527.675809</v>
      </c>
      <c r="T115" s="119">
        <f t="shared" ref="T115:V115" si="50">SUM(T103:T114)</f>
        <v>-15.4</v>
      </c>
      <c r="U115" s="120">
        <f t="shared" si="50"/>
        <v>-75.942336271468037</v>
      </c>
      <c r="V115" s="119">
        <f t="shared" si="50"/>
        <v>401.44787831522081</v>
      </c>
      <c r="W115" s="123">
        <f t="shared" ref="W115" si="51">+W114</f>
        <v>10100.792321085552</v>
      </c>
    </row>
    <row r="116" spans="2:23" outlineLevel="1">
      <c r="G116" s="11">
        <f t="shared" si="11"/>
        <v>29.906849315068492</v>
      </c>
      <c r="H116" s="2">
        <v>37</v>
      </c>
      <c r="I116" s="2">
        <f t="shared" si="19"/>
        <v>4</v>
      </c>
      <c r="J116" s="29">
        <f t="shared" si="16"/>
        <v>41821</v>
      </c>
      <c r="K116" s="62">
        <f>+IF(OR(H116&gt;60,$C$21="nein"),IF($C$19="monatlich",$C$20,IF($C$19="quartalsweise",OR(MONTH(J116)={1,4,7,10})*$C$20,IF($C$19="jährlich",(MONTH(J116)=7)*$C$20))),IF($C$19="monatlich",$C$22,IF($C$19="quartalsweise",OR(MONTH(J116)={1,4,7,10})*$C$22,IF($C$19="jährlich",(MONTH(J116)=7)*$C$22))))</f>
        <v>900</v>
      </c>
      <c r="L116" s="63">
        <f t="shared" ref="L116:L127" si="52">-IF(H116&gt;60,0,IF($C$19="monatlich",$C$52,IF(AND($C$19="quartalsweise",K116&gt;0),$C$52,IF(AND($C$19="jährlich",K116&gt;0),$C$51,0))))</f>
        <v>-396</v>
      </c>
      <c r="M116" s="62">
        <f t="shared" ref="M116:M127" si="53">+IF(MONTH(J116)=4,$C$25,0)</f>
        <v>0</v>
      </c>
      <c r="N116" s="64">
        <f>+IF(AND($C$19="monatlich",K116&lt;$C$20),$C$20-K116,IF(AND($C$19="quartalsweise",OR(MONTH(J116)={1,4,7,10}),K116&lt;$C$20),$C$20-K116,IF(AND($C$19="jährlich",MONTH(J116)=7,K116&lt;$C$20),$C$20-K116,0)))</f>
        <v>0</v>
      </c>
      <c r="O116" s="64">
        <v>0</v>
      </c>
      <c r="P116" s="64">
        <v>0</v>
      </c>
      <c r="Q116" s="63">
        <f t="shared" ref="Q116:Q127" si="54">-SUM(M116:P116)*$C$47/100</f>
        <v>0</v>
      </c>
      <c r="R116" s="62">
        <f t="shared" ref="R116" si="55">+SUM(K116,M116:P116)</f>
        <v>900</v>
      </c>
      <c r="S116" s="65">
        <f t="shared" si="13"/>
        <v>15427.675809</v>
      </c>
      <c r="T116" s="62">
        <f t="shared" ref="T116:T127" si="56">-IF(MONTH(J116)=12,$C$55,0)</f>
        <v>0</v>
      </c>
      <c r="U116" s="63">
        <f t="shared" ref="U116:U127" si="57">-W115*($D$43/100/12)</f>
        <v>-8.2068937608820107</v>
      </c>
      <c r="V116" s="62">
        <f t="shared" ref="V116:V127" si="58">+(1+(IF($C$71="pauschal",$C$72/100/12,VLOOKUP(I115,$J$5:$L$44,3,FALSE)/100/12)*W115))</f>
        <v>43.086634671189799</v>
      </c>
      <c r="W116" s="63">
        <f t="shared" ref="W116:W127" si="59">+SUM(W115,R116,L116,Q116,T116:V116)</f>
        <v>10639.67206199586</v>
      </c>
    </row>
    <row r="117" spans="2:23" outlineLevel="1">
      <c r="G117" s="12">
        <f t="shared" si="11"/>
        <v>29.991780821917807</v>
      </c>
      <c r="H117" s="4">
        <v>38</v>
      </c>
      <c r="I117" s="4">
        <f t="shared" si="19"/>
        <v>4</v>
      </c>
      <c r="J117" s="30">
        <f t="shared" si="16"/>
        <v>41852</v>
      </c>
      <c r="K117" s="62">
        <f>+IF(OR(H117&gt;60,$C$21="nein"),IF($C$19="monatlich",$C$20,IF($C$19="quartalsweise",OR(MONTH(J117)={1,4,7,10})*$C$20,IF($C$19="jährlich",(MONTH(J117)=7)*$C$20))),IF($C$19="monatlich",$C$22,IF($C$19="quartalsweise",OR(MONTH(J117)={1,4,7,10})*$C$22,IF($C$19="jährlich",(MONTH(J117)=7)*$C$22))))</f>
        <v>0</v>
      </c>
      <c r="L117" s="66">
        <f t="shared" si="52"/>
        <v>0</v>
      </c>
      <c r="M117" s="62">
        <f t="shared" si="53"/>
        <v>0</v>
      </c>
      <c r="N117" s="67">
        <f>+IF(AND($C$19="monatlich",K117&lt;$C$20),$C$20-K117,IF(AND($C$19="quartalsweise",OR(MONTH(J117)={1,4,7,10}),K117&lt;$C$20),$C$20-K117,IF(AND($C$19="jährlich",MONTH(J117)=7,K117&lt;$C$20),$C$20-K117,0)))</f>
        <v>0</v>
      </c>
      <c r="O117" s="67">
        <v>0</v>
      </c>
      <c r="P117" s="67">
        <v>0</v>
      </c>
      <c r="Q117" s="63">
        <f t="shared" si="54"/>
        <v>0</v>
      </c>
      <c r="R117" s="68">
        <f t="shared" si="23"/>
        <v>0</v>
      </c>
      <c r="S117" s="69">
        <f t="shared" si="13"/>
        <v>15427.675809</v>
      </c>
      <c r="T117" s="68">
        <f t="shared" si="56"/>
        <v>0</v>
      </c>
      <c r="U117" s="66">
        <f t="shared" si="57"/>
        <v>-8.6447335503716349</v>
      </c>
      <c r="V117" s="68">
        <f t="shared" si="58"/>
        <v>45.331966924982751</v>
      </c>
      <c r="W117" s="66">
        <f t="shared" si="59"/>
        <v>10676.359295370472</v>
      </c>
    </row>
    <row r="118" spans="2:23" outlineLevel="1">
      <c r="G118" s="12">
        <f t="shared" si="11"/>
        <v>30.076712328767123</v>
      </c>
      <c r="H118" s="4">
        <v>39</v>
      </c>
      <c r="I118" s="4">
        <f t="shared" si="19"/>
        <v>4</v>
      </c>
      <c r="J118" s="30">
        <f t="shared" si="16"/>
        <v>41883</v>
      </c>
      <c r="K118" s="62">
        <f>+IF(OR(H118&gt;60,$C$21="nein"),IF($C$19="monatlich",$C$20,IF($C$19="quartalsweise",OR(MONTH(J118)={1,4,7,10})*$C$20,IF($C$19="jährlich",(MONTH(J118)=7)*$C$20))),IF($C$19="monatlich",$C$22,IF($C$19="quartalsweise",OR(MONTH(J118)={1,4,7,10})*$C$22,IF($C$19="jährlich",(MONTH(J118)=7)*$C$22))))</f>
        <v>0</v>
      </c>
      <c r="L118" s="66">
        <f t="shared" si="52"/>
        <v>0</v>
      </c>
      <c r="M118" s="62">
        <f t="shared" si="53"/>
        <v>0</v>
      </c>
      <c r="N118" s="67">
        <f>+IF(AND($C$19="monatlich",K118&lt;$C$20),$C$20-K118,IF(AND($C$19="quartalsweise",OR(MONTH(J118)={1,4,7,10}),K118&lt;$C$20),$C$20-K118,IF(AND($C$19="jährlich",MONTH(J118)=7,K118&lt;$C$20),$C$20-K118,0)))</f>
        <v>0</v>
      </c>
      <c r="O118" s="67">
        <v>0</v>
      </c>
      <c r="P118" s="67">
        <v>0</v>
      </c>
      <c r="Q118" s="63">
        <f t="shared" si="54"/>
        <v>0</v>
      </c>
      <c r="R118" s="68">
        <f t="shared" si="23"/>
        <v>0</v>
      </c>
      <c r="S118" s="69">
        <f t="shared" si="13"/>
        <v>15427.675809</v>
      </c>
      <c r="T118" s="68">
        <f t="shared" si="56"/>
        <v>0</v>
      </c>
      <c r="U118" s="66">
        <f t="shared" si="57"/>
        <v>-8.6745419274885087</v>
      </c>
      <c r="V118" s="68">
        <f t="shared" si="58"/>
        <v>45.484830397376967</v>
      </c>
      <c r="W118" s="66">
        <f t="shared" si="59"/>
        <v>10713.169583840361</v>
      </c>
    </row>
    <row r="119" spans="2:23" outlineLevel="1">
      <c r="G119" s="12">
        <f t="shared" si="11"/>
        <v>30.158904109589042</v>
      </c>
      <c r="H119" s="4">
        <v>40</v>
      </c>
      <c r="I119" s="4">
        <f t="shared" si="19"/>
        <v>4</v>
      </c>
      <c r="J119" s="30">
        <f t="shared" si="16"/>
        <v>41913</v>
      </c>
      <c r="K119" s="62">
        <f>+IF(OR(H119&gt;60,$C$21="nein"),IF($C$19="monatlich",$C$20,IF($C$19="quartalsweise",OR(MONTH(J119)={1,4,7,10})*$C$20,IF($C$19="jährlich",(MONTH(J119)=7)*$C$20))),IF($C$19="monatlich",$C$22,IF($C$19="quartalsweise",OR(MONTH(J119)={1,4,7,10})*$C$22,IF($C$19="jährlich",(MONTH(J119)=7)*$C$22))))</f>
        <v>900</v>
      </c>
      <c r="L119" s="66">
        <f t="shared" si="52"/>
        <v>-396</v>
      </c>
      <c r="M119" s="62">
        <f t="shared" si="53"/>
        <v>0</v>
      </c>
      <c r="N119" s="67">
        <f>+IF(AND($C$19="monatlich",K119&lt;$C$20),$C$20-K119,IF(AND($C$19="quartalsweise",OR(MONTH(J119)={1,4,7,10}),K119&lt;$C$20),$C$20-K119,IF(AND($C$19="jährlich",MONTH(J119)=7,K119&lt;$C$20),$C$20-K119,0)))</f>
        <v>0</v>
      </c>
      <c r="O119" s="67">
        <v>0</v>
      </c>
      <c r="P119" s="67">
        <v>0</v>
      </c>
      <c r="Q119" s="63">
        <f t="shared" si="54"/>
        <v>0</v>
      </c>
      <c r="R119" s="68">
        <f t="shared" si="23"/>
        <v>900</v>
      </c>
      <c r="S119" s="69">
        <f t="shared" si="13"/>
        <v>16327.675809</v>
      </c>
      <c r="T119" s="68">
        <f t="shared" si="56"/>
        <v>0</v>
      </c>
      <c r="U119" s="66">
        <f t="shared" si="57"/>
        <v>-8.7044502868702924</v>
      </c>
      <c r="V119" s="68">
        <f t="shared" si="58"/>
        <v>45.638206599334836</v>
      </c>
      <c r="W119" s="66">
        <f t="shared" si="59"/>
        <v>11254.103340152826</v>
      </c>
    </row>
    <row r="120" spans="2:23" outlineLevel="1">
      <c r="G120" s="12">
        <f t="shared" si="11"/>
        <v>30.243835616438357</v>
      </c>
      <c r="H120" s="4">
        <v>41</v>
      </c>
      <c r="I120" s="4">
        <f t="shared" si="19"/>
        <v>4</v>
      </c>
      <c r="J120" s="30">
        <f t="shared" si="16"/>
        <v>41944</v>
      </c>
      <c r="K120" s="62">
        <f>+IF(OR(H120&gt;60,$C$21="nein"),IF($C$19="monatlich",$C$20,IF($C$19="quartalsweise",OR(MONTH(J120)={1,4,7,10})*$C$20,IF($C$19="jährlich",(MONTH(J120)=7)*$C$20))),IF($C$19="monatlich",$C$22,IF($C$19="quartalsweise",OR(MONTH(J120)={1,4,7,10})*$C$22,IF($C$19="jährlich",(MONTH(J120)=7)*$C$22))))</f>
        <v>0</v>
      </c>
      <c r="L120" s="66">
        <f t="shared" si="52"/>
        <v>0</v>
      </c>
      <c r="M120" s="62">
        <f t="shared" si="53"/>
        <v>0</v>
      </c>
      <c r="N120" s="67">
        <f>+IF(AND($C$19="monatlich",K120&lt;$C$20),$C$20-K120,IF(AND($C$19="quartalsweise",OR(MONTH(J120)={1,4,7,10}),K120&lt;$C$20),$C$20-K120,IF(AND($C$19="jährlich",MONTH(J120)=7,K120&lt;$C$20),$C$20-K120,0)))</f>
        <v>0</v>
      </c>
      <c r="O120" s="67">
        <v>0</v>
      </c>
      <c r="P120" s="67">
        <v>0</v>
      </c>
      <c r="Q120" s="63">
        <f t="shared" si="54"/>
        <v>0</v>
      </c>
      <c r="R120" s="68">
        <f t="shared" si="23"/>
        <v>0</v>
      </c>
      <c r="S120" s="69">
        <f t="shared" si="13"/>
        <v>16327.675809</v>
      </c>
      <c r="T120" s="68">
        <f t="shared" si="56"/>
        <v>0</v>
      </c>
      <c r="U120" s="66">
        <f t="shared" si="57"/>
        <v>-9.1439589638741712</v>
      </c>
      <c r="V120" s="68">
        <f t="shared" si="58"/>
        <v>47.892097250636773</v>
      </c>
      <c r="W120" s="66">
        <f t="shared" si="59"/>
        <v>11292.851478439588</v>
      </c>
    </row>
    <row r="121" spans="2:23" outlineLevel="1">
      <c r="G121" s="12">
        <f t="shared" si="11"/>
        <v>30.326027397260273</v>
      </c>
      <c r="H121" s="4">
        <v>42</v>
      </c>
      <c r="I121" s="4">
        <f t="shared" si="19"/>
        <v>4</v>
      </c>
      <c r="J121" s="30">
        <f t="shared" si="16"/>
        <v>41974</v>
      </c>
      <c r="K121" s="62">
        <f>+IF(OR(H121&gt;60,$C$21="nein"),IF($C$19="monatlich",$C$20,IF($C$19="quartalsweise",OR(MONTH(J121)={1,4,7,10})*$C$20,IF($C$19="jährlich",(MONTH(J121)=7)*$C$20))),IF($C$19="monatlich",$C$22,IF($C$19="quartalsweise",OR(MONTH(J121)={1,4,7,10})*$C$22,IF($C$19="jährlich",(MONTH(J121)=7)*$C$22))))</f>
        <v>0</v>
      </c>
      <c r="L121" s="66">
        <f t="shared" si="52"/>
        <v>0</v>
      </c>
      <c r="M121" s="62">
        <f t="shared" si="53"/>
        <v>0</v>
      </c>
      <c r="N121" s="67">
        <f>+IF(AND($C$19="monatlich",K121&lt;$C$20),$C$20-K121,IF(AND($C$19="quartalsweise",OR(MONTH(J121)={1,4,7,10}),K121&lt;$C$20),$C$20-K121,IF(AND($C$19="jährlich",MONTH(J121)=7,K121&lt;$C$20),$C$20-K121,0)))</f>
        <v>0</v>
      </c>
      <c r="O121" s="67">
        <v>0</v>
      </c>
      <c r="P121" s="67">
        <v>0</v>
      </c>
      <c r="Q121" s="63">
        <f t="shared" si="54"/>
        <v>0</v>
      </c>
      <c r="R121" s="68">
        <f t="shared" si="23"/>
        <v>0</v>
      </c>
      <c r="S121" s="69">
        <f t="shared" si="13"/>
        <v>16327.675809</v>
      </c>
      <c r="T121" s="68">
        <f t="shared" si="56"/>
        <v>-15.4</v>
      </c>
      <c r="U121" s="66">
        <f t="shared" si="57"/>
        <v>-9.1754418262321646</v>
      </c>
      <c r="V121" s="68">
        <f t="shared" si="58"/>
        <v>48.053547826831618</v>
      </c>
      <c r="W121" s="66">
        <f t="shared" si="59"/>
        <v>11316.329584440189</v>
      </c>
    </row>
    <row r="122" spans="2:23" outlineLevel="1">
      <c r="G122" s="12">
        <f t="shared" si="11"/>
        <v>30.410958904109588</v>
      </c>
      <c r="H122" s="4">
        <v>43</v>
      </c>
      <c r="I122" s="4">
        <f t="shared" si="19"/>
        <v>4</v>
      </c>
      <c r="J122" s="30">
        <f t="shared" si="16"/>
        <v>42005</v>
      </c>
      <c r="K122" s="62">
        <f>+IF(OR(H122&gt;60,$C$21="nein"),IF($C$19="monatlich",$C$20,IF($C$19="quartalsweise",OR(MONTH(J122)={1,4,7,10})*$C$20,IF($C$19="jährlich",(MONTH(J122)=7)*$C$20))),IF($C$19="monatlich",$C$22,IF($C$19="quartalsweise",OR(MONTH(J122)={1,4,7,10})*$C$22,IF($C$19="jährlich",(MONTH(J122)=7)*$C$22))))</f>
        <v>900</v>
      </c>
      <c r="L122" s="66">
        <f t="shared" si="52"/>
        <v>-396</v>
      </c>
      <c r="M122" s="62">
        <f t="shared" si="53"/>
        <v>0</v>
      </c>
      <c r="N122" s="67">
        <f>+IF(AND($C$19="monatlich",K122&lt;$C$20),$C$20-K122,IF(AND($C$19="quartalsweise",OR(MONTH(J122)={1,4,7,10}),K122&lt;$C$20),$C$20-K122,IF(AND($C$19="jährlich",MONTH(J122)=7,K122&lt;$C$20),$C$20-K122,0)))</f>
        <v>0</v>
      </c>
      <c r="O122" s="67">
        <v>0</v>
      </c>
      <c r="P122" s="67">
        <v>0</v>
      </c>
      <c r="Q122" s="63">
        <f t="shared" si="54"/>
        <v>0</v>
      </c>
      <c r="R122" s="68">
        <f t="shared" si="23"/>
        <v>900</v>
      </c>
      <c r="S122" s="69">
        <f t="shared" si="13"/>
        <v>17227.675809</v>
      </c>
      <c r="T122" s="68">
        <f t="shared" si="56"/>
        <v>0</v>
      </c>
      <c r="U122" s="66">
        <f t="shared" si="57"/>
        <v>-9.194517787357654</v>
      </c>
      <c r="V122" s="68">
        <f t="shared" si="58"/>
        <v>48.151373268500791</v>
      </c>
      <c r="W122" s="66">
        <f t="shared" si="59"/>
        <v>11859.286439921332</v>
      </c>
    </row>
    <row r="123" spans="2:23" outlineLevel="1">
      <c r="G123" s="12">
        <f t="shared" si="11"/>
        <v>30.495890410958904</v>
      </c>
      <c r="H123" s="4">
        <v>44</v>
      </c>
      <c r="I123" s="4">
        <f t="shared" si="19"/>
        <v>4</v>
      </c>
      <c r="J123" s="30">
        <f t="shared" si="16"/>
        <v>42036</v>
      </c>
      <c r="K123" s="62">
        <f>+IF(OR(H123&gt;60,$C$21="nein"),IF($C$19="monatlich",$C$20,IF($C$19="quartalsweise",OR(MONTH(J123)={1,4,7,10})*$C$20,IF($C$19="jährlich",(MONTH(J123)=7)*$C$20))),IF($C$19="monatlich",$C$22,IF($C$19="quartalsweise",OR(MONTH(J123)={1,4,7,10})*$C$22,IF($C$19="jährlich",(MONTH(J123)=7)*$C$22))))</f>
        <v>0</v>
      </c>
      <c r="L123" s="66">
        <f t="shared" si="52"/>
        <v>0</v>
      </c>
      <c r="M123" s="62">
        <f t="shared" si="53"/>
        <v>0</v>
      </c>
      <c r="N123" s="67">
        <f>+IF(AND($C$19="monatlich",K123&lt;$C$20),$C$20-K123,IF(AND($C$19="quartalsweise",OR(MONTH(J123)={1,4,7,10}),K123&lt;$C$20),$C$20-K123,IF(AND($C$19="jährlich",MONTH(J123)=7,K123&lt;$C$20),$C$20-K123,0)))</f>
        <v>0</v>
      </c>
      <c r="O123" s="67">
        <v>0</v>
      </c>
      <c r="P123" s="67">
        <v>0</v>
      </c>
      <c r="Q123" s="63">
        <f t="shared" si="54"/>
        <v>0</v>
      </c>
      <c r="R123" s="68">
        <f t="shared" si="23"/>
        <v>0</v>
      </c>
      <c r="S123" s="69">
        <f t="shared" si="13"/>
        <v>17227.675809</v>
      </c>
      <c r="T123" s="68">
        <f t="shared" si="56"/>
        <v>0</v>
      </c>
      <c r="U123" s="66">
        <f t="shared" si="57"/>
        <v>-9.6356702324360821</v>
      </c>
      <c r="V123" s="68">
        <f t="shared" si="58"/>
        <v>50.41369349967222</v>
      </c>
      <c r="W123" s="66">
        <f t="shared" si="59"/>
        <v>11900.064463188568</v>
      </c>
    </row>
    <row r="124" spans="2:23" outlineLevel="1">
      <c r="G124" s="12">
        <f t="shared" si="11"/>
        <v>30.572602739726026</v>
      </c>
      <c r="H124" s="4">
        <v>45</v>
      </c>
      <c r="I124" s="4">
        <f t="shared" si="19"/>
        <v>4</v>
      </c>
      <c r="J124" s="30">
        <f t="shared" si="16"/>
        <v>42064</v>
      </c>
      <c r="K124" s="62">
        <f>+IF(OR(H124&gt;60,$C$21="nein"),IF($C$19="monatlich",$C$20,IF($C$19="quartalsweise",OR(MONTH(J124)={1,4,7,10})*$C$20,IF($C$19="jährlich",(MONTH(J124)=7)*$C$20))),IF($C$19="monatlich",$C$22,IF($C$19="quartalsweise",OR(MONTH(J124)={1,4,7,10})*$C$22,IF($C$19="jährlich",(MONTH(J124)=7)*$C$22))))</f>
        <v>0</v>
      </c>
      <c r="L124" s="66">
        <f t="shared" si="52"/>
        <v>0</v>
      </c>
      <c r="M124" s="62">
        <f t="shared" si="53"/>
        <v>0</v>
      </c>
      <c r="N124" s="67">
        <f>+IF(AND($C$19="monatlich",K124&lt;$C$20),$C$20-K124,IF(AND($C$19="quartalsweise",OR(MONTH(J124)={1,4,7,10}),K124&lt;$C$20),$C$20-K124,IF(AND($C$19="jährlich",MONTH(J124)=7,K124&lt;$C$20),$C$20-K124,0)))-$C$67/100*SUM(Q106:Q114,Q116:Q118)-$C$66/100*SUM(L106:L114,L116:L118)</f>
        <v>1523.7547814500001</v>
      </c>
      <c r="O124" s="67">
        <v>0</v>
      </c>
      <c r="P124" s="67">
        <v>0</v>
      </c>
      <c r="Q124" s="63">
        <f t="shared" si="54"/>
        <v>-76.187739072500008</v>
      </c>
      <c r="R124" s="68">
        <f t="shared" si="23"/>
        <v>1523.7547814500001</v>
      </c>
      <c r="S124" s="69">
        <f t="shared" si="13"/>
        <v>18751.43059045</v>
      </c>
      <c r="T124" s="68">
        <f t="shared" si="56"/>
        <v>0</v>
      </c>
      <c r="U124" s="66">
        <f t="shared" si="57"/>
        <v>-9.6688023763407109</v>
      </c>
      <c r="V124" s="68">
        <f t="shared" si="58"/>
        <v>50.583601929952366</v>
      </c>
      <c r="W124" s="66">
        <f t="shared" si="59"/>
        <v>13388.54630511968</v>
      </c>
    </row>
    <row r="125" spans="2:23" outlineLevel="1">
      <c r="G125" s="12">
        <f t="shared" si="11"/>
        <v>30.657534246575342</v>
      </c>
      <c r="H125" s="4">
        <v>46</v>
      </c>
      <c r="I125" s="4">
        <f t="shared" si="19"/>
        <v>4</v>
      </c>
      <c r="J125" s="30">
        <f t="shared" si="16"/>
        <v>42095</v>
      </c>
      <c r="K125" s="62">
        <f>+IF(OR(H125&gt;60,$C$21="nein"),IF($C$19="monatlich",$C$20,IF($C$19="quartalsweise",OR(MONTH(J125)={1,4,7,10})*$C$20,IF($C$19="jährlich",(MONTH(J125)=7)*$C$20))),IF($C$19="monatlich",$C$22,IF($C$19="quartalsweise",OR(MONTH(J125)={1,4,7,10})*$C$22,IF($C$19="jährlich",(MONTH(J125)=7)*$C$22))))</f>
        <v>900</v>
      </c>
      <c r="L125" s="66">
        <f t="shared" si="52"/>
        <v>-396</v>
      </c>
      <c r="M125" s="62">
        <f t="shared" si="53"/>
        <v>154</v>
      </c>
      <c r="N125" s="67">
        <f>+IF(AND($C$19="monatlich",K125&lt;$C$20),$C$20-K125,IF(AND($C$19="quartalsweise",OR(MONTH(J125)={1,4,7,10}),K125&lt;$C$20),$C$20-K125,IF(AND($C$19="jährlich",MONTH(J125)=7,K125&lt;$C$20),$C$20-K125,0)))</f>
        <v>0</v>
      </c>
      <c r="O125" s="67">
        <v>0</v>
      </c>
      <c r="P125" s="67">
        <v>0</v>
      </c>
      <c r="Q125" s="63">
        <f t="shared" si="54"/>
        <v>-7.7</v>
      </c>
      <c r="R125" s="68">
        <f t="shared" si="23"/>
        <v>1054</v>
      </c>
      <c r="S125" s="69">
        <f t="shared" si="13"/>
        <v>19805.43059045</v>
      </c>
      <c r="T125" s="68">
        <f t="shared" si="56"/>
        <v>0</v>
      </c>
      <c r="U125" s="66">
        <f t="shared" si="57"/>
        <v>-10.87819387290974</v>
      </c>
      <c r="V125" s="68">
        <f t="shared" si="58"/>
        <v>56.785609604665332</v>
      </c>
      <c r="W125" s="66">
        <f t="shared" si="59"/>
        <v>14084.753720851435</v>
      </c>
    </row>
    <row r="126" spans="2:23" outlineLevel="1">
      <c r="G126" s="12">
        <f t="shared" si="11"/>
        <v>30.739726027397261</v>
      </c>
      <c r="H126" s="4">
        <v>47</v>
      </c>
      <c r="I126" s="4">
        <f t="shared" si="19"/>
        <v>4</v>
      </c>
      <c r="J126" s="30">
        <f t="shared" si="16"/>
        <v>42125</v>
      </c>
      <c r="K126" s="62">
        <f>+IF(OR(H126&gt;60,$C$21="nein"),IF($C$19="monatlich",$C$20,IF($C$19="quartalsweise",OR(MONTH(J126)={1,4,7,10})*$C$20,IF($C$19="jährlich",(MONTH(J126)=7)*$C$20))),IF($C$19="monatlich",$C$22,IF($C$19="quartalsweise",OR(MONTH(J126)={1,4,7,10})*$C$22,IF($C$19="jährlich",(MONTH(J126)=7)*$C$22))))</f>
        <v>0</v>
      </c>
      <c r="L126" s="66">
        <f t="shared" si="52"/>
        <v>0</v>
      </c>
      <c r="M126" s="62">
        <f t="shared" si="53"/>
        <v>0</v>
      </c>
      <c r="N126" s="67">
        <f>+IF(AND($C$19="monatlich",K126&lt;$C$20),$C$20-K126,IF(AND($C$19="quartalsweise",OR(MONTH(J126)={1,4,7,10}),K126&lt;$C$20),$C$20-K126,IF(AND($C$19="jährlich",MONTH(J126)=7,K126&lt;$C$20),$C$20-K126,0)))</f>
        <v>0</v>
      </c>
      <c r="O126" s="67">
        <v>0</v>
      </c>
      <c r="P126" s="67">
        <v>0</v>
      </c>
      <c r="Q126" s="63">
        <f t="shared" si="54"/>
        <v>0</v>
      </c>
      <c r="R126" s="68">
        <f t="shared" si="23"/>
        <v>0</v>
      </c>
      <c r="S126" s="69">
        <f t="shared" si="13"/>
        <v>19805.43059045</v>
      </c>
      <c r="T126" s="68">
        <f t="shared" si="56"/>
        <v>0</v>
      </c>
      <c r="U126" s="66">
        <f t="shared" si="57"/>
        <v>-11.44386239819179</v>
      </c>
      <c r="V126" s="68">
        <f t="shared" si="58"/>
        <v>59.686473836880978</v>
      </c>
      <c r="W126" s="66">
        <f t="shared" si="59"/>
        <v>14132.996332290124</v>
      </c>
    </row>
    <row r="127" spans="2:23" outlineLevel="1">
      <c r="G127" s="13">
        <f t="shared" si="11"/>
        <v>30.824657534246576</v>
      </c>
      <c r="H127" s="6">
        <v>48</v>
      </c>
      <c r="I127" s="6">
        <f t="shared" si="19"/>
        <v>4</v>
      </c>
      <c r="J127" s="31">
        <f t="shared" si="16"/>
        <v>42156</v>
      </c>
      <c r="K127" s="62">
        <f>+IF(OR(H127&gt;60,$C$21="nein"),IF($C$19="monatlich",$C$20,IF($C$19="quartalsweise",OR(MONTH(J127)={1,4,7,10})*$C$20,IF($C$19="jährlich",(MONTH(J127)=7)*$C$20))),IF($C$19="monatlich",$C$22,IF($C$19="quartalsweise",OR(MONTH(J127)={1,4,7,10})*$C$22,IF($C$19="jährlich",(MONTH(J127)=7)*$C$22))))</f>
        <v>0</v>
      </c>
      <c r="L127" s="70">
        <f t="shared" si="52"/>
        <v>0</v>
      </c>
      <c r="M127" s="62">
        <f t="shared" si="53"/>
        <v>0</v>
      </c>
      <c r="N127" s="71">
        <f>+IF(AND($C$19="monatlich",K127&lt;$C$20),$C$20-K127,IF(AND($C$19="quartalsweise",OR(MONTH(J127)={1,4,7,10}),K127&lt;$C$20),$C$20-K127,IF(AND($C$19="jährlich",MONTH(J127)=7,K127&lt;$C$20),$C$20-K127,0)))</f>
        <v>0</v>
      </c>
      <c r="O127" s="71">
        <v>0</v>
      </c>
      <c r="P127" s="71">
        <v>0</v>
      </c>
      <c r="Q127" s="63">
        <f t="shared" si="54"/>
        <v>0</v>
      </c>
      <c r="R127" s="72">
        <f t="shared" si="23"/>
        <v>0</v>
      </c>
      <c r="S127" s="73">
        <f t="shared" si="13"/>
        <v>19805.43059045</v>
      </c>
      <c r="T127" s="72">
        <f t="shared" si="56"/>
        <v>0</v>
      </c>
      <c r="U127" s="70">
        <f t="shared" si="57"/>
        <v>-11.483059519985725</v>
      </c>
      <c r="V127" s="72">
        <f t="shared" si="58"/>
        <v>59.887484717875516</v>
      </c>
      <c r="W127" s="70">
        <f t="shared" si="59"/>
        <v>14181.400757488014</v>
      </c>
    </row>
    <row r="128" spans="2:23" s="5" customFormat="1" ht="15">
      <c r="B128" s="17"/>
      <c r="G128" s="115">
        <f t="shared" ref="G128" si="60">+(J128-DATE(1984,8,11))/365</f>
        <v>30.824657534246576</v>
      </c>
      <c r="H128" s="116" t="str">
        <f>H116&amp;" - "&amp;H127</f>
        <v>37 - 48</v>
      </c>
      <c r="I128" s="117">
        <f t="shared" si="19"/>
        <v>4</v>
      </c>
      <c r="J128" s="118">
        <f t="shared" ref="J128" si="61">+J127</f>
        <v>42156</v>
      </c>
      <c r="K128" s="119">
        <f t="shared" ref="K128:L128" si="62">SUM(K116:K127)</f>
        <v>3600</v>
      </c>
      <c r="L128" s="120">
        <f t="shared" si="62"/>
        <v>-1584</v>
      </c>
      <c r="M128" s="119">
        <f t="shared" ref="M128" si="63">SUM(M116:M127)</f>
        <v>154</v>
      </c>
      <c r="N128" s="121">
        <f t="shared" ref="N128" si="64">SUM(N116:N127)</f>
        <v>1523.7547814500001</v>
      </c>
      <c r="O128" s="121">
        <f t="shared" ref="O128" si="65">SUM(O116:O127)</f>
        <v>0</v>
      </c>
      <c r="P128" s="121">
        <f t="shared" ref="P128:Q141" si="66">SUM(P116:P127)</f>
        <v>0</v>
      </c>
      <c r="Q128" s="120">
        <f t="shared" si="66"/>
        <v>-83.887739072500011</v>
      </c>
      <c r="R128" s="119">
        <f t="shared" ref="R128" si="67">SUM(R116:R127)</f>
        <v>5277.7547814500003</v>
      </c>
      <c r="S128" s="122">
        <f t="shared" si="13"/>
        <v>19805.43059045</v>
      </c>
      <c r="T128" s="119">
        <f t="shared" ref="T128:V128" si="68">SUM(T116:T127)</f>
        <v>-15.4</v>
      </c>
      <c r="U128" s="120">
        <f t="shared" si="68"/>
        <v>-114.85412650294047</v>
      </c>
      <c r="V128" s="119">
        <f t="shared" si="68"/>
        <v>600.9955205279</v>
      </c>
      <c r="W128" s="123">
        <f t="shared" ref="W128" si="69">+W127</f>
        <v>14181.400757488014</v>
      </c>
    </row>
    <row r="129" spans="2:23" outlineLevel="1">
      <c r="G129" s="11">
        <f t="shared" si="11"/>
        <v>30.906849315068492</v>
      </c>
      <c r="H129" s="2">
        <v>49</v>
      </c>
      <c r="I129" s="2">
        <f t="shared" ref="I129:I140" si="70">+I116+1</f>
        <v>5</v>
      </c>
      <c r="J129" s="29">
        <f t="shared" si="16"/>
        <v>42186</v>
      </c>
      <c r="K129" s="62">
        <f>+IF(OR(H129&gt;60,$C$21="nein"),IF($C$19="monatlich",$C$20,IF($C$19="quartalsweise",OR(MONTH(J129)={1,4,7,10})*$C$20,IF($C$19="jährlich",(MONTH(J129)=7)*$C$20))),IF($C$19="monatlich",$C$22,IF($C$19="quartalsweise",OR(MONTH(J129)={1,4,7,10})*$C$22,IF($C$19="jährlich",(MONTH(J129)=7)*$C$22))))</f>
        <v>900</v>
      </c>
      <c r="L129" s="63">
        <f t="shared" ref="L129:L140" si="71">-IF(H129&gt;60,0,IF($C$19="monatlich",$C$52,IF(AND($C$19="quartalsweise",K129&gt;0),$C$52,IF(AND($C$19="jährlich",K129&gt;0),$C$51,0))))</f>
        <v>-396</v>
      </c>
      <c r="M129" s="62">
        <f t="shared" ref="M129:M140" si="72">+IF(MONTH(J129)=4,$C$25,0)</f>
        <v>0</v>
      </c>
      <c r="N129" s="64">
        <f>+IF(AND($C$19="monatlich",K129&lt;$C$20),$C$20-K129,IF(AND($C$19="quartalsweise",OR(MONTH(J129)={1,4,7,10}),K129&lt;$C$20),$C$20-K129,IF(AND($C$19="jährlich",MONTH(J129)=7,K129&lt;$C$20),$C$20-K129,0)))</f>
        <v>0</v>
      </c>
      <c r="O129" s="64">
        <v>0</v>
      </c>
      <c r="P129" s="64">
        <v>0</v>
      </c>
      <c r="Q129" s="63">
        <f t="shared" ref="Q129:Q140" si="73">-SUM(M129:P129)*$C$47/100</f>
        <v>0</v>
      </c>
      <c r="R129" s="62">
        <f t="shared" ref="R129" si="74">+SUM(K129,M129:P129)</f>
        <v>900</v>
      </c>
      <c r="S129" s="65">
        <f t="shared" si="13"/>
        <v>20705.43059045</v>
      </c>
      <c r="T129" s="62">
        <f t="shared" ref="T129:T140" si="75">-IF(MONTH(J129)=12,$C$55,0)</f>
        <v>0</v>
      </c>
      <c r="U129" s="63">
        <f t="shared" ref="U129:U140" si="76">-W128*($D$43/100/12)</f>
        <v>-11.522388115459011</v>
      </c>
      <c r="V129" s="62">
        <f t="shared" ref="V129:V140" si="77">+(1+(IF($C$71="pauschal",$C$72/100/12,VLOOKUP(I128,$J$5:$L$44,3,FALSE)/100/12)*W128))</f>
        <v>60.089169822866722</v>
      </c>
      <c r="W129" s="63">
        <f t="shared" ref="W129:W140" si="78">+SUM(W128,R129,L129,Q129,T129:V129)</f>
        <v>14733.967539195421</v>
      </c>
    </row>
    <row r="130" spans="2:23" outlineLevel="1">
      <c r="G130" s="12">
        <f t="shared" si="11"/>
        <v>30.991780821917807</v>
      </c>
      <c r="H130" s="4">
        <v>50</v>
      </c>
      <c r="I130" s="4">
        <f t="shared" si="70"/>
        <v>5</v>
      </c>
      <c r="J130" s="30">
        <f t="shared" si="16"/>
        <v>42217</v>
      </c>
      <c r="K130" s="62">
        <f>+IF(OR(H130&gt;60,$C$21="nein"),IF($C$19="monatlich",$C$20,IF($C$19="quartalsweise",OR(MONTH(J130)={1,4,7,10})*$C$20,IF($C$19="jährlich",(MONTH(J130)=7)*$C$20))),IF($C$19="monatlich",$C$22,IF($C$19="quartalsweise",OR(MONTH(J130)={1,4,7,10})*$C$22,IF($C$19="jährlich",(MONTH(J130)=7)*$C$22))))</f>
        <v>0</v>
      </c>
      <c r="L130" s="66">
        <f t="shared" si="71"/>
        <v>0</v>
      </c>
      <c r="M130" s="62">
        <f t="shared" si="72"/>
        <v>0</v>
      </c>
      <c r="N130" s="67">
        <f>+IF(AND($C$19="monatlich",K130&lt;$C$20),$C$20-K130,IF(AND($C$19="quartalsweise",OR(MONTH(J130)={1,4,7,10}),K130&lt;$C$20),$C$20-K130,IF(AND($C$19="jährlich",MONTH(J130)=7,K130&lt;$C$20),$C$20-K130,0)))</f>
        <v>0</v>
      </c>
      <c r="O130" s="67">
        <v>0</v>
      </c>
      <c r="P130" s="67">
        <v>0</v>
      </c>
      <c r="Q130" s="63">
        <f t="shared" si="73"/>
        <v>0</v>
      </c>
      <c r="R130" s="68">
        <f t="shared" si="23"/>
        <v>0</v>
      </c>
      <c r="S130" s="69">
        <f t="shared" si="13"/>
        <v>20705.43059045</v>
      </c>
      <c r="T130" s="68">
        <f t="shared" si="75"/>
        <v>0</v>
      </c>
      <c r="U130" s="66">
        <f t="shared" si="76"/>
        <v>-11.97134862559628</v>
      </c>
      <c r="V130" s="68">
        <f t="shared" si="77"/>
        <v>62.391531413314254</v>
      </c>
      <c r="W130" s="66">
        <f t="shared" si="78"/>
        <v>14784.387721983137</v>
      </c>
    </row>
    <row r="131" spans="2:23" outlineLevel="1">
      <c r="G131" s="12">
        <f t="shared" si="11"/>
        <v>31.076712328767123</v>
      </c>
      <c r="H131" s="4">
        <v>51</v>
      </c>
      <c r="I131" s="4">
        <f t="shared" si="70"/>
        <v>5</v>
      </c>
      <c r="J131" s="30">
        <f t="shared" si="16"/>
        <v>42248</v>
      </c>
      <c r="K131" s="62">
        <f>+IF(OR(H131&gt;60,$C$21="nein"),IF($C$19="monatlich",$C$20,IF($C$19="quartalsweise",OR(MONTH(J131)={1,4,7,10})*$C$20,IF($C$19="jährlich",(MONTH(J131)=7)*$C$20))),IF($C$19="monatlich",$C$22,IF($C$19="quartalsweise",OR(MONTH(J131)={1,4,7,10})*$C$22,IF($C$19="jährlich",(MONTH(J131)=7)*$C$22))))</f>
        <v>0</v>
      </c>
      <c r="L131" s="66">
        <f t="shared" si="71"/>
        <v>0</v>
      </c>
      <c r="M131" s="62">
        <f t="shared" si="72"/>
        <v>0</v>
      </c>
      <c r="N131" s="67">
        <f>+IF(AND($C$19="monatlich",K131&lt;$C$20),$C$20-K131,IF(AND($C$19="quartalsweise",OR(MONTH(J131)={1,4,7,10}),K131&lt;$C$20),$C$20-K131,IF(AND($C$19="jährlich",MONTH(J131)=7,K131&lt;$C$20),$C$20-K131,0)))</f>
        <v>0</v>
      </c>
      <c r="O131" s="67">
        <v>0</v>
      </c>
      <c r="P131" s="67">
        <v>0</v>
      </c>
      <c r="Q131" s="63">
        <f t="shared" si="73"/>
        <v>0</v>
      </c>
      <c r="R131" s="68">
        <f t="shared" si="23"/>
        <v>0</v>
      </c>
      <c r="S131" s="69">
        <f t="shared" si="13"/>
        <v>20705.43059045</v>
      </c>
      <c r="T131" s="68">
        <f t="shared" si="75"/>
        <v>0</v>
      </c>
      <c r="U131" s="66">
        <f t="shared" si="76"/>
        <v>-12.012315024111299</v>
      </c>
      <c r="V131" s="68">
        <f t="shared" si="77"/>
        <v>62.601615508263073</v>
      </c>
      <c r="W131" s="66">
        <f t="shared" si="78"/>
        <v>14834.97702246729</v>
      </c>
    </row>
    <row r="132" spans="2:23" outlineLevel="1">
      <c r="G132" s="12">
        <f t="shared" si="11"/>
        <v>31.158904109589042</v>
      </c>
      <c r="H132" s="4">
        <v>52</v>
      </c>
      <c r="I132" s="4">
        <f t="shared" si="70"/>
        <v>5</v>
      </c>
      <c r="J132" s="30">
        <f t="shared" si="16"/>
        <v>42278</v>
      </c>
      <c r="K132" s="62">
        <f>+IF(OR(H132&gt;60,$C$21="nein"),IF($C$19="monatlich",$C$20,IF($C$19="quartalsweise",OR(MONTH(J132)={1,4,7,10})*$C$20,IF($C$19="jährlich",(MONTH(J132)=7)*$C$20))),IF($C$19="monatlich",$C$22,IF($C$19="quartalsweise",OR(MONTH(J132)={1,4,7,10})*$C$22,IF($C$19="jährlich",(MONTH(J132)=7)*$C$22))))</f>
        <v>900</v>
      </c>
      <c r="L132" s="66">
        <f t="shared" si="71"/>
        <v>-396</v>
      </c>
      <c r="M132" s="62">
        <f t="shared" si="72"/>
        <v>0</v>
      </c>
      <c r="N132" s="67">
        <f>+IF(AND($C$19="monatlich",K132&lt;$C$20),$C$20-K132,IF(AND($C$19="quartalsweise",OR(MONTH(J132)={1,4,7,10}),K132&lt;$C$20),$C$20-K132,IF(AND($C$19="jährlich",MONTH(J132)=7,K132&lt;$C$20),$C$20-K132,0)))</f>
        <v>0</v>
      </c>
      <c r="O132" s="67">
        <v>0</v>
      </c>
      <c r="P132" s="67">
        <v>0</v>
      </c>
      <c r="Q132" s="63">
        <f t="shared" si="73"/>
        <v>0</v>
      </c>
      <c r="R132" s="68">
        <f t="shared" si="23"/>
        <v>900</v>
      </c>
      <c r="S132" s="69">
        <f t="shared" si="13"/>
        <v>21605.43059045</v>
      </c>
      <c r="T132" s="68">
        <f t="shared" si="75"/>
        <v>0</v>
      </c>
      <c r="U132" s="66">
        <f t="shared" si="76"/>
        <v>-12.053418830754673</v>
      </c>
      <c r="V132" s="68">
        <f t="shared" si="77"/>
        <v>62.812404260280374</v>
      </c>
      <c r="W132" s="66">
        <f t="shared" si="78"/>
        <v>15389.736007896818</v>
      </c>
    </row>
    <row r="133" spans="2:23" outlineLevel="1">
      <c r="G133" s="12">
        <f t="shared" si="11"/>
        <v>31.243835616438357</v>
      </c>
      <c r="H133" s="4">
        <v>53</v>
      </c>
      <c r="I133" s="4">
        <f t="shared" si="70"/>
        <v>5</v>
      </c>
      <c r="J133" s="30">
        <f t="shared" si="16"/>
        <v>42309</v>
      </c>
      <c r="K133" s="62">
        <f>+IF(OR(H133&gt;60,$C$21="nein"),IF($C$19="monatlich",$C$20,IF($C$19="quartalsweise",OR(MONTH(J133)={1,4,7,10})*$C$20,IF($C$19="jährlich",(MONTH(J133)=7)*$C$20))),IF($C$19="monatlich",$C$22,IF($C$19="quartalsweise",OR(MONTH(J133)={1,4,7,10})*$C$22,IF($C$19="jährlich",(MONTH(J133)=7)*$C$22))))</f>
        <v>0</v>
      </c>
      <c r="L133" s="66">
        <f t="shared" si="71"/>
        <v>0</v>
      </c>
      <c r="M133" s="62">
        <f t="shared" si="72"/>
        <v>0</v>
      </c>
      <c r="N133" s="67">
        <f>+IF(AND($C$19="monatlich",K133&lt;$C$20),$C$20-K133,IF(AND($C$19="quartalsweise",OR(MONTH(J133)={1,4,7,10}),K133&lt;$C$20),$C$20-K133,IF(AND($C$19="jährlich",MONTH(J133)=7,K133&lt;$C$20),$C$20-K133,0)))</f>
        <v>0</v>
      </c>
      <c r="O133" s="67">
        <v>0</v>
      </c>
      <c r="P133" s="67">
        <v>0</v>
      </c>
      <c r="Q133" s="63">
        <f t="shared" si="73"/>
        <v>0</v>
      </c>
      <c r="R133" s="68">
        <f t="shared" si="23"/>
        <v>0</v>
      </c>
      <c r="S133" s="69">
        <f t="shared" si="13"/>
        <v>21605.43059045</v>
      </c>
      <c r="T133" s="68">
        <f t="shared" si="75"/>
        <v>0</v>
      </c>
      <c r="U133" s="66">
        <f t="shared" si="76"/>
        <v>-12.504160506416163</v>
      </c>
      <c r="V133" s="68">
        <f t="shared" si="77"/>
        <v>65.123900032903407</v>
      </c>
      <c r="W133" s="66">
        <f t="shared" si="78"/>
        <v>15442.355747423306</v>
      </c>
    </row>
    <row r="134" spans="2:23" outlineLevel="1">
      <c r="G134" s="12">
        <f t="shared" si="11"/>
        <v>31.326027397260273</v>
      </c>
      <c r="H134" s="4">
        <v>54</v>
      </c>
      <c r="I134" s="4">
        <f t="shared" si="70"/>
        <v>5</v>
      </c>
      <c r="J134" s="30">
        <f t="shared" si="16"/>
        <v>42339</v>
      </c>
      <c r="K134" s="62">
        <f>+IF(OR(H134&gt;60,$C$21="nein"),IF($C$19="monatlich",$C$20,IF($C$19="quartalsweise",OR(MONTH(J134)={1,4,7,10})*$C$20,IF($C$19="jährlich",(MONTH(J134)=7)*$C$20))),IF($C$19="monatlich",$C$22,IF($C$19="quartalsweise",OR(MONTH(J134)={1,4,7,10})*$C$22,IF($C$19="jährlich",(MONTH(J134)=7)*$C$22))))</f>
        <v>0</v>
      </c>
      <c r="L134" s="66">
        <f t="shared" si="71"/>
        <v>0</v>
      </c>
      <c r="M134" s="62">
        <f t="shared" si="72"/>
        <v>0</v>
      </c>
      <c r="N134" s="67">
        <f>+IF(AND($C$19="monatlich",K134&lt;$C$20),$C$20-K134,IF(AND($C$19="quartalsweise",OR(MONTH(J134)={1,4,7,10}),K134&lt;$C$20),$C$20-K134,IF(AND($C$19="jährlich",MONTH(J134)=7,K134&lt;$C$20),$C$20-K134,0)))</f>
        <v>0</v>
      </c>
      <c r="O134" s="67">
        <v>0</v>
      </c>
      <c r="P134" s="67">
        <v>0</v>
      </c>
      <c r="Q134" s="63">
        <f t="shared" si="73"/>
        <v>0</v>
      </c>
      <c r="R134" s="68">
        <f t="shared" si="23"/>
        <v>0</v>
      </c>
      <c r="S134" s="69">
        <f t="shared" si="13"/>
        <v>21605.43059045</v>
      </c>
      <c r="T134" s="68">
        <f t="shared" si="75"/>
        <v>-15.4</v>
      </c>
      <c r="U134" s="66">
        <f t="shared" si="76"/>
        <v>-12.546914044781435</v>
      </c>
      <c r="V134" s="68">
        <f t="shared" si="77"/>
        <v>65.343148947597101</v>
      </c>
      <c r="W134" s="66">
        <f t="shared" si="78"/>
        <v>15479.751982326121</v>
      </c>
    </row>
    <row r="135" spans="2:23" outlineLevel="1">
      <c r="G135" s="12">
        <f t="shared" si="11"/>
        <v>31.410958904109588</v>
      </c>
      <c r="H135" s="4">
        <v>55</v>
      </c>
      <c r="I135" s="4">
        <f t="shared" si="70"/>
        <v>5</v>
      </c>
      <c r="J135" s="30">
        <f t="shared" si="16"/>
        <v>42370</v>
      </c>
      <c r="K135" s="62">
        <f>+IF(OR(H135&gt;60,$C$21="nein"),IF($C$19="monatlich",$C$20,IF($C$19="quartalsweise",OR(MONTH(J135)={1,4,7,10})*$C$20,IF($C$19="jährlich",(MONTH(J135)=7)*$C$20))),IF($C$19="monatlich",$C$22,IF($C$19="quartalsweise",OR(MONTH(J135)={1,4,7,10})*$C$22,IF($C$19="jährlich",(MONTH(J135)=7)*$C$22))))</f>
        <v>900</v>
      </c>
      <c r="L135" s="66">
        <f t="shared" si="71"/>
        <v>-396</v>
      </c>
      <c r="M135" s="62">
        <f t="shared" si="72"/>
        <v>0</v>
      </c>
      <c r="N135" s="67">
        <f>+IF(AND($C$19="monatlich",K135&lt;$C$20),$C$20-K135,IF(AND($C$19="quartalsweise",OR(MONTH(J135)={1,4,7,10}),K135&lt;$C$20),$C$20-K135,IF(AND($C$19="jährlich",MONTH(J135)=7,K135&lt;$C$20),$C$20-K135,0)))</f>
        <v>0</v>
      </c>
      <c r="O135" s="67">
        <v>0</v>
      </c>
      <c r="P135" s="67">
        <v>0</v>
      </c>
      <c r="Q135" s="63">
        <f t="shared" si="73"/>
        <v>0</v>
      </c>
      <c r="R135" s="68">
        <f t="shared" si="23"/>
        <v>900</v>
      </c>
      <c r="S135" s="69">
        <f t="shared" si="13"/>
        <v>22505.43059045</v>
      </c>
      <c r="T135" s="68">
        <f t="shared" si="75"/>
        <v>0</v>
      </c>
      <c r="U135" s="66">
        <f t="shared" si="76"/>
        <v>-12.577298485639973</v>
      </c>
      <c r="V135" s="68">
        <f t="shared" si="77"/>
        <v>65.4989665930255</v>
      </c>
      <c r="W135" s="66">
        <f t="shared" si="78"/>
        <v>16036.673650433508</v>
      </c>
    </row>
    <row r="136" spans="2:23" outlineLevel="1">
      <c r="G136" s="12">
        <f t="shared" si="11"/>
        <v>31.495890410958904</v>
      </c>
      <c r="H136" s="4">
        <v>56</v>
      </c>
      <c r="I136" s="4">
        <f t="shared" si="70"/>
        <v>5</v>
      </c>
      <c r="J136" s="30">
        <f t="shared" si="16"/>
        <v>42401</v>
      </c>
      <c r="K136" s="62">
        <f>+IF(OR(H136&gt;60,$C$21="nein"),IF($C$19="monatlich",$C$20,IF($C$19="quartalsweise",OR(MONTH(J136)={1,4,7,10})*$C$20,IF($C$19="jährlich",(MONTH(J136)=7)*$C$20))),IF($C$19="monatlich",$C$22,IF($C$19="quartalsweise",OR(MONTH(J136)={1,4,7,10})*$C$22,IF($C$19="jährlich",(MONTH(J136)=7)*$C$22))))</f>
        <v>0</v>
      </c>
      <c r="L136" s="66">
        <f t="shared" si="71"/>
        <v>0</v>
      </c>
      <c r="M136" s="62">
        <f t="shared" si="72"/>
        <v>0</v>
      </c>
      <c r="N136" s="67">
        <f>+IF(AND($C$19="monatlich",K136&lt;$C$20),$C$20-K136,IF(AND($C$19="quartalsweise",OR(MONTH(J136)={1,4,7,10}),K136&lt;$C$20),$C$20-K136,IF(AND($C$19="jährlich",MONTH(J136)=7,K136&lt;$C$20),$C$20-K136,0)))</f>
        <v>0</v>
      </c>
      <c r="O136" s="67">
        <v>0</v>
      </c>
      <c r="P136" s="67">
        <v>0</v>
      </c>
      <c r="Q136" s="63">
        <f t="shared" si="73"/>
        <v>0</v>
      </c>
      <c r="R136" s="68">
        <f t="shared" si="23"/>
        <v>0</v>
      </c>
      <c r="S136" s="69">
        <f t="shared" si="13"/>
        <v>22505.43059045</v>
      </c>
      <c r="T136" s="68">
        <f t="shared" si="75"/>
        <v>0</v>
      </c>
      <c r="U136" s="66">
        <f t="shared" si="76"/>
        <v>-13.029797340977224</v>
      </c>
      <c r="V136" s="68">
        <f t="shared" si="77"/>
        <v>67.819473543472952</v>
      </c>
      <c r="W136" s="66">
        <f t="shared" si="78"/>
        <v>16091.463326636003</v>
      </c>
    </row>
    <row r="137" spans="2:23" outlineLevel="1">
      <c r="G137" s="12">
        <f t="shared" si="11"/>
        <v>31.575342465753426</v>
      </c>
      <c r="H137" s="4">
        <v>57</v>
      </c>
      <c r="I137" s="4">
        <f t="shared" si="70"/>
        <v>5</v>
      </c>
      <c r="J137" s="30">
        <f t="shared" si="16"/>
        <v>42430</v>
      </c>
      <c r="K137" s="62">
        <f>+IF(OR(H137&gt;60,$C$21="nein"),IF($C$19="monatlich",$C$20,IF($C$19="quartalsweise",OR(MONTH(J137)={1,4,7,10})*$C$20,IF($C$19="jährlich",(MONTH(J137)=7)*$C$20))),IF($C$19="monatlich",$C$22,IF($C$19="quartalsweise",OR(MONTH(J137)={1,4,7,10})*$C$22,IF($C$19="jährlich",(MONTH(J137)=7)*$C$22))))</f>
        <v>0</v>
      </c>
      <c r="L137" s="66">
        <f t="shared" si="71"/>
        <v>0</v>
      </c>
      <c r="M137" s="62">
        <f t="shared" si="72"/>
        <v>0</v>
      </c>
      <c r="N137" s="67">
        <f>+IF(AND($C$19="monatlich",K137&lt;$C$20),$C$20-K137,IF(AND($C$19="quartalsweise",OR(MONTH(J137)={1,4,7,10}),K137&lt;$C$20),$C$20-K137,IF(AND($C$19="jährlich",MONTH(J137)=7,K137&lt;$C$20),$C$20-K137,0)))-$C$67/100*SUM(Q119:Q127,Q129:Q131)-$C$66/100*SUM(L119:L127,L129:L131)</f>
        <v>1523.9021390724999</v>
      </c>
      <c r="O137" s="67">
        <v>0</v>
      </c>
      <c r="P137" s="67">
        <v>0</v>
      </c>
      <c r="Q137" s="63">
        <f t="shared" si="73"/>
        <v>-76.195106953625</v>
      </c>
      <c r="R137" s="68">
        <f t="shared" si="23"/>
        <v>1523.9021390724999</v>
      </c>
      <c r="S137" s="69">
        <f t="shared" si="13"/>
        <v>24029.332729522499</v>
      </c>
      <c r="T137" s="68">
        <f t="shared" si="75"/>
        <v>0</v>
      </c>
      <c r="U137" s="66">
        <f t="shared" si="76"/>
        <v>-13.074313952891751</v>
      </c>
      <c r="V137" s="68">
        <f t="shared" si="77"/>
        <v>68.047763860983352</v>
      </c>
      <c r="W137" s="66">
        <f t="shared" si="78"/>
        <v>17594.143808662968</v>
      </c>
    </row>
    <row r="138" spans="2:23" outlineLevel="1">
      <c r="G138" s="12">
        <f t="shared" si="11"/>
        <v>31.660273972602738</v>
      </c>
      <c r="H138" s="4">
        <v>58</v>
      </c>
      <c r="I138" s="4">
        <f t="shared" si="70"/>
        <v>5</v>
      </c>
      <c r="J138" s="30">
        <f t="shared" si="16"/>
        <v>42461</v>
      </c>
      <c r="K138" s="62">
        <f>+IF(OR(H138&gt;60,$C$21="nein"),IF($C$19="monatlich",$C$20,IF($C$19="quartalsweise",OR(MONTH(J138)={1,4,7,10})*$C$20,IF($C$19="jährlich",(MONTH(J138)=7)*$C$20))),IF($C$19="monatlich",$C$22,IF($C$19="quartalsweise",OR(MONTH(J138)={1,4,7,10})*$C$22,IF($C$19="jährlich",(MONTH(J138)=7)*$C$22))))</f>
        <v>900</v>
      </c>
      <c r="L138" s="66">
        <f t="shared" si="71"/>
        <v>-396</v>
      </c>
      <c r="M138" s="62">
        <f t="shared" si="72"/>
        <v>154</v>
      </c>
      <c r="N138" s="67">
        <f>+IF(AND($C$19="monatlich",K138&lt;$C$20),$C$20-K138,IF(AND($C$19="quartalsweise",OR(MONTH(J138)={1,4,7,10}),K138&lt;$C$20),$C$20-K138,IF(AND($C$19="jährlich",MONTH(J138)=7,K138&lt;$C$20),$C$20-K138,0)))</f>
        <v>0</v>
      </c>
      <c r="O138" s="67">
        <v>0</v>
      </c>
      <c r="P138" s="67">
        <v>0</v>
      </c>
      <c r="Q138" s="63">
        <f t="shared" si="73"/>
        <v>-7.7</v>
      </c>
      <c r="R138" s="68">
        <f t="shared" si="23"/>
        <v>1054</v>
      </c>
      <c r="S138" s="69">
        <f t="shared" si="13"/>
        <v>25083.332729522499</v>
      </c>
      <c r="T138" s="68">
        <f t="shared" si="75"/>
        <v>0</v>
      </c>
      <c r="U138" s="66">
        <f t="shared" si="76"/>
        <v>-14.29524184453866</v>
      </c>
      <c r="V138" s="68">
        <f t="shared" si="77"/>
        <v>74.308932536095696</v>
      </c>
      <c r="W138" s="66">
        <f t="shared" si="78"/>
        <v>18304.457499354525</v>
      </c>
    </row>
    <row r="139" spans="2:23" outlineLevel="1">
      <c r="G139" s="12">
        <f t="shared" si="11"/>
        <v>31.742465753424657</v>
      </c>
      <c r="H139" s="4">
        <v>59</v>
      </c>
      <c r="I139" s="4">
        <f t="shared" si="70"/>
        <v>5</v>
      </c>
      <c r="J139" s="30">
        <f t="shared" si="16"/>
        <v>42491</v>
      </c>
      <c r="K139" s="62">
        <f>+IF(OR(H139&gt;60,$C$21="nein"),IF($C$19="monatlich",$C$20,IF($C$19="quartalsweise",OR(MONTH(J139)={1,4,7,10})*$C$20,IF($C$19="jährlich",(MONTH(J139)=7)*$C$20))),IF($C$19="monatlich",$C$22,IF($C$19="quartalsweise",OR(MONTH(J139)={1,4,7,10})*$C$22,IF($C$19="jährlich",(MONTH(J139)=7)*$C$22))))</f>
        <v>0</v>
      </c>
      <c r="L139" s="66">
        <f t="shared" si="71"/>
        <v>0</v>
      </c>
      <c r="M139" s="62">
        <f t="shared" si="72"/>
        <v>0</v>
      </c>
      <c r="N139" s="67">
        <f>+IF(AND($C$19="monatlich",K139&lt;$C$20),$C$20-K139,IF(AND($C$19="quartalsweise",OR(MONTH(J139)={1,4,7,10}),K139&lt;$C$20),$C$20-K139,IF(AND($C$19="jährlich",MONTH(J139)=7,K139&lt;$C$20),$C$20-K139,0)))</f>
        <v>0</v>
      </c>
      <c r="O139" s="67">
        <v>0</v>
      </c>
      <c r="P139" s="67">
        <v>0</v>
      </c>
      <c r="Q139" s="63">
        <f t="shared" si="73"/>
        <v>0</v>
      </c>
      <c r="R139" s="68">
        <f t="shared" si="23"/>
        <v>0</v>
      </c>
      <c r="S139" s="69">
        <f t="shared" si="13"/>
        <v>25083.332729522499</v>
      </c>
      <c r="T139" s="68">
        <f t="shared" si="75"/>
        <v>0</v>
      </c>
      <c r="U139" s="66">
        <f t="shared" si="76"/>
        <v>-14.872371718225551</v>
      </c>
      <c r="V139" s="68">
        <f t="shared" si="77"/>
        <v>77.268572913977181</v>
      </c>
      <c r="W139" s="66">
        <f t="shared" si="78"/>
        <v>18366.853700550277</v>
      </c>
    </row>
    <row r="140" spans="2:23" outlineLevel="1">
      <c r="G140" s="13">
        <f t="shared" si="11"/>
        <v>31.827397260273973</v>
      </c>
      <c r="H140" s="6">
        <v>60</v>
      </c>
      <c r="I140" s="6">
        <f t="shared" si="70"/>
        <v>5</v>
      </c>
      <c r="J140" s="31">
        <f t="shared" si="16"/>
        <v>42522</v>
      </c>
      <c r="K140" s="62">
        <f>+IF(OR(H140&gt;60,$C$21="nein"),IF($C$19="monatlich",$C$20,IF($C$19="quartalsweise",OR(MONTH(J140)={1,4,7,10})*$C$20,IF($C$19="jährlich",(MONTH(J140)=7)*$C$20))),IF($C$19="monatlich",$C$22,IF($C$19="quartalsweise",OR(MONTH(J140)={1,4,7,10})*$C$22,IF($C$19="jährlich",(MONTH(J140)=7)*$C$22))))</f>
        <v>0</v>
      </c>
      <c r="L140" s="70">
        <f t="shared" si="71"/>
        <v>0</v>
      </c>
      <c r="M140" s="62">
        <f t="shared" si="72"/>
        <v>0</v>
      </c>
      <c r="N140" s="71">
        <f>+IF(AND($C$19="monatlich",K140&lt;$C$20),$C$20-K140,IF(AND($C$19="quartalsweise",OR(MONTH(J140)={1,4,7,10}),K140&lt;$C$20),$C$20-K140,IF(AND($C$19="jährlich",MONTH(J140)=7,K140&lt;$C$20),$C$20-K140,0)))</f>
        <v>0</v>
      </c>
      <c r="O140" s="71">
        <v>0</v>
      </c>
      <c r="P140" s="71">
        <v>0</v>
      </c>
      <c r="Q140" s="63">
        <f t="shared" si="73"/>
        <v>0</v>
      </c>
      <c r="R140" s="72">
        <f t="shared" si="23"/>
        <v>0</v>
      </c>
      <c r="S140" s="73">
        <f t="shared" si="13"/>
        <v>25083.332729522499</v>
      </c>
      <c r="T140" s="72">
        <f t="shared" si="75"/>
        <v>0</v>
      </c>
      <c r="U140" s="70">
        <f t="shared" si="76"/>
        <v>-14.923068631697099</v>
      </c>
      <c r="V140" s="72">
        <f t="shared" si="77"/>
        <v>77.528557085626147</v>
      </c>
      <c r="W140" s="70">
        <f t="shared" si="78"/>
        <v>18429.459189004203</v>
      </c>
    </row>
    <row r="141" spans="2:23" s="5" customFormat="1" ht="15">
      <c r="B141" s="17"/>
      <c r="G141" s="115">
        <f t="shared" ref="G141" si="79">+(J141-DATE(1984,8,11))/365</f>
        <v>31.827397260273973</v>
      </c>
      <c r="H141" s="116" t="str">
        <f>H129&amp;" - "&amp;H140</f>
        <v>49 - 60</v>
      </c>
      <c r="I141" s="117">
        <f t="shared" ref="I141:I159" si="80">+I128+1</f>
        <v>5</v>
      </c>
      <c r="J141" s="118">
        <f t="shared" ref="J141" si="81">+J140</f>
        <v>42522</v>
      </c>
      <c r="K141" s="119">
        <f t="shared" ref="K141:L141" si="82">SUM(K129:K140)</f>
        <v>3600</v>
      </c>
      <c r="L141" s="120">
        <f t="shared" si="82"/>
        <v>-1584</v>
      </c>
      <c r="M141" s="119">
        <f t="shared" ref="M141" si="83">SUM(M129:M140)</f>
        <v>154</v>
      </c>
      <c r="N141" s="121">
        <f t="shared" ref="N141" si="84">SUM(N129:N140)</f>
        <v>1523.9021390724999</v>
      </c>
      <c r="O141" s="121">
        <f t="shared" ref="O141" si="85">SUM(O129:O140)</f>
        <v>0</v>
      </c>
      <c r="P141" s="121">
        <f t="shared" ref="P141" si="86">SUM(P129:P140)</f>
        <v>0</v>
      </c>
      <c r="Q141" s="120">
        <f t="shared" si="66"/>
        <v>-83.895106953625003</v>
      </c>
      <c r="R141" s="119">
        <f t="shared" ref="R141" si="87">SUM(R129:R140)</f>
        <v>5277.9021390725002</v>
      </c>
      <c r="S141" s="122">
        <f t="shared" si="13"/>
        <v>25083.332729522499</v>
      </c>
      <c r="T141" s="119">
        <f t="shared" ref="T141:V141" si="88">SUM(T129:T140)</f>
        <v>-15.4</v>
      </c>
      <c r="U141" s="120">
        <f t="shared" si="88"/>
        <v>-155.38263712108915</v>
      </c>
      <c r="V141" s="119">
        <f t="shared" si="88"/>
        <v>808.83403651840581</v>
      </c>
      <c r="W141" s="123">
        <f t="shared" ref="W141" si="89">+W140</f>
        <v>18429.459189004203</v>
      </c>
    </row>
    <row r="142" spans="2:23" outlineLevel="1">
      <c r="G142" s="11">
        <f t="shared" si="11"/>
        <v>31.909589041095892</v>
      </c>
      <c r="H142" s="2">
        <v>61</v>
      </c>
      <c r="I142" s="2">
        <f t="shared" si="80"/>
        <v>6</v>
      </c>
      <c r="J142" s="29">
        <f t="shared" si="16"/>
        <v>42552</v>
      </c>
      <c r="K142" s="62">
        <f>+IF(OR(H142&gt;60,$C$21="nein"),IF($C$19="monatlich",$C$20,IF($C$19="quartalsweise",OR(MONTH(J142)={1,4,7,10})*$C$20,IF($C$19="jährlich",(MONTH(J142)=7)*$C$20))),IF($C$19="monatlich",$C$22,IF($C$19="quartalsweise",OR(MONTH(J142)={1,4,7,10})*$C$22,IF($C$19="jährlich",(MONTH(J142)=7)*$C$22))))</f>
        <v>900</v>
      </c>
      <c r="L142" s="63">
        <f t="shared" ref="L142:L153" si="90">-IF(H142&gt;60,0,IF($C$19="monatlich",$C$52,IF(AND($C$19="quartalsweise",K142&gt;0),$C$52,IF(AND($C$19="jährlich",K142&gt;0),$C$51,0))))</f>
        <v>0</v>
      </c>
      <c r="M142" s="62">
        <f t="shared" ref="M142:M153" si="91">+IF(MONTH(J142)=4,$C$25,0)</f>
        <v>0</v>
      </c>
      <c r="N142" s="64">
        <f>+IF(AND($C$19="monatlich",K142&lt;$C$20),$C$20-K142,IF(AND($C$19="quartalsweise",OR(MONTH(J142)={1,4,7,10}),K142&lt;$C$20),$C$20-K142,IF(AND($C$19="jährlich",MONTH(J142)=7,K142&lt;$C$20),$C$20-K142,0)))</f>
        <v>0</v>
      </c>
      <c r="O142" s="64">
        <v>0</v>
      </c>
      <c r="P142" s="64">
        <v>0</v>
      </c>
      <c r="Q142" s="63">
        <f t="shared" ref="Q142:Q153" si="92">-SUM(M142:P142)*$C$47/100</f>
        <v>0</v>
      </c>
      <c r="R142" s="62">
        <f t="shared" ref="R142" si="93">+SUM(K142,M142:P142)</f>
        <v>900</v>
      </c>
      <c r="S142" s="65">
        <f t="shared" ref="S142:S205" si="94">+IF(EXACT(J142,J141),S141,SUM(S141,R142))</f>
        <v>25983.332729522499</v>
      </c>
      <c r="T142" s="62">
        <f t="shared" ref="T142:T153" si="95">-IF(MONTH(J142)=12,$C$55,0)</f>
        <v>0</v>
      </c>
      <c r="U142" s="63">
        <f t="shared" ref="U142:U153" si="96">-W141*($D$43/100/12)</f>
        <v>-14.973935591065914</v>
      </c>
      <c r="V142" s="62">
        <f t="shared" ref="V142:V153" si="97">+(1+(IF($C$71="pauschal",$C$72/100/12,VLOOKUP(I141,$J$5:$L$44,3,FALSE)/100/12)*W141))</f>
        <v>77.789413287517505</v>
      </c>
      <c r="W142" s="63">
        <f t="shared" ref="W142:W153" si="98">+SUM(W141,R142,L142,Q142,T142:V142)</f>
        <v>19392.274666700658</v>
      </c>
    </row>
    <row r="143" spans="2:23" outlineLevel="1">
      <c r="G143" s="12">
        <f t="shared" si="11"/>
        <v>31.994520547945207</v>
      </c>
      <c r="H143" s="4">
        <v>62</v>
      </c>
      <c r="I143" s="4">
        <f t="shared" si="80"/>
        <v>6</v>
      </c>
      <c r="J143" s="30">
        <f t="shared" ref="J143:J205" si="99">+DATE(YEAR(J142),MONTH(J142)+1,1)</f>
        <v>42583</v>
      </c>
      <c r="K143" s="62">
        <f>+IF(OR(H143&gt;60,$C$21="nein"),IF($C$19="monatlich",$C$20,IF($C$19="quartalsweise",OR(MONTH(J143)={1,4,7,10})*$C$20,IF($C$19="jährlich",(MONTH(J143)=7)*$C$20))),IF($C$19="monatlich",$C$22,IF($C$19="quartalsweise",OR(MONTH(J143)={1,4,7,10})*$C$22,IF($C$19="jährlich",(MONTH(J143)=7)*$C$22))))</f>
        <v>0</v>
      </c>
      <c r="L143" s="66">
        <f t="shared" si="90"/>
        <v>0</v>
      </c>
      <c r="M143" s="62">
        <f t="shared" si="91"/>
        <v>0</v>
      </c>
      <c r="N143" s="67">
        <f>+IF(AND($C$19="monatlich",K143&lt;$C$20),$C$20-K143,IF(AND($C$19="quartalsweise",OR(MONTH(J143)={1,4,7,10}),K143&lt;$C$20),$C$20-K143,IF(AND($C$19="jährlich",MONTH(J143)=7,K143&lt;$C$20),$C$20-K143,0)))</f>
        <v>0</v>
      </c>
      <c r="O143" s="67">
        <v>0</v>
      </c>
      <c r="P143" s="67">
        <v>0</v>
      </c>
      <c r="Q143" s="63">
        <f t="shared" si="92"/>
        <v>0</v>
      </c>
      <c r="R143" s="68">
        <f t="shared" si="23"/>
        <v>0</v>
      </c>
      <c r="S143" s="69">
        <f t="shared" si="94"/>
        <v>25983.332729522499</v>
      </c>
      <c r="T143" s="68">
        <f t="shared" si="95"/>
        <v>0</v>
      </c>
      <c r="U143" s="66">
        <f t="shared" si="96"/>
        <v>-15.756223166694284</v>
      </c>
      <c r="V143" s="68">
        <f t="shared" si="97"/>
        <v>81.801144444586072</v>
      </c>
      <c r="W143" s="66">
        <f t="shared" si="98"/>
        <v>19458.319587978553</v>
      </c>
    </row>
    <row r="144" spans="2:23" outlineLevel="1">
      <c r="G144" s="12">
        <f t="shared" si="11"/>
        <v>32.079452054794523</v>
      </c>
      <c r="H144" s="4">
        <v>63</v>
      </c>
      <c r="I144" s="4">
        <f t="shared" si="80"/>
        <v>6</v>
      </c>
      <c r="J144" s="30">
        <f t="shared" si="99"/>
        <v>42614</v>
      </c>
      <c r="K144" s="62">
        <f>+IF(OR(H144&gt;60,$C$21="nein"),IF($C$19="monatlich",$C$20,IF($C$19="quartalsweise",OR(MONTH(J144)={1,4,7,10})*$C$20,IF($C$19="jährlich",(MONTH(J144)=7)*$C$20))),IF($C$19="monatlich",$C$22,IF($C$19="quartalsweise",OR(MONTH(J144)={1,4,7,10})*$C$22,IF($C$19="jährlich",(MONTH(J144)=7)*$C$22))))</f>
        <v>0</v>
      </c>
      <c r="L144" s="66">
        <f t="shared" si="90"/>
        <v>0</v>
      </c>
      <c r="M144" s="62">
        <f t="shared" si="91"/>
        <v>0</v>
      </c>
      <c r="N144" s="67">
        <f>+IF(AND($C$19="monatlich",K144&lt;$C$20),$C$20-K144,IF(AND($C$19="quartalsweise",OR(MONTH(J144)={1,4,7,10}),K144&lt;$C$20),$C$20-K144,IF(AND($C$19="jährlich",MONTH(J144)=7,K144&lt;$C$20),$C$20-K144,0)))</f>
        <v>0</v>
      </c>
      <c r="O144" s="67">
        <v>0</v>
      </c>
      <c r="P144" s="67">
        <v>0</v>
      </c>
      <c r="Q144" s="63">
        <f t="shared" si="92"/>
        <v>0</v>
      </c>
      <c r="R144" s="68">
        <f t="shared" si="23"/>
        <v>0</v>
      </c>
      <c r="S144" s="69">
        <f t="shared" si="94"/>
        <v>25983.332729522499</v>
      </c>
      <c r="T144" s="68">
        <f t="shared" si="95"/>
        <v>0</v>
      </c>
      <c r="U144" s="66">
        <f t="shared" si="96"/>
        <v>-15.809884665232573</v>
      </c>
      <c r="V144" s="68">
        <f t="shared" si="97"/>
        <v>82.076331616577306</v>
      </c>
      <c r="W144" s="66">
        <f t="shared" si="98"/>
        <v>19524.586034929896</v>
      </c>
    </row>
    <row r="145" spans="2:23" outlineLevel="1">
      <c r="G145" s="12">
        <f t="shared" si="11"/>
        <v>32.161643835616438</v>
      </c>
      <c r="H145" s="4">
        <v>64</v>
      </c>
      <c r="I145" s="4">
        <f t="shared" si="80"/>
        <v>6</v>
      </c>
      <c r="J145" s="30">
        <f t="shared" si="99"/>
        <v>42644</v>
      </c>
      <c r="K145" s="62">
        <f>+IF(OR(H145&gt;60,$C$21="nein"),IF($C$19="monatlich",$C$20,IF($C$19="quartalsweise",OR(MONTH(J145)={1,4,7,10})*$C$20,IF($C$19="jährlich",(MONTH(J145)=7)*$C$20))),IF($C$19="monatlich",$C$22,IF($C$19="quartalsweise",OR(MONTH(J145)={1,4,7,10})*$C$22,IF($C$19="jährlich",(MONTH(J145)=7)*$C$22))))</f>
        <v>900</v>
      </c>
      <c r="L145" s="66">
        <f t="shared" si="90"/>
        <v>0</v>
      </c>
      <c r="M145" s="62">
        <f t="shared" si="91"/>
        <v>0</v>
      </c>
      <c r="N145" s="67">
        <f>+IF(AND($C$19="monatlich",K145&lt;$C$20),$C$20-K145,IF(AND($C$19="quartalsweise",OR(MONTH(J145)={1,4,7,10}),K145&lt;$C$20),$C$20-K145,IF(AND($C$19="jährlich",MONTH(J145)=7,K145&lt;$C$20),$C$20-K145,0)))</f>
        <v>0</v>
      </c>
      <c r="O145" s="67">
        <v>0</v>
      </c>
      <c r="P145" s="67">
        <v>0</v>
      </c>
      <c r="Q145" s="63">
        <f t="shared" si="92"/>
        <v>0</v>
      </c>
      <c r="R145" s="68">
        <f t="shared" si="23"/>
        <v>900</v>
      </c>
      <c r="S145" s="69">
        <f t="shared" si="94"/>
        <v>26883.332729522499</v>
      </c>
      <c r="T145" s="68">
        <f t="shared" si="95"/>
        <v>0</v>
      </c>
      <c r="U145" s="66">
        <f t="shared" si="96"/>
        <v>-15.86372615338054</v>
      </c>
      <c r="V145" s="68">
        <f t="shared" si="97"/>
        <v>82.3524418122079</v>
      </c>
      <c r="W145" s="66">
        <f t="shared" si="98"/>
        <v>20491.074750588723</v>
      </c>
    </row>
    <row r="146" spans="2:23" outlineLevel="1">
      <c r="G146" s="12">
        <f t="shared" si="11"/>
        <v>32.246575342465754</v>
      </c>
      <c r="H146" s="4">
        <v>65</v>
      </c>
      <c r="I146" s="4">
        <f t="shared" si="80"/>
        <v>6</v>
      </c>
      <c r="J146" s="30">
        <f t="shared" si="99"/>
        <v>42675</v>
      </c>
      <c r="K146" s="62">
        <f>+IF(OR(H146&gt;60,$C$21="nein"),IF($C$19="monatlich",$C$20,IF($C$19="quartalsweise",OR(MONTH(J146)={1,4,7,10})*$C$20,IF($C$19="jährlich",(MONTH(J146)=7)*$C$20))),IF($C$19="monatlich",$C$22,IF($C$19="quartalsweise",OR(MONTH(J146)={1,4,7,10})*$C$22,IF($C$19="jährlich",(MONTH(J146)=7)*$C$22))))</f>
        <v>0</v>
      </c>
      <c r="L146" s="66">
        <f t="shared" si="90"/>
        <v>0</v>
      </c>
      <c r="M146" s="62">
        <f t="shared" si="91"/>
        <v>0</v>
      </c>
      <c r="N146" s="67">
        <f>+IF(AND($C$19="monatlich",K146&lt;$C$20),$C$20-K146,IF(AND($C$19="quartalsweise",OR(MONTH(J146)={1,4,7,10}),K146&lt;$C$20),$C$20-K146,IF(AND($C$19="jährlich",MONTH(J146)=7,K146&lt;$C$20),$C$20-K146,0)))</f>
        <v>0</v>
      </c>
      <c r="O146" s="67">
        <v>0</v>
      </c>
      <c r="P146" s="67">
        <v>0</v>
      </c>
      <c r="Q146" s="63">
        <f t="shared" si="92"/>
        <v>0</v>
      </c>
      <c r="R146" s="68">
        <f t="shared" si="23"/>
        <v>0</v>
      </c>
      <c r="S146" s="69">
        <f t="shared" si="94"/>
        <v>26883.332729522499</v>
      </c>
      <c r="T146" s="68">
        <f t="shared" si="95"/>
        <v>0</v>
      </c>
      <c r="U146" s="66">
        <f t="shared" si="96"/>
        <v>-16.648998234853337</v>
      </c>
      <c r="V146" s="68">
        <f t="shared" si="97"/>
        <v>86.379478127453012</v>
      </c>
      <c r="W146" s="66">
        <f t="shared" si="98"/>
        <v>20560.805230481321</v>
      </c>
    </row>
    <row r="147" spans="2:23" outlineLevel="1">
      <c r="G147" s="12">
        <f t="shared" ref="G147:G215" si="100">+(J147-DATE(1984,8,11))/365</f>
        <v>32.328767123287669</v>
      </c>
      <c r="H147" s="4">
        <v>66</v>
      </c>
      <c r="I147" s="4">
        <f t="shared" si="80"/>
        <v>6</v>
      </c>
      <c r="J147" s="30">
        <f t="shared" si="99"/>
        <v>42705</v>
      </c>
      <c r="K147" s="62">
        <f>+IF(OR(H147&gt;60,$C$21="nein"),IF($C$19="monatlich",$C$20,IF($C$19="quartalsweise",OR(MONTH(J147)={1,4,7,10})*$C$20,IF($C$19="jährlich",(MONTH(J147)=7)*$C$20))),IF($C$19="monatlich",$C$22,IF($C$19="quartalsweise",OR(MONTH(J147)={1,4,7,10})*$C$22,IF($C$19="jährlich",(MONTH(J147)=7)*$C$22))))</f>
        <v>0</v>
      </c>
      <c r="L147" s="66">
        <f t="shared" si="90"/>
        <v>0</v>
      </c>
      <c r="M147" s="62">
        <f t="shared" si="91"/>
        <v>0</v>
      </c>
      <c r="N147" s="67">
        <f>+IF(AND($C$19="monatlich",K147&lt;$C$20),$C$20-K147,IF(AND($C$19="quartalsweise",OR(MONTH(J147)={1,4,7,10}),K147&lt;$C$20),$C$20-K147,IF(AND($C$19="jährlich",MONTH(J147)=7,K147&lt;$C$20),$C$20-K147,0)))</f>
        <v>0</v>
      </c>
      <c r="O147" s="67">
        <v>0</v>
      </c>
      <c r="P147" s="67">
        <v>0</v>
      </c>
      <c r="Q147" s="63">
        <f t="shared" si="92"/>
        <v>0</v>
      </c>
      <c r="R147" s="68">
        <f t="shared" si="23"/>
        <v>0</v>
      </c>
      <c r="S147" s="69">
        <f t="shared" si="94"/>
        <v>26883.332729522499</v>
      </c>
      <c r="T147" s="68">
        <f t="shared" si="95"/>
        <v>-15.4</v>
      </c>
      <c r="U147" s="66">
        <f t="shared" si="96"/>
        <v>-16.705654249766074</v>
      </c>
      <c r="V147" s="68">
        <f t="shared" si="97"/>
        <v>86.670021793672163</v>
      </c>
      <c r="W147" s="66">
        <f t="shared" si="98"/>
        <v>20615.369598025223</v>
      </c>
    </row>
    <row r="148" spans="2:23" outlineLevel="1">
      <c r="G148" s="12">
        <f t="shared" si="100"/>
        <v>32.413698630136984</v>
      </c>
      <c r="H148" s="4">
        <v>67</v>
      </c>
      <c r="I148" s="4">
        <f t="shared" si="80"/>
        <v>6</v>
      </c>
      <c r="J148" s="30">
        <f t="shared" si="99"/>
        <v>42736</v>
      </c>
      <c r="K148" s="62">
        <f>+IF(OR(H148&gt;60,$C$21="nein"),IF($C$19="monatlich",$C$20,IF($C$19="quartalsweise",OR(MONTH(J148)={1,4,7,10})*$C$20,IF($C$19="jährlich",(MONTH(J148)=7)*$C$20))),IF($C$19="monatlich",$C$22,IF($C$19="quartalsweise",OR(MONTH(J148)={1,4,7,10})*$C$22,IF($C$19="jährlich",(MONTH(J148)=7)*$C$22))))</f>
        <v>900</v>
      </c>
      <c r="L148" s="66">
        <f t="shared" si="90"/>
        <v>0</v>
      </c>
      <c r="M148" s="62">
        <f t="shared" si="91"/>
        <v>0</v>
      </c>
      <c r="N148" s="67">
        <f>+IF(AND($C$19="monatlich",K148&lt;$C$20),$C$20-K148,IF(AND($C$19="quartalsweise",OR(MONTH(J148)={1,4,7,10}),K148&lt;$C$20),$C$20-K148,IF(AND($C$19="jährlich",MONTH(J148)=7,K148&lt;$C$20),$C$20-K148,0)))</f>
        <v>0</v>
      </c>
      <c r="O148" s="67">
        <v>0</v>
      </c>
      <c r="P148" s="67">
        <v>0</v>
      </c>
      <c r="Q148" s="63">
        <f t="shared" si="92"/>
        <v>0</v>
      </c>
      <c r="R148" s="68">
        <f t="shared" si="23"/>
        <v>900</v>
      </c>
      <c r="S148" s="69">
        <f t="shared" si="94"/>
        <v>27783.332729522499</v>
      </c>
      <c r="T148" s="68">
        <f t="shared" si="95"/>
        <v>0</v>
      </c>
      <c r="U148" s="66">
        <f t="shared" si="96"/>
        <v>-16.749987798395495</v>
      </c>
      <c r="V148" s="68">
        <f t="shared" si="97"/>
        <v>86.897373325105093</v>
      </c>
      <c r="W148" s="66">
        <f t="shared" si="98"/>
        <v>21585.516983551934</v>
      </c>
    </row>
    <row r="149" spans="2:23" outlineLevel="1">
      <c r="G149" s="12">
        <f t="shared" si="100"/>
        <v>32.4986301369863</v>
      </c>
      <c r="H149" s="4">
        <v>68</v>
      </c>
      <c r="I149" s="4">
        <f t="shared" si="80"/>
        <v>6</v>
      </c>
      <c r="J149" s="30">
        <f t="shared" si="99"/>
        <v>42767</v>
      </c>
      <c r="K149" s="62">
        <f>+IF(OR(H149&gt;60,$C$21="nein"),IF($C$19="monatlich",$C$20,IF($C$19="quartalsweise",OR(MONTH(J149)={1,4,7,10})*$C$20,IF($C$19="jährlich",(MONTH(J149)=7)*$C$20))),IF($C$19="monatlich",$C$22,IF($C$19="quartalsweise",OR(MONTH(J149)={1,4,7,10})*$C$22,IF($C$19="jährlich",(MONTH(J149)=7)*$C$22))))</f>
        <v>0</v>
      </c>
      <c r="L149" s="66">
        <f t="shared" si="90"/>
        <v>0</v>
      </c>
      <c r="M149" s="62">
        <f t="shared" si="91"/>
        <v>0</v>
      </c>
      <c r="N149" s="67">
        <f>+IF(AND($C$19="monatlich",K149&lt;$C$20),$C$20-K149,IF(AND($C$19="quartalsweise",OR(MONTH(J149)={1,4,7,10}),K149&lt;$C$20),$C$20-K149,IF(AND($C$19="jährlich",MONTH(J149)=7,K149&lt;$C$20),$C$20-K149,0)))</f>
        <v>0</v>
      </c>
      <c r="O149" s="67">
        <v>0</v>
      </c>
      <c r="P149" s="67">
        <v>0</v>
      </c>
      <c r="Q149" s="63">
        <f t="shared" si="92"/>
        <v>0</v>
      </c>
      <c r="R149" s="68">
        <f t="shared" si="23"/>
        <v>0</v>
      </c>
      <c r="S149" s="69">
        <f t="shared" si="94"/>
        <v>27783.332729522499</v>
      </c>
      <c r="T149" s="68">
        <f t="shared" si="95"/>
        <v>0</v>
      </c>
      <c r="U149" s="66">
        <f t="shared" si="96"/>
        <v>-17.538232549135945</v>
      </c>
      <c r="V149" s="68">
        <f t="shared" si="97"/>
        <v>90.939654098133062</v>
      </c>
      <c r="W149" s="66">
        <f t="shared" si="98"/>
        <v>21658.918405100929</v>
      </c>
    </row>
    <row r="150" spans="2:23" outlineLevel="1">
      <c r="G150" s="12">
        <f t="shared" si="100"/>
        <v>32.575342465753423</v>
      </c>
      <c r="H150" s="4">
        <v>69</v>
      </c>
      <c r="I150" s="4">
        <f t="shared" si="80"/>
        <v>6</v>
      </c>
      <c r="J150" s="30">
        <f t="shared" si="99"/>
        <v>42795</v>
      </c>
      <c r="K150" s="62">
        <f>+IF(OR(H150&gt;60,$C$21="nein"),IF($C$19="monatlich",$C$20,IF($C$19="quartalsweise",OR(MONTH(J150)={1,4,7,10})*$C$20,IF($C$19="jährlich",(MONTH(J150)=7)*$C$20))),IF($C$19="monatlich",$C$22,IF($C$19="quartalsweise",OR(MONTH(J150)={1,4,7,10})*$C$22,IF($C$19="jährlich",(MONTH(J150)=7)*$C$22))))</f>
        <v>0</v>
      </c>
      <c r="L150" s="66">
        <f t="shared" si="90"/>
        <v>0</v>
      </c>
      <c r="M150" s="62">
        <f t="shared" si="91"/>
        <v>0</v>
      </c>
      <c r="N150" s="67">
        <f>+IF(AND($C$19="monatlich",K150&lt;$C$20),$C$20-K150,IF(AND($C$19="quartalsweise",OR(MONTH(J150)={1,4,7,10}),K150&lt;$C$20),$C$20-K150,IF(AND($C$19="jährlich",MONTH(J150)=7,K150&lt;$C$20),$C$20-K150,0)))-$C$67/100*SUM(Q132:Q140,Q142:Q144)-$C$66/100*SUM(L132:L140,L142:L144)</f>
        <v>1163.9059069536249</v>
      </c>
      <c r="O150" s="67">
        <v>0</v>
      </c>
      <c r="P150" s="67">
        <v>0</v>
      </c>
      <c r="Q150" s="63">
        <f t="shared" si="92"/>
        <v>-58.195295347681252</v>
      </c>
      <c r="R150" s="68">
        <f t="shared" si="23"/>
        <v>1163.9059069536249</v>
      </c>
      <c r="S150" s="69">
        <f t="shared" si="94"/>
        <v>28947.238636476122</v>
      </c>
      <c r="T150" s="68">
        <f t="shared" si="95"/>
        <v>0</v>
      </c>
      <c r="U150" s="66">
        <f t="shared" si="96"/>
        <v>-17.597871204144504</v>
      </c>
      <c r="V150" s="68">
        <f t="shared" si="97"/>
        <v>91.245493354587197</v>
      </c>
      <c r="W150" s="66">
        <f t="shared" si="98"/>
        <v>22838.276638857315</v>
      </c>
    </row>
    <row r="151" spans="2:23" outlineLevel="1">
      <c r="G151" s="12">
        <f t="shared" si="100"/>
        <v>32.660273972602738</v>
      </c>
      <c r="H151" s="4">
        <v>70</v>
      </c>
      <c r="I151" s="4">
        <f t="shared" si="80"/>
        <v>6</v>
      </c>
      <c r="J151" s="30">
        <f t="shared" si="99"/>
        <v>42826</v>
      </c>
      <c r="K151" s="62">
        <f>+IF(OR(H151&gt;60,$C$21="nein"),IF($C$19="monatlich",$C$20,IF($C$19="quartalsweise",OR(MONTH(J151)={1,4,7,10})*$C$20,IF($C$19="jährlich",(MONTH(J151)=7)*$C$20))),IF($C$19="monatlich",$C$22,IF($C$19="quartalsweise",OR(MONTH(J151)={1,4,7,10})*$C$22,IF($C$19="jährlich",(MONTH(J151)=7)*$C$22))))</f>
        <v>900</v>
      </c>
      <c r="L151" s="66">
        <f t="shared" si="90"/>
        <v>0</v>
      </c>
      <c r="M151" s="62">
        <f t="shared" si="91"/>
        <v>154</v>
      </c>
      <c r="N151" s="67">
        <f>+IF(AND($C$19="monatlich",K151&lt;$C$20),$C$20-K151,IF(AND($C$19="quartalsweise",OR(MONTH(J151)={1,4,7,10}),K151&lt;$C$20),$C$20-K151,IF(AND($C$19="jährlich",MONTH(J151)=7,K151&lt;$C$20),$C$20-K151,0)))</f>
        <v>0</v>
      </c>
      <c r="O151" s="67">
        <v>0</v>
      </c>
      <c r="P151" s="67">
        <v>0</v>
      </c>
      <c r="Q151" s="63">
        <f t="shared" si="92"/>
        <v>-7.7</v>
      </c>
      <c r="R151" s="68">
        <f t="shared" si="23"/>
        <v>1054</v>
      </c>
      <c r="S151" s="69">
        <f t="shared" si="94"/>
        <v>30001.238636476122</v>
      </c>
      <c r="T151" s="68">
        <f t="shared" si="95"/>
        <v>0</v>
      </c>
      <c r="U151" s="66">
        <f t="shared" si="96"/>
        <v>-18.556099769071569</v>
      </c>
      <c r="V151" s="68">
        <f t="shared" si="97"/>
        <v>96.159485995238811</v>
      </c>
      <c r="W151" s="66">
        <f t="shared" si="98"/>
        <v>23962.180025083482</v>
      </c>
    </row>
    <row r="152" spans="2:23" outlineLevel="1">
      <c r="G152" s="12">
        <f t="shared" si="100"/>
        <v>32.742465753424661</v>
      </c>
      <c r="H152" s="4">
        <v>71</v>
      </c>
      <c r="I152" s="4">
        <f t="shared" si="80"/>
        <v>6</v>
      </c>
      <c r="J152" s="30">
        <f t="shared" si="99"/>
        <v>42856</v>
      </c>
      <c r="K152" s="62">
        <f>+IF(OR(H152&gt;60,$C$21="nein"),IF($C$19="monatlich",$C$20,IF($C$19="quartalsweise",OR(MONTH(J152)={1,4,7,10})*$C$20,IF($C$19="jährlich",(MONTH(J152)=7)*$C$20))),IF($C$19="monatlich",$C$22,IF($C$19="quartalsweise",OR(MONTH(J152)={1,4,7,10})*$C$22,IF($C$19="jährlich",(MONTH(J152)=7)*$C$22))))</f>
        <v>0</v>
      </c>
      <c r="L152" s="66">
        <f t="shared" si="90"/>
        <v>0</v>
      </c>
      <c r="M152" s="62">
        <f t="shared" si="91"/>
        <v>0</v>
      </c>
      <c r="N152" s="67">
        <f>+IF(AND($C$19="monatlich",K152&lt;$C$20),$C$20-K152,IF(AND($C$19="quartalsweise",OR(MONTH(J152)={1,4,7,10}),K152&lt;$C$20),$C$20-K152,IF(AND($C$19="jährlich",MONTH(J152)=7,K152&lt;$C$20),$C$20-K152,0)))</f>
        <v>0</v>
      </c>
      <c r="O152" s="67">
        <v>0</v>
      </c>
      <c r="P152" s="67">
        <v>0</v>
      </c>
      <c r="Q152" s="63">
        <f t="shared" si="92"/>
        <v>0</v>
      </c>
      <c r="R152" s="68">
        <f t="shared" si="23"/>
        <v>0</v>
      </c>
      <c r="S152" s="69">
        <f t="shared" si="94"/>
        <v>30001.238636476122</v>
      </c>
      <c r="T152" s="68">
        <f t="shared" si="95"/>
        <v>0</v>
      </c>
      <c r="U152" s="66">
        <f t="shared" si="96"/>
        <v>-19.469271270380329</v>
      </c>
      <c r="V152" s="68">
        <f t="shared" si="97"/>
        <v>100.84241677118118</v>
      </c>
      <c r="W152" s="66">
        <f t="shared" si="98"/>
        <v>24043.553170584284</v>
      </c>
    </row>
    <row r="153" spans="2:23" outlineLevel="1">
      <c r="G153" s="13">
        <f t="shared" si="100"/>
        <v>32.827397260273976</v>
      </c>
      <c r="H153" s="6">
        <v>72</v>
      </c>
      <c r="I153" s="6">
        <f t="shared" si="80"/>
        <v>6</v>
      </c>
      <c r="J153" s="31">
        <f t="shared" si="99"/>
        <v>42887</v>
      </c>
      <c r="K153" s="62">
        <f>+IF(OR(H153&gt;60,$C$21="nein"),IF($C$19="monatlich",$C$20,IF($C$19="quartalsweise",OR(MONTH(J153)={1,4,7,10})*$C$20,IF($C$19="jährlich",(MONTH(J153)=7)*$C$20))),IF($C$19="monatlich",$C$22,IF($C$19="quartalsweise",OR(MONTH(J153)={1,4,7,10})*$C$22,IF($C$19="jährlich",(MONTH(J153)=7)*$C$22))))</f>
        <v>0</v>
      </c>
      <c r="L153" s="70">
        <f t="shared" si="90"/>
        <v>0</v>
      </c>
      <c r="M153" s="62">
        <f t="shared" si="91"/>
        <v>0</v>
      </c>
      <c r="N153" s="71">
        <f>+IF(AND($C$19="monatlich",K153&lt;$C$20),$C$20-K153,IF(AND($C$19="quartalsweise",OR(MONTH(J153)={1,4,7,10}),K153&lt;$C$20),$C$20-K153,IF(AND($C$19="jährlich",MONTH(J153)=7,K153&lt;$C$20),$C$20-K153,0)))</f>
        <v>0</v>
      </c>
      <c r="O153" s="71">
        <v>0</v>
      </c>
      <c r="P153" s="71">
        <v>0</v>
      </c>
      <c r="Q153" s="63">
        <f t="shared" si="92"/>
        <v>0</v>
      </c>
      <c r="R153" s="72">
        <f t="shared" si="23"/>
        <v>0</v>
      </c>
      <c r="S153" s="73">
        <f t="shared" si="94"/>
        <v>30001.238636476122</v>
      </c>
      <c r="T153" s="72">
        <f t="shared" si="95"/>
        <v>0</v>
      </c>
      <c r="U153" s="70">
        <f t="shared" si="96"/>
        <v>-19.535386951099731</v>
      </c>
      <c r="V153" s="72">
        <f t="shared" si="97"/>
        <v>101.18147154410119</v>
      </c>
      <c r="W153" s="70">
        <f t="shared" si="98"/>
        <v>24125.199255177286</v>
      </c>
    </row>
    <row r="154" spans="2:23" s="5" customFormat="1" ht="15">
      <c r="B154" s="17"/>
      <c r="G154" s="115">
        <f t="shared" si="100"/>
        <v>32.827397260273976</v>
      </c>
      <c r="H154" s="116" t="str">
        <f>H142&amp;" - "&amp;H153</f>
        <v>61 - 72</v>
      </c>
      <c r="I154" s="117">
        <f t="shared" si="80"/>
        <v>6</v>
      </c>
      <c r="J154" s="118">
        <f t="shared" ref="J154" si="101">+J153</f>
        <v>42887</v>
      </c>
      <c r="K154" s="119">
        <f t="shared" ref="K154:L154" si="102">SUM(K142:K153)</f>
        <v>3600</v>
      </c>
      <c r="L154" s="120">
        <f t="shared" si="102"/>
        <v>0</v>
      </c>
      <c r="M154" s="119">
        <f t="shared" ref="M154" si="103">SUM(M142:M153)</f>
        <v>154</v>
      </c>
      <c r="N154" s="121">
        <f t="shared" ref="N154" si="104">SUM(N142:N153)</f>
        <v>1163.9059069536249</v>
      </c>
      <c r="O154" s="121">
        <f t="shared" ref="O154" si="105">SUM(O142:O153)</f>
        <v>0</v>
      </c>
      <c r="P154" s="121">
        <f t="shared" ref="P154:Q167" si="106">SUM(P142:P153)</f>
        <v>0</v>
      </c>
      <c r="Q154" s="120">
        <f t="shared" si="106"/>
        <v>-65.895295347681255</v>
      </c>
      <c r="R154" s="119">
        <f t="shared" ref="R154" si="107">SUM(R142:R153)</f>
        <v>4917.9059069536252</v>
      </c>
      <c r="S154" s="122">
        <f t="shared" si="94"/>
        <v>30001.238636476122</v>
      </c>
      <c r="T154" s="119">
        <f t="shared" ref="T154:V154" si="108">SUM(T142:T153)</f>
        <v>-15.4</v>
      </c>
      <c r="U154" s="120">
        <f t="shared" si="108"/>
        <v>-205.20527160322027</v>
      </c>
      <c r="V154" s="119">
        <f t="shared" si="108"/>
        <v>1064.3347261703605</v>
      </c>
      <c r="W154" s="123">
        <f t="shared" ref="W154" si="109">+W153</f>
        <v>24125.199255177286</v>
      </c>
    </row>
    <row r="155" spans="2:23" outlineLevel="1">
      <c r="G155" s="11">
        <f t="shared" si="100"/>
        <v>32.909589041095892</v>
      </c>
      <c r="H155" s="2">
        <v>73</v>
      </c>
      <c r="I155" s="2">
        <f t="shared" si="80"/>
        <v>7</v>
      </c>
      <c r="J155" s="29">
        <f t="shared" si="99"/>
        <v>42917</v>
      </c>
      <c r="K155" s="62">
        <f>+IF(OR(H155&gt;60,$C$21="nein"),IF($C$19="monatlich",$C$20,IF($C$19="quartalsweise",OR(MONTH(J155)={1,4,7,10})*$C$20,IF($C$19="jährlich",(MONTH(J155)=7)*$C$20))),IF($C$19="monatlich",$C$22,IF($C$19="quartalsweise",OR(MONTH(J155)={1,4,7,10})*$C$22,IF($C$19="jährlich",(MONTH(J155)=7)*$C$22))))</f>
        <v>900</v>
      </c>
      <c r="L155" s="63">
        <f t="shared" ref="L155:L166" si="110">-IF(H155&gt;60,0,IF($C$19="monatlich",$C$52,IF(AND($C$19="quartalsweise",K155&gt;0),$C$52,IF(AND($C$19="jährlich",K155&gt;0),$C$51,0))))</f>
        <v>0</v>
      </c>
      <c r="M155" s="62">
        <f t="shared" ref="M155:M166" si="111">+IF(MONTH(J155)=4,$C$25,0)</f>
        <v>0</v>
      </c>
      <c r="N155" s="64">
        <f>+IF(AND($C$19="monatlich",K155&lt;$C$20),$C$20-K155,IF(AND($C$19="quartalsweise",OR(MONTH(J155)={1,4,7,10}),K155&lt;$C$20),$C$20-K155,IF(AND($C$19="jährlich",MONTH(J155)=7,K155&lt;$C$20),$C$20-K155,0)))</f>
        <v>0</v>
      </c>
      <c r="O155" s="64">
        <v>0</v>
      </c>
      <c r="P155" s="64">
        <v>0</v>
      </c>
      <c r="Q155" s="63">
        <f t="shared" ref="Q155:Q166" si="112">-SUM(M155:P155)*$C$47/100</f>
        <v>0</v>
      </c>
      <c r="R155" s="62">
        <f t="shared" ref="R155:R218" si="113">+SUM(K155,M155:P155)</f>
        <v>900</v>
      </c>
      <c r="S155" s="65">
        <f t="shared" si="94"/>
        <v>30901.238636476122</v>
      </c>
      <c r="T155" s="62">
        <f t="shared" ref="T155:T166" si="114">-IF(MONTH(J155)=12,$C$55,0)</f>
        <v>0</v>
      </c>
      <c r="U155" s="63">
        <f t="shared" ref="U155:U166" si="115">-W154*($D$43/100/12)</f>
        <v>-19.601724394831542</v>
      </c>
      <c r="V155" s="62">
        <f t="shared" ref="V155:V166" si="116">+(1+(IF($C$71="pauschal",$C$72/100/12,VLOOKUP(I154,$J$5:$L$44,3,FALSE)/100/12)*W154))</f>
        <v>101.52166356323869</v>
      </c>
      <c r="W155" s="63">
        <f t="shared" ref="W155:W166" si="117">+SUM(W154,R155,L155,Q155,T155:V155)</f>
        <v>25107.119194345694</v>
      </c>
    </row>
    <row r="156" spans="2:23" outlineLevel="1">
      <c r="G156" s="12">
        <f t="shared" si="100"/>
        <v>32.994520547945207</v>
      </c>
      <c r="H156" s="4">
        <v>74</v>
      </c>
      <c r="I156" s="4">
        <f t="shared" si="80"/>
        <v>7</v>
      </c>
      <c r="J156" s="30">
        <f t="shared" si="99"/>
        <v>42948</v>
      </c>
      <c r="K156" s="62">
        <f>+IF(OR(H156&gt;60,$C$21="nein"),IF($C$19="monatlich",$C$20,IF($C$19="quartalsweise",OR(MONTH(J156)={1,4,7,10})*$C$20,IF($C$19="jährlich",(MONTH(J156)=7)*$C$20))),IF($C$19="monatlich",$C$22,IF($C$19="quartalsweise",OR(MONTH(J156)={1,4,7,10})*$C$22,IF($C$19="jährlich",(MONTH(J156)=7)*$C$22))))</f>
        <v>0</v>
      </c>
      <c r="L156" s="66">
        <f t="shared" si="110"/>
        <v>0</v>
      </c>
      <c r="M156" s="62">
        <f t="shared" si="111"/>
        <v>0</v>
      </c>
      <c r="N156" s="67">
        <f>+IF(AND($C$19="monatlich",K156&lt;$C$20),$C$20-K156,IF(AND($C$19="quartalsweise",OR(MONTH(J156)={1,4,7,10}),K156&lt;$C$20),$C$20-K156,IF(AND($C$19="jährlich",MONTH(J156)=7,K156&lt;$C$20),$C$20-K156,0)))</f>
        <v>0</v>
      </c>
      <c r="O156" s="67">
        <v>0</v>
      </c>
      <c r="P156" s="67">
        <v>0</v>
      </c>
      <c r="Q156" s="63">
        <f t="shared" si="112"/>
        <v>0</v>
      </c>
      <c r="R156" s="68">
        <f t="shared" si="113"/>
        <v>0</v>
      </c>
      <c r="S156" s="69">
        <f t="shared" si="94"/>
        <v>30901.238636476122</v>
      </c>
      <c r="T156" s="68">
        <f t="shared" si="114"/>
        <v>0</v>
      </c>
      <c r="U156" s="66">
        <f t="shared" si="115"/>
        <v>-20.399534345405876</v>
      </c>
      <c r="V156" s="68">
        <f t="shared" si="116"/>
        <v>105.61299664310705</v>
      </c>
      <c r="W156" s="66">
        <f t="shared" si="117"/>
        <v>25192.332656643397</v>
      </c>
    </row>
    <row r="157" spans="2:23" outlineLevel="1">
      <c r="G157" s="12">
        <f t="shared" si="100"/>
        <v>33.079452054794523</v>
      </c>
      <c r="H157" s="4">
        <v>75</v>
      </c>
      <c r="I157" s="4">
        <f t="shared" si="80"/>
        <v>7</v>
      </c>
      <c r="J157" s="30">
        <f t="shared" si="99"/>
        <v>42979</v>
      </c>
      <c r="K157" s="62">
        <f>+IF(OR(H157&gt;60,$C$21="nein"),IF($C$19="monatlich",$C$20,IF($C$19="quartalsweise",OR(MONTH(J157)={1,4,7,10})*$C$20,IF($C$19="jährlich",(MONTH(J157)=7)*$C$20))),IF($C$19="monatlich",$C$22,IF($C$19="quartalsweise",OR(MONTH(J157)={1,4,7,10})*$C$22,IF($C$19="jährlich",(MONTH(J157)=7)*$C$22))))</f>
        <v>0</v>
      </c>
      <c r="L157" s="66">
        <f t="shared" si="110"/>
        <v>0</v>
      </c>
      <c r="M157" s="62">
        <f t="shared" si="111"/>
        <v>0</v>
      </c>
      <c r="N157" s="67">
        <f>+IF(AND($C$19="monatlich",K157&lt;$C$20),$C$20-K157,IF(AND($C$19="quartalsweise",OR(MONTH(J157)={1,4,7,10}),K157&lt;$C$20),$C$20-K157,IF(AND($C$19="jährlich",MONTH(J157)=7,K157&lt;$C$20),$C$20-K157,0)))</f>
        <v>0</v>
      </c>
      <c r="O157" s="67">
        <v>0</v>
      </c>
      <c r="P157" s="67">
        <v>0</v>
      </c>
      <c r="Q157" s="63">
        <f t="shared" si="112"/>
        <v>0</v>
      </c>
      <c r="R157" s="68">
        <f t="shared" si="113"/>
        <v>0</v>
      </c>
      <c r="S157" s="69">
        <f t="shared" si="94"/>
        <v>30901.238636476122</v>
      </c>
      <c r="T157" s="68">
        <f t="shared" si="114"/>
        <v>0</v>
      </c>
      <c r="U157" s="66">
        <f t="shared" si="115"/>
        <v>-20.468770283522758</v>
      </c>
      <c r="V157" s="68">
        <f t="shared" si="116"/>
        <v>105.96805273601416</v>
      </c>
      <c r="W157" s="66">
        <f t="shared" si="117"/>
        <v>25277.83193909589</v>
      </c>
    </row>
    <row r="158" spans="2:23" outlineLevel="1">
      <c r="G158" s="12">
        <f t="shared" si="100"/>
        <v>33.161643835616438</v>
      </c>
      <c r="H158" s="4">
        <v>76</v>
      </c>
      <c r="I158" s="4">
        <f t="shared" si="80"/>
        <v>7</v>
      </c>
      <c r="J158" s="30">
        <f t="shared" si="99"/>
        <v>43009</v>
      </c>
      <c r="K158" s="62">
        <f>+IF(OR(H158&gt;60,$C$21="nein"),IF($C$19="monatlich",$C$20,IF($C$19="quartalsweise",OR(MONTH(J158)={1,4,7,10})*$C$20,IF($C$19="jährlich",(MONTH(J158)=7)*$C$20))),IF($C$19="monatlich",$C$22,IF($C$19="quartalsweise",OR(MONTH(J158)={1,4,7,10})*$C$22,IF($C$19="jährlich",(MONTH(J158)=7)*$C$22))))</f>
        <v>900</v>
      </c>
      <c r="L158" s="66">
        <f t="shared" si="110"/>
        <v>0</v>
      </c>
      <c r="M158" s="62">
        <f t="shared" si="111"/>
        <v>0</v>
      </c>
      <c r="N158" s="67">
        <f>+IF(AND($C$19="monatlich",K158&lt;$C$20),$C$20-K158,IF(AND($C$19="quartalsweise",OR(MONTH(J158)={1,4,7,10}),K158&lt;$C$20),$C$20-K158,IF(AND($C$19="jährlich",MONTH(J158)=7,K158&lt;$C$20),$C$20-K158,0)))</f>
        <v>0</v>
      </c>
      <c r="O158" s="67">
        <v>0</v>
      </c>
      <c r="P158" s="67">
        <v>0</v>
      </c>
      <c r="Q158" s="63">
        <f t="shared" si="112"/>
        <v>0</v>
      </c>
      <c r="R158" s="68">
        <f t="shared" si="113"/>
        <v>900</v>
      </c>
      <c r="S158" s="69">
        <f t="shared" si="94"/>
        <v>31801.238636476122</v>
      </c>
      <c r="T158" s="68">
        <f t="shared" si="114"/>
        <v>0</v>
      </c>
      <c r="U158" s="66">
        <f t="shared" si="115"/>
        <v>-20.538238450515408</v>
      </c>
      <c r="V158" s="68">
        <f t="shared" si="116"/>
        <v>106.32429974623287</v>
      </c>
      <c r="W158" s="66">
        <f t="shared" si="117"/>
        <v>26263.618000391609</v>
      </c>
    </row>
    <row r="159" spans="2:23" outlineLevel="1">
      <c r="G159" s="12">
        <f t="shared" si="100"/>
        <v>33.246575342465754</v>
      </c>
      <c r="H159" s="4">
        <v>77</v>
      </c>
      <c r="I159" s="4">
        <f t="shared" si="80"/>
        <v>7</v>
      </c>
      <c r="J159" s="30">
        <f t="shared" si="99"/>
        <v>43040</v>
      </c>
      <c r="K159" s="62">
        <f>+IF(OR(H159&gt;60,$C$21="nein"),IF($C$19="monatlich",$C$20,IF($C$19="quartalsweise",OR(MONTH(J159)={1,4,7,10})*$C$20,IF($C$19="jährlich",(MONTH(J159)=7)*$C$20))),IF($C$19="monatlich",$C$22,IF($C$19="quartalsweise",OR(MONTH(J159)={1,4,7,10})*$C$22,IF($C$19="jährlich",(MONTH(J159)=7)*$C$22))))</f>
        <v>0</v>
      </c>
      <c r="L159" s="66">
        <f t="shared" si="110"/>
        <v>0</v>
      </c>
      <c r="M159" s="62">
        <f t="shared" si="111"/>
        <v>0</v>
      </c>
      <c r="N159" s="67">
        <f>+IF(AND($C$19="monatlich",K159&lt;$C$20),$C$20-K159,IF(AND($C$19="quartalsweise",OR(MONTH(J159)={1,4,7,10}),K159&lt;$C$20),$C$20-K159,IF(AND($C$19="jährlich",MONTH(J159)=7,K159&lt;$C$20),$C$20-K159,0)))</f>
        <v>0</v>
      </c>
      <c r="O159" s="67">
        <v>0</v>
      </c>
      <c r="P159" s="67">
        <v>0</v>
      </c>
      <c r="Q159" s="63">
        <f t="shared" si="112"/>
        <v>0</v>
      </c>
      <c r="R159" s="68">
        <f t="shared" si="113"/>
        <v>0</v>
      </c>
      <c r="S159" s="69">
        <f t="shared" si="94"/>
        <v>31801.238636476122</v>
      </c>
      <c r="T159" s="68">
        <f t="shared" si="114"/>
        <v>0</v>
      </c>
      <c r="U159" s="66">
        <f t="shared" si="115"/>
        <v>-21.339189625318181</v>
      </c>
      <c r="V159" s="68">
        <f t="shared" si="116"/>
        <v>110.43174166829837</v>
      </c>
      <c r="W159" s="66">
        <f t="shared" si="117"/>
        <v>26352.710552434586</v>
      </c>
    </row>
    <row r="160" spans="2:23" outlineLevel="1">
      <c r="G160" s="12">
        <f t="shared" si="100"/>
        <v>33.328767123287669</v>
      </c>
      <c r="H160" s="4">
        <v>78</v>
      </c>
      <c r="I160" s="4">
        <f t="shared" ref="I160:I166" si="118">+I147+1</f>
        <v>7</v>
      </c>
      <c r="J160" s="30">
        <f t="shared" si="99"/>
        <v>43070</v>
      </c>
      <c r="K160" s="62">
        <f>+IF(OR(H160&gt;60,$C$21="nein"),IF($C$19="monatlich",$C$20,IF($C$19="quartalsweise",OR(MONTH(J160)={1,4,7,10})*$C$20,IF($C$19="jährlich",(MONTH(J160)=7)*$C$20))),IF($C$19="monatlich",$C$22,IF($C$19="quartalsweise",OR(MONTH(J160)={1,4,7,10})*$C$22,IF($C$19="jährlich",(MONTH(J160)=7)*$C$22))))</f>
        <v>0</v>
      </c>
      <c r="L160" s="66">
        <f t="shared" si="110"/>
        <v>0</v>
      </c>
      <c r="M160" s="62">
        <f t="shared" si="111"/>
        <v>0</v>
      </c>
      <c r="N160" s="67">
        <f>+IF(AND($C$19="monatlich",K160&lt;$C$20),$C$20-K160,IF(AND($C$19="quartalsweise",OR(MONTH(J160)={1,4,7,10}),K160&lt;$C$20),$C$20-K160,IF(AND($C$19="jährlich",MONTH(J160)=7,K160&lt;$C$20),$C$20-K160,0)))</f>
        <v>0</v>
      </c>
      <c r="O160" s="67">
        <v>0</v>
      </c>
      <c r="P160" s="67">
        <v>0</v>
      </c>
      <c r="Q160" s="63">
        <f t="shared" si="112"/>
        <v>0</v>
      </c>
      <c r="R160" s="68">
        <f t="shared" si="113"/>
        <v>0</v>
      </c>
      <c r="S160" s="69">
        <f t="shared" si="94"/>
        <v>31801.238636476122</v>
      </c>
      <c r="T160" s="68">
        <f t="shared" si="114"/>
        <v>-15.4</v>
      </c>
      <c r="U160" s="66">
        <f t="shared" si="115"/>
        <v>-21.411577323853102</v>
      </c>
      <c r="V160" s="68">
        <f t="shared" si="116"/>
        <v>110.8029606351441</v>
      </c>
      <c r="W160" s="66">
        <f t="shared" si="117"/>
        <v>26426.701935745878</v>
      </c>
    </row>
    <row r="161" spans="2:23" outlineLevel="1">
      <c r="G161" s="12">
        <f t="shared" si="100"/>
        <v>33.413698630136984</v>
      </c>
      <c r="H161" s="4">
        <v>79</v>
      </c>
      <c r="I161" s="4">
        <f t="shared" si="118"/>
        <v>7</v>
      </c>
      <c r="J161" s="30">
        <f t="shared" si="99"/>
        <v>43101</v>
      </c>
      <c r="K161" s="62">
        <f>+IF(OR(H161&gt;60,$C$21="nein"),IF($C$19="monatlich",$C$20,IF($C$19="quartalsweise",OR(MONTH(J161)={1,4,7,10})*$C$20,IF($C$19="jährlich",(MONTH(J161)=7)*$C$20))),IF($C$19="monatlich",$C$22,IF($C$19="quartalsweise",OR(MONTH(J161)={1,4,7,10})*$C$22,IF($C$19="jährlich",(MONTH(J161)=7)*$C$22))))</f>
        <v>900</v>
      </c>
      <c r="L161" s="66">
        <f t="shared" si="110"/>
        <v>0</v>
      </c>
      <c r="M161" s="62">
        <f t="shared" si="111"/>
        <v>0</v>
      </c>
      <c r="N161" s="67">
        <f>+IF(AND($C$19="monatlich",K161&lt;$C$20),$C$20-K161,IF(AND($C$19="quartalsweise",OR(MONTH(J161)={1,4,7,10}),K161&lt;$C$20),$C$20-K161,IF(AND($C$19="jährlich",MONTH(J161)=7,K161&lt;$C$20),$C$20-K161,0)))</f>
        <v>0</v>
      </c>
      <c r="O161" s="67">
        <v>0</v>
      </c>
      <c r="P161" s="67">
        <v>0</v>
      </c>
      <c r="Q161" s="63">
        <f t="shared" si="112"/>
        <v>0</v>
      </c>
      <c r="R161" s="68">
        <f t="shared" si="113"/>
        <v>900</v>
      </c>
      <c r="S161" s="69">
        <f t="shared" si="94"/>
        <v>32701.238636476122</v>
      </c>
      <c r="T161" s="68">
        <f t="shared" si="114"/>
        <v>0</v>
      </c>
      <c r="U161" s="66">
        <f t="shared" si="115"/>
        <v>-21.471695322793526</v>
      </c>
      <c r="V161" s="68">
        <f t="shared" si="116"/>
        <v>111.11125806560783</v>
      </c>
      <c r="W161" s="66">
        <f t="shared" si="117"/>
        <v>27416.341498488691</v>
      </c>
    </row>
    <row r="162" spans="2:23" outlineLevel="1">
      <c r="G162" s="12">
        <f t="shared" si="100"/>
        <v>33.4986301369863</v>
      </c>
      <c r="H162" s="4">
        <v>80</v>
      </c>
      <c r="I162" s="4">
        <f t="shared" si="118"/>
        <v>7</v>
      </c>
      <c r="J162" s="30">
        <f t="shared" si="99"/>
        <v>43132</v>
      </c>
      <c r="K162" s="62">
        <f>+IF(OR(H162&gt;60,$C$21="nein"),IF($C$19="monatlich",$C$20,IF($C$19="quartalsweise",OR(MONTH(J162)={1,4,7,10})*$C$20,IF($C$19="jährlich",(MONTH(J162)=7)*$C$20))),IF($C$19="monatlich",$C$22,IF($C$19="quartalsweise",OR(MONTH(J162)={1,4,7,10})*$C$22,IF($C$19="jährlich",(MONTH(J162)=7)*$C$22))))</f>
        <v>0</v>
      </c>
      <c r="L162" s="66">
        <f t="shared" si="110"/>
        <v>0</v>
      </c>
      <c r="M162" s="62">
        <f t="shared" si="111"/>
        <v>0</v>
      </c>
      <c r="N162" s="67">
        <f>+IF(AND($C$19="monatlich",K162&lt;$C$20),$C$20-K162,IF(AND($C$19="quartalsweise",OR(MONTH(J162)={1,4,7,10}),K162&lt;$C$20),$C$20-K162,IF(AND($C$19="jährlich",MONTH(J162)=7,K162&lt;$C$20),$C$20-K162,0)))</f>
        <v>0</v>
      </c>
      <c r="O162" s="67">
        <v>0</v>
      </c>
      <c r="P162" s="67">
        <v>0</v>
      </c>
      <c r="Q162" s="63">
        <f t="shared" si="112"/>
        <v>0</v>
      </c>
      <c r="R162" s="68">
        <f t="shared" si="113"/>
        <v>0</v>
      </c>
      <c r="S162" s="69">
        <f t="shared" si="94"/>
        <v>32701.238636476122</v>
      </c>
      <c r="T162" s="68">
        <f t="shared" si="114"/>
        <v>0</v>
      </c>
      <c r="U162" s="66">
        <f t="shared" si="115"/>
        <v>-22.275777467522062</v>
      </c>
      <c r="V162" s="68">
        <f t="shared" si="116"/>
        <v>115.23475624370288</v>
      </c>
      <c r="W162" s="66">
        <f t="shared" si="117"/>
        <v>27509.300477264871</v>
      </c>
    </row>
    <row r="163" spans="2:23" outlineLevel="1">
      <c r="G163" s="12">
        <f t="shared" si="100"/>
        <v>33.575342465753423</v>
      </c>
      <c r="H163" s="4">
        <v>81</v>
      </c>
      <c r="I163" s="4">
        <f t="shared" si="118"/>
        <v>7</v>
      </c>
      <c r="J163" s="30">
        <f t="shared" si="99"/>
        <v>43160</v>
      </c>
      <c r="K163" s="62">
        <f>+IF(OR(H163&gt;60,$C$21="nein"),IF($C$19="monatlich",$C$20,IF($C$19="quartalsweise",OR(MONTH(J163)={1,4,7,10})*$C$20,IF($C$19="jährlich",(MONTH(J163)=7)*$C$20))),IF($C$19="monatlich",$C$22,IF($C$19="quartalsweise",OR(MONTH(J163)={1,4,7,10})*$C$22,IF($C$19="jährlich",(MONTH(J163)=7)*$C$22))))</f>
        <v>0</v>
      </c>
      <c r="L163" s="66">
        <f t="shared" si="110"/>
        <v>0</v>
      </c>
      <c r="M163" s="62">
        <f t="shared" si="111"/>
        <v>0</v>
      </c>
      <c r="N163" s="67">
        <f>+IF(AND($C$19="monatlich",K163&lt;$C$20),$C$20-K163,IF(AND($C$19="quartalsweise",OR(MONTH(J163)={1,4,7,10}),K163&lt;$C$20),$C$20-K163,IF(AND($C$19="jährlich",MONTH(J163)=7,K163&lt;$C$20),$C$20-K163,0)))-$C$67/100*SUM(Q145:Q153,Q155:Q157)-$C$66/100*SUM(L145:L153,L155:L157)</f>
        <v>65.895295347681255</v>
      </c>
      <c r="O163" s="67">
        <v>0</v>
      </c>
      <c r="P163" s="67">
        <v>0</v>
      </c>
      <c r="Q163" s="63">
        <f t="shared" si="112"/>
        <v>-3.2947647673840628</v>
      </c>
      <c r="R163" s="68">
        <f t="shared" si="113"/>
        <v>65.895295347681255</v>
      </c>
      <c r="S163" s="69">
        <f t="shared" si="94"/>
        <v>32767.133931823802</v>
      </c>
      <c r="T163" s="68">
        <f t="shared" si="114"/>
        <v>0</v>
      </c>
      <c r="U163" s="66">
        <f t="shared" si="115"/>
        <v>-22.351306637777707</v>
      </c>
      <c r="V163" s="68">
        <f t="shared" si="116"/>
        <v>115.62208532193696</v>
      </c>
      <c r="W163" s="66">
        <f t="shared" si="117"/>
        <v>27665.171786529329</v>
      </c>
    </row>
    <row r="164" spans="2:23" outlineLevel="1">
      <c r="G164" s="12">
        <f t="shared" si="100"/>
        <v>33.660273972602738</v>
      </c>
      <c r="H164" s="4">
        <v>82</v>
      </c>
      <c r="I164" s="4">
        <f t="shared" si="118"/>
        <v>7</v>
      </c>
      <c r="J164" s="30">
        <f t="shared" si="99"/>
        <v>43191</v>
      </c>
      <c r="K164" s="62">
        <f>+IF(OR(H164&gt;60,$C$21="nein"),IF($C$19="monatlich",$C$20,IF($C$19="quartalsweise",OR(MONTH(J164)={1,4,7,10})*$C$20,IF($C$19="jährlich",(MONTH(J164)=7)*$C$20))),IF($C$19="monatlich",$C$22,IF($C$19="quartalsweise",OR(MONTH(J164)={1,4,7,10})*$C$22,IF($C$19="jährlich",(MONTH(J164)=7)*$C$22))))</f>
        <v>900</v>
      </c>
      <c r="L164" s="66">
        <f t="shared" si="110"/>
        <v>0</v>
      </c>
      <c r="M164" s="62">
        <f t="shared" si="111"/>
        <v>154</v>
      </c>
      <c r="N164" s="67">
        <f>+IF(AND($C$19="monatlich",K164&lt;$C$20),$C$20-K164,IF(AND($C$19="quartalsweise",OR(MONTH(J164)={1,4,7,10}),K164&lt;$C$20),$C$20-K164,IF(AND($C$19="jährlich",MONTH(J164)=7,K164&lt;$C$20),$C$20-K164,0)))</f>
        <v>0</v>
      </c>
      <c r="O164" s="67">
        <v>0</v>
      </c>
      <c r="P164" s="67">
        <v>0</v>
      </c>
      <c r="Q164" s="63">
        <f t="shared" si="112"/>
        <v>-7.7</v>
      </c>
      <c r="R164" s="68">
        <f t="shared" si="113"/>
        <v>1054</v>
      </c>
      <c r="S164" s="69">
        <f t="shared" si="94"/>
        <v>33821.133931823802</v>
      </c>
      <c r="T164" s="68">
        <f t="shared" si="114"/>
        <v>0</v>
      </c>
      <c r="U164" s="66">
        <f t="shared" si="115"/>
        <v>-22.477952076555077</v>
      </c>
      <c r="V164" s="68">
        <f t="shared" si="116"/>
        <v>116.27154911053887</v>
      </c>
      <c r="W164" s="66">
        <f t="shared" si="117"/>
        <v>28805.26538356331</v>
      </c>
    </row>
    <row r="165" spans="2:23" outlineLevel="1">
      <c r="G165" s="12">
        <f t="shared" si="100"/>
        <v>33.742465753424661</v>
      </c>
      <c r="H165" s="4">
        <v>83</v>
      </c>
      <c r="I165" s="4">
        <f t="shared" si="118"/>
        <v>7</v>
      </c>
      <c r="J165" s="30">
        <f t="shared" si="99"/>
        <v>43221</v>
      </c>
      <c r="K165" s="62">
        <f>+IF(OR(H165&gt;60,$C$21="nein"),IF($C$19="monatlich",$C$20,IF($C$19="quartalsweise",OR(MONTH(J165)={1,4,7,10})*$C$20,IF($C$19="jährlich",(MONTH(J165)=7)*$C$20))),IF($C$19="monatlich",$C$22,IF($C$19="quartalsweise",OR(MONTH(J165)={1,4,7,10})*$C$22,IF($C$19="jährlich",(MONTH(J165)=7)*$C$22))))</f>
        <v>0</v>
      </c>
      <c r="L165" s="66">
        <f t="shared" si="110"/>
        <v>0</v>
      </c>
      <c r="M165" s="62">
        <f t="shared" si="111"/>
        <v>0</v>
      </c>
      <c r="N165" s="67">
        <f>+IF(AND($C$19="monatlich",K165&lt;$C$20),$C$20-K165,IF(AND($C$19="quartalsweise",OR(MONTH(J165)={1,4,7,10}),K165&lt;$C$20),$C$20-K165,IF(AND($C$19="jährlich",MONTH(J165)=7,K165&lt;$C$20),$C$20-K165,0)))</f>
        <v>0</v>
      </c>
      <c r="O165" s="67">
        <v>0</v>
      </c>
      <c r="P165" s="67">
        <v>0</v>
      </c>
      <c r="Q165" s="63">
        <f t="shared" si="112"/>
        <v>0</v>
      </c>
      <c r="R165" s="68">
        <f t="shared" si="113"/>
        <v>0</v>
      </c>
      <c r="S165" s="69">
        <f t="shared" si="94"/>
        <v>33821.133931823802</v>
      </c>
      <c r="T165" s="68">
        <f t="shared" si="114"/>
        <v>0</v>
      </c>
      <c r="U165" s="66">
        <f t="shared" si="115"/>
        <v>-23.40427812414519</v>
      </c>
      <c r="V165" s="68">
        <f t="shared" si="116"/>
        <v>121.02193909818045</v>
      </c>
      <c r="W165" s="66">
        <f t="shared" si="117"/>
        <v>28902.883044537346</v>
      </c>
    </row>
    <row r="166" spans="2:23" outlineLevel="1">
      <c r="G166" s="13">
        <f t="shared" si="100"/>
        <v>33.827397260273976</v>
      </c>
      <c r="H166" s="6">
        <v>84</v>
      </c>
      <c r="I166" s="6">
        <f t="shared" si="118"/>
        <v>7</v>
      </c>
      <c r="J166" s="31">
        <f t="shared" si="99"/>
        <v>43252</v>
      </c>
      <c r="K166" s="62">
        <f>+IF(OR(H166&gt;60,$C$21="nein"),IF($C$19="monatlich",$C$20,IF($C$19="quartalsweise",OR(MONTH(J166)={1,4,7,10})*$C$20,IF($C$19="jährlich",(MONTH(J166)=7)*$C$20))),IF($C$19="monatlich",$C$22,IF($C$19="quartalsweise",OR(MONTH(J166)={1,4,7,10})*$C$22,IF($C$19="jährlich",(MONTH(J166)=7)*$C$22))))</f>
        <v>0</v>
      </c>
      <c r="L166" s="70">
        <f t="shared" si="110"/>
        <v>0</v>
      </c>
      <c r="M166" s="62">
        <f t="shared" si="111"/>
        <v>0</v>
      </c>
      <c r="N166" s="71">
        <f>+IF(AND($C$19="monatlich",K166&lt;$C$20),$C$20-K166,IF(AND($C$19="quartalsweise",OR(MONTH(J166)={1,4,7,10}),K166&lt;$C$20),$C$20-K166,IF(AND($C$19="jährlich",MONTH(J166)=7,K166&lt;$C$20),$C$20-K166,0)))</f>
        <v>0</v>
      </c>
      <c r="O166" s="71">
        <v>0</v>
      </c>
      <c r="P166" s="71">
        <v>0</v>
      </c>
      <c r="Q166" s="63">
        <f t="shared" si="112"/>
        <v>0</v>
      </c>
      <c r="R166" s="72">
        <f t="shared" si="113"/>
        <v>0</v>
      </c>
      <c r="S166" s="73">
        <f t="shared" si="94"/>
        <v>33821.133931823802</v>
      </c>
      <c r="T166" s="72">
        <f t="shared" si="114"/>
        <v>0</v>
      </c>
      <c r="U166" s="70">
        <f t="shared" si="115"/>
        <v>-23.483592473686592</v>
      </c>
      <c r="V166" s="72">
        <f t="shared" si="116"/>
        <v>121.42867935223894</v>
      </c>
      <c r="W166" s="70">
        <f t="shared" si="117"/>
        <v>29000.828131415899</v>
      </c>
    </row>
    <row r="167" spans="2:23" s="5" customFormat="1" ht="15">
      <c r="B167" s="17"/>
      <c r="G167" s="115">
        <f t="shared" si="100"/>
        <v>33.827397260273976</v>
      </c>
      <c r="H167" s="116" t="str">
        <f>H155&amp;" - "&amp;H166</f>
        <v>73 - 84</v>
      </c>
      <c r="I167" s="117">
        <f t="shared" ref="I167:I198" si="119">+I154+1</f>
        <v>7</v>
      </c>
      <c r="J167" s="118">
        <f t="shared" ref="J167" si="120">+J166</f>
        <v>43252</v>
      </c>
      <c r="K167" s="119">
        <f t="shared" ref="K167:L167" si="121">SUM(K155:K166)</f>
        <v>3600</v>
      </c>
      <c r="L167" s="120">
        <f t="shared" si="121"/>
        <v>0</v>
      </c>
      <c r="M167" s="119">
        <f t="shared" ref="M167" si="122">SUM(M155:M166)</f>
        <v>154</v>
      </c>
      <c r="N167" s="121">
        <f t="shared" ref="N167" si="123">SUM(N155:N166)</f>
        <v>65.895295347681255</v>
      </c>
      <c r="O167" s="121">
        <f t="shared" ref="O167" si="124">SUM(O155:O166)</f>
        <v>0</v>
      </c>
      <c r="P167" s="121">
        <f t="shared" ref="P167" si="125">SUM(P155:P166)</f>
        <v>0</v>
      </c>
      <c r="Q167" s="120">
        <f t="shared" si="106"/>
        <v>-10.994764767384062</v>
      </c>
      <c r="R167" s="119">
        <f t="shared" ref="R167" si="126">SUM(R155:R166)</f>
        <v>3819.8952953476814</v>
      </c>
      <c r="S167" s="122">
        <f t="shared" si="94"/>
        <v>33821.133931823802</v>
      </c>
      <c r="T167" s="119">
        <f t="shared" ref="T167:V167" si="127">SUM(T155:T166)</f>
        <v>-15.4</v>
      </c>
      <c r="U167" s="120">
        <f t="shared" si="127"/>
        <v>-259.22363652592702</v>
      </c>
      <c r="V167" s="119">
        <f t="shared" si="127"/>
        <v>1341.3519821842413</v>
      </c>
      <c r="W167" s="123">
        <f t="shared" ref="W167" si="128">+W166</f>
        <v>29000.828131415899</v>
      </c>
    </row>
    <row r="168" spans="2:23" outlineLevel="1">
      <c r="G168" s="11">
        <f t="shared" si="100"/>
        <v>33.909589041095892</v>
      </c>
      <c r="H168" s="2">
        <v>85</v>
      </c>
      <c r="I168" s="2">
        <f t="shared" si="119"/>
        <v>8</v>
      </c>
      <c r="J168" s="29">
        <f t="shared" si="99"/>
        <v>43282</v>
      </c>
      <c r="K168" s="62">
        <f>+IF(OR(H168&gt;60,$C$21="nein"),IF($C$19="monatlich",$C$20,IF($C$19="quartalsweise",OR(MONTH(J168)={1,4,7,10})*$C$20,IF($C$19="jährlich",(MONTH(J168)=7)*$C$20))),IF($C$19="monatlich",$C$22,IF($C$19="quartalsweise",OR(MONTH(J168)={1,4,7,10})*$C$22,IF($C$19="jährlich",(MONTH(J168)=7)*$C$22))))</f>
        <v>900</v>
      </c>
      <c r="L168" s="63">
        <f t="shared" ref="L168:L179" si="129">-IF(H168&gt;60,0,IF($C$19="monatlich",$C$52,IF(AND($C$19="quartalsweise",K168&gt;0),$C$52,IF(AND($C$19="jährlich",K168&gt;0),$C$51,0))))</f>
        <v>0</v>
      </c>
      <c r="M168" s="62">
        <f t="shared" ref="M168:M179" si="130">+IF(MONTH(J168)=4,$C$25,0)</f>
        <v>0</v>
      </c>
      <c r="N168" s="64">
        <f>+IF(AND($C$19="monatlich",K168&lt;$C$20),$C$20-K168,IF(AND($C$19="quartalsweise",OR(MONTH(J168)={1,4,7,10}),K168&lt;$C$20),$C$20-K168,IF(AND($C$19="jährlich",MONTH(J168)=7,K168&lt;$C$20),$C$20-K168,0)))</f>
        <v>0</v>
      </c>
      <c r="O168" s="64">
        <v>0</v>
      </c>
      <c r="P168" s="64">
        <v>0</v>
      </c>
      <c r="Q168" s="63">
        <f t="shared" ref="Q168:Q179" si="131">-SUM(M168:P168)*$C$47/100</f>
        <v>0</v>
      </c>
      <c r="R168" s="62">
        <f t="shared" ref="R168" si="132">+SUM(K168,M168:P168)</f>
        <v>900</v>
      </c>
      <c r="S168" s="65">
        <f t="shared" si="94"/>
        <v>34721.133931823802</v>
      </c>
      <c r="T168" s="62">
        <f t="shared" ref="T168:T179" si="133">-IF(MONTH(J168)=12,$C$55,0)</f>
        <v>0</v>
      </c>
      <c r="U168" s="63">
        <f t="shared" ref="U168:U179" si="134">-W167*($D$43/100/12)</f>
        <v>-23.563172856775417</v>
      </c>
      <c r="V168" s="62">
        <f t="shared" ref="V168:V179" si="135">+(1+(IF($C$71="pauschal",$C$72/100/12,VLOOKUP(I167,$J$5:$L$44,3,FALSE)/100/12)*W167))</f>
        <v>121.83678388089957</v>
      </c>
      <c r="W168" s="63">
        <f t="shared" ref="W168:W179" si="136">+SUM(W167,R168,L168,Q168,T168:V168)</f>
        <v>29999.101742440023</v>
      </c>
    </row>
    <row r="169" spans="2:23" outlineLevel="1">
      <c r="G169" s="12">
        <f t="shared" si="100"/>
        <v>33.994520547945207</v>
      </c>
      <c r="H169" s="4">
        <v>86</v>
      </c>
      <c r="I169" s="4">
        <f t="shared" si="119"/>
        <v>8</v>
      </c>
      <c r="J169" s="30">
        <f t="shared" si="99"/>
        <v>43313</v>
      </c>
      <c r="K169" s="62">
        <f>+IF(OR(H169&gt;60,$C$21="nein"),IF($C$19="monatlich",$C$20,IF($C$19="quartalsweise",OR(MONTH(J169)={1,4,7,10})*$C$20,IF($C$19="jährlich",(MONTH(J169)=7)*$C$20))),IF($C$19="monatlich",$C$22,IF($C$19="quartalsweise",OR(MONTH(J169)={1,4,7,10})*$C$22,IF($C$19="jährlich",(MONTH(J169)=7)*$C$22))))</f>
        <v>0</v>
      </c>
      <c r="L169" s="66">
        <f t="shared" si="129"/>
        <v>0</v>
      </c>
      <c r="M169" s="62">
        <f t="shared" si="130"/>
        <v>0</v>
      </c>
      <c r="N169" s="67">
        <f>+IF(AND($C$19="monatlich",K169&lt;$C$20),$C$20-K169,IF(AND($C$19="quartalsweise",OR(MONTH(J169)={1,4,7,10}),K169&lt;$C$20),$C$20-K169,IF(AND($C$19="jährlich",MONTH(J169)=7,K169&lt;$C$20),$C$20-K169,0)))</f>
        <v>0</v>
      </c>
      <c r="O169" s="67">
        <v>0</v>
      </c>
      <c r="P169" s="67">
        <v>0</v>
      </c>
      <c r="Q169" s="63">
        <f t="shared" si="131"/>
        <v>0</v>
      </c>
      <c r="R169" s="68">
        <f t="shared" si="113"/>
        <v>0</v>
      </c>
      <c r="S169" s="69">
        <f t="shared" si="94"/>
        <v>34721.133931823802</v>
      </c>
      <c r="T169" s="68">
        <f t="shared" si="133"/>
        <v>0</v>
      </c>
      <c r="U169" s="66">
        <f t="shared" si="134"/>
        <v>-24.374270165732518</v>
      </c>
      <c r="V169" s="68">
        <f t="shared" si="135"/>
        <v>125.99625726016676</v>
      </c>
      <c r="W169" s="66">
        <f t="shared" si="136"/>
        <v>30100.723729534457</v>
      </c>
    </row>
    <row r="170" spans="2:23" outlineLevel="1">
      <c r="G170" s="12">
        <f t="shared" si="100"/>
        <v>34.079452054794523</v>
      </c>
      <c r="H170" s="4">
        <v>87</v>
      </c>
      <c r="I170" s="4">
        <f t="shared" si="119"/>
        <v>8</v>
      </c>
      <c r="J170" s="30">
        <f t="shared" si="99"/>
        <v>43344</v>
      </c>
      <c r="K170" s="62">
        <f>+IF(OR(H170&gt;60,$C$21="nein"),IF($C$19="monatlich",$C$20,IF($C$19="quartalsweise",OR(MONTH(J170)={1,4,7,10})*$C$20,IF($C$19="jährlich",(MONTH(J170)=7)*$C$20))),IF($C$19="monatlich",$C$22,IF($C$19="quartalsweise",OR(MONTH(J170)={1,4,7,10})*$C$22,IF($C$19="jährlich",(MONTH(J170)=7)*$C$22))))</f>
        <v>0</v>
      </c>
      <c r="L170" s="66">
        <f t="shared" si="129"/>
        <v>0</v>
      </c>
      <c r="M170" s="62">
        <f t="shared" si="130"/>
        <v>0</v>
      </c>
      <c r="N170" s="67">
        <f>+IF(AND($C$19="monatlich",K170&lt;$C$20),$C$20-K170,IF(AND($C$19="quartalsweise",OR(MONTH(J170)={1,4,7,10}),K170&lt;$C$20),$C$20-K170,IF(AND($C$19="jährlich",MONTH(J170)=7,K170&lt;$C$20),$C$20-K170,0)))</f>
        <v>0</v>
      </c>
      <c r="O170" s="67">
        <v>0</v>
      </c>
      <c r="P170" s="67">
        <v>0</v>
      </c>
      <c r="Q170" s="63">
        <f t="shared" si="131"/>
        <v>0</v>
      </c>
      <c r="R170" s="68">
        <f t="shared" si="113"/>
        <v>0</v>
      </c>
      <c r="S170" s="69">
        <f t="shared" si="94"/>
        <v>34721.133931823802</v>
      </c>
      <c r="T170" s="68">
        <f t="shared" si="133"/>
        <v>0</v>
      </c>
      <c r="U170" s="66">
        <f t="shared" si="134"/>
        <v>-24.456838030246743</v>
      </c>
      <c r="V170" s="68">
        <f t="shared" si="135"/>
        <v>126.41968220639357</v>
      </c>
      <c r="W170" s="66">
        <f t="shared" si="136"/>
        <v>30202.686573710602</v>
      </c>
    </row>
    <row r="171" spans="2:23" outlineLevel="1">
      <c r="G171" s="12">
        <f t="shared" si="100"/>
        <v>34.161643835616438</v>
      </c>
      <c r="H171" s="4">
        <v>88</v>
      </c>
      <c r="I171" s="4">
        <f t="shared" si="119"/>
        <v>8</v>
      </c>
      <c r="J171" s="30">
        <f t="shared" si="99"/>
        <v>43374</v>
      </c>
      <c r="K171" s="62">
        <f>+IF(OR(H171&gt;60,$C$21="nein"),IF($C$19="monatlich",$C$20,IF($C$19="quartalsweise",OR(MONTH(J171)={1,4,7,10})*$C$20,IF($C$19="jährlich",(MONTH(J171)=7)*$C$20))),IF($C$19="monatlich",$C$22,IF($C$19="quartalsweise",OR(MONTH(J171)={1,4,7,10})*$C$22,IF($C$19="jährlich",(MONTH(J171)=7)*$C$22))))</f>
        <v>900</v>
      </c>
      <c r="L171" s="66">
        <f t="shared" si="129"/>
        <v>0</v>
      </c>
      <c r="M171" s="62">
        <f t="shared" si="130"/>
        <v>0</v>
      </c>
      <c r="N171" s="67">
        <f>+IF(AND($C$19="monatlich",K171&lt;$C$20),$C$20-K171,IF(AND($C$19="quartalsweise",OR(MONTH(J171)={1,4,7,10}),K171&lt;$C$20),$C$20-K171,IF(AND($C$19="jährlich",MONTH(J171)=7,K171&lt;$C$20),$C$20-K171,0)))</f>
        <v>0</v>
      </c>
      <c r="O171" s="67">
        <v>0</v>
      </c>
      <c r="P171" s="67">
        <v>0</v>
      </c>
      <c r="Q171" s="63">
        <f t="shared" si="131"/>
        <v>0</v>
      </c>
      <c r="R171" s="68">
        <f t="shared" si="113"/>
        <v>900</v>
      </c>
      <c r="S171" s="69">
        <f t="shared" si="94"/>
        <v>35621.133931823802</v>
      </c>
      <c r="T171" s="68">
        <f t="shared" si="133"/>
        <v>0</v>
      </c>
      <c r="U171" s="66">
        <f t="shared" si="134"/>
        <v>-24.539682841139864</v>
      </c>
      <c r="V171" s="68">
        <f t="shared" si="135"/>
        <v>126.84452739046084</v>
      </c>
      <c r="W171" s="66">
        <f t="shared" si="136"/>
        <v>31204.991418259924</v>
      </c>
    </row>
    <row r="172" spans="2:23" outlineLevel="1">
      <c r="G172" s="12">
        <f t="shared" si="100"/>
        <v>34.246575342465754</v>
      </c>
      <c r="H172" s="4">
        <v>89</v>
      </c>
      <c r="I172" s="4">
        <f t="shared" si="119"/>
        <v>8</v>
      </c>
      <c r="J172" s="30">
        <f t="shared" si="99"/>
        <v>43405</v>
      </c>
      <c r="K172" s="62">
        <f>+IF(OR(H172&gt;60,$C$21="nein"),IF($C$19="monatlich",$C$20,IF($C$19="quartalsweise",OR(MONTH(J172)={1,4,7,10})*$C$20,IF($C$19="jährlich",(MONTH(J172)=7)*$C$20))),IF($C$19="monatlich",$C$22,IF($C$19="quartalsweise",OR(MONTH(J172)={1,4,7,10})*$C$22,IF($C$19="jährlich",(MONTH(J172)=7)*$C$22))))</f>
        <v>0</v>
      </c>
      <c r="L172" s="66">
        <f t="shared" si="129"/>
        <v>0</v>
      </c>
      <c r="M172" s="62">
        <f t="shared" si="130"/>
        <v>0</v>
      </c>
      <c r="N172" s="67">
        <f>+IF(AND($C$19="monatlich",K172&lt;$C$20),$C$20-K172,IF(AND($C$19="quartalsweise",OR(MONTH(J172)={1,4,7,10}),K172&lt;$C$20),$C$20-K172,IF(AND($C$19="jährlich",MONTH(J172)=7,K172&lt;$C$20),$C$20-K172,0)))</f>
        <v>0</v>
      </c>
      <c r="O172" s="67">
        <v>0</v>
      </c>
      <c r="P172" s="67">
        <v>0</v>
      </c>
      <c r="Q172" s="63">
        <f t="shared" si="131"/>
        <v>0</v>
      </c>
      <c r="R172" s="68">
        <f t="shared" si="113"/>
        <v>0</v>
      </c>
      <c r="S172" s="69">
        <f t="shared" si="94"/>
        <v>35621.133931823802</v>
      </c>
      <c r="T172" s="68">
        <f t="shared" si="133"/>
        <v>0</v>
      </c>
      <c r="U172" s="66">
        <f t="shared" si="134"/>
        <v>-25.354055527336186</v>
      </c>
      <c r="V172" s="68">
        <f t="shared" si="135"/>
        <v>131.02079757608303</v>
      </c>
      <c r="W172" s="66">
        <f t="shared" si="136"/>
        <v>31310.658160308671</v>
      </c>
    </row>
    <row r="173" spans="2:23" outlineLevel="1">
      <c r="G173" s="12">
        <f t="shared" si="100"/>
        <v>34.328767123287669</v>
      </c>
      <c r="H173" s="4">
        <v>90</v>
      </c>
      <c r="I173" s="4">
        <f t="shared" si="119"/>
        <v>8</v>
      </c>
      <c r="J173" s="30">
        <f t="shared" si="99"/>
        <v>43435</v>
      </c>
      <c r="K173" s="62">
        <f>+IF(OR(H173&gt;60,$C$21="nein"),IF($C$19="monatlich",$C$20,IF($C$19="quartalsweise",OR(MONTH(J173)={1,4,7,10})*$C$20,IF($C$19="jährlich",(MONTH(J173)=7)*$C$20))),IF($C$19="monatlich",$C$22,IF($C$19="quartalsweise",OR(MONTH(J173)={1,4,7,10})*$C$22,IF($C$19="jährlich",(MONTH(J173)=7)*$C$22))))</f>
        <v>0</v>
      </c>
      <c r="L173" s="66">
        <f t="shared" si="129"/>
        <v>0</v>
      </c>
      <c r="M173" s="62">
        <f t="shared" si="130"/>
        <v>0</v>
      </c>
      <c r="N173" s="67">
        <f>+IF(AND($C$19="monatlich",K173&lt;$C$20),$C$20-K173,IF(AND($C$19="quartalsweise",OR(MONTH(J173)={1,4,7,10}),K173&lt;$C$20),$C$20-K173,IF(AND($C$19="jährlich",MONTH(J173)=7,K173&lt;$C$20),$C$20-K173,0)))</f>
        <v>0</v>
      </c>
      <c r="O173" s="67">
        <v>0</v>
      </c>
      <c r="P173" s="67">
        <v>0</v>
      </c>
      <c r="Q173" s="63">
        <f t="shared" si="131"/>
        <v>0</v>
      </c>
      <c r="R173" s="68">
        <f t="shared" si="113"/>
        <v>0</v>
      </c>
      <c r="S173" s="69">
        <f t="shared" si="94"/>
        <v>35621.133931823802</v>
      </c>
      <c r="T173" s="68">
        <f t="shared" si="133"/>
        <v>-15.4</v>
      </c>
      <c r="U173" s="66">
        <f t="shared" si="134"/>
        <v>-25.439909755250795</v>
      </c>
      <c r="V173" s="68">
        <f t="shared" si="135"/>
        <v>131.4610756679528</v>
      </c>
      <c r="W173" s="66">
        <f t="shared" si="136"/>
        <v>31401.279326221371</v>
      </c>
    </row>
    <row r="174" spans="2:23" outlineLevel="1">
      <c r="G174" s="12">
        <f t="shared" si="100"/>
        <v>34.413698630136984</v>
      </c>
      <c r="H174" s="4">
        <v>91</v>
      </c>
      <c r="I174" s="4">
        <f t="shared" si="119"/>
        <v>8</v>
      </c>
      <c r="J174" s="30">
        <f t="shared" si="99"/>
        <v>43466</v>
      </c>
      <c r="K174" s="62">
        <f>+IF(OR(H174&gt;60,$C$21="nein"),IF($C$19="monatlich",$C$20,IF($C$19="quartalsweise",OR(MONTH(J174)={1,4,7,10})*$C$20,IF($C$19="jährlich",(MONTH(J174)=7)*$C$20))),IF($C$19="monatlich",$C$22,IF($C$19="quartalsweise",OR(MONTH(J174)={1,4,7,10})*$C$22,IF($C$19="jährlich",(MONTH(J174)=7)*$C$22))))</f>
        <v>900</v>
      </c>
      <c r="L174" s="66">
        <f t="shared" si="129"/>
        <v>0</v>
      </c>
      <c r="M174" s="62">
        <f t="shared" si="130"/>
        <v>0</v>
      </c>
      <c r="N174" s="67">
        <f>+IF(AND($C$19="monatlich",K174&lt;$C$20),$C$20-K174,IF(AND($C$19="quartalsweise",OR(MONTH(J174)={1,4,7,10}),K174&lt;$C$20),$C$20-K174,IF(AND($C$19="jährlich",MONTH(J174)=7,K174&lt;$C$20),$C$20-K174,0)))</f>
        <v>0</v>
      </c>
      <c r="O174" s="67">
        <v>0</v>
      </c>
      <c r="P174" s="67">
        <v>0</v>
      </c>
      <c r="Q174" s="63">
        <f t="shared" si="131"/>
        <v>0</v>
      </c>
      <c r="R174" s="68">
        <f t="shared" si="113"/>
        <v>900</v>
      </c>
      <c r="S174" s="69">
        <f t="shared" si="94"/>
        <v>36521.133931823802</v>
      </c>
      <c r="T174" s="68">
        <f t="shared" si="133"/>
        <v>0</v>
      </c>
      <c r="U174" s="66">
        <f t="shared" si="134"/>
        <v>-25.513539452554863</v>
      </c>
      <c r="V174" s="68">
        <f t="shared" si="135"/>
        <v>131.83866385925572</v>
      </c>
      <c r="W174" s="66">
        <f t="shared" si="136"/>
        <v>32407.604450628074</v>
      </c>
    </row>
    <row r="175" spans="2:23" outlineLevel="1">
      <c r="G175" s="12">
        <f t="shared" si="100"/>
        <v>34.4986301369863</v>
      </c>
      <c r="H175" s="4">
        <v>92</v>
      </c>
      <c r="I175" s="4">
        <f t="shared" si="119"/>
        <v>8</v>
      </c>
      <c r="J175" s="30">
        <f t="shared" si="99"/>
        <v>43497</v>
      </c>
      <c r="K175" s="62">
        <f>+IF(OR(H175&gt;60,$C$21="nein"),IF($C$19="monatlich",$C$20,IF($C$19="quartalsweise",OR(MONTH(J175)={1,4,7,10})*$C$20,IF($C$19="jährlich",(MONTH(J175)=7)*$C$20))),IF($C$19="monatlich",$C$22,IF($C$19="quartalsweise",OR(MONTH(J175)={1,4,7,10})*$C$22,IF($C$19="jährlich",(MONTH(J175)=7)*$C$22))))</f>
        <v>0</v>
      </c>
      <c r="L175" s="66">
        <f t="shared" si="129"/>
        <v>0</v>
      </c>
      <c r="M175" s="62">
        <f t="shared" si="130"/>
        <v>0</v>
      </c>
      <c r="N175" s="67">
        <f>+IF(AND($C$19="monatlich",K175&lt;$C$20),$C$20-K175,IF(AND($C$19="quartalsweise",OR(MONTH(J175)={1,4,7,10}),K175&lt;$C$20),$C$20-K175,IF(AND($C$19="jährlich",MONTH(J175)=7,K175&lt;$C$20),$C$20-K175,0)))</f>
        <v>0</v>
      </c>
      <c r="O175" s="67">
        <v>0</v>
      </c>
      <c r="P175" s="67">
        <v>0</v>
      </c>
      <c r="Q175" s="63">
        <f t="shared" si="131"/>
        <v>0</v>
      </c>
      <c r="R175" s="68">
        <f t="shared" si="113"/>
        <v>0</v>
      </c>
      <c r="S175" s="69">
        <f t="shared" si="94"/>
        <v>36521.133931823802</v>
      </c>
      <c r="T175" s="68">
        <f t="shared" si="133"/>
        <v>0</v>
      </c>
      <c r="U175" s="66">
        <f t="shared" si="134"/>
        <v>-26.331178616135308</v>
      </c>
      <c r="V175" s="68">
        <f t="shared" si="135"/>
        <v>136.03168521095031</v>
      </c>
      <c r="W175" s="66">
        <f t="shared" si="136"/>
        <v>32517.304957222888</v>
      </c>
    </row>
    <row r="176" spans="2:23" outlineLevel="1">
      <c r="G176" s="12">
        <f t="shared" si="100"/>
        <v>34.575342465753423</v>
      </c>
      <c r="H176" s="4">
        <v>93</v>
      </c>
      <c r="I176" s="4">
        <f t="shared" si="119"/>
        <v>8</v>
      </c>
      <c r="J176" s="30">
        <f t="shared" si="99"/>
        <v>43525</v>
      </c>
      <c r="K176" s="62">
        <f>+IF(OR(H176&gt;60,$C$21="nein"),IF($C$19="monatlich",$C$20,IF($C$19="quartalsweise",OR(MONTH(J176)={1,4,7,10})*$C$20,IF($C$19="jährlich",(MONTH(J176)=7)*$C$20))),IF($C$19="monatlich",$C$22,IF($C$19="quartalsweise",OR(MONTH(J176)={1,4,7,10})*$C$22,IF($C$19="jährlich",(MONTH(J176)=7)*$C$22))))</f>
        <v>0</v>
      </c>
      <c r="L176" s="66">
        <f t="shared" si="129"/>
        <v>0</v>
      </c>
      <c r="M176" s="62">
        <f t="shared" si="130"/>
        <v>0</v>
      </c>
      <c r="N176" s="67">
        <f>+IF(AND($C$19="monatlich",K176&lt;$C$20),$C$20-K176,IF(AND($C$19="quartalsweise",OR(MONTH(J176)={1,4,7,10}),K176&lt;$C$20),$C$20-K176,IF(AND($C$19="jährlich",MONTH(J176)=7,K176&lt;$C$20),$C$20-K176,0)))-$C$67/100*SUM(Q158:Q166,Q168:Q170)-$C$66/100*SUM(L158:L166,L168:L170)</f>
        <v>10.994764767384062</v>
      </c>
      <c r="O176" s="67">
        <v>0</v>
      </c>
      <c r="P176" s="67">
        <v>0</v>
      </c>
      <c r="Q176" s="63">
        <f t="shared" si="131"/>
        <v>-0.5497382383692031</v>
      </c>
      <c r="R176" s="68">
        <f t="shared" si="113"/>
        <v>10.994764767384062</v>
      </c>
      <c r="S176" s="69">
        <f t="shared" si="94"/>
        <v>36532.128696591186</v>
      </c>
      <c r="T176" s="68">
        <f t="shared" si="133"/>
        <v>0</v>
      </c>
      <c r="U176" s="66">
        <f t="shared" si="134"/>
        <v>-26.420310277743596</v>
      </c>
      <c r="V176" s="68">
        <f t="shared" si="135"/>
        <v>136.48877065509538</v>
      </c>
      <c r="W176" s="66">
        <f t="shared" si="136"/>
        <v>32637.818444129254</v>
      </c>
    </row>
    <row r="177" spans="2:23" outlineLevel="1">
      <c r="G177" s="12">
        <f t="shared" si="100"/>
        <v>34.660273972602738</v>
      </c>
      <c r="H177" s="4">
        <v>94</v>
      </c>
      <c r="I177" s="4">
        <f t="shared" si="119"/>
        <v>8</v>
      </c>
      <c r="J177" s="30">
        <f t="shared" si="99"/>
        <v>43556</v>
      </c>
      <c r="K177" s="62">
        <f>+IF(OR(H177&gt;60,$C$21="nein"),IF($C$19="monatlich",$C$20,IF($C$19="quartalsweise",OR(MONTH(J177)={1,4,7,10})*$C$20,IF($C$19="jährlich",(MONTH(J177)=7)*$C$20))),IF($C$19="monatlich",$C$22,IF($C$19="quartalsweise",OR(MONTH(J177)={1,4,7,10})*$C$22,IF($C$19="jährlich",(MONTH(J177)=7)*$C$22))))</f>
        <v>900</v>
      </c>
      <c r="L177" s="66">
        <f t="shared" si="129"/>
        <v>0</v>
      </c>
      <c r="M177" s="62">
        <f t="shared" si="130"/>
        <v>154</v>
      </c>
      <c r="N177" s="67">
        <f>+IF(AND($C$19="monatlich",K177&lt;$C$20),$C$20-K177,IF(AND($C$19="quartalsweise",OR(MONTH(J177)={1,4,7,10}),K177&lt;$C$20),$C$20-K177,IF(AND($C$19="jährlich",MONTH(J177)=7,K177&lt;$C$20),$C$20-K177,0)))</f>
        <v>0</v>
      </c>
      <c r="O177" s="67">
        <v>0</v>
      </c>
      <c r="P177" s="67">
        <v>0</v>
      </c>
      <c r="Q177" s="63">
        <f t="shared" si="131"/>
        <v>-7.7</v>
      </c>
      <c r="R177" s="68">
        <f t="shared" si="113"/>
        <v>1054</v>
      </c>
      <c r="S177" s="69">
        <f t="shared" si="94"/>
        <v>37586.128696591186</v>
      </c>
      <c r="T177" s="68">
        <f t="shared" si="133"/>
        <v>0</v>
      </c>
      <c r="U177" s="66">
        <f t="shared" si="134"/>
        <v>-26.518227485855018</v>
      </c>
      <c r="V177" s="68">
        <f t="shared" si="135"/>
        <v>136.9909101838719</v>
      </c>
      <c r="W177" s="66">
        <f t="shared" si="136"/>
        <v>33794.591126827276</v>
      </c>
    </row>
    <row r="178" spans="2:23" outlineLevel="1">
      <c r="G178" s="12">
        <f t="shared" si="100"/>
        <v>34.742465753424661</v>
      </c>
      <c r="H178" s="4">
        <v>95</v>
      </c>
      <c r="I178" s="4">
        <f t="shared" si="119"/>
        <v>8</v>
      </c>
      <c r="J178" s="30">
        <f t="shared" si="99"/>
        <v>43586</v>
      </c>
      <c r="K178" s="62">
        <f>+IF(OR(H178&gt;60,$C$21="nein"),IF($C$19="monatlich",$C$20,IF($C$19="quartalsweise",OR(MONTH(J178)={1,4,7,10})*$C$20,IF($C$19="jährlich",(MONTH(J178)=7)*$C$20))),IF($C$19="monatlich",$C$22,IF($C$19="quartalsweise",OR(MONTH(J178)={1,4,7,10})*$C$22,IF($C$19="jährlich",(MONTH(J178)=7)*$C$22))))</f>
        <v>0</v>
      </c>
      <c r="L178" s="66">
        <f t="shared" si="129"/>
        <v>0</v>
      </c>
      <c r="M178" s="62">
        <f t="shared" si="130"/>
        <v>0</v>
      </c>
      <c r="N178" s="67">
        <f>+IF(AND($C$19="monatlich",K178&lt;$C$20),$C$20-K178,IF(AND($C$19="quartalsweise",OR(MONTH(J178)={1,4,7,10}),K178&lt;$C$20),$C$20-K178,IF(AND($C$19="jährlich",MONTH(J178)=7,K178&lt;$C$20),$C$20-K178,0)))</f>
        <v>0</v>
      </c>
      <c r="O178" s="67">
        <v>0</v>
      </c>
      <c r="P178" s="67">
        <v>0</v>
      </c>
      <c r="Q178" s="63">
        <f t="shared" si="131"/>
        <v>0</v>
      </c>
      <c r="R178" s="68">
        <f t="shared" si="113"/>
        <v>0</v>
      </c>
      <c r="S178" s="69">
        <f t="shared" si="94"/>
        <v>37586.128696591186</v>
      </c>
      <c r="T178" s="68">
        <f t="shared" si="133"/>
        <v>0</v>
      </c>
      <c r="U178" s="66">
        <f t="shared" si="134"/>
        <v>-27.458105290547159</v>
      </c>
      <c r="V178" s="68">
        <f t="shared" si="135"/>
        <v>141.81079636178032</v>
      </c>
      <c r="W178" s="66">
        <f t="shared" si="136"/>
        <v>33908.943817898507</v>
      </c>
    </row>
    <row r="179" spans="2:23" outlineLevel="1">
      <c r="G179" s="13">
        <f t="shared" si="100"/>
        <v>34.827397260273976</v>
      </c>
      <c r="H179" s="6">
        <v>96</v>
      </c>
      <c r="I179" s="6">
        <f t="shared" si="119"/>
        <v>8</v>
      </c>
      <c r="J179" s="31">
        <f t="shared" si="99"/>
        <v>43617</v>
      </c>
      <c r="K179" s="62">
        <f>+IF(OR(H179&gt;60,$C$21="nein"),IF($C$19="monatlich",$C$20,IF($C$19="quartalsweise",OR(MONTH(J179)={1,4,7,10})*$C$20,IF($C$19="jährlich",(MONTH(J179)=7)*$C$20))),IF($C$19="monatlich",$C$22,IF($C$19="quartalsweise",OR(MONTH(J179)={1,4,7,10})*$C$22,IF($C$19="jährlich",(MONTH(J179)=7)*$C$22))))</f>
        <v>0</v>
      </c>
      <c r="L179" s="70">
        <f t="shared" si="129"/>
        <v>0</v>
      </c>
      <c r="M179" s="62">
        <f t="shared" si="130"/>
        <v>0</v>
      </c>
      <c r="N179" s="71">
        <f>+IF(AND($C$19="monatlich",K179&lt;$C$20),$C$20-K179,IF(AND($C$19="quartalsweise",OR(MONTH(J179)={1,4,7,10}),K179&lt;$C$20),$C$20-K179,IF(AND($C$19="jährlich",MONTH(J179)=7,K179&lt;$C$20),$C$20-K179,0)))</f>
        <v>0</v>
      </c>
      <c r="O179" s="71">
        <v>0</v>
      </c>
      <c r="P179" s="71">
        <v>0</v>
      </c>
      <c r="Q179" s="63">
        <f t="shared" si="131"/>
        <v>0</v>
      </c>
      <c r="R179" s="72">
        <f t="shared" si="113"/>
        <v>0</v>
      </c>
      <c r="S179" s="73">
        <f t="shared" si="94"/>
        <v>37586.128696591186</v>
      </c>
      <c r="T179" s="72">
        <f t="shared" si="133"/>
        <v>0</v>
      </c>
      <c r="U179" s="70">
        <f t="shared" si="134"/>
        <v>-27.551016852042537</v>
      </c>
      <c r="V179" s="72">
        <f t="shared" si="135"/>
        <v>142.28726590791044</v>
      </c>
      <c r="W179" s="70">
        <f t="shared" si="136"/>
        <v>34023.680066954374</v>
      </c>
    </row>
    <row r="180" spans="2:23" s="5" customFormat="1" ht="15">
      <c r="B180" s="17"/>
      <c r="G180" s="115">
        <f t="shared" si="100"/>
        <v>34.827397260273976</v>
      </c>
      <c r="H180" s="116" t="str">
        <f>H168&amp;" - "&amp;H179</f>
        <v>85 - 96</v>
      </c>
      <c r="I180" s="117">
        <f t="shared" si="119"/>
        <v>8</v>
      </c>
      <c r="J180" s="118">
        <f t="shared" ref="J180" si="137">+J179</f>
        <v>43617</v>
      </c>
      <c r="K180" s="119">
        <f t="shared" ref="K180:L180" si="138">SUM(K168:K179)</f>
        <v>3600</v>
      </c>
      <c r="L180" s="120">
        <f t="shared" si="138"/>
        <v>0</v>
      </c>
      <c r="M180" s="119">
        <f t="shared" ref="M180" si="139">SUM(M168:M179)</f>
        <v>154</v>
      </c>
      <c r="N180" s="121">
        <f t="shared" ref="N180:N232" si="140">SUM(N168:N179)</f>
        <v>10.994764767384062</v>
      </c>
      <c r="O180" s="121">
        <f t="shared" ref="O180" si="141">SUM(O168:O179)</f>
        <v>0</v>
      </c>
      <c r="P180" s="121">
        <f t="shared" ref="P180:Q193" si="142">SUM(P168:P179)</f>
        <v>0</v>
      </c>
      <c r="Q180" s="120">
        <f t="shared" si="142"/>
        <v>-8.2497382383692042</v>
      </c>
      <c r="R180" s="119">
        <f t="shared" ref="R180" si="143">SUM(R168:R179)</f>
        <v>3764.9947647673839</v>
      </c>
      <c r="S180" s="122">
        <f t="shared" si="94"/>
        <v>37586.128696591186</v>
      </c>
      <c r="T180" s="119">
        <f t="shared" ref="T180:V180" si="144">SUM(T168:T179)</f>
        <v>-15.4</v>
      </c>
      <c r="U180" s="120">
        <f t="shared" si="144"/>
        <v>-307.52030715135999</v>
      </c>
      <c r="V180" s="119">
        <f t="shared" si="144"/>
        <v>1589.0272161608207</v>
      </c>
      <c r="W180" s="123">
        <f t="shared" ref="W180" si="145">+W179</f>
        <v>34023.680066954374</v>
      </c>
    </row>
    <row r="181" spans="2:23" outlineLevel="1">
      <c r="G181" s="11">
        <f t="shared" si="100"/>
        <v>34.909589041095892</v>
      </c>
      <c r="H181" s="2">
        <v>97</v>
      </c>
      <c r="I181" s="2">
        <f t="shared" si="119"/>
        <v>9</v>
      </c>
      <c r="J181" s="29">
        <f t="shared" si="99"/>
        <v>43647</v>
      </c>
      <c r="K181" s="62">
        <f>+IF(OR(H181&gt;60,$C$21="nein"),IF($C$19="monatlich",$C$20,IF($C$19="quartalsweise",OR(MONTH(J181)={1,4,7,10})*$C$20,IF($C$19="jährlich",(MONTH(J181)=7)*$C$20))),IF($C$19="monatlich",$C$22,IF($C$19="quartalsweise",OR(MONTH(J181)={1,4,7,10})*$C$22,IF($C$19="jährlich",(MONTH(J181)=7)*$C$22))))</f>
        <v>900</v>
      </c>
      <c r="L181" s="63">
        <f t="shared" ref="L181:L192" si="146">-IF(H181&gt;60,0,IF($C$19="monatlich",$C$52,IF(AND($C$19="quartalsweise",K181&gt;0),$C$52,IF(AND($C$19="jährlich",K181&gt;0),$C$51,0))))</f>
        <v>0</v>
      </c>
      <c r="M181" s="62">
        <f t="shared" ref="M181:M192" si="147">+IF(MONTH(J181)=4,$C$25,0)</f>
        <v>0</v>
      </c>
      <c r="N181" s="64">
        <f>+IF(AND($C$19="monatlich",K181&lt;$C$20),$C$20-K181,IF(AND($C$19="quartalsweise",OR(MONTH(J181)={1,4,7,10}),K181&lt;$C$20),$C$20-K181,IF(AND($C$19="jährlich",MONTH(J181)=7,K181&lt;$C$20),$C$20-K181,0)))</f>
        <v>0</v>
      </c>
      <c r="O181" s="64">
        <v>0</v>
      </c>
      <c r="P181" s="64">
        <v>0</v>
      </c>
      <c r="Q181" s="63">
        <f t="shared" ref="Q181:Q192" si="148">-SUM(M181:P181)*$C$47/100</f>
        <v>0</v>
      </c>
      <c r="R181" s="62">
        <f t="shared" ref="R181" si="149">+SUM(K181,M181:P181)</f>
        <v>900</v>
      </c>
      <c r="S181" s="65">
        <f t="shared" si="94"/>
        <v>38486.128696591186</v>
      </c>
      <c r="T181" s="62">
        <f t="shared" ref="T181:T192" si="150">-IF(MONTH(J181)=12,$C$55,0)</f>
        <v>0</v>
      </c>
      <c r="U181" s="63">
        <f t="shared" ref="U181:U192" si="151">-W180*($D$43/100/12)</f>
        <v>-27.644240054400427</v>
      </c>
      <c r="V181" s="62">
        <f t="shared" ref="V181:V192" si="152">+(1+(IF($C$71="pauschal",$C$72/100/12,VLOOKUP(I180,$J$5:$L$44,3,FALSE)/100/12)*W180))</f>
        <v>142.76533361230989</v>
      </c>
      <c r="W181" s="63">
        <f t="shared" ref="W181:W192" si="153">+SUM(W180,R181,L181,Q181,T181:V181)</f>
        <v>35038.801160512281</v>
      </c>
    </row>
    <row r="182" spans="2:23" outlineLevel="1">
      <c r="G182" s="12">
        <f t="shared" si="100"/>
        <v>34.994520547945207</v>
      </c>
      <c r="H182" s="4">
        <v>98</v>
      </c>
      <c r="I182" s="4">
        <f t="shared" si="119"/>
        <v>9</v>
      </c>
      <c r="J182" s="30">
        <f t="shared" si="99"/>
        <v>43678</v>
      </c>
      <c r="K182" s="62">
        <f>+IF(OR(H182&gt;60,$C$21="nein"),IF($C$19="monatlich",$C$20,IF($C$19="quartalsweise",OR(MONTH(J182)={1,4,7,10})*$C$20,IF($C$19="jährlich",(MONTH(J182)=7)*$C$20))),IF($C$19="monatlich",$C$22,IF($C$19="quartalsweise",OR(MONTH(J182)={1,4,7,10})*$C$22,IF($C$19="jährlich",(MONTH(J182)=7)*$C$22))))</f>
        <v>0</v>
      </c>
      <c r="L182" s="66">
        <f t="shared" si="146"/>
        <v>0</v>
      </c>
      <c r="M182" s="62">
        <f t="shared" si="147"/>
        <v>0</v>
      </c>
      <c r="N182" s="67">
        <f>+IF(AND($C$19="monatlich",K182&lt;$C$20),$C$20-K182,IF(AND($C$19="quartalsweise",OR(MONTH(J182)={1,4,7,10}),K182&lt;$C$20),$C$20-K182,IF(AND($C$19="jährlich",MONTH(J182)=7,K182&lt;$C$20),$C$20-K182,0)))</f>
        <v>0</v>
      </c>
      <c r="O182" s="67">
        <v>0</v>
      </c>
      <c r="P182" s="67">
        <v>0</v>
      </c>
      <c r="Q182" s="63">
        <f t="shared" si="148"/>
        <v>0</v>
      </c>
      <c r="R182" s="68">
        <f t="shared" si="113"/>
        <v>0</v>
      </c>
      <c r="S182" s="69">
        <f t="shared" si="94"/>
        <v>38486.128696591186</v>
      </c>
      <c r="T182" s="68">
        <f t="shared" si="150"/>
        <v>0</v>
      </c>
      <c r="U182" s="66">
        <f t="shared" si="151"/>
        <v>-28.469025942916225</v>
      </c>
      <c r="V182" s="68">
        <f t="shared" si="152"/>
        <v>146.99500483546782</v>
      </c>
      <c r="W182" s="66">
        <f t="shared" si="153"/>
        <v>35157.327139404828</v>
      </c>
    </row>
    <row r="183" spans="2:23" outlineLevel="1">
      <c r="G183" s="12">
        <f t="shared" si="100"/>
        <v>35.079452054794523</v>
      </c>
      <c r="H183" s="4">
        <v>99</v>
      </c>
      <c r="I183" s="4">
        <f t="shared" si="119"/>
        <v>9</v>
      </c>
      <c r="J183" s="30">
        <f t="shared" si="99"/>
        <v>43709</v>
      </c>
      <c r="K183" s="62">
        <f>+IF(OR(H183&gt;60,$C$21="nein"),IF($C$19="monatlich",$C$20,IF($C$19="quartalsweise",OR(MONTH(J183)={1,4,7,10})*$C$20,IF($C$19="jährlich",(MONTH(J183)=7)*$C$20))),IF($C$19="monatlich",$C$22,IF($C$19="quartalsweise",OR(MONTH(J183)={1,4,7,10})*$C$22,IF($C$19="jährlich",(MONTH(J183)=7)*$C$22))))</f>
        <v>0</v>
      </c>
      <c r="L183" s="66">
        <f t="shared" si="146"/>
        <v>0</v>
      </c>
      <c r="M183" s="62">
        <f t="shared" si="147"/>
        <v>0</v>
      </c>
      <c r="N183" s="67">
        <f>+IF(AND($C$19="monatlich",K183&lt;$C$20),$C$20-K183,IF(AND($C$19="quartalsweise",OR(MONTH(J183)={1,4,7,10}),K183&lt;$C$20),$C$20-K183,IF(AND($C$19="jährlich",MONTH(J183)=7,K183&lt;$C$20),$C$20-K183,0)))</f>
        <v>0</v>
      </c>
      <c r="O183" s="67">
        <v>0</v>
      </c>
      <c r="P183" s="67">
        <v>0</v>
      </c>
      <c r="Q183" s="63">
        <f t="shared" si="148"/>
        <v>0</v>
      </c>
      <c r="R183" s="68">
        <f t="shared" si="113"/>
        <v>0</v>
      </c>
      <c r="S183" s="69">
        <f t="shared" si="94"/>
        <v>38486.128696591186</v>
      </c>
      <c r="T183" s="68">
        <f t="shared" si="150"/>
        <v>0</v>
      </c>
      <c r="U183" s="66">
        <f t="shared" si="151"/>
        <v>-28.565328300766421</v>
      </c>
      <c r="V183" s="68">
        <f t="shared" si="152"/>
        <v>147.48886308085343</v>
      </c>
      <c r="W183" s="66">
        <f t="shared" si="153"/>
        <v>35276.250674184921</v>
      </c>
    </row>
    <row r="184" spans="2:23" outlineLevel="1">
      <c r="G184" s="12">
        <f t="shared" si="100"/>
        <v>35.161643835616438</v>
      </c>
      <c r="H184" s="4">
        <v>100</v>
      </c>
      <c r="I184" s="4">
        <f t="shared" si="119"/>
        <v>9</v>
      </c>
      <c r="J184" s="30">
        <f t="shared" si="99"/>
        <v>43739</v>
      </c>
      <c r="K184" s="62">
        <f>+IF(OR(H184&gt;60,$C$21="nein"),IF($C$19="monatlich",$C$20,IF($C$19="quartalsweise",OR(MONTH(J184)={1,4,7,10})*$C$20,IF($C$19="jährlich",(MONTH(J184)=7)*$C$20))),IF($C$19="monatlich",$C$22,IF($C$19="quartalsweise",OR(MONTH(J184)={1,4,7,10})*$C$22,IF($C$19="jährlich",(MONTH(J184)=7)*$C$22))))</f>
        <v>900</v>
      </c>
      <c r="L184" s="66">
        <f t="shared" si="146"/>
        <v>0</v>
      </c>
      <c r="M184" s="62">
        <f t="shared" si="147"/>
        <v>0</v>
      </c>
      <c r="N184" s="67">
        <f>+IF(AND($C$19="monatlich",K184&lt;$C$20),$C$20-K184,IF(AND($C$19="quartalsweise",OR(MONTH(J184)={1,4,7,10}),K184&lt;$C$20),$C$20-K184,IF(AND($C$19="jährlich",MONTH(J184)=7,K184&lt;$C$20),$C$20-K184,0)))</f>
        <v>0</v>
      </c>
      <c r="O184" s="67">
        <v>0</v>
      </c>
      <c r="P184" s="67">
        <v>0</v>
      </c>
      <c r="Q184" s="63">
        <f t="shared" si="148"/>
        <v>0</v>
      </c>
      <c r="R184" s="68">
        <f t="shared" si="113"/>
        <v>900</v>
      </c>
      <c r="S184" s="69">
        <f t="shared" si="94"/>
        <v>39386.128696591186</v>
      </c>
      <c r="T184" s="68">
        <f t="shared" si="150"/>
        <v>0</v>
      </c>
      <c r="U184" s="66">
        <f t="shared" si="151"/>
        <v>-28.661953672775248</v>
      </c>
      <c r="V184" s="68">
        <f t="shared" si="152"/>
        <v>147.98437780910385</v>
      </c>
      <c r="W184" s="66">
        <f t="shared" si="153"/>
        <v>36295.573098321249</v>
      </c>
    </row>
    <row r="185" spans="2:23" outlineLevel="1">
      <c r="G185" s="12">
        <f t="shared" si="100"/>
        <v>35.246575342465754</v>
      </c>
      <c r="H185" s="4">
        <v>101</v>
      </c>
      <c r="I185" s="4">
        <f t="shared" si="119"/>
        <v>9</v>
      </c>
      <c r="J185" s="30">
        <f t="shared" si="99"/>
        <v>43770</v>
      </c>
      <c r="K185" s="62">
        <f>+IF(OR(H185&gt;60,$C$21="nein"),IF($C$19="monatlich",$C$20,IF($C$19="quartalsweise",OR(MONTH(J185)={1,4,7,10})*$C$20,IF($C$19="jährlich",(MONTH(J185)=7)*$C$20))),IF($C$19="monatlich",$C$22,IF($C$19="quartalsweise",OR(MONTH(J185)={1,4,7,10})*$C$22,IF($C$19="jährlich",(MONTH(J185)=7)*$C$22))))</f>
        <v>0</v>
      </c>
      <c r="L185" s="66">
        <f t="shared" si="146"/>
        <v>0</v>
      </c>
      <c r="M185" s="62">
        <f t="shared" si="147"/>
        <v>0</v>
      </c>
      <c r="N185" s="67">
        <f>+IF(AND($C$19="monatlich",K185&lt;$C$20),$C$20-K185,IF(AND($C$19="quartalsweise",OR(MONTH(J185)={1,4,7,10}),K185&lt;$C$20),$C$20-K185,IF(AND($C$19="jährlich",MONTH(J185)=7,K185&lt;$C$20),$C$20-K185,0)))</f>
        <v>0</v>
      </c>
      <c r="O185" s="67">
        <v>0</v>
      </c>
      <c r="P185" s="67">
        <v>0</v>
      </c>
      <c r="Q185" s="63">
        <f t="shared" si="148"/>
        <v>0</v>
      </c>
      <c r="R185" s="68">
        <f t="shared" si="113"/>
        <v>0</v>
      </c>
      <c r="S185" s="69">
        <f t="shared" si="94"/>
        <v>39386.128696591186</v>
      </c>
      <c r="T185" s="68">
        <f t="shared" si="150"/>
        <v>0</v>
      </c>
      <c r="U185" s="66">
        <f t="shared" si="151"/>
        <v>-29.490153142386013</v>
      </c>
      <c r="V185" s="68">
        <f t="shared" si="152"/>
        <v>152.23155457633854</v>
      </c>
      <c r="W185" s="66">
        <f t="shared" si="153"/>
        <v>36418.314499755201</v>
      </c>
    </row>
    <row r="186" spans="2:23" outlineLevel="1">
      <c r="G186" s="12">
        <f t="shared" si="100"/>
        <v>35.328767123287669</v>
      </c>
      <c r="H186" s="4">
        <v>102</v>
      </c>
      <c r="I186" s="4">
        <f t="shared" si="119"/>
        <v>9</v>
      </c>
      <c r="J186" s="30">
        <f t="shared" si="99"/>
        <v>43800</v>
      </c>
      <c r="K186" s="62">
        <f>+IF(OR(H186&gt;60,$C$21="nein"),IF($C$19="monatlich",$C$20,IF($C$19="quartalsweise",OR(MONTH(J186)={1,4,7,10})*$C$20,IF($C$19="jährlich",(MONTH(J186)=7)*$C$20))),IF($C$19="monatlich",$C$22,IF($C$19="quartalsweise",OR(MONTH(J186)={1,4,7,10})*$C$22,IF($C$19="jährlich",(MONTH(J186)=7)*$C$22))))</f>
        <v>0</v>
      </c>
      <c r="L186" s="66">
        <f t="shared" si="146"/>
        <v>0</v>
      </c>
      <c r="M186" s="62">
        <f t="shared" si="147"/>
        <v>0</v>
      </c>
      <c r="N186" s="67">
        <f>+IF(AND($C$19="monatlich",K186&lt;$C$20),$C$20-K186,IF(AND($C$19="quartalsweise",OR(MONTH(J186)={1,4,7,10}),K186&lt;$C$20),$C$20-K186,IF(AND($C$19="jährlich",MONTH(J186)=7,K186&lt;$C$20),$C$20-K186,0)))</f>
        <v>0</v>
      </c>
      <c r="O186" s="67">
        <v>0</v>
      </c>
      <c r="P186" s="67">
        <v>0</v>
      </c>
      <c r="Q186" s="63">
        <f t="shared" si="148"/>
        <v>0</v>
      </c>
      <c r="R186" s="68">
        <f t="shared" si="113"/>
        <v>0</v>
      </c>
      <c r="S186" s="69">
        <f t="shared" si="94"/>
        <v>39386.128696591186</v>
      </c>
      <c r="T186" s="68">
        <f t="shared" si="150"/>
        <v>-15.4</v>
      </c>
      <c r="U186" s="66">
        <f t="shared" si="151"/>
        <v>-29.589880531051101</v>
      </c>
      <c r="V186" s="68">
        <f t="shared" si="152"/>
        <v>152.74297708231333</v>
      </c>
      <c r="W186" s="66">
        <f t="shared" si="153"/>
        <v>36526.067596306464</v>
      </c>
    </row>
    <row r="187" spans="2:23" outlineLevel="1">
      <c r="G187" s="12">
        <f t="shared" si="100"/>
        <v>35.413698630136984</v>
      </c>
      <c r="H187" s="4">
        <v>103</v>
      </c>
      <c r="I187" s="4">
        <f t="shared" si="119"/>
        <v>9</v>
      </c>
      <c r="J187" s="30">
        <f t="shared" si="99"/>
        <v>43831</v>
      </c>
      <c r="K187" s="62">
        <f>+IF(OR(H187&gt;60,$C$21="nein"),IF($C$19="monatlich",$C$20,IF($C$19="quartalsweise",OR(MONTH(J187)={1,4,7,10})*$C$20,IF($C$19="jährlich",(MONTH(J187)=7)*$C$20))),IF($C$19="monatlich",$C$22,IF($C$19="quartalsweise",OR(MONTH(J187)={1,4,7,10})*$C$22,IF($C$19="jährlich",(MONTH(J187)=7)*$C$22))))</f>
        <v>900</v>
      </c>
      <c r="L187" s="66">
        <f t="shared" si="146"/>
        <v>0</v>
      </c>
      <c r="M187" s="62">
        <f t="shared" si="147"/>
        <v>0</v>
      </c>
      <c r="N187" s="67">
        <f>+IF(AND($C$19="monatlich",K187&lt;$C$20),$C$20-K187,IF(AND($C$19="quartalsweise",OR(MONTH(J187)={1,4,7,10}),K187&lt;$C$20),$C$20-K187,IF(AND($C$19="jährlich",MONTH(J187)=7,K187&lt;$C$20),$C$20-K187,0)))</f>
        <v>0</v>
      </c>
      <c r="O187" s="67">
        <v>0</v>
      </c>
      <c r="P187" s="67">
        <v>0</v>
      </c>
      <c r="Q187" s="63">
        <f t="shared" si="148"/>
        <v>0</v>
      </c>
      <c r="R187" s="68">
        <f t="shared" si="113"/>
        <v>900</v>
      </c>
      <c r="S187" s="69">
        <f t="shared" si="94"/>
        <v>40286.128696591186</v>
      </c>
      <c r="T187" s="68">
        <f t="shared" si="150"/>
        <v>0</v>
      </c>
      <c r="U187" s="66">
        <f t="shared" si="151"/>
        <v>-29.677429921999</v>
      </c>
      <c r="V187" s="68">
        <f t="shared" si="152"/>
        <v>153.1919483179436</v>
      </c>
      <c r="W187" s="66">
        <f t="shared" si="153"/>
        <v>37549.582114702411</v>
      </c>
    </row>
    <row r="188" spans="2:23" outlineLevel="1">
      <c r="G188" s="12">
        <f t="shared" si="100"/>
        <v>35.4986301369863</v>
      </c>
      <c r="H188" s="4">
        <v>104</v>
      </c>
      <c r="I188" s="4">
        <f t="shared" si="119"/>
        <v>9</v>
      </c>
      <c r="J188" s="30">
        <f t="shared" si="99"/>
        <v>43862</v>
      </c>
      <c r="K188" s="62">
        <f>+IF(OR(H188&gt;60,$C$21="nein"),IF($C$19="monatlich",$C$20,IF($C$19="quartalsweise",OR(MONTH(J188)={1,4,7,10})*$C$20,IF($C$19="jährlich",(MONTH(J188)=7)*$C$20))),IF($C$19="monatlich",$C$22,IF($C$19="quartalsweise",OR(MONTH(J188)={1,4,7,10})*$C$22,IF($C$19="jährlich",(MONTH(J188)=7)*$C$22))))</f>
        <v>0</v>
      </c>
      <c r="L188" s="66">
        <f t="shared" si="146"/>
        <v>0</v>
      </c>
      <c r="M188" s="62">
        <f t="shared" si="147"/>
        <v>0</v>
      </c>
      <c r="N188" s="67">
        <f>+IF(AND($C$19="monatlich",K188&lt;$C$20),$C$20-K188,IF(AND($C$19="quartalsweise",OR(MONTH(J188)={1,4,7,10}),K188&lt;$C$20),$C$20-K188,IF(AND($C$19="jährlich",MONTH(J188)=7,K188&lt;$C$20),$C$20-K188,0)))</f>
        <v>0</v>
      </c>
      <c r="O188" s="67">
        <v>0</v>
      </c>
      <c r="P188" s="67">
        <v>0</v>
      </c>
      <c r="Q188" s="63">
        <f t="shared" si="148"/>
        <v>0</v>
      </c>
      <c r="R188" s="68">
        <f t="shared" si="113"/>
        <v>0</v>
      </c>
      <c r="S188" s="69">
        <f t="shared" si="94"/>
        <v>40286.128696591186</v>
      </c>
      <c r="T188" s="68">
        <f t="shared" si="150"/>
        <v>0</v>
      </c>
      <c r="U188" s="66">
        <f t="shared" si="151"/>
        <v>-30.509035468195709</v>
      </c>
      <c r="V188" s="68">
        <f t="shared" si="152"/>
        <v>157.45659214459337</v>
      </c>
      <c r="W188" s="66">
        <f t="shared" si="153"/>
        <v>37676.529671378805</v>
      </c>
    </row>
    <row r="189" spans="2:23" outlineLevel="1">
      <c r="G189" s="12">
        <f t="shared" si="100"/>
        <v>35.578082191780823</v>
      </c>
      <c r="H189" s="4">
        <v>105</v>
      </c>
      <c r="I189" s="4">
        <f t="shared" si="119"/>
        <v>9</v>
      </c>
      <c r="J189" s="30">
        <f t="shared" si="99"/>
        <v>43891</v>
      </c>
      <c r="K189" s="62">
        <f>+IF(OR(H189&gt;60,$C$21="nein"),IF($C$19="monatlich",$C$20,IF($C$19="quartalsweise",OR(MONTH(J189)={1,4,7,10})*$C$20,IF($C$19="jährlich",(MONTH(J189)=7)*$C$20))),IF($C$19="monatlich",$C$22,IF($C$19="quartalsweise",OR(MONTH(J189)={1,4,7,10})*$C$22,IF($C$19="jährlich",(MONTH(J189)=7)*$C$22))))</f>
        <v>0</v>
      </c>
      <c r="L189" s="66">
        <f t="shared" si="146"/>
        <v>0</v>
      </c>
      <c r="M189" s="62">
        <f t="shared" si="147"/>
        <v>0</v>
      </c>
      <c r="N189" s="67">
        <f>+IF(AND($C$19="monatlich",K189&lt;$C$20),$C$20-K189,IF(AND($C$19="quartalsweise",OR(MONTH(J189)={1,4,7,10}),K189&lt;$C$20),$C$20-K189,IF(AND($C$19="jährlich",MONTH(J189)=7,K189&lt;$C$20),$C$20-K189,0)))-$C$67/100*SUM(Q171:Q179,Q181:Q183)-$C$66/100*SUM(L171:L179,L181:L183)</f>
        <v>8.2497382383692042</v>
      </c>
      <c r="O189" s="67">
        <v>0</v>
      </c>
      <c r="P189" s="67">
        <v>0</v>
      </c>
      <c r="Q189" s="63">
        <f t="shared" si="148"/>
        <v>-0.41248691191846021</v>
      </c>
      <c r="R189" s="68">
        <f t="shared" si="113"/>
        <v>8.2497382383692042</v>
      </c>
      <c r="S189" s="69">
        <f t="shared" si="94"/>
        <v>40294.378434829552</v>
      </c>
      <c r="T189" s="68">
        <f t="shared" si="150"/>
        <v>0</v>
      </c>
      <c r="U189" s="66">
        <f t="shared" si="151"/>
        <v>-30.612180357995278</v>
      </c>
      <c r="V189" s="68">
        <f t="shared" si="152"/>
        <v>157.98554029741169</v>
      </c>
      <c r="W189" s="66">
        <f t="shared" si="153"/>
        <v>37811.740282644671</v>
      </c>
    </row>
    <row r="190" spans="2:23" outlineLevel="1">
      <c r="G190" s="12">
        <f t="shared" si="100"/>
        <v>35.663013698630138</v>
      </c>
      <c r="H190" s="4">
        <v>106</v>
      </c>
      <c r="I190" s="4">
        <f t="shared" si="119"/>
        <v>9</v>
      </c>
      <c r="J190" s="30">
        <f t="shared" si="99"/>
        <v>43922</v>
      </c>
      <c r="K190" s="62">
        <f>+IF(OR(H190&gt;60,$C$21="nein"),IF($C$19="monatlich",$C$20,IF($C$19="quartalsweise",OR(MONTH(J190)={1,4,7,10})*$C$20,IF($C$19="jährlich",(MONTH(J190)=7)*$C$20))),IF($C$19="monatlich",$C$22,IF($C$19="quartalsweise",OR(MONTH(J190)={1,4,7,10})*$C$22,IF($C$19="jährlich",(MONTH(J190)=7)*$C$22))))</f>
        <v>900</v>
      </c>
      <c r="L190" s="66">
        <f t="shared" si="146"/>
        <v>0</v>
      </c>
      <c r="M190" s="62">
        <f t="shared" si="147"/>
        <v>154</v>
      </c>
      <c r="N190" s="67">
        <f>+IF(AND($C$19="monatlich",K190&lt;$C$20),$C$20-K190,IF(AND($C$19="quartalsweise",OR(MONTH(J190)={1,4,7,10}),K190&lt;$C$20),$C$20-K190,IF(AND($C$19="jährlich",MONTH(J190)=7,K190&lt;$C$20),$C$20-K190,0)))</f>
        <v>0</v>
      </c>
      <c r="O190" s="67">
        <v>0</v>
      </c>
      <c r="P190" s="67">
        <v>0</v>
      </c>
      <c r="Q190" s="63">
        <f t="shared" si="148"/>
        <v>-7.7</v>
      </c>
      <c r="R190" s="68">
        <f t="shared" si="113"/>
        <v>1054</v>
      </c>
      <c r="S190" s="69">
        <f t="shared" si="94"/>
        <v>41348.378434829552</v>
      </c>
      <c r="T190" s="68">
        <f t="shared" si="150"/>
        <v>0</v>
      </c>
      <c r="U190" s="66">
        <f t="shared" si="151"/>
        <v>-30.722038979648794</v>
      </c>
      <c r="V190" s="68">
        <f t="shared" si="152"/>
        <v>158.54891784435279</v>
      </c>
      <c r="W190" s="66">
        <f t="shared" si="153"/>
        <v>38985.867161509377</v>
      </c>
    </row>
    <row r="191" spans="2:23" outlineLevel="1">
      <c r="G191" s="12">
        <f t="shared" si="100"/>
        <v>35.745205479452054</v>
      </c>
      <c r="H191" s="4">
        <v>107</v>
      </c>
      <c r="I191" s="4">
        <f t="shared" si="119"/>
        <v>9</v>
      </c>
      <c r="J191" s="30">
        <f t="shared" si="99"/>
        <v>43952</v>
      </c>
      <c r="K191" s="62">
        <f>+IF(OR(H191&gt;60,$C$21="nein"),IF($C$19="monatlich",$C$20,IF($C$19="quartalsweise",OR(MONTH(J191)={1,4,7,10})*$C$20,IF($C$19="jährlich",(MONTH(J191)=7)*$C$20))),IF($C$19="monatlich",$C$22,IF($C$19="quartalsweise",OR(MONTH(J191)={1,4,7,10})*$C$22,IF($C$19="jährlich",(MONTH(J191)=7)*$C$22))))</f>
        <v>0</v>
      </c>
      <c r="L191" s="66">
        <f t="shared" si="146"/>
        <v>0</v>
      </c>
      <c r="M191" s="62">
        <f t="shared" si="147"/>
        <v>0</v>
      </c>
      <c r="N191" s="67">
        <f>+IF(AND($C$19="monatlich",K191&lt;$C$20),$C$20-K191,IF(AND($C$19="quartalsweise",OR(MONTH(J191)={1,4,7,10}),K191&lt;$C$20),$C$20-K191,IF(AND($C$19="jährlich",MONTH(J191)=7,K191&lt;$C$20),$C$20-K191,0)))</f>
        <v>0</v>
      </c>
      <c r="O191" s="67">
        <v>0</v>
      </c>
      <c r="P191" s="67">
        <v>0</v>
      </c>
      <c r="Q191" s="63">
        <f t="shared" si="148"/>
        <v>0</v>
      </c>
      <c r="R191" s="68">
        <f t="shared" si="113"/>
        <v>0</v>
      </c>
      <c r="S191" s="69">
        <f t="shared" si="94"/>
        <v>41348.378434829552</v>
      </c>
      <c r="T191" s="68">
        <f t="shared" si="150"/>
        <v>0</v>
      </c>
      <c r="U191" s="66">
        <f t="shared" si="151"/>
        <v>-31.676017068726367</v>
      </c>
      <c r="V191" s="68">
        <f t="shared" si="152"/>
        <v>163.44111317295574</v>
      </c>
      <c r="W191" s="66">
        <f t="shared" si="153"/>
        <v>39117.632257613608</v>
      </c>
    </row>
    <row r="192" spans="2:23" outlineLevel="1">
      <c r="G192" s="13">
        <f t="shared" si="100"/>
        <v>35.830136986301369</v>
      </c>
      <c r="H192" s="6">
        <v>108</v>
      </c>
      <c r="I192" s="6">
        <f t="shared" si="119"/>
        <v>9</v>
      </c>
      <c r="J192" s="31">
        <f t="shared" si="99"/>
        <v>43983</v>
      </c>
      <c r="K192" s="62">
        <f>+IF(OR(H192&gt;60,$C$21="nein"),IF($C$19="monatlich",$C$20,IF($C$19="quartalsweise",OR(MONTH(J192)={1,4,7,10})*$C$20,IF($C$19="jährlich",(MONTH(J192)=7)*$C$20))),IF($C$19="monatlich",$C$22,IF($C$19="quartalsweise",OR(MONTH(J192)={1,4,7,10})*$C$22,IF($C$19="jährlich",(MONTH(J192)=7)*$C$22))))</f>
        <v>0</v>
      </c>
      <c r="L192" s="70">
        <f t="shared" si="146"/>
        <v>0</v>
      </c>
      <c r="M192" s="62">
        <f t="shared" si="147"/>
        <v>0</v>
      </c>
      <c r="N192" s="71">
        <f>+IF(AND($C$19="monatlich",K192&lt;$C$20),$C$20-K192,IF(AND($C$19="quartalsweise",OR(MONTH(J192)={1,4,7,10}),K192&lt;$C$20),$C$20-K192,IF(AND($C$19="jährlich",MONTH(J192)=7,K192&lt;$C$20),$C$20-K192,0)))</f>
        <v>0</v>
      </c>
      <c r="O192" s="71">
        <v>0</v>
      </c>
      <c r="P192" s="71">
        <v>0</v>
      </c>
      <c r="Q192" s="63">
        <f t="shared" si="148"/>
        <v>0</v>
      </c>
      <c r="R192" s="72">
        <f t="shared" si="113"/>
        <v>0</v>
      </c>
      <c r="S192" s="73">
        <f t="shared" si="94"/>
        <v>41348.378434829552</v>
      </c>
      <c r="T192" s="72">
        <f t="shared" si="150"/>
        <v>0</v>
      </c>
      <c r="U192" s="70">
        <f t="shared" si="151"/>
        <v>-31.783076209311055</v>
      </c>
      <c r="V192" s="72">
        <f t="shared" si="152"/>
        <v>163.99013440672337</v>
      </c>
      <c r="W192" s="70">
        <f t="shared" si="153"/>
        <v>39249.839315811019</v>
      </c>
    </row>
    <row r="193" spans="2:23" s="5" customFormat="1" ht="15">
      <c r="B193" s="17"/>
      <c r="G193" s="115">
        <f t="shared" si="100"/>
        <v>35.830136986301369</v>
      </c>
      <c r="H193" s="116" t="str">
        <f>H181&amp;" - "&amp;H192</f>
        <v>97 - 108</v>
      </c>
      <c r="I193" s="117">
        <f t="shared" si="119"/>
        <v>9</v>
      </c>
      <c r="J193" s="118">
        <f t="shared" ref="J193" si="154">+J192</f>
        <v>43983</v>
      </c>
      <c r="K193" s="119">
        <f t="shared" ref="K193:L193" si="155">SUM(K181:K192)</f>
        <v>3600</v>
      </c>
      <c r="L193" s="120">
        <f t="shared" si="155"/>
        <v>0</v>
      </c>
      <c r="M193" s="119">
        <f t="shared" ref="M193" si="156">SUM(M181:M192)</f>
        <v>154</v>
      </c>
      <c r="N193" s="121">
        <f t="shared" si="140"/>
        <v>8.2497382383692042</v>
      </c>
      <c r="O193" s="121">
        <f t="shared" ref="O193" si="157">SUM(O181:O192)</f>
        <v>0</v>
      </c>
      <c r="P193" s="121">
        <f t="shared" ref="P193" si="158">SUM(P181:P192)</f>
        <v>0</v>
      </c>
      <c r="Q193" s="120">
        <f t="shared" si="142"/>
        <v>-8.1124869119184595</v>
      </c>
      <c r="R193" s="119">
        <f t="shared" ref="R193" si="159">SUM(R181:R192)</f>
        <v>3762.249738238369</v>
      </c>
      <c r="S193" s="122">
        <f t="shared" si="94"/>
        <v>41348.378434829552</v>
      </c>
      <c r="T193" s="119">
        <f t="shared" ref="T193:V193" si="160">SUM(T181:T192)</f>
        <v>-15.4</v>
      </c>
      <c r="U193" s="120">
        <f t="shared" si="160"/>
        <v>-357.40035965017165</v>
      </c>
      <c r="V193" s="119">
        <f t="shared" si="160"/>
        <v>1844.8223571803674</v>
      </c>
      <c r="W193" s="123">
        <f t="shared" ref="W193" si="161">+W192</f>
        <v>39249.839315811019</v>
      </c>
    </row>
    <row r="194" spans="2:23" outlineLevel="1">
      <c r="G194" s="11">
        <f t="shared" si="100"/>
        <v>35.912328767123284</v>
      </c>
      <c r="H194" s="2">
        <v>109</v>
      </c>
      <c r="I194" s="2">
        <f t="shared" si="119"/>
        <v>10</v>
      </c>
      <c r="J194" s="29">
        <f t="shared" si="99"/>
        <v>44013</v>
      </c>
      <c r="K194" s="62">
        <f>+IF(OR(H194&gt;60,$C$21="nein"),IF($C$19="monatlich",$C$20,IF($C$19="quartalsweise",OR(MONTH(J194)={1,4,7,10})*$C$20,IF($C$19="jährlich",(MONTH(J194)=7)*$C$20))),IF($C$19="monatlich",$C$22,IF($C$19="quartalsweise",OR(MONTH(J194)={1,4,7,10})*$C$22,IF($C$19="jährlich",(MONTH(J194)=7)*$C$22))))</f>
        <v>900</v>
      </c>
      <c r="L194" s="63">
        <f t="shared" ref="L194:L205" si="162">-IF(H194&gt;60,0,IF($C$19="monatlich",$C$52,IF(AND($C$19="quartalsweise",K194&gt;0),$C$52,IF(AND($C$19="jährlich",K194&gt;0),$C$51,0))))</f>
        <v>0</v>
      </c>
      <c r="M194" s="62">
        <f t="shared" ref="M194:M205" si="163">+IF(MONTH(J194)=4,$C$25,0)</f>
        <v>0</v>
      </c>
      <c r="N194" s="64">
        <f>+IF(AND($C$19="monatlich",K194&lt;$C$20),$C$20-K194,IF(AND($C$19="quartalsweise",OR(MONTH(J194)={1,4,7,10}),K194&lt;$C$20),$C$20-K194,IF(AND($C$19="jährlich",MONTH(J194)=7,K194&lt;$C$20),$C$20-K194,0)))</f>
        <v>0</v>
      </c>
      <c r="O194" s="64">
        <v>0</v>
      </c>
      <c r="P194" s="64">
        <v>0</v>
      </c>
      <c r="Q194" s="63">
        <f t="shared" ref="Q194:Q205" si="164">-SUM(M194:P194)*$C$47/100</f>
        <v>0</v>
      </c>
      <c r="R194" s="62">
        <f t="shared" ref="R194" si="165">+SUM(K194,M194:P194)</f>
        <v>900</v>
      </c>
      <c r="S194" s="65">
        <f t="shared" si="94"/>
        <v>42248.378434829552</v>
      </c>
      <c r="T194" s="62">
        <f t="shared" ref="T194:T205" si="166">-IF(MONTH(J194)=12,$C$55,0)</f>
        <v>0</v>
      </c>
      <c r="U194" s="63">
        <f t="shared" ref="U194:U205" si="167">-W193*($D$43/100/12)</f>
        <v>-31.890494444096451</v>
      </c>
      <c r="V194" s="62">
        <f t="shared" ref="V194:V205" si="168">+(1+(IF($C$71="pauschal",$C$72/100/12,VLOOKUP(I193,$J$5:$L$44,3,FALSE)/100/12)*W193))</f>
        <v>164.54099714921259</v>
      </c>
      <c r="W194" s="63">
        <f t="shared" ref="W194:W205" si="169">+SUM(W193,R194,L194,Q194,T194:V194)</f>
        <v>40282.489818516136</v>
      </c>
    </row>
    <row r="195" spans="2:23" outlineLevel="1">
      <c r="G195" s="12">
        <f t="shared" si="100"/>
        <v>35.9972602739726</v>
      </c>
      <c r="H195" s="4">
        <v>110</v>
      </c>
      <c r="I195" s="4">
        <f t="shared" si="119"/>
        <v>10</v>
      </c>
      <c r="J195" s="30">
        <f t="shared" si="99"/>
        <v>44044</v>
      </c>
      <c r="K195" s="62">
        <f>+IF(OR(H195&gt;60,$C$21="nein"),IF($C$19="monatlich",$C$20,IF($C$19="quartalsweise",OR(MONTH(J195)={1,4,7,10})*$C$20,IF($C$19="jährlich",(MONTH(J195)=7)*$C$20))),IF($C$19="monatlich",$C$22,IF($C$19="quartalsweise",OR(MONTH(J195)={1,4,7,10})*$C$22,IF($C$19="jährlich",(MONTH(J195)=7)*$C$22))))</f>
        <v>0</v>
      </c>
      <c r="L195" s="66">
        <f t="shared" si="162"/>
        <v>0</v>
      </c>
      <c r="M195" s="62">
        <f t="shared" si="163"/>
        <v>0</v>
      </c>
      <c r="N195" s="67">
        <f>+IF(AND($C$19="monatlich",K195&lt;$C$20),$C$20-K195,IF(AND($C$19="quartalsweise",OR(MONTH(J195)={1,4,7,10}),K195&lt;$C$20),$C$20-K195,IF(AND($C$19="jährlich",MONTH(J195)=7,K195&lt;$C$20),$C$20-K195,0)))</f>
        <v>0</v>
      </c>
      <c r="O195" s="67">
        <v>0</v>
      </c>
      <c r="P195" s="67">
        <v>0</v>
      </c>
      <c r="Q195" s="63">
        <f t="shared" si="164"/>
        <v>0</v>
      </c>
      <c r="R195" s="68">
        <f t="shared" si="113"/>
        <v>0</v>
      </c>
      <c r="S195" s="69">
        <f t="shared" si="94"/>
        <v>42248.378434829552</v>
      </c>
      <c r="T195" s="68">
        <f t="shared" si="166"/>
        <v>0</v>
      </c>
      <c r="U195" s="66">
        <f t="shared" si="167"/>
        <v>-32.729522977544356</v>
      </c>
      <c r="V195" s="68">
        <f t="shared" si="168"/>
        <v>168.84370757715055</v>
      </c>
      <c r="W195" s="66">
        <f t="shared" si="169"/>
        <v>40418.604003115746</v>
      </c>
    </row>
    <row r="196" spans="2:23" outlineLevel="1">
      <c r="G196" s="12">
        <f t="shared" si="100"/>
        <v>36.082191780821915</v>
      </c>
      <c r="H196" s="4">
        <v>111</v>
      </c>
      <c r="I196" s="4">
        <f t="shared" si="119"/>
        <v>10</v>
      </c>
      <c r="J196" s="30">
        <f t="shared" si="99"/>
        <v>44075</v>
      </c>
      <c r="K196" s="62">
        <f>+IF(OR(H196&gt;60,$C$21="nein"),IF($C$19="monatlich",$C$20,IF($C$19="quartalsweise",OR(MONTH(J196)={1,4,7,10})*$C$20,IF($C$19="jährlich",(MONTH(J196)=7)*$C$20))),IF($C$19="monatlich",$C$22,IF($C$19="quartalsweise",OR(MONTH(J196)={1,4,7,10})*$C$22,IF($C$19="jährlich",(MONTH(J196)=7)*$C$22))))</f>
        <v>0</v>
      </c>
      <c r="L196" s="66">
        <f t="shared" si="162"/>
        <v>0</v>
      </c>
      <c r="M196" s="62">
        <f t="shared" si="163"/>
        <v>0</v>
      </c>
      <c r="N196" s="67">
        <f>+IF(AND($C$19="monatlich",K196&lt;$C$20),$C$20-K196,IF(AND($C$19="quartalsweise",OR(MONTH(J196)={1,4,7,10}),K196&lt;$C$20),$C$20-K196,IF(AND($C$19="jährlich",MONTH(J196)=7,K196&lt;$C$20),$C$20-K196,0)))</f>
        <v>0</v>
      </c>
      <c r="O196" s="67">
        <v>0</v>
      </c>
      <c r="P196" s="67">
        <v>0</v>
      </c>
      <c r="Q196" s="63">
        <f t="shared" si="164"/>
        <v>0</v>
      </c>
      <c r="R196" s="68">
        <f t="shared" si="113"/>
        <v>0</v>
      </c>
      <c r="S196" s="69">
        <f t="shared" si="94"/>
        <v>42248.378434829552</v>
      </c>
      <c r="T196" s="68">
        <f t="shared" si="166"/>
        <v>0</v>
      </c>
      <c r="U196" s="66">
        <f t="shared" si="167"/>
        <v>-32.840115752531545</v>
      </c>
      <c r="V196" s="68">
        <f t="shared" si="168"/>
        <v>169.41085001298228</v>
      </c>
      <c r="W196" s="66">
        <f t="shared" si="169"/>
        <v>40555.174737376197</v>
      </c>
    </row>
    <row r="197" spans="2:23" outlineLevel="1">
      <c r="G197" s="12">
        <f t="shared" si="100"/>
        <v>36.164383561643838</v>
      </c>
      <c r="H197" s="4">
        <v>112</v>
      </c>
      <c r="I197" s="4">
        <f t="shared" si="119"/>
        <v>10</v>
      </c>
      <c r="J197" s="30">
        <f t="shared" si="99"/>
        <v>44105</v>
      </c>
      <c r="K197" s="62">
        <f>+IF(OR(H197&gt;60,$C$21="nein"),IF($C$19="monatlich",$C$20,IF($C$19="quartalsweise",OR(MONTH(J197)={1,4,7,10})*$C$20,IF($C$19="jährlich",(MONTH(J197)=7)*$C$20))),IF($C$19="monatlich",$C$22,IF($C$19="quartalsweise",OR(MONTH(J197)={1,4,7,10})*$C$22,IF($C$19="jährlich",(MONTH(J197)=7)*$C$22))))</f>
        <v>900</v>
      </c>
      <c r="L197" s="66">
        <f t="shared" si="162"/>
        <v>0</v>
      </c>
      <c r="M197" s="62">
        <f t="shared" si="163"/>
        <v>0</v>
      </c>
      <c r="N197" s="67">
        <f>+IF(AND($C$19="monatlich",K197&lt;$C$20),$C$20-K197,IF(AND($C$19="quartalsweise",OR(MONTH(J197)={1,4,7,10}),K197&lt;$C$20),$C$20-K197,IF(AND($C$19="jährlich",MONTH(J197)=7,K197&lt;$C$20),$C$20-K197,0)))</f>
        <v>0</v>
      </c>
      <c r="O197" s="67">
        <v>0</v>
      </c>
      <c r="P197" s="67">
        <v>0</v>
      </c>
      <c r="Q197" s="63">
        <f t="shared" si="164"/>
        <v>0</v>
      </c>
      <c r="R197" s="68">
        <f t="shared" si="113"/>
        <v>900</v>
      </c>
      <c r="S197" s="69">
        <f t="shared" si="94"/>
        <v>43148.378434829552</v>
      </c>
      <c r="T197" s="68">
        <f t="shared" si="166"/>
        <v>0</v>
      </c>
      <c r="U197" s="66">
        <f t="shared" si="167"/>
        <v>-32.95107947411816</v>
      </c>
      <c r="V197" s="68">
        <f t="shared" si="168"/>
        <v>169.97989473906748</v>
      </c>
      <c r="W197" s="66">
        <f t="shared" si="169"/>
        <v>41592.203552641149</v>
      </c>
    </row>
    <row r="198" spans="2:23" outlineLevel="1">
      <c r="G198" s="12">
        <f t="shared" si="100"/>
        <v>36.249315068493154</v>
      </c>
      <c r="H198" s="4">
        <v>113</v>
      </c>
      <c r="I198" s="4">
        <f t="shared" si="119"/>
        <v>10</v>
      </c>
      <c r="J198" s="30">
        <f t="shared" si="99"/>
        <v>44136</v>
      </c>
      <c r="K198" s="62">
        <f>+IF(OR(H198&gt;60,$C$21="nein"),IF($C$19="monatlich",$C$20,IF($C$19="quartalsweise",OR(MONTH(J198)={1,4,7,10})*$C$20,IF($C$19="jährlich",(MONTH(J198)=7)*$C$20))),IF($C$19="monatlich",$C$22,IF($C$19="quartalsweise",OR(MONTH(J198)={1,4,7,10})*$C$22,IF($C$19="jährlich",(MONTH(J198)=7)*$C$22))))</f>
        <v>0</v>
      </c>
      <c r="L198" s="66">
        <f t="shared" si="162"/>
        <v>0</v>
      </c>
      <c r="M198" s="62">
        <f t="shared" si="163"/>
        <v>0</v>
      </c>
      <c r="N198" s="67">
        <f>+IF(AND($C$19="monatlich",K198&lt;$C$20),$C$20-K198,IF(AND($C$19="quartalsweise",OR(MONTH(J198)={1,4,7,10}),K198&lt;$C$20),$C$20-K198,IF(AND($C$19="jährlich",MONTH(J198)=7,K198&lt;$C$20),$C$20-K198,0)))</f>
        <v>0</v>
      </c>
      <c r="O198" s="67">
        <v>0</v>
      </c>
      <c r="P198" s="67">
        <v>0</v>
      </c>
      <c r="Q198" s="63">
        <f t="shared" si="164"/>
        <v>0</v>
      </c>
      <c r="R198" s="68">
        <f t="shared" si="113"/>
        <v>0</v>
      </c>
      <c r="S198" s="69">
        <f t="shared" si="94"/>
        <v>43148.378434829552</v>
      </c>
      <c r="T198" s="68">
        <f t="shared" si="166"/>
        <v>0</v>
      </c>
      <c r="U198" s="66">
        <f t="shared" si="167"/>
        <v>-33.793665386520935</v>
      </c>
      <c r="V198" s="68">
        <f t="shared" si="168"/>
        <v>174.30084813600479</v>
      </c>
      <c r="W198" s="66">
        <f t="shared" si="169"/>
        <v>41732.710735390632</v>
      </c>
    </row>
    <row r="199" spans="2:23" outlineLevel="1">
      <c r="G199" s="12">
        <f t="shared" si="100"/>
        <v>36.331506849315069</v>
      </c>
      <c r="H199" s="4">
        <v>114</v>
      </c>
      <c r="I199" s="4">
        <f t="shared" ref="I199:I228" si="170">+I186+1</f>
        <v>10</v>
      </c>
      <c r="J199" s="30">
        <f t="shared" si="99"/>
        <v>44166</v>
      </c>
      <c r="K199" s="62">
        <f>+IF(OR(H199&gt;60,$C$21="nein"),IF($C$19="monatlich",$C$20,IF($C$19="quartalsweise",OR(MONTH(J199)={1,4,7,10})*$C$20,IF($C$19="jährlich",(MONTH(J199)=7)*$C$20))),IF($C$19="monatlich",$C$22,IF($C$19="quartalsweise",OR(MONTH(J199)={1,4,7,10})*$C$22,IF($C$19="jährlich",(MONTH(J199)=7)*$C$22))))</f>
        <v>0</v>
      </c>
      <c r="L199" s="66">
        <f t="shared" si="162"/>
        <v>0</v>
      </c>
      <c r="M199" s="62">
        <f t="shared" si="163"/>
        <v>0</v>
      </c>
      <c r="N199" s="67">
        <f>+IF(AND($C$19="monatlich",K199&lt;$C$20),$C$20-K199,IF(AND($C$19="quartalsweise",OR(MONTH(J199)={1,4,7,10}),K199&lt;$C$20),$C$20-K199,IF(AND($C$19="jährlich",MONTH(J199)=7,K199&lt;$C$20),$C$20-K199,0)))</f>
        <v>0</v>
      </c>
      <c r="O199" s="67">
        <v>0</v>
      </c>
      <c r="P199" s="67">
        <v>0</v>
      </c>
      <c r="Q199" s="63">
        <f t="shared" si="164"/>
        <v>0</v>
      </c>
      <c r="R199" s="68">
        <f t="shared" si="113"/>
        <v>0</v>
      </c>
      <c r="S199" s="69">
        <f t="shared" si="94"/>
        <v>43148.378434829552</v>
      </c>
      <c r="T199" s="68">
        <f t="shared" si="166"/>
        <v>-15.4</v>
      </c>
      <c r="U199" s="66">
        <f t="shared" si="167"/>
        <v>-33.907827472504884</v>
      </c>
      <c r="V199" s="68">
        <f t="shared" si="168"/>
        <v>174.8862947307943</v>
      </c>
      <c r="W199" s="66">
        <f t="shared" si="169"/>
        <v>41858.289202648921</v>
      </c>
    </row>
    <row r="200" spans="2:23" outlineLevel="1">
      <c r="G200" s="12">
        <f t="shared" si="100"/>
        <v>36.416438356164385</v>
      </c>
      <c r="H200" s="4">
        <v>115</v>
      </c>
      <c r="I200" s="4">
        <f t="shared" si="170"/>
        <v>10</v>
      </c>
      <c r="J200" s="30">
        <f t="shared" si="99"/>
        <v>44197</v>
      </c>
      <c r="K200" s="62">
        <f>+IF(OR(H200&gt;60,$C$21="nein"),IF($C$19="monatlich",$C$20,IF($C$19="quartalsweise",OR(MONTH(J200)={1,4,7,10})*$C$20,IF($C$19="jährlich",(MONTH(J200)=7)*$C$20))),IF($C$19="monatlich",$C$22,IF($C$19="quartalsweise",OR(MONTH(J200)={1,4,7,10})*$C$22,IF($C$19="jährlich",(MONTH(J200)=7)*$C$22))))</f>
        <v>900</v>
      </c>
      <c r="L200" s="66">
        <f t="shared" si="162"/>
        <v>0</v>
      </c>
      <c r="M200" s="62">
        <f t="shared" si="163"/>
        <v>0</v>
      </c>
      <c r="N200" s="67">
        <f>+IF(AND($C$19="monatlich",K200&lt;$C$20),$C$20-K200,IF(AND($C$19="quartalsweise",OR(MONTH(J200)={1,4,7,10}),K200&lt;$C$20),$C$20-K200,IF(AND($C$19="jährlich",MONTH(J200)=7,K200&lt;$C$20),$C$20-K200,0)))</f>
        <v>0</v>
      </c>
      <c r="O200" s="67">
        <v>0</v>
      </c>
      <c r="P200" s="67">
        <v>0</v>
      </c>
      <c r="Q200" s="63">
        <f t="shared" si="164"/>
        <v>0</v>
      </c>
      <c r="R200" s="68">
        <f t="shared" si="113"/>
        <v>900</v>
      </c>
      <c r="S200" s="69">
        <f t="shared" si="94"/>
        <v>44048.378434829552</v>
      </c>
      <c r="T200" s="68">
        <f t="shared" si="166"/>
        <v>0</v>
      </c>
      <c r="U200" s="66">
        <f t="shared" si="167"/>
        <v>-34.009859977152246</v>
      </c>
      <c r="V200" s="68">
        <f t="shared" si="168"/>
        <v>175.4095383443705</v>
      </c>
      <c r="W200" s="66">
        <f t="shared" si="169"/>
        <v>42899.68888101614</v>
      </c>
    </row>
    <row r="201" spans="2:23" outlineLevel="1">
      <c r="G201" s="12">
        <f t="shared" si="100"/>
        <v>36.5013698630137</v>
      </c>
      <c r="H201" s="4">
        <v>116</v>
      </c>
      <c r="I201" s="4">
        <f t="shared" si="170"/>
        <v>10</v>
      </c>
      <c r="J201" s="30">
        <f t="shared" si="99"/>
        <v>44228</v>
      </c>
      <c r="K201" s="62">
        <f>+IF(OR(H201&gt;60,$C$21="nein"),IF($C$19="monatlich",$C$20,IF($C$19="quartalsweise",OR(MONTH(J201)={1,4,7,10})*$C$20,IF($C$19="jährlich",(MONTH(J201)=7)*$C$20))),IF($C$19="monatlich",$C$22,IF($C$19="quartalsweise",OR(MONTH(J201)={1,4,7,10})*$C$22,IF($C$19="jährlich",(MONTH(J201)=7)*$C$22))))</f>
        <v>0</v>
      </c>
      <c r="L201" s="66">
        <f t="shared" si="162"/>
        <v>0</v>
      </c>
      <c r="M201" s="62">
        <f t="shared" si="163"/>
        <v>0</v>
      </c>
      <c r="N201" s="67">
        <f>+IF(AND($C$19="monatlich",K201&lt;$C$20),$C$20-K201,IF(AND($C$19="quartalsweise",OR(MONTH(J201)={1,4,7,10}),K201&lt;$C$20),$C$20-K201,IF(AND($C$19="jährlich",MONTH(J201)=7,K201&lt;$C$20),$C$20-K201,0)))</f>
        <v>0</v>
      </c>
      <c r="O201" s="67">
        <v>0</v>
      </c>
      <c r="P201" s="67">
        <v>0</v>
      </c>
      <c r="Q201" s="63">
        <f t="shared" si="164"/>
        <v>0</v>
      </c>
      <c r="R201" s="68">
        <f t="shared" si="113"/>
        <v>0</v>
      </c>
      <c r="S201" s="69">
        <f t="shared" si="94"/>
        <v>44048.378434829552</v>
      </c>
      <c r="T201" s="68">
        <f t="shared" si="166"/>
        <v>0</v>
      </c>
      <c r="U201" s="66">
        <f t="shared" si="167"/>
        <v>-34.85599721582561</v>
      </c>
      <c r="V201" s="68">
        <f t="shared" si="168"/>
        <v>179.74870367090057</v>
      </c>
      <c r="W201" s="66">
        <f t="shared" si="169"/>
        <v>43044.581587471213</v>
      </c>
    </row>
    <row r="202" spans="2:23" outlineLevel="1">
      <c r="G202" s="12">
        <f t="shared" si="100"/>
        <v>36.578082191780823</v>
      </c>
      <c r="H202" s="4">
        <v>117</v>
      </c>
      <c r="I202" s="4">
        <f t="shared" si="170"/>
        <v>10</v>
      </c>
      <c r="J202" s="30">
        <f t="shared" si="99"/>
        <v>44256</v>
      </c>
      <c r="K202" s="62">
        <f>+IF(OR(H202&gt;60,$C$21="nein"),IF($C$19="monatlich",$C$20,IF($C$19="quartalsweise",OR(MONTH(J202)={1,4,7,10})*$C$20,IF($C$19="jährlich",(MONTH(J202)=7)*$C$20))),IF($C$19="monatlich",$C$22,IF($C$19="quartalsweise",OR(MONTH(J202)={1,4,7,10})*$C$22,IF($C$19="jährlich",(MONTH(J202)=7)*$C$22))))</f>
        <v>0</v>
      </c>
      <c r="L202" s="66">
        <f t="shared" si="162"/>
        <v>0</v>
      </c>
      <c r="M202" s="62">
        <f t="shared" si="163"/>
        <v>0</v>
      </c>
      <c r="N202" s="67">
        <f>+IF(AND($C$19="monatlich",K202&lt;$C$20),$C$20-K202,IF(AND($C$19="quartalsweise",OR(MONTH(J202)={1,4,7,10}),K202&lt;$C$20),$C$20-K202,IF(AND($C$19="jährlich",MONTH(J202)=7,K202&lt;$C$20),$C$20-K202,0)))-$C$67/100*SUM(Q184:Q192,Q194:Q196)-$C$66/100*SUM(L184:L192,L194:L196)</f>
        <v>8.1124869119184595</v>
      </c>
      <c r="O202" s="67">
        <v>0</v>
      </c>
      <c r="P202" s="67">
        <v>0</v>
      </c>
      <c r="Q202" s="63">
        <f t="shared" si="164"/>
        <v>-0.40562434559592297</v>
      </c>
      <c r="R202" s="68">
        <f t="shared" si="113"/>
        <v>8.1124869119184595</v>
      </c>
      <c r="S202" s="69">
        <f t="shared" si="94"/>
        <v>44056.490921741468</v>
      </c>
      <c r="T202" s="68">
        <f t="shared" si="166"/>
        <v>0</v>
      </c>
      <c r="U202" s="66">
        <f t="shared" si="167"/>
        <v>-34.973722539820358</v>
      </c>
      <c r="V202" s="68">
        <f t="shared" si="168"/>
        <v>180.35242328113006</v>
      </c>
      <c r="W202" s="66">
        <f t="shared" si="169"/>
        <v>43197.667150778849</v>
      </c>
    </row>
    <row r="203" spans="2:23" outlineLevel="1">
      <c r="G203" s="12">
        <f t="shared" si="100"/>
        <v>36.663013698630138</v>
      </c>
      <c r="H203" s="4">
        <v>118</v>
      </c>
      <c r="I203" s="4">
        <f t="shared" si="170"/>
        <v>10</v>
      </c>
      <c r="J203" s="30">
        <f t="shared" si="99"/>
        <v>44287</v>
      </c>
      <c r="K203" s="62">
        <f>+IF(OR(H203&gt;60,$C$21="nein"),IF($C$19="monatlich",$C$20,IF($C$19="quartalsweise",OR(MONTH(J203)={1,4,7,10})*$C$20,IF($C$19="jährlich",(MONTH(J203)=7)*$C$20))),IF($C$19="monatlich",$C$22,IF($C$19="quartalsweise",OR(MONTH(J203)={1,4,7,10})*$C$22,IF($C$19="jährlich",(MONTH(J203)=7)*$C$22))))</f>
        <v>900</v>
      </c>
      <c r="L203" s="66">
        <f t="shared" si="162"/>
        <v>0</v>
      </c>
      <c r="M203" s="62">
        <f t="shared" si="163"/>
        <v>154</v>
      </c>
      <c r="N203" s="67">
        <f>+IF(AND($C$19="monatlich",K203&lt;$C$20),$C$20-K203,IF(AND($C$19="quartalsweise",OR(MONTH(J203)={1,4,7,10}),K203&lt;$C$20),$C$20-K203,IF(AND($C$19="jährlich",MONTH(J203)=7,K203&lt;$C$20),$C$20-K203,0)))</f>
        <v>0</v>
      </c>
      <c r="O203" s="67">
        <v>0</v>
      </c>
      <c r="P203" s="67">
        <v>0</v>
      </c>
      <c r="Q203" s="63">
        <f t="shared" si="164"/>
        <v>-7.7</v>
      </c>
      <c r="R203" s="68">
        <f t="shared" si="113"/>
        <v>1054</v>
      </c>
      <c r="S203" s="69">
        <f t="shared" si="94"/>
        <v>45110.490921741468</v>
      </c>
      <c r="T203" s="68">
        <f t="shared" si="166"/>
        <v>0</v>
      </c>
      <c r="U203" s="66">
        <f t="shared" si="167"/>
        <v>-35.098104560007812</v>
      </c>
      <c r="V203" s="68">
        <f t="shared" si="168"/>
        <v>180.99027979491186</v>
      </c>
      <c r="W203" s="66">
        <f t="shared" si="169"/>
        <v>44389.859326013757</v>
      </c>
    </row>
    <row r="204" spans="2:23" outlineLevel="1">
      <c r="G204" s="12">
        <f t="shared" si="100"/>
        <v>36.745205479452054</v>
      </c>
      <c r="H204" s="4">
        <v>119</v>
      </c>
      <c r="I204" s="4">
        <f t="shared" si="170"/>
        <v>10</v>
      </c>
      <c r="J204" s="30">
        <f t="shared" si="99"/>
        <v>44317</v>
      </c>
      <c r="K204" s="62">
        <f>+IF(OR(H204&gt;60,$C$21="nein"),IF($C$19="monatlich",$C$20,IF($C$19="quartalsweise",OR(MONTH(J204)={1,4,7,10})*$C$20,IF($C$19="jährlich",(MONTH(J204)=7)*$C$20))),IF($C$19="monatlich",$C$22,IF($C$19="quartalsweise",OR(MONTH(J204)={1,4,7,10})*$C$22,IF($C$19="jährlich",(MONTH(J204)=7)*$C$22))))</f>
        <v>0</v>
      </c>
      <c r="L204" s="66">
        <f t="shared" si="162"/>
        <v>0</v>
      </c>
      <c r="M204" s="62">
        <f t="shared" si="163"/>
        <v>0</v>
      </c>
      <c r="N204" s="67">
        <f>+IF(AND($C$19="monatlich",K204&lt;$C$20),$C$20-K204,IF(AND($C$19="quartalsweise",OR(MONTH(J204)={1,4,7,10}),K204&lt;$C$20),$C$20-K204,IF(AND($C$19="jährlich",MONTH(J204)=7,K204&lt;$C$20),$C$20-K204,0)))</f>
        <v>0</v>
      </c>
      <c r="O204" s="67">
        <v>0</v>
      </c>
      <c r="P204" s="67">
        <v>0</v>
      </c>
      <c r="Q204" s="63">
        <f t="shared" si="164"/>
        <v>0</v>
      </c>
      <c r="R204" s="68">
        <f t="shared" si="113"/>
        <v>0</v>
      </c>
      <c r="S204" s="69">
        <f t="shared" si="94"/>
        <v>45110.490921741468</v>
      </c>
      <c r="T204" s="68">
        <f t="shared" si="166"/>
        <v>0</v>
      </c>
      <c r="U204" s="66">
        <f t="shared" si="167"/>
        <v>-36.066760702386176</v>
      </c>
      <c r="V204" s="68">
        <f t="shared" si="168"/>
        <v>185.957747191724</v>
      </c>
      <c r="W204" s="66">
        <f t="shared" si="169"/>
        <v>44539.750312503093</v>
      </c>
    </row>
    <row r="205" spans="2:23" outlineLevel="1">
      <c r="G205" s="13">
        <f t="shared" si="100"/>
        <v>36.830136986301369</v>
      </c>
      <c r="H205" s="6">
        <v>120</v>
      </c>
      <c r="I205" s="6">
        <f t="shared" si="170"/>
        <v>10</v>
      </c>
      <c r="J205" s="31">
        <f t="shared" si="99"/>
        <v>44348</v>
      </c>
      <c r="K205" s="62">
        <f>+IF(OR(H205&gt;60,$C$21="nein"),IF($C$19="monatlich",$C$20,IF($C$19="quartalsweise",OR(MONTH(J205)={1,4,7,10})*$C$20,IF($C$19="jährlich",(MONTH(J205)=7)*$C$20))),IF($C$19="monatlich",$C$22,IF($C$19="quartalsweise",OR(MONTH(J205)={1,4,7,10})*$C$22,IF($C$19="jährlich",(MONTH(J205)=7)*$C$22))))</f>
        <v>0</v>
      </c>
      <c r="L205" s="70">
        <f t="shared" si="162"/>
        <v>0</v>
      </c>
      <c r="M205" s="62">
        <f t="shared" si="163"/>
        <v>0</v>
      </c>
      <c r="N205" s="71">
        <f>+IF(AND($C$19="monatlich",K205&lt;$C$20),$C$20-K205,IF(AND($C$19="quartalsweise",OR(MONTH(J205)={1,4,7,10}),K205&lt;$C$20),$C$20-K205,IF(AND($C$19="jährlich",MONTH(J205)=7,K205&lt;$C$20),$C$20-K205,0)))</f>
        <v>0</v>
      </c>
      <c r="O205" s="71">
        <v>0</v>
      </c>
      <c r="P205" s="71">
        <v>0</v>
      </c>
      <c r="Q205" s="63">
        <f t="shared" si="164"/>
        <v>0</v>
      </c>
      <c r="R205" s="72">
        <f t="shared" si="113"/>
        <v>0</v>
      </c>
      <c r="S205" s="73">
        <f t="shared" si="94"/>
        <v>45110.490921741468</v>
      </c>
      <c r="T205" s="72">
        <f t="shared" si="166"/>
        <v>0</v>
      </c>
      <c r="U205" s="70">
        <f t="shared" si="167"/>
        <v>-36.188547128908759</v>
      </c>
      <c r="V205" s="72">
        <f t="shared" si="168"/>
        <v>186.58229296876289</v>
      </c>
      <c r="W205" s="70">
        <f t="shared" si="169"/>
        <v>44690.14405834295</v>
      </c>
    </row>
    <row r="206" spans="2:23" s="5" customFormat="1" ht="15">
      <c r="B206" s="17"/>
      <c r="G206" s="115">
        <f t="shared" si="100"/>
        <v>36.830136986301369</v>
      </c>
      <c r="H206" s="116" t="str">
        <f>H194&amp;" - "&amp;H205</f>
        <v>109 - 120</v>
      </c>
      <c r="I206" s="117">
        <f t="shared" si="170"/>
        <v>10</v>
      </c>
      <c r="J206" s="118">
        <f t="shared" ref="J206" si="171">+J205</f>
        <v>44348</v>
      </c>
      <c r="K206" s="119">
        <f t="shared" ref="K206:L206" si="172">SUM(K194:K205)</f>
        <v>3600</v>
      </c>
      <c r="L206" s="120">
        <f t="shared" si="172"/>
        <v>0</v>
      </c>
      <c r="M206" s="119">
        <f t="shared" ref="M206" si="173">SUM(M194:M205)</f>
        <v>154</v>
      </c>
      <c r="N206" s="121">
        <f t="shared" si="140"/>
        <v>8.1124869119184595</v>
      </c>
      <c r="O206" s="121">
        <f t="shared" ref="O206" si="174">SUM(O194:O205)</f>
        <v>0</v>
      </c>
      <c r="P206" s="121">
        <f t="shared" ref="P206:Q219" si="175">SUM(P194:P205)</f>
        <v>0</v>
      </c>
      <c r="Q206" s="120">
        <f t="shared" si="175"/>
        <v>-8.105624345595924</v>
      </c>
      <c r="R206" s="119">
        <f t="shared" ref="R206" si="176">SUM(R194:R205)</f>
        <v>3762.1124869119185</v>
      </c>
      <c r="S206" s="122">
        <f t="shared" ref="S206:S269" si="177">+IF(EXACT(J206,J205),S205,SUM(S205,R206))</f>
        <v>45110.490921741468</v>
      </c>
      <c r="T206" s="119">
        <f t="shared" ref="T206:V206" si="178">SUM(T194:T205)</f>
        <v>-15.4</v>
      </c>
      <c r="U206" s="120">
        <f t="shared" si="178"/>
        <v>-409.30569763141733</v>
      </c>
      <c r="V206" s="119">
        <f t="shared" si="178"/>
        <v>2111.0035775970118</v>
      </c>
      <c r="W206" s="123">
        <f t="shared" ref="W206" si="179">+W205</f>
        <v>44690.14405834295</v>
      </c>
    </row>
    <row r="207" spans="2:23" outlineLevel="1">
      <c r="G207" s="11">
        <f t="shared" si="100"/>
        <v>36.912328767123284</v>
      </c>
      <c r="H207" s="2">
        <v>121</v>
      </c>
      <c r="I207" s="2">
        <f t="shared" si="170"/>
        <v>11</v>
      </c>
      <c r="J207" s="29">
        <f t="shared" ref="J207:J270" si="180">+DATE(YEAR(J206),MONTH(J206)+1,1)</f>
        <v>44378</v>
      </c>
      <c r="K207" s="62">
        <f>+IF(OR(H207&gt;60,$C$21="nein"),IF($C$19="monatlich",$C$20,IF($C$19="quartalsweise",OR(MONTH(J207)={1,4,7,10})*$C$20,IF($C$19="jährlich",(MONTH(J207)=7)*$C$20))),IF($C$19="monatlich",$C$22,IF($C$19="quartalsweise",OR(MONTH(J207)={1,4,7,10})*$C$22,IF($C$19="jährlich",(MONTH(J207)=7)*$C$22))))</f>
        <v>900</v>
      </c>
      <c r="L207" s="63">
        <f t="shared" ref="L207:L218" si="181">-IF(H207&gt;60,0,IF($C$19="monatlich",$C$52,IF(AND($C$19="quartalsweise",K207&gt;0),$C$52,IF(AND($C$19="jährlich",K207&gt;0),$C$51,0))))</f>
        <v>0</v>
      </c>
      <c r="M207" s="62">
        <f t="shared" ref="M207:M218" si="182">+IF(MONTH(J207)=4,$C$25,0)</f>
        <v>0</v>
      </c>
      <c r="N207" s="64">
        <f>+IF(AND($C$19="monatlich",K207&lt;$C$20),$C$20-K207,IF(AND($C$19="quartalsweise",OR(MONTH(J207)={1,4,7,10}),K207&lt;$C$20),$C$20-K207,IF(AND($C$19="jährlich",MONTH(J207)=7,K207&lt;$C$20),$C$20-K207,0)))</f>
        <v>0</v>
      </c>
      <c r="O207" s="64">
        <v>0</v>
      </c>
      <c r="P207" s="64">
        <v>0</v>
      </c>
      <c r="Q207" s="63">
        <f t="shared" ref="Q207:Q218" si="183">-SUM(M207:P207)*$C$47/100</f>
        <v>0</v>
      </c>
      <c r="R207" s="62">
        <f t="shared" ref="R207" si="184">+SUM(K207,M207:P207)</f>
        <v>900</v>
      </c>
      <c r="S207" s="65">
        <f t="shared" si="177"/>
        <v>46010.490921741468</v>
      </c>
      <c r="T207" s="62">
        <f t="shared" ref="T207:T218" si="185">-IF(MONTH(J207)=12,$C$55,0)</f>
        <v>0</v>
      </c>
      <c r="U207" s="63">
        <f t="shared" ref="U207:U218" si="186">-W206*($D$43/100/12)</f>
        <v>-36.310742047403643</v>
      </c>
      <c r="V207" s="62">
        <f t="shared" ref="V207:V218" si="187">+(1+(IF($C$71="pauschal",$C$72/100/12,VLOOKUP(I206,$J$5:$L$44,3,FALSE)/100/12)*W206))</f>
        <v>187.20893357642896</v>
      </c>
      <c r="W207" s="63">
        <f t="shared" ref="W207:W218" si="188">+SUM(W206,R207,L207,Q207,T207:V207)</f>
        <v>45741.042249871978</v>
      </c>
    </row>
    <row r="208" spans="2:23" outlineLevel="1">
      <c r="G208" s="12">
        <f t="shared" si="100"/>
        <v>36.9972602739726</v>
      </c>
      <c r="H208" s="4">
        <v>122</v>
      </c>
      <c r="I208" s="4">
        <f t="shared" si="170"/>
        <v>11</v>
      </c>
      <c r="J208" s="30">
        <f t="shared" si="180"/>
        <v>44409</v>
      </c>
      <c r="K208" s="62">
        <f>+IF(OR(H208&gt;60,$C$21="nein"),IF($C$19="monatlich",$C$20,IF($C$19="quartalsweise",OR(MONTH(J208)={1,4,7,10})*$C$20,IF($C$19="jährlich",(MONTH(J208)=7)*$C$20))),IF($C$19="monatlich",$C$22,IF($C$19="quartalsweise",OR(MONTH(J208)={1,4,7,10})*$C$22,IF($C$19="jährlich",(MONTH(J208)=7)*$C$22))))</f>
        <v>0</v>
      </c>
      <c r="L208" s="66">
        <f t="shared" si="181"/>
        <v>0</v>
      </c>
      <c r="M208" s="62">
        <f t="shared" si="182"/>
        <v>0</v>
      </c>
      <c r="N208" s="67">
        <f>+IF(AND($C$19="monatlich",K208&lt;$C$20),$C$20-K208,IF(AND($C$19="quartalsweise",OR(MONTH(J208)={1,4,7,10}),K208&lt;$C$20),$C$20-K208,IF(AND($C$19="jährlich",MONTH(J208)=7,K208&lt;$C$20),$C$20-K208,0)))</f>
        <v>0</v>
      </c>
      <c r="O208" s="67">
        <v>0</v>
      </c>
      <c r="P208" s="67">
        <v>0</v>
      </c>
      <c r="Q208" s="63">
        <f t="shared" si="183"/>
        <v>0</v>
      </c>
      <c r="R208" s="68">
        <f t="shared" si="113"/>
        <v>0</v>
      </c>
      <c r="S208" s="69">
        <f t="shared" si="177"/>
        <v>46010.490921741468</v>
      </c>
      <c r="T208" s="68">
        <f t="shared" si="185"/>
        <v>0</v>
      </c>
      <c r="U208" s="66">
        <f t="shared" si="186"/>
        <v>-37.164596828020983</v>
      </c>
      <c r="V208" s="68">
        <f t="shared" si="187"/>
        <v>191.58767604113325</v>
      </c>
      <c r="W208" s="66">
        <f t="shared" si="188"/>
        <v>45895.465329085091</v>
      </c>
    </row>
    <row r="209" spans="2:23" outlineLevel="1">
      <c r="G209" s="12">
        <f t="shared" si="100"/>
        <v>37.082191780821915</v>
      </c>
      <c r="H209" s="4">
        <v>123</v>
      </c>
      <c r="I209" s="4">
        <f t="shared" si="170"/>
        <v>11</v>
      </c>
      <c r="J209" s="30">
        <f t="shared" si="180"/>
        <v>44440</v>
      </c>
      <c r="K209" s="62">
        <f>+IF(OR(H209&gt;60,$C$21="nein"),IF($C$19="monatlich",$C$20,IF($C$19="quartalsweise",OR(MONTH(J209)={1,4,7,10})*$C$20,IF($C$19="jährlich",(MONTH(J209)=7)*$C$20))),IF($C$19="monatlich",$C$22,IF($C$19="quartalsweise",OR(MONTH(J209)={1,4,7,10})*$C$22,IF($C$19="jährlich",(MONTH(J209)=7)*$C$22))))</f>
        <v>0</v>
      </c>
      <c r="L209" s="66">
        <f t="shared" si="181"/>
        <v>0</v>
      </c>
      <c r="M209" s="62">
        <f t="shared" si="182"/>
        <v>0</v>
      </c>
      <c r="N209" s="67">
        <f>+IF(AND($C$19="monatlich",K209&lt;$C$20),$C$20-K209,IF(AND($C$19="quartalsweise",OR(MONTH(J209)={1,4,7,10}),K209&lt;$C$20),$C$20-K209,IF(AND($C$19="jährlich",MONTH(J209)=7,K209&lt;$C$20),$C$20-K209,0)))</f>
        <v>0</v>
      </c>
      <c r="O209" s="67">
        <v>0</v>
      </c>
      <c r="P209" s="67">
        <v>0</v>
      </c>
      <c r="Q209" s="63">
        <f t="shared" si="183"/>
        <v>0</v>
      </c>
      <c r="R209" s="68">
        <f t="shared" si="113"/>
        <v>0</v>
      </c>
      <c r="S209" s="69">
        <f t="shared" si="177"/>
        <v>46010.490921741468</v>
      </c>
      <c r="T209" s="68">
        <f t="shared" si="185"/>
        <v>0</v>
      </c>
      <c r="U209" s="66">
        <f t="shared" si="186"/>
        <v>-37.290065579881635</v>
      </c>
      <c r="V209" s="68">
        <f t="shared" si="187"/>
        <v>192.23110553785455</v>
      </c>
      <c r="W209" s="66">
        <f t="shared" si="188"/>
        <v>46050.406369043063</v>
      </c>
    </row>
    <row r="210" spans="2:23" outlineLevel="1">
      <c r="G210" s="12">
        <f t="shared" si="100"/>
        <v>37.164383561643838</v>
      </c>
      <c r="H210" s="4">
        <v>124</v>
      </c>
      <c r="I210" s="4">
        <f t="shared" si="170"/>
        <v>11</v>
      </c>
      <c r="J210" s="30">
        <f t="shared" si="180"/>
        <v>44470</v>
      </c>
      <c r="K210" s="62">
        <f>+IF(OR(H210&gt;60,$C$21="nein"),IF($C$19="monatlich",$C$20,IF($C$19="quartalsweise",OR(MONTH(J210)={1,4,7,10})*$C$20,IF($C$19="jährlich",(MONTH(J210)=7)*$C$20))),IF($C$19="monatlich",$C$22,IF($C$19="quartalsweise",OR(MONTH(J210)={1,4,7,10})*$C$22,IF($C$19="jährlich",(MONTH(J210)=7)*$C$22))))</f>
        <v>900</v>
      </c>
      <c r="L210" s="66">
        <f t="shared" si="181"/>
        <v>0</v>
      </c>
      <c r="M210" s="62">
        <f t="shared" si="182"/>
        <v>0</v>
      </c>
      <c r="N210" s="67">
        <f>+IF(AND($C$19="monatlich",K210&lt;$C$20),$C$20-K210,IF(AND($C$19="quartalsweise",OR(MONTH(J210)={1,4,7,10}),K210&lt;$C$20),$C$20-K210,IF(AND($C$19="jährlich",MONTH(J210)=7,K210&lt;$C$20),$C$20-K210,0)))</f>
        <v>0</v>
      </c>
      <c r="O210" s="67">
        <v>0</v>
      </c>
      <c r="P210" s="67">
        <v>0</v>
      </c>
      <c r="Q210" s="63">
        <f t="shared" si="183"/>
        <v>0</v>
      </c>
      <c r="R210" s="68">
        <f t="shared" si="113"/>
        <v>900</v>
      </c>
      <c r="S210" s="69">
        <f t="shared" si="177"/>
        <v>46910.490921741468</v>
      </c>
      <c r="T210" s="68">
        <f t="shared" si="185"/>
        <v>0</v>
      </c>
      <c r="U210" s="66">
        <f t="shared" si="186"/>
        <v>-37.41595517484749</v>
      </c>
      <c r="V210" s="68">
        <f t="shared" si="187"/>
        <v>192.87669320434608</v>
      </c>
      <c r="W210" s="66">
        <f t="shared" si="188"/>
        <v>47105.867107072561</v>
      </c>
    </row>
    <row r="211" spans="2:23" outlineLevel="1">
      <c r="G211" s="12">
        <f t="shared" si="100"/>
        <v>37.249315068493154</v>
      </c>
      <c r="H211" s="4">
        <v>125</v>
      </c>
      <c r="I211" s="4">
        <f t="shared" si="170"/>
        <v>11</v>
      </c>
      <c r="J211" s="30">
        <f t="shared" si="180"/>
        <v>44501</v>
      </c>
      <c r="K211" s="62">
        <f>+IF(OR(H211&gt;60,$C$21="nein"),IF($C$19="monatlich",$C$20,IF($C$19="quartalsweise",OR(MONTH(J211)={1,4,7,10})*$C$20,IF($C$19="jährlich",(MONTH(J211)=7)*$C$20))),IF($C$19="monatlich",$C$22,IF($C$19="quartalsweise",OR(MONTH(J211)={1,4,7,10})*$C$22,IF($C$19="jährlich",(MONTH(J211)=7)*$C$22))))</f>
        <v>0</v>
      </c>
      <c r="L211" s="66">
        <f t="shared" si="181"/>
        <v>0</v>
      </c>
      <c r="M211" s="62">
        <f t="shared" si="182"/>
        <v>0</v>
      </c>
      <c r="N211" s="67">
        <f>+IF(AND($C$19="monatlich",K211&lt;$C$20),$C$20-K211,IF(AND($C$19="quartalsweise",OR(MONTH(J211)={1,4,7,10}),K211&lt;$C$20),$C$20-K211,IF(AND($C$19="jährlich",MONTH(J211)=7,K211&lt;$C$20),$C$20-K211,0)))</f>
        <v>0</v>
      </c>
      <c r="O211" s="67">
        <v>0</v>
      </c>
      <c r="P211" s="67">
        <v>0</v>
      </c>
      <c r="Q211" s="63">
        <f t="shared" si="183"/>
        <v>0</v>
      </c>
      <c r="R211" s="68">
        <f t="shared" si="113"/>
        <v>0</v>
      </c>
      <c r="S211" s="69">
        <f t="shared" si="177"/>
        <v>46910.490921741468</v>
      </c>
      <c r="T211" s="68">
        <f t="shared" si="185"/>
        <v>0</v>
      </c>
      <c r="U211" s="66">
        <f t="shared" si="186"/>
        <v>-38.273517024496456</v>
      </c>
      <c r="V211" s="68">
        <f t="shared" si="187"/>
        <v>197.274446279469</v>
      </c>
      <c r="W211" s="66">
        <f t="shared" si="188"/>
        <v>47264.868036327534</v>
      </c>
    </row>
    <row r="212" spans="2:23" outlineLevel="1">
      <c r="G212" s="12">
        <f t="shared" si="100"/>
        <v>37.331506849315069</v>
      </c>
      <c r="H212" s="4">
        <v>126</v>
      </c>
      <c r="I212" s="4">
        <f t="shared" si="170"/>
        <v>11</v>
      </c>
      <c r="J212" s="30">
        <f t="shared" si="180"/>
        <v>44531</v>
      </c>
      <c r="K212" s="62">
        <f>+IF(OR(H212&gt;60,$C$21="nein"),IF($C$19="monatlich",$C$20,IF($C$19="quartalsweise",OR(MONTH(J212)={1,4,7,10})*$C$20,IF($C$19="jährlich",(MONTH(J212)=7)*$C$20))),IF($C$19="monatlich",$C$22,IF($C$19="quartalsweise",OR(MONTH(J212)={1,4,7,10})*$C$22,IF($C$19="jährlich",(MONTH(J212)=7)*$C$22))))</f>
        <v>0</v>
      </c>
      <c r="L212" s="66">
        <f t="shared" si="181"/>
        <v>0</v>
      </c>
      <c r="M212" s="62">
        <f t="shared" si="182"/>
        <v>0</v>
      </c>
      <c r="N212" s="67">
        <f>+IF(AND($C$19="monatlich",K212&lt;$C$20),$C$20-K212,IF(AND($C$19="quartalsweise",OR(MONTH(J212)={1,4,7,10}),K212&lt;$C$20),$C$20-K212,IF(AND($C$19="jährlich",MONTH(J212)=7,K212&lt;$C$20),$C$20-K212,0)))</f>
        <v>0</v>
      </c>
      <c r="O212" s="67">
        <v>0</v>
      </c>
      <c r="P212" s="67">
        <v>0</v>
      </c>
      <c r="Q212" s="63">
        <f t="shared" si="183"/>
        <v>0</v>
      </c>
      <c r="R212" s="68">
        <f t="shared" si="113"/>
        <v>0</v>
      </c>
      <c r="S212" s="69">
        <f t="shared" si="177"/>
        <v>46910.490921741468</v>
      </c>
      <c r="T212" s="68">
        <f t="shared" si="185"/>
        <v>-15.4</v>
      </c>
      <c r="U212" s="66">
        <f t="shared" si="186"/>
        <v>-38.40270527951612</v>
      </c>
      <c r="V212" s="68">
        <f t="shared" si="187"/>
        <v>197.93695015136473</v>
      </c>
      <c r="W212" s="66">
        <f t="shared" si="188"/>
        <v>47409.002281199384</v>
      </c>
    </row>
    <row r="213" spans="2:23" outlineLevel="1">
      <c r="G213" s="12">
        <f t="shared" si="100"/>
        <v>37.416438356164385</v>
      </c>
      <c r="H213" s="4">
        <v>127</v>
      </c>
      <c r="I213" s="4">
        <f t="shared" si="170"/>
        <v>11</v>
      </c>
      <c r="J213" s="30">
        <f t="shared" si="180"/>
        <v>44562</v>
      </c>
      <c r="K213" s="62">
        <f>+IF(OR(H213&gt;60,$C$21="nein"),IF($C$19="monatlich",$C$20,IF($C$19="quartalsweise",OR(MONTH(J213)={1,4,7,10})*$C$20,IF($C$19="jährlich",(MONTH(J213)=7)*$C$20))),IF($C$19="monatlich",$C$22,IF($C$19="quartalsweise",OR(MONTH(J213)={1,4,7,10})*$C$22,IF($C$19="jährlich",(MONTH(J213)=7)*$C$22))))</f>
        <v>900</v>
      </c>
      <c r="L213" s="66">
        <f t="shared" si="181"/>
        <v>0</v>
      </c>
      <c r="M213" s="62">
        <f t="shared" si="182"/>
        <v>0</v>
      </c>
      <c r="N213" s="67">
        <f>+IF(AND($C$19="monatlich",K213&lt;$C$20),$C$20-K213,IF(AND($C$19="quartalsweise",OR(MONTH(J213)={1,4,7,10}),K213&lt;$C$20),$C$20-K213,IF(AND($C$19="jährlich",MONTH(J213)=7,K213&lt;$C$20),$C$20-K213,0)))</f>
        <v>0</v>
      </c>
      <c r="O213" s="67">
        <v>0</v>
      </c>
      <c r="P213" s="67">
        <v>0</v>
      </c>
      <c r="Q213" s="63">
        <f t="shared" si="183"/>
        <v>0</v>
      </c>
      <c r="R213" s="68">
        <f t="shared" si="113"/>
        <v>900</v>
      </c>
      <c r="S213" s="69">
        <f t="shared" si="177"/>
        <v>47810.490921741468</v>
      </c>
      <c r="T213" s="68">
        <f t="shared" si="185"/>
        <v>0</v>
      </c>
      <c r="U213" s="66">
        <f t="shared" si="186"/>
        <v>-38.519814353474494</v>
      </c>
      <c r="V213" s="68">
        <f t="shared" si="187"/>
        <v>198.53750950499744</v>
      </c>
      <c r="W213" s="66">
        <f t="shared" si="188"/>
        <v>48469.019976350908</v>
      </c>
    </row>
    <row r="214" spans="2:23" outlineLevel="1">
      <c r="G214" s="12">
        <f t="shared" si="100"/>
        <v>37.5013698630137</v>
      </c>
      <c r="H214" s="4">
        <v>128</v>
      </c>
      <c r="I214" s="4">
        <f t="shared" si="170"/>
        <v>11</v>
      </c>
      <c r="J214" s="30">
        <f t="shared" si="180"/>
        <v>44593</v>
      </c>
      <c r="K214" s="62">
        <f>+IF(OR(H214&gt;60,$C$21="nein"),IF($C$19="monatlich",$C$20,IF($C$19="quartalsweise",OR(MONTH(J214)={1,4,7,10})*$C$20,IF($C$19="jährlich",(MONTH(J214)=7)*$C$20))),IF($C$19="monatlich",$C$22,IF($C$19="quartalsweise",OR(MONTH(J214)={1,4,7,10})*$C$22,IF($C$19="jährlich",(MONTH(J214)=7)*$C$22))))</f>
        <v>0</v>
      </c>
      <c r="L214" s="66">
        <f t="shared" si="181"/>
        <v>0</v>
      </c>
      <c r="M214" s="62">
        <f t="shared" si="182"/>
        <v>0</v>
      </c>
      <c r="N214" s="67">
        <f>+IF(AND($C$19="monatlich",K214&lt;$C$20),$C$20-K214,IF(AND($C$19="quartalsweise",OR(MONTH(J214)={1,4,7,10}),K214&lt;$C$20),$C$20-K214,IF(AND($C$19="jährlich",MONTH(J214)=7,K214&lt;$C$20),$C$20-K214,0)))</f>
        <v>0</v>
      </c>
      <c r="O214" s="67">
        <v>0</v>
      </c>
      <c r="P214" s="67">
        <v>0</v>
      </c>
      <c r="Q214" s="63">
        <f t="shared" si="183"/>
        <v>0</v>
      </c>
      <c r="R214" s="68">
        <f t="shared" si="113"/>
        <v>0</v>
      </c>
      <c r="S214" s="69">
        <f t="shared" si="177"/>
        <v>47810.490921741468</v>
      </c>
      <c r="T214" s="68">
        <f t="shared" si="185"/>
        <v>0</v>
      </c>
      <c r="U214" s="66">
        <f t="shared" si="186"/>
        <v>-39.381078730785113</v>
      </c>
      <c r="V214" s="68">
        <f t="shared" si="187"/>
        <v>202.95424990146211</v>
      </c>
      <c r="W214" s="66">
        <f t="shared" si="188"/>
        <v>48632.593147521584</v>
      </c>
    </row>
    <row r="215" spans="2:23" outlineLevel="1">
      <c r="G215" s="12">
        <f t="shared" si="100"/>
        <v>37.578082191780823</v>
      </c>
      <c r="H215" s="4">
        <v>129</v>
      </c>
      <c r="I215" s="4">
        <f t="shared" si="170"/>
        <v>11</v>
      </c>
      <c r="J215" s="30">
        <f t="shared" si="180"/>
        <v>44621</v>
      </c>
      <c r="K215" s="62">
        <f>+IF(OR(H215&gt;60,$C$21="nein"),IF($C$19="monatlich",$C$20,IF($C$19="quartalsweise",OR(MONTH(J215)={1,4,7,10})*$C$20,IF($C$19="jährlich",(MONTH(J215)=7)*$C$20))),IF($C$19="monatlich",$C$22,IF($C$19="quartalsweise",OR(MONTH(J215)={1,4,7,10})*$C$22,IF($C$19="jährlich",(MONTH(J215)=7)*$C$22))))</f>
        <v>0</v>
      </c>
      <c r="L215" s="66">
        <f t="shared" si="181"/>
        <v>0</v>
      </c>
      <c r="M215" s="62">
        <f t="shared" si="182"/>
        <v>0</v>
      </c>
      <c r="N215" s="67">
        <f>+IF(AND($C$19="monatlich",K215&lt;$C$20),$C$20-K215,IF(AND($C$19="quartalsweise",OR(MONTH(J215)={1,4,7,10}),K215&lt;$C$20),$C$20-K215,IF(AND($C$19="jährlich",MONTH(J215)=7,K215&lt;$C$20),$C$20-K215,0)))-$C$67/100*SUM(Q197:Q205,Q207:Q209)-$C$66/100*SUM(L197:L205,L207:L209)</f>
        <v>8.105624345595924</v>
      </c>
      <c r="O215" s="67">
        <v>0</v>
      </c>
      <c r="P215" s="67">
        <v>0</v>
      </c>
      <c r="Q215" s="63">
        <f t="shared" si="183"/>
        <v>-0.40528121727979621</v>
      </c>
      <c r="R215" s="68">
        <f t="shared" si="113"/>
        <v>8.105624345595924</v>
      </c>
      <c r="S215" s="69">
        <f t="shared" si="177"/>
        <v>47818.596546087065</v>
      </c>
      <c r="T215" s="68">
        <f t="shared" si="185"/>
        <v>0</v>
      </c>
      <c r="U215" s="66">
        <f t="shared" si="186"/>
        <v>-39.513981932361283</v>
      </c>
      <c r="V215" s="68">
        <f t="shared" si="187"/>
        <v>203.63580478133994</v>
      </c>
      <c r="W215" s="66">
        <f t="shared" si="188"/>
        <v>48804.415313498881</v>
      </c>
    </row>
    <row r="216" spans="2:23" outlineLevel="1">
      <c r="G216" s="12">
        <f t="shared" ref="G216:G285" si="189">+(J216-DATE(1984,8,11))/365</f>
        <v>37.663013698630138</v>
      </c>
      <c r="H216" s="4">
        <v>130</v>
      </c>
      <c r="I216" s="4">
        <f t="shared" si="170"/>
        <v>11</v>
      </c>
      <c r="J216" s="30">
        <f t="shared" si="180"/>
        <v>44652</v>
      </c>
      <c r="K216" s="62">
        <f>+IF(OR(H216&gt;60,$C$21="nein"),IF($C$19="monatlich",$C$20,IF($C$19="quartalsweise",OR(MONTH(J216)={1,4,7,10})*$C$20,IF($C$19="jährlich",(MONTH(J216)=7)*$C$20))),IF($C$19="monatlich",$C$22,IF($C$19="quartalsweise",OR(MONTH(J216)={1,4,7,10})*$C$22,IF($C$19="jährlich",(MONTH(J216)=7)*$C$22))))</f>
        <v>900</v>
      </c>
      <c r="L216" s="66">
        <f t="shared" si="181"/>
        <v>0</v>
      </c>
      <c r="M216" s="62">
        <f t="shared" si="182"/>
        <v>154</v>
      </c>
      <c r="N216" s="67">
        <f>+IF(AND($C$19="monatlich",K216&lt;$C$20),$C$20-K216,IF(AND($C$19="quartalsweise",OR(MONTH(J216)={1,4,7,10}),K216&lt;$C$20),$C$20-K216,IF(AND($C$19="jährlich",MONTH(J216)=7,K216&lt;$C$20),$C$20-K216,0)))</f>
        <v>0</v>
      </c>
      <c r="O216" s="67">
        <v>0</v>
      </c>
      <c r="P216" s="67">
        <v>0</v>
      </c>
      <c r="Q216" s="63">
        <f t="shared" si="183"/>
        <v>-7.7</v>
      </c>
      <c r="R216" s="68">
        <f t="shared" si="113"/>
        <v>1054</v>
      </c>
      <c r="S216" s="69">
        <f t="shared" si="177"/>
        <v>48872.596546087065</v>
      </c>
      <c r="T216" s="68">
        <f t="shared" si="185"/>
        <v>0</v>
      </c>
      <c r="U216" s="66">
        <f t="shared" si="186"/>
        <v>-39.653587442217841</v>
      </c>
      <c r="V216" s="68">
        <f t="shared" si="187"/>
        <v>204.35173047291201</v>
      </c>
      <c r="W216" s="66">
        <f t="shared" si="188"/>
        <v>50015.413456529575</v>
      </c>
    </row>
    <row r="217" spans="2:23" outlineLevel="1">
      <c r="G217" s="12">
        <f t="shared" si="189"/>
        <v>37.745205479452054</v>
      </c>
      <c r="H217" s="4">
        <v>131</v>
      </c>
      <c r="I217" s="4">
        <f t="shared" si="170"/>
        <v>11</v>
      </c>
      <c r="J217" s="30">
        <f t="shared" si="180"/>
        <v>44682</v>
      </c>
      <c r="K217" s="62">
        <f>+IF(OR(H217&gt;60,$C$21="nein"),IF($C$19="monatlich",$C$20,IF($C$19="quartalsweise",OR(MONTH(J217)={1,4,7,10})*$C$20,IF($C$19="jährlich",(MONTH(J217)=7)*$C$20))),IF($C$19="monatlich",$C$22,IF($C$19="quartalsweise",OR(MONTH(J217)={1,4,7,10})*$C$22,IF($C$19="jährlich",(MONTH(J217)=7)*$C$22))))</f>
        <v>0</v>
      </c>
      <c r="L217" s="66">
        <f t="shared" si="181"/>
        <v>0</v>
      </c>
      <c r="M217" s="62">
        <f t="shared" si="182"/>
        <v>0</v>
      </c>
      <c r="N217" s="67">
        <f>+IF(AND($C$19="monatlich",K217&lt;$C$20),$C$20-K217,IF(AND($C$19="quartalsweise",OR(MONTH(J217)={1,4,7,10}),K217&lt;$C$20),$C$20-K217,IF(AND($C$19="jährlich",MONTH(J217)=7,K217&lt;$C$20),$C$20-K217,0)))</f>
        <v>0</v>
      </c>
      <c r="O217" s="67">
        <v>0</v>
      </c>
      <c r="P217" s="67">
        <v>0</v>
      </c>
      <c r="Q217" s="63">
        <f t="shared" si="183"/>
        <v>0</v>
      </c>
      <c r="R217" s="68">
        <f t="shared" si="113"/>
        <v>0</v>
      </c>
      <c r="S217" s="69">
        <f t="shared" si="177"/>
        <v>48872.596546087065</v>
      </c>
      <c r="T217" s="68">
        <f t="shared" si="185"/>
        <v>0</v>
      </c>
      <c r="U217" s="66">
        <f t="shared" si="186"/>
        <v>-40.637523433430275</v>
      </c>
      <c r="V217" s="68">
        <f t="shared" si="187"/>
        <v>209.39755606887323</v>
      </c>
      <c r="W217" s="66">
        <f t="shared" si="188"/>
        <v>50184.173489165012</v>
      </c>
    </row>
    <row r="218" spans="2:23" outlineLevel="1">
      <c r="G218" s="13">
        <f t="shared" si="189"/>
        <v>37.830136986301369</v>
      </c>
      <c r="H218" s="6">
        <v>132</v>
      </c>
      <c r="I218" s="6">
        <f t="shared" si="170"/>
        <v>11</v>
      </c>
      <c r="J218" s="31">
        <f t="shared" si="180"/>
        <v>44713</v>
      </c>
      <c r="K218" s="62">
        <f>+IF(OR(H218&gt;60,$C$21="nein"),IF($C$19="monatlich",$C$20,IF($C$19="quartalsweise",OR(MONTH(J218)={1,4,7,10})*$C$20,IF($C$19="jährlich",(MONTH(J218)=7)*$C$20))),IF($C$19="monatlich",$C$22,IF($C$19="quartalsweise",OR(MONTH(J218)={1,4,7,10})*$C$22,IF($C$19="jährlich",(MONTH(J218)=7)*$C$22))))</f>
        <v>0</v>
      </c>
      <c r="L218" s="70">
        <f t="shared" si="181"/>
        <v>0</v>
      </c>
      <c r="M218" s="62">
        <f t="shared" si="182"/>
        <v>0</v>
      </c>
      <c r="N218" s="71">
        <f>+IF(AND($C$19="monatlich",K218&lt;$C$20),$C$20-K218,IF(AND($C$19="quartalsweise",OR(MONTH(J218)={1,4,7,10}),K218&lt;$C$20),$C$20-K218,IF(AND($C$19="jährlich",MONTH(J218)=7,K218&lt;$C$20),$C$20-K218,0)))</f>
        <v>0</v>
      </c>
      <c r="O218" s="71">
        <v>0</v>
      </c>
      <c r="P218" s="71">
        <v>0</v>
      </c>
      <c r="Q218" s="63">
        <f t="shared" si="183"/>
        <v>0</v>
      </c>
      <c r="R218" s="72">
        <f t="shared" si="113"/>
        <v>0</v>
      </c>
      <c r="S218" s="73">
        <f t="shared" si="177"/>
        <v>48872.596546087065</v>
      </c>
      <c r="T218" s="72">
        <f t="shared" si="185"/>
        <v>0</v>
      </c>
      <c r="U218" s="70">
        <f t="shared" si="186"/>
        <v>-40.774640959946574</v>
      </c>
      <c r="V218" s="72">
        <f t="shared" si="187"/>
        <v>210.10072287152087</v>
      </c>
      <c r="W218" s="70">
        <f t="shared" si="188"/>
        <v>50353.499571076587</v>
      </c>
    </row>
    <row r="219" spans="2:23" s="5" customFormat="1" ht="15">
      <c r="B219" s="17"/>
      <c r="G219" s="115">
        <f t="shared" si="189"/>
        <v>37.830136986301369</v>
      </c>
      <c r="H219" s="116" t="str">
        <f>H207&amp;" - "&amp;H218</f>
        <v>121 - 132</v>
      </c>
      <c r="I219" s="117">
        <f t="shared" si="170"/>
        <v>11</v>
      </c>
      <c r="J219" s="118">
        <f t="shared" ref="J219" si="190">+J218</f>
        <v>44713</v>
      </c>
      <c r="K219" s="119">
        <f t="shared" ref="K219:L219" si="191">SUM(K207:K218)</f>
        <v>3600</v>
      </c>
      <c r="L219" s="120">
        <f t="shared" si="191"/>
        <v>0</v>
      </c>
      <c r="M219" s="119">
        <f t="shared" ref="M219" si="192">SUM(M207:M218)</f>
        <v>154</v>
      </c>
      <c r="N219" s="121">
        <f t="shared" si="140"/>
        <v>8.105624345595924</v>
      </c>
      <c r="O219" s="121">
        <f t="shared" ref="O219" si="193">SUM(O207:O218)</f>
        <v>0</v>
      </c>
      <c r="P219" s="121">
        <f t="shared" ref="P219" si="194">SUM(P207:P218)</f>
        <v>0</v>
      </c>
      <c r="Q219" s="120">
        <f t="shared" si="175"/>
        <v>-8.1052812172797957</v>
      </c>
      <c r="R219" s="119">
        <f t="shared" ref="R219" si="195">SUM(R207:R218)</f>
        <v>3762.105624345596</v>
      </c>
      <c r="S219" s="122">
        <f t="shared" si="177"/>
        <v>48872.596546087065</v>
      </c>
      <c r="T219" s="119">
        <f t="shared" ref="T219:V219" si="196">SUM(T207:T218)</f>
        <v>-15.4</v>
      </c>
      <c r="U219" s="120">
        <f t="shared" si="196"/>
        <v>-463.33820878638187</v>
      </c>
      <c r="V219" s="119">
        <f t="shared" si="196"/>
        <v>2388.0933783917021</v>
      </c>
      <c r="W219" s="123">
        <f t="shared" ref="W219" si="197">+W218</f>
        <v>50353.499571076587</v>
      </c>
    </row>
    <row r="220" spans="2:23" outlineLevel="1">
      <c r="G220" s="11">
        <f t="shared" si="189"/>
        <v>37.912328767123284</v>
      </c>
      <c r="H220" s="2">
        <v>133</v>
      </c>
      <c r="I220" s="2">
        <f t="shared" si="170"/>
        <v>12</v>
      </c>
      <c r="J220" s="29">
        <f t="shared" si="180"/>
        <v>44743</v>
      </c>
      <c r="K220" s="62">
        <f>+IF(OR(H220&gt;60,$C$21="nein"),IF($C$19="monatlich",$C$20,IF($C$19="quartalsweise",OR(MONTH(J220)={1,4,7,10})*$C$20,IF($C$19="jährlich",(MONTH(J220)=7)*$C$20))),IF($C$19="monatlich",$C$22,IF($C$19="quartalsweise",OR(MONTH(J220)={1,4,7,10})*$C$22,IF($C$19="jährlich",(MONTH(J220)=7)*$C$22))))</f>
        <v>900</v>
      </c>
      <c r="L220" s="63">
        <f t="shared" ref="L220:L231" si="198">-IF(H220&gt;60,0,IF($C$19="monatlich",$C$52,IF(AND($C$19="quartalsweise",K220&gt;0),$C$52,IF(AND($C$19="jährlich",K220&gt;0),$C$51,0))))</f>
        <v>0</v>
      </c>
      <c r="M220" s="62">
        <f t="shared" ref="M220:M231" si="199">+IF(MONTH(J220)=4,$C$25,0)</f>
        <v>0</v>
      </c>
      <c r="N220" s="64">
        <f>+IF(AND($C$19="monatlich",K220&lt;$C$20),$C$20-K220,IF(AND($C$19="quartalsweise",OR(MONTH(J220)={1,4,7,10}),K220&lt;$C$20),$C$20-K220,IF(AND($C$19="jährlich",MONTH(J220)=7,K220&lt;$C$20),$C$20-K220,0)))</f>
        <v>0</v>
      </c>
      <c r="O220" s="64">
        <v>0</v>
      </c>
      <c r="P220" s="64">
        <v>0</v>
      </c>
      <c r="Q220" s="63">
        <f t="shared" ref="Q220:Q231" si="200">-SUM(M220:P220)*$C$47/100</f>
        <v>0</v>
      </c>
      <c r="R220" s="62">
        <f t="shared" ref="R220:R283" si="201">+SUM(K220,M220:P220)</f>
        <v>900</v>
      </c>
      <c r="S220" s="65">
        <f t="shared" si="177"/>
        <v>49772.596546087065</v>
      </c>
      <c r="T220" s="62">
        <f t="shared" ref="T220:T231" si="202">-IF(MONTH(J220)=12,$C$55,0)</f>
        <v>0</v>
      </c>
      <c r="U220" s="63">
        <f t="shared" ref="U220:U231" si="203">-W219*($D$43/100/12)</f>
        <v>-40.912218401499722</v>
      </c>
      <c r="V220" s="62">
        <f t="shared" ref="V220:V231" si="204">+(1+(IF($C$71="pauschal",$C$72/100/12,VLOOKUP(I219,$J$5:$L$44,3,FALSE)/100/12)*W219))</f>
        <v>210.8062482128191</v>
      </c>
      <c r="W220" s="63">
        <f t="shared" ref="W220:W231" si="205">+SUM(W219,R220,L220,Q220,T220:V220)</f>
        <v>51423.39360088791</v>
      </c>
    </row>
    <row r="221" spans="2:23" outlineLevel="1">
      <c r="G221" s="12">
        <f t="shared" si="189"/>
        <v>37.9972602739726</v>
      </c>
      <c r="H221" s="4">
        <v>134</v>
      </c>
      <c r="I221" s="4">
        <f t="shared" si="170"/>
        <v>12</v>
      </c>
      <c r="J221" s="30">
        <f t="shared" si="180"/>
        <v>44774</v>
      </c>
      <c r="K221" s="62">
        <f>+IF(OR(H221&gt;60,$C$21="nein"),IF($C$19="monatlich",$C$20,IF($C$19="quartalsweise",OR(MONTH(J221)={1,4,7,10})*$C$20,IF($C$19="jährlich",(MONTH(J221)=7)*$C$20))),IF($C$19="monatlich",$C$22,IF($C$19="quartalsweise",OR(MONTH(J221)={1,4,7,10})*$C$22,IF($C$19="jährlich",(MONTH(J221)=7)*$C$22))))</f>
        <v>0</v>
      </c>
      <c r="L221" s="66">
        <f t="shared" si="198"/>
        <v>0</v>
      </c>
      <c r="M221" s="62">
        <f t="shared" si="199"/>
        <v>0</v>
      </c>
      <c r="N221" s="67">
        <f>+IF(AND($C$19="monatlich",K221&lt;$C$20),$C$20-K221,IF(AND($C$19="quartalsweise",OR(MONTH(J221)={1,4,7,10}),K221&lt;$C$20),$C$20-K221,IF(AND($C$19="jährlich",MONTH(J221)=7,K221&lt;$C$20),$C$20-K221,0)))</f>
        <v>0</v>
      </c>
      <c r="O221" s="67">
        <v>0</v>
      </c>
      <c r="P221" s="67">
        <v>0</v>
      </c>
      <c r="Q221" s="63">
        <f t="shared" si="200"/>
        <v>0</v>
      </c>
      <c r="R221" s="68">
        <f t="shared" si="201"/>
        <v>0</v>
      </c>
      <c r="S221" s="69">
        <f t="shared" si="177"/>
        <v>49772.596546087065</v>
      </c>
      <c r="T221" s="68">
        <f t="shared" si="202"/>
        <v>0</v>
      </c>
      <c r="U221" s="66">
        <f t="shared" si="203"/>
        <v>-41.781507300721422</v>
      </c>
      <c r="V221" s="68">
        <f t="shared" si="204"/>
        <v>215.26414000369962</v>
      </c>
      <c r="W221" s="66">
        <f t="shared" si="205"/>
        <v>51596.87623359089</v>
      </c>
    </row>
    <row r="222" spans="2:23" outlineLevel="1">
      <c r="G222" s="12">
        <f t="shared" si="189"/>
        <v>38.082191780821915</v>
      </c>
      <c r="H222" s="4">
        <v>135</v>
      </c>
      <c r="I222" s="4">
        <f t="shared" si="170"/>
        <v>12</v>
      </c>
      <c r="J222" s="30">
        <f t="shared" si="180"/>
        <v>44805</v>
      </c>
      <c r="K222" s="62">
        <f>+IF(OR(H222&gt;60,$C$21="nein"),IF($C$19="monatlich",$C$20,IF($C$19="quartalsweise",OR(MONTH(J222)={1,4,7,10})*$C$20,IF($C$19="jährlich",(MONTH(J222)=7)*$C$20))),IF($C$19="monatlich",$C$22,IF($C$19="quartalsweise",OR(MONTH(J222)={1,4,7,10})*$C$22,IF($C$19="jährlich",(MONTH(J222)=7)*$C$22))))</f>
        <v>0</v>
      </c>
      <c r="L222" s="66">
        <f t="shared" si="198"/>
        <v>0</v>
      </c>
      <c r="M222" s="62">
        <f t="shared" si="199"/>
        <v>0</v>
      </c>
      <c r="N222" s="67">
        <f>+IF(AND($C$19="monatlich",K222&lt;$C$20),$C$20-K222,IF(AND($C$19="quartalsweise",OR(MONTH(J222)={1,4,7,10}),K222&lt;$C$20),$C$20-K222,IF(AND($C$19="jährlich",MONTH(J222)=7,K222&lt;$C$20),$C$20-K222,0)))</f>
        <v>0</v>
      </c>
      <c r="O222" s="67">
        <v>0</v>
      </c>
      <c r="P222" s="67">
        <v>0</v>
      </c>
      <c r="Q222" s="63">
        <f t="shared" si="200"/>
        <v>0</v>
      </c>
      <c r="R222" s="68">
        <f t="shared" si="201"/>
        <v>0</v>
      </c>
      <c r="S222" s="69">
        <f t="shared" si="177"/>
        <v>49772.596546087065</v>
      </c>
      <c r="T222" s="68">
        <f t="shared" si="202"/>
        <v>0</v>
      </c>
      <c r="U222" s="66">
        <f t="shared" si="203"/>
        <v>-41.922461939792598</v>
      </c>
      <c r="V222" s="68">
        <f t="shared" si="204"/>
        <v>215.9869843066287</v>
      </c>
      <c r="W222" s="66">
        <f t="shared" si="205"/>
        <v>51770.940755957723</v>
      </c>
    </row>
    <row r="223" spans="2:23" outlineLevel="1">
      <c r="G223" s="12">
        <f t="shared" si="189"/>
        <v>38.164383561643838</v>
      </c>
      <c r="H223" s="4">
        <v>136</v>
      </c>
      <c r="I223" s="4">
        <f t="shared" si="170"/>
        <v>12</v>
      </c>
      <c r="J223" s="30">
        <f t="shared" si="180"/>
        <v>44835</v>
      </c>
      <c r="K223" s="62">
        <f>+IF(OR(H223&gt;60,$C$21="nein"),IF($C$19="monatlich",$C$20,IF($C$19="quartalsweise",OR(MONTH(J223)={1,4,7,10})*$C$20,IF($C$19="jährlich",(MONTH(J223)=7)*$C$20))),IF($C$19="monatlich",$C$22,IF($C$19="quartalsweise",OR(MONTH(J223)={1,4,7,10})*$C$22,IF($C$19="jährlich",(MONTH(J223)=7)*$C$22))))</f>
        <v>900</v>
      </c>
      <c r="L223" s="66">
        <f t="shared" si="198"/>
        <v>0</v>
      </c>
      <c r="M223" s="62">
        <f t="shared" si="199"/>
        <v>0</v>
      </c>
      <c r="N223" s="67">
        <f>+IF(AND($C$19="monatlich",K223&lt;$C$20),$C$20-K223,IF(AND($C$19="quartalsweise",OR(MONTH(J223)={1,4,7,10}),K223&lt;$C$20),$C$20-K223,IF(AND($C$19="jährlich",MONTH(J223)=7,K223&lt;$C$20),$C$20-K223,0)))</f>
        <v>0</v>
      </c>
      <c r="O223" s="67">
        <v>0</v>
      </c>
      <c r="P223" s="67">
        <v>0</v>
      </c>
      <c r="Q223" s="63">
        <f t="shared" si="200"/>
        <v>0</v>
      </c>
      <c r="R223" s="68">
        <f t="shared" si="201"/>
        <v>900</v>
      </c>
      <c r="S223" s="69">
        <f t="shared" si="177"/>
        <v>50672.596546087065</v>
      </c>
      <c r="T223" s="68">
        <f t="shared" si="202"/>
        <v>0</v>
      </c>
      <c r="U223" s="66">
        <f t="shared" si="203"/>
        <v>-42.063889364215648</v>
      </c>
      <c r="V223" s="68">
        <f t="shared" si="204"/>
        <v>216.71225314982385</v>
      </c>
      <c r="W223" s="66">
        <f t="shared" si="205"/>
        <v>52845.58911974333</v>
      </c>
    </row>
    <row r="224" spans="2:23" outlineLevel="1">
      <c r="G224" s="12">
        <f t="shared" si="189"/>
        <v>38.249315068493154</v>
      </c>
      <c r="H224" s="4">
        <v>137</v>
      </c>
      <c r="I224" s="4">
        <f t="shared" si="170"/>
        <v>12</v>
      </c>
      <c r="J224" s="30">
        <f t="shared" si="180"/>
        <v>44866</v>
      </c>
      <c r="K224" s="62">
        <f>+IF(OR(H224&gt;60,$C$21="nein"),IF($C$19="monatlich",$C$20,IF($C$19="quartalsweise",OR(MONTH(J224)={1,4,7,10})*$C$20,IF($C$19="jährlich",(MONTH(J224)=7)*$C$20))),IF($C$19="monatlich",$C$22,IF($C$19="quartalsweise",OR(MONTH(J224)={1,4,7,10})*$C$22,IF($C$19="jährlich",(MONTH(J224)=7)*$C$22))))</f>
        <v>0</v>
      </c>
      <c r="L224" s="66">
        <f t="shared" si="198"/>
        <v>0</v>
      </c>
      <c r="M224" s="62">
        <f t="shared" si="199"/>
        <v>0</v>
      </c>
      <c r="N224" s="67">
        <f>+IF(AND($C$19="monatlich",K224&lt;$C$20),$C$20-K224,IF(AND($C$19="quartalsweise",OR(MONTH(J224)={1,4,7,10}),K224&lt;$C$20),$C$20-K224,IF(AND($C$19="jährlich",MONTH(J224)=7,K224&lt;$C$20),$C$20-K224,0)))</f>
        <v>0</v>
      </c>
      <c r="O224" s="67">
        <v>0</v>
      </c>
      <c r="P224" s="67">
        <v>0</v>
      </c>
      <c r="Q224" s="63">
        <f t="shared" si="200"/>
        <v>0</v>
      </c>
      <c r="R224" s="68">
        <f t="shared" si="201"/>
        <v>0</v>
      </c>
      <c r="S224" s="69">
        <f t="shared" si="177"/>
        <v>50672.596546087065</v>
      </c>
      <c r="T224" s="68">
        <f t="shared" si="202"/>
        <v>0</v>
      </c>
      <c r="U224" s="66">
        <f t="shared" si="203"/>
        <v>-42.937041159791455</v>
      </c>
      <c r="V224" s="68">
        <f t="shared" si="204"/>
        <v>221.18995466559721</v>
      </c>
      <c r="W224" s="66">
        <f t="shared" si="205"/>
        <v>53023.842033249137</v>
      </c>
    </row>
    <row r="225" spans="2:23" outlineLevel="1">
      <c r="G225" s="12">
        <f t="shared" si="189"/>
        <v>38.331506849315069</v>
      </c>
      <c r="H225" s="4">
        <v>138</v>
      </c>
      <c r="I225" s="4">
        <f t="shared" si="170"/>
        <v>12</v>
      </c>
      <c r="J225" s="30">
        <f t="shared" si="180"/>
        <v>44896</v>
      </c>
      <c r="K225" s="62">
        <f>+IF(OR(H225&gt;60,$C$21="nein"),IF($C$19="monatlich",$C$20,IF($C$19="quartalsweise",OR(MONTH(J225)={1,4,7,10})*$C$20,IF($C$19="jährlich",(MONTH(J225)=7)*$C$20))),IF($C$19="monatlich",$C$22,IF($C$19="quartalsweise",OR(MONTH(J225)={1,4,7,10})*$C$22,IF($C$19="jährlich",(MONTH(J225)=7)*$C$22))))</f>
        <v>0</v>
      </c>
      <c r="L225" s="66">
        <f t="shared" si="198"/>
        <v>0</v>
      </c>
      <c r="M225" s="62">
        <f t="shared" si="199"/>
        <v>0</v>
      </c>
      <c r="N225" s="67">
        <f>+IF(AND($C$19="monatlich",K225&lt;$C$20),$C$20-K225,IF(AND($C$19="quartalsweise",OR(MONTH(J225)={1,4,7,10}),K225&lt;$C$20),$C$20-K225,IF(AND($C$19="jährlich",MONTH(J225)=7,K225&lt;$C$20),$C$20-K225,0)))</f>
        <v>0</v>
      </c>
      <c r="O225" s="67">
        <v>0</v>
      </c>
      <c r="P225" s="67">
        <v>0</v>
      </c>
      <c r="Q225" s="63">
        <f t="shared" si="200"/>
        <v>0</v>
      </c>
      <c r="R225" s="68">
        <f t="shared" si="201"/>
        <v>0</v>
      </c>
      <c r="S225" s="69">
        <f t="shared" si="177"/>
        <v>50672.596546087065</v>
      </c>
      <c r="T225" s="68">
        <f t="shared" si="202"/>
        <v>-15.4</v>
      </c>
      <c r="U225" s="66">
        <f t="shared" si="203"/>
        <v>-43.081871652014925</v>
      </c>
      <c r="V225" s="68">
        <f t="shared" si="204"/>
        <v>221.93267513853806</v>
      </c>
      <c r="W225" s="66">
        <f t="shared" si="205"/>
        <v>53187.292836735658</v>
      </c>
    </row>
    <row r="226" spans="2:23" outlineLevel="1">
      <c r="G226" s="12">
        <f t="shared" si="189"/>
        <v>38.416438356164385</v>
      </c>
      <c r="H226" s="4">
        <v>139</v>
      </c>
      <c r="I226" s="4">
        <f t="shared" si="170"/>
        <v>12</v>
      </c>
      <c r="J226" s="30">
        <f t="shared" si="180"/>
        <v>44927</v>
      </c>
      <c r="K226" s="62">
        <f>+IF(OR(H226&gt;60,$C$21="nein"),IF($C$19="monatlich",$C$20,IF($C$19="quartalsweise",OR(MONTH(J226)={1,4,7,10})*$C$20,IF($C$19="jährlich",(MONTH(J226)=7)*$C$20))),IF($C$19="monatlich",$C$22,IF($C$19="quartalsweise",OR(MONTH(J226)={1,4,7,10})*$C$22,IF($C$19="jährlich",(MONTH(J226)=7)*$C$22))))</f>
        <v>900</v>
      </c>
      <c r="L226" s="66">
        <f t="shared" si="198"/>
        <v>0</v>
      </c>
      <c r="M226" s="62">
        <f t="shared" si="199"/>
        <v>0</v>
      </c>
      <c r="N226" s="67">
        <f>+IF(AND($C$19="monatlich",K226&lt;$C$20),$C$20-K226,IF(AND($C$19="quartalsweise",OR(MONTH(J226)={1,4,7,10}),K226&lt;$C$20),$C$20-K226,IF(AND($C$19="jährlich",MONTH(J226)=7,K226&lt;$C$20),$C$20-K226,0)))</f>
        <v>0</v>
      </c>
      <c r="O226" s="67">
        <v>0</v>
      </c>
      <c r="P226" s="67">
        <v>0</v>
      </c>
      <c r="Q226" s="63">
        <f t="shared" si="200"/>
        <v>0</v>
      </c>
      <c r="R226" s="68">
        <f t="shared" si="201"/>
        <v>900</v>
      </c>
      <c r="S226" s="69">
        <f t="shared" si="177"/>
        <v>51572.596546087065</v>
      </c>
      <c r="T226" s="68">
        <f t="shared" si="202"/>
        <v>0</v>
      </c>
      <c r="U226" s="66">
        <f t="shared" si="203"/>
        <v>-43.214675429847723</v>
      </c>
      <c r="V226" s="68">
        <f t="shared" si="204"/>
        <v>222.61372015306523</v>
      </c>
      <c r="W226" s="66">
        <f t="shared" si="205"/>
        <v>54266.691881458879</v>
      </c>
    </row>
    <row r="227" spans="2:23" outlineLevel="1">
      <c r="G227" s="12">
        <f t="shared" si="189"/>
        <v>38.5013698630137</v>
      </c>
      <c r="H227" s="4">
        <v>140</v>
      </c>
      <c r="I227" s="4">
        <f t="shared" si="170"/>
        <v>12</v>
      </c>
      <c r="J227" s="30">
        <f t="shared" si="180"/>
        <v>44958</v>
      </c>
      <c r="K227" s="62">
        <f>+IF(OR(H227&gt;60,$C$21="nein"),IF($C$19="monatlich",$C$20,IF($C$19="quartalsweise",OR(MONTH(J227)={1,4,7,10})*$C$20,IF($C$19="jährlich",(MONTH(J227)=7)*$C$20))),IF($C$19="monatlich",$C$22,IF($C$19="quartalsweise",OR(MONTH(J227)={1,4,7,10})*$C$22,IF($C$19="jährlich",(MONTH(J227)=7)*$C$22))))</f>
        <v>0</v>
      </c>
      <c r="L227" s="66">
        <f t="shared" si="198"/>
        <v>0</v>
      </c>
      <c r="M227" s="62">
        <f t="shared" si="199"/>
        <v>0</v>
      </c>
      <c r="N227" s="67">
        <f>+IF(AND($C$19="monatlich",K227&lt;$C$20),$C$20-K227,IF(AND($C$19="quartalsweise",OR(MONTH(J227)={1,4,7,10}),K227&lt;$C$20),$C$20-K227,IF(AND($C$19="jährlich",MONTH(J227)=7,K227&lt;$C$20),$C$20-K227,0)))</f>
        <v>0</v>
      </c>
      <c r="O227" s="67">
        <v>0</v>
      </c>
      <c r="P227" s="67">
        <v>0</v>
      </c>
      <c r="Q227" s="63">
        <f t="shared" si="200"/>
        <v>0</v>
      </c>
      <c r="R227" s="68">
        <f t="shared" si="201"/>
        <v>0</v>
      </c>
      <c r="S227" s="69">
        <f t="shared" si="177"/>
        <v>51572.596546087065</v>
      </c>
      <c r="T227" s="68">
        <f t="shared" si="202"/>
        <v>0</v>
      </c>
      <c r="U227" s="66">
        <f t="shared" si="203"/>
        <v>-44.091687153685335</v>
      </c>
      <c r="V227" s="68">
        <f t="shared" si="204"/>
        <v>227.11121617274532</v>
      </c>
      <c r="W227" s="66">
        <f t="shared" si="205"/>
        <v>54449.711410477939</v>
      </c>
    </row>
    <row r="228" spans="2:23" outlineLevel="1">
      <c r="G228" s="12">
        <f t="shared" si="189"/>
        <v>38.578082191780823</v>
      </c>
      <c r="H228" s="4">
        <v>141</v>
      </c>
      <c r="I228" s="4">
        <f t="shared" si="170"/>
        <v>12</v>
      </c>
      <c r="J228" s="30">
        <f t="shared" si="180"/>
        <v>44986</v>
      </c>
      <c r="K228" s="62">
        <f>+IF(OR(H228&gt;60,$C$21="nein"),IF($C$19="monatlich",$C$20,IF($C$19="quartalsweise",OR(MONTH(J228)={1,4,7,10})*$C$20,IF($C$19="jährlich",(MONTH(J228)=7)*$C$20))),IF($C$19="monatlich",$C$22,IF($C$19="quartalsweise",OR(MONTH(J228)={1,4,7,10})*$C$22,IF($C$19="jährlich",(MONTH(J228)=7)*$C$22))))</f>
        <v>0</v>
      </c>
      <c r="L228" s="66">
        <f t="shared" si="198"/>
        <v>0</v>
      </c>
      <c r="M228" s="62">
        <f t="shared" si="199"/>
        <v>0</v>
      </c>
      <c r="N228" s="67">
        <f>+IF(AND($C$19="monatlich",K228&lt;$C$20),$C$20-K228,IF(AND($C$19="quartalsweise",OR(MONTH(J228)={1,4,7,10}),K228&lt;$C$20),$C$20-K228,IF(AND($C$19="jährlich",MONTH(J228)=7,K228&lt;$C$20),$C$20-K228,0)))-$C$67/100*SUM(Q210:Q218,Q220:Q222)-$C$66/100*SUM(L210:L218,L220:L222)</f>
        <v>8.1052812172797957</v>
      </c>
      <c r="O228" s="67">
        <v>0</v>
      </c>
      <c r="P228" s="67">
        <v>0</v>
      </c>
      <c r="Q228" s="63">
        <f t="shared" si="200"/>
        <v>-0.40526406086398981</v>
      </c>
      <c r="R228" s="68">
        <f t="shared" si="201"/>
        <v>8.1052812172797957</v>
      </c>
      <c r="S228" s="69">
        <f t="shared" si="177"/>
        <v>51580.701827304343</v>
      </c>
      <c r="T228" s="68">
        <f t="shared" si="202"/>
        <v>0</v>
      </c>
      <c r="U228" s="66">
        <f t="shared" si="203"/>
        <v>-44.240390521013325</v>
      </c>
      <c r="V228" s="68">
        <f t="shared" si="204"/>
        <v>227.87379754365807</v>
      </c>
      <c r="W228" s="66">
        <f t="shared" si="205"/>
        <v>54641.044834656997</v>
      </c>
    </row>
    <row r="229" spans="2:23" outlineLevel="1">
      <c r="G229" s="12">
        <f t="shared" si="189"/>
        <v>38.663013698630138</v>
      </c>
      <c r="H229" s="4">
        <v>142</v>
      </c>
      <c r="I229" s="4">
        <f t="shared" ref="I229:I231" si="206">+I216+1</f>
        <v>12</v>
      </c>
      <c r="J229" s="30">
        <f t="shared" si="180"/>
        <v>45017</v>
      </c>
      <c r="K229" s="62">
        <f>+IF(OR(H229&gt;60,$C$21="nein"),IF($C$19="monatlich",$C$20,IF($C$19="quartalsweise",OR(MONTH(J229)={1,4,7,10})*$C$20,IF($C$19="jährlich",(MONTH(J229)=7)*$C$20))),IF($C$19="monatlich",$C$22,IF($C$19="quartalsweise",OR(MONTH(J229)={1,4,7,10})*$C$22,IF($C$19="jährlich",(MONTH(J229)=7)*$C$22))))</f>
        <v>900</v>
      </c>
      <c r="L229" s="66">
        <f t="shared" si="198"/>
        <v>0</v>
      </c>
      <c r="M229" s="62">
        <f t="shared" si="199"/>
        <v>154</v>
      </c>
      <c r="N229" s="67">
        <f>+IF(AND($C$19="monatlich",K229&lt;$C$20),$C$20-K229,IF(AND($C$19="quartalsweise",OR(MONTH(J229)={1,4,7,10}),K229&lt;$C$20),$C$20-K229,IF(AND($C$19="jährlich",MONTH(J229)=7,K229&lt;$C$20),$C$20-K229,0)))</f>
        <v>0</v>
      </c>
      <c r="O229" s="67">
        <v>0</v>
      </c>
      <c r="P229" s="67">
        <v>0</v>
      </c>
      <c r="Q229" s="63">
        <f t="shared" si="200"/>
        <v>-7.7</v>
      </c>
      <c r="R229" s="68">
        <f t="shared" si="201"/>
        <v>1054</v>
      </c>
      <c r="S229" s="69">
        <f t="shared" si="177"/>
        <v>52634.701827304343</v>
      </c>
      <c r="T229" s="68">
        <f t="shared" si="202"/>
        <v>0</v>
      </c>
      <c r="U229" s="66">
        <f t="shared" si="203"/>
        <v>-44.395848928158806</v>
      </c>
      <c r="V229" s="68">
        <f t="shared" si="204"/>
        <v>228.67102014440414</v>
      </c>
      <c r="W229" s="66">
        <f t="shared" si="205"/>
        <v>55871.62000587325</v>
      </c>
    </row>
    <row r="230" spans="2:23" outlineLevel="1">
      <c r="G230" s="12">
        <f t="shared" si="189"/>
        <v>38.745205479452054</v>
      </c>
      <c r="H230" s="4">
        <v>143</v>
      </c>
      <c r="I230" s="4">
        <f t="shared" si="206"/>
        <v>12</v>
      </c>
      <c r="J230" s="30">
        <f t="shared" si="180"/>
        <v>45047</v>
      </c>
      <c r="K230" s="62">
        <f>+IF(OR(H230&gt;60,$C$21="nein"),IF($C$19="monatlich",$C$20,IF($C$19="quartalsweise",OR(MONTH(J230)={1,4,7,10})*$C$20,IF($C$19="jährlich",(MONTH(J230)=7)*$C$20))),IF($C$19="monatlich",$C$22,IF($C$19="quartalsweise",OR(MONTH(J230)={1,4,7,10})*$C$22,IF($C$19="jährlich",(MONTH(J230)=7)*$C$22))))</f>
        <v>0</v>
      </c>
      <c r="L230" s="66">
        <f t="shared" si="198"/>
        <v>0</v>
      </c>
      <c r="M230" s="62">
        <f t="shared" si="199"/>
        <v>0</v>
      </c>
      <c r="N230" s="67">
        <f>+IF(AND($C$19="monatlich",K230&lt;$C$20),$C$20-K230,IF(AND($C$19="quartalsweise",OR(MONTH(J230)={1,4,7,10}),K230&lt;$C$20),$C$20-K230,IF(AND($C$19="jährlich",MONTH(J230)=7,K230&lt;$C$20),$C$20-K230,0)))</f>
        <v>0</v>
      </c>
      <c r="O230" s="67">
        <v>0</v>
      </c>
      <c r="P230" s="67">
        <v>0</v>
      </c>
      <c r="Q230" s="63">
        <f t="shared" si="200"/>
        <v>0</v>
      </c>
      <c r="R230" s="68">
        <f t="shared" si="201"/>
        <v>0</v>
      </c>
      <c r="S230" s="69">
        <f t="shared" si="177"/>
        <v>52634.701827304343</v>
      </c>
      <c r="T230" s="68">
        <f t="shared" si="202"/>
        <v>0</v>
      </c>
      <c r="U230" s="66">
        <f t="shared" si="203"/>
        <v>-45.395691254772011</v>
      </c>
      <c r="V230" s="68">
        <f t="shared" si="204"/>
        <v>233.79841669113853</v>
      </c>
      <c r="W230" s="66">
        <f t="shared" si="205"/>
        <v>56060.022731309618</v>
      </c>
    </row>
    <row r="231" spans="2:23" outlineLevel="1">
      <c r="G231" s="13">
        <f t="shared" si="189"/>
        <v>38.830136986301369</v>
      </c>
      <c r="H231" s="6">
        <v>144</v>
      </c>
      <c r="I231" s="6">
        <f t="shared" si="206"/>
        <v>12</v>
      </c>
      <c r="J231" s="31">
        <f t="shared" si="180"/>
        <v>45078</v>
      </c>
      <c r="K231" s="62">
        <f>+IF(OR(H231&gt;60,$C$21="nein"),IF($C$19="monatlich",$C$20,IF($C$19="quartalsweise",OR(MONTH(J231)={1,4,7,10})*$C$20,IF($C$19="jährlich",(MONTH(J231)=7)*$C$20))),IF($C$19="monatlich",$C$22,IF($C$19="quartalsweise",OR(MONTH(J231)={1,4,7,10})*$C$22,IF($C$19="jährlich",(MONTH(J231)=7)*$C$22))))</f>
        <v>0</v>
      </c>
      <c r="L231" s="70">
        <f t="shared" si="198"/>
        <v>0</v>
      </c>
      <c r="M231" s="62">
        <f t="shared" si="199"/>
        <v>0</v>
      </c>
      <c r="N231" s="71">
        <f>+IF(AND($C$19="monatlich",K231&lt;$C$20),$C$20-K231,IF(AND($C$19="quartalsweise",OR(MONTH(J231)={1,4,7,10}),K231&lt;$C$20),$C$20-K231,IF(AND($C$19="jährlich",MONTH(J231)=7,K231&lt;$C$20),$C$20-K231,0)))</f>
        <v>0</v>
      </c>
      <c r="O231" s="71">
        <v>0</v>
      </c>
      <c r="P231" s="71">
        <v>0</v>
      </c>
      <c r="Q231" s="63">
        <f t="shared" si="200"/>
        <v>0</v>
      </c>
      <c r="R231" s="72">
        <f t="shared" si="201"/>
        <v>0</v>
      </c>
      <c r="S231" s="73">
        <f t="shared" si="177"/>
        <v>52634.701827304343</v>
      </c>
      <c r="T231" s="72">
        <f t="shared" si="202"/>
        <v>0</v>
      </c>
      <c r="U231" s="70">
        <f t="shared" si="203"/>
        <v>-45.548768469189064</v>
      </c>
      <c r="V231" s="72">
        <f t="shared" si="204"/>
        <v>234.58342804712342</v>
      </c>
      <c r="W231" s="70">
        <f t="shared" si="205"/>
        <v>56249.057390887552</v>
      </c>
    </row>
    <row r="232" spans="2:23" s="5" customFormat="1" ht="15">
      <c r="B232" s="17"/>
      <c r="G232" s="115">
        <f t="shared" si="189"/>
        <v>38.830136986301369</v>
      </c>
      <c r="H232" s="116" t="str">
        <f>H220&amp;" - "&amp;H231</f>
        <v>133 - 144</v>
      </c>
      <c r="I232" s="117">
        <f t="shared" ref="I232:I263" si="207">+I219+1</f>
        <v>12</v>
      </c>
      <c r="J232" s="118">
        <f t="shared" ref="J232" si="208">+J231</f>
        <v>45078</v>
      </c>
      <c r="K232" s="119">
        <f t="shared" ref="K232:L232" si="209">SUM(K220:K231)</f>
        <v>3600</v>
      </c>
      <c r="L232" s="120">
        <f t="shared" si="209"/>
        <v>0</v>
      </c>
      <c r="M232" s="119">
        <f t="shared" ref="M232" si="210">SUM(M220:M231)</f>
        <v>154</v>
      </c>
      <c r="N232" s="121">
        <f t="shared" si="140"/>
        <v>8.1052812172797957</v>
      </c>
      <c r="O232" s="121">
        <f t="shared" ref="O232" si="211">SUM(O220:O231)</f>
        <v>0</v>
      </c>
      <c r="P232" s="121">
        <f t="shared" ref="P232:Q245" si="212">SUM(P220:P231)</f>
        <v>0</v>
      </c>
      <c r="Q232" s="120">
        <f t="shared" si="212"/>
        <v>-8.1052640608639894</v>
      </c>
      <c r="R232" s="119">
        <f t="shared" ref="R232" si="213">SUM(R220:R231)</f>
        <v>3762.1052812172798</v>
      </c>
      <c r="S232" s="122">
        <f t="shared" si="177"/>
        <v>52634.701827304343</v>
      </c>
      <c r="T232" s="119">
        <f t="shared" ref="T232:V232" si="214">SUM(T220:T231)</f>
        <v>-15.4</v>
      </c>
      <c r="U232" s="120">
        <f t="shared" si="214"/>
        <v>-519.58605157470208</v>
      </c>
      <c r="V232" s="119">
        <f t="shared" si="214"/>
        <v>2676.5438542292413</v>
      </c>
      <c r="W232" s="123">
        <f t="shared" ref="W232" si="215">+W231</f>
        <v>56249.057390887552</v>
      </c>
    </row>
    <row r="233" spans="2:23" outlineLevel="1">
      <c r="G233" s="11">
        <f t="shared" si="189"/>
        <v>38.912328767123284</v>
      </c>
      <c r="H233" s="2">
        <v>145</v>
      </c>
      <c r="I233" s="2">
        <f t="shared" si="207"/>
        <v>13</v>
      </c>
      <c r="J233" s="29">
        <f t="shared" si="180"/>
        <v>45108</v>
      </c>
      <c r="K233" s="62">
        <f>+IF(OR(H233&gt;60,$C$21="nein"),IF($C$19="monatlich",$C$20,IF($C$19="quartalsweise",OR(MONTH(J233)={1,4,7,10})*$C$20,IF($C$19="jährlich",(MONTH(J233)=7)*$C$20))),IF($C$19="monatlich",$C$22,IF($C$19="quartalsweise",OR(MONTH(J233)={1,4,7,10})*$C$22,IF($C$19="jährlich",(MONTH(J233)=7)*$C$22))))</f>
        <v>900</v>
      </c>
      <c r="L233" s="63">
        <f t="shared" ref="L233:L244" si="216">-IF(H233&gt;60,0,IF($C$19="monatlich",$C$52,IF(AND($C$19="quartalsweise",K233&gt;0),$C$52,IF(AND($C$19="jährlich",K233&gt;0),$C$51,0))))</f>
        <v>0</v>
      </c>
      <c r="M233" s="62">
        <f t="shared" ref="M233:M244" si="217">+IF(MONTH(J233)=4,$C$25,0)</f>
        <v>0</v>
      </c>
      <c r="N233" s="64">
        <f>+IF(AND($C$19="monatlich",K233&lt;$C$20),$C$20-K233,IF(AND($C$19="quartalsweise",OR(MONTH(J233)={1,4,7,10}),K233&lt;$C$20),$C$20-K233,IF(AND($C$19="jährlich",MONTH(J233)=7,K233&lt;$C$20),$C$20-K233,0)))</f>
        <v>0</v>
      </c>
      <c r="O233" s="64">
        <v>0</v>
      </c>
      <c r="P233" s="64">
        <v>0</v>
      </c>
      <c r="Q233" s="63">
        <f t="shared" ref="Q233:Q244" si="218">-SUM(M233:P233)*$C$47/100</f>
        <v>0</v>
      </c>
      <c r="R233" s="62">
        <f t="shared" ref="R233" si="219">+SUM(K233,M233:P233)</f>
        <v>900</v>
      </c>
      <c r="S233" s="65">
        <f t="shared" si="177"/>
        <v>53534.701827304343</v>
      </c>
      <c r="T233" s="62">
        <f t="shared" ref="T233:T244" si="220">-IF(MONTH(J233)=12,$C$55,0)</f>
        <v>0</v>
      </c>
      <c r="U233" s="63">
        <f t="shared" ref="U233:U244" si="221">-W232*($D$43/100/12)</f>
        <v>-45.702359130096134</v>
      </c>
      <c r="V233" s="62">
        <f t="shared" ref="V233:V244" si="222">+(1+(IF($C$71="pauschal",$C$72/100/12,VLOOKUP(I232,$J$5:$L$44,3,FALSE)/100/12)*W232))</f>
        <v>235.37107246203146</v>
      </c>
      <c r="W233" s="63">
        <f t="shared" ref="W233:W244" si="223">+SUM(W232,R233,L233,Q233,T233:V233)</f>
        <v>57338.726104219488</v>
      </c>
    </row>
    <row r="234" spans="2:23" outlineLevel="1">
      <c r="G234" s="12">
        <f t="shared" si="189"/>
        <v>38.9972602739726</v>
      </c>
      <c r="H234" s="4">
        <v>146</v>
      </c>
      <c r="I234" s="4">
        <f t="shared" si="207"/>
        <v>13</v>
      </c>
      <c r="J234" s="30">
        <f t="shared" si="180"/>
        <v>45139</v>
      </c>
      <c r="K234" s="62">
        <f>+IF(OR(H234&gt;60,$C$21="nein"),IF($C$19="monatlich",$C$20,IF($C$19="quartalsweise",OR(MONTH(J234)={1,4,7,10})*$C$20,IF($C$19="jährlich",(MONTH(J234)=7)*$C$20))),IF($C$19="monatlich",$C$22,IF($C$19="quartalsweise",OR(MONTH(J234)={1,4,7,10})*$C$22,IF($C$19="jährlich",(MONTH(J234)=7)*$C$22))))</f>
        <v>0</v>
      </c>
      <c r="L234" s="66">
        <f t="shared" si="216"/>
        <v>0</v>
      </c>
      <c r="M234" s="62">
        <f t="shared" si="217"/>
        <v>0</v>
      </c>
      <c r="N234" s="67">
        <f>+IF(AND($C$19="monatlich",K234&lt;$C$20),$C$20-K234,IF(AND($C$19="quartalsweise",OR(MONTH(J234)={1,4,7,10}),K234&lt;$C$20),$C$20-K234,IF(AND($C$19="jährlich",MONTH(J234)=7,K234&lt;$C$20),$C$20-K234,0)))</f>
        <v>0</v>
      </c>
      <c r="O234" s="67">
        <v>0</v>
      </c>
      <c r="P234" s="67">
        <v>0</v>
      </c>
      <c r="Q234" s="63">
        <f t="shared" si="218"/>
        <v>0</v>
      </c>
      <c r="R234" s="68">
        <f t="shared" si="201"/>
        <v>0</v>
      </c>
      <c r="S234" s="69">
        <f t="shared" si="177"/>
        <v>53534.701827304343</v>
      </c>
      <c r="T234" s="68">
        <f t="shared" si="220"/>
        <v>0</v>
      </c>
      <c r="U234" s="66">
        <f t="shared" si="221"/>
        <v>-46.58771495967833</v>
      </c>
      <c r="V234" s="68">
        <f t="shared" si="222"/>
        <v>239.91135876758119</v>
      </c>
      <c r="W234" s="66">
        <f t="shared" si="223"/>
        <v>57532.049748027392</v>
      </c>
    </row>
    <row r="235" spans="2:23" outlineLevel="1">
      <c r="G235" s="12">
        <f t="shared" si="189"/>
        <v>39.082191780821915</v>
      </c>
      <c r="H235" s="4">
        <v>147</v>
      </c>
      <c r="I235" s="4">
        <f t="shared" si="207"/>
        <v>13</v>
      </c>
      <c r="J235" s="30">
        <f t="shared" si="180"/>
        <v>45170</v>
      </c>
      <c r="K235" s="62">
        <f>+IF(OR(H235&gt;60,$C$21="nein"),IF($C$19="monatlich",$C$20,IF($C$19="quartalsweise",OR(MONTH(J235)={1,4,7,10})*$C$20,IF($C$19="jährlich",(MONTH(J235)=7)*$C$20))),IF($C$19="monatlich",$C$22,IF($C$19="quartalsweise",OR(MONTH(J235)={1,4,7,10})*$C$22,IF($C$19="jährlich",(MONTH(J235)=7)*$C$22))))</f>
        <v>0</v>
      </c>
      <c r="L235" s="66">
        <f t="shared" si="216"/>
        <v>0</v>
      </c>
      <c r="M235" s="62">
        <f t="shared" si="217"/>
        <v>0</v>
      </c>
      <c r="N235" s="67">
        <f>+IF(AND($C$19="monatlich",K235&lt;$C$20),$C$20-K235,IF(AND($C$19="quartalsweise",OR(MONTH(J235)={1,4,7,10}),K235&lt;$C$20),$C$20-K235,IF(AND($C$19="jährlich",MONTH(J235)=7,K235&lt;$C$20),$C$20-K235,0)))</f>
        <v>0</v>
      </c>
      <c r="O235" s="67">
        <v>0</v>
      </c>
      <c r="P235" s="67">
        <v>0</v>
      </c>
      <c r="Q235" s="63">
        <f t="shared" si="218"/>
        <v>0</v>
      </c>
      <c r="R235" s="68">
        <f t="shared" si="201"/>
        <v>0</v>
      </c>
      <c r="S235" s="69">
        <f t="shared" si="177"/>
        <v>53534.701827304343</v>
      </c>
      <c r="T235" s="68">
        <f t="shared" si="220"/>
        <v>0</v>
      </c>
      <c r="U235" s="66">
        <f t="shared" si="221"/>
        <v>-46.744790420272253</v>
      </c>
      <c r="V235" s="68">
        <f t="shared" si="222"/>
        <v>240.71687395011412</v>
      </c>
      <c r="W235" s="66">
        <f t="shared" si="223"/>
        <v>57726.021831557235</v>
      </c>
    </row>
    <row r="236" spans="2:23" outlineLevel="1">
      <c r="G236" s="12">
        <f t="shared" si="189"/>
        <v>39.164383561643838</v>
      </c>
      <c r="H236" s="4">
        <v>148</v>
      </c>
      <c r="I236" s="4">
        <f t="shared" si="207"/>
        <v>13</v>
      </c>
      <c r="J236" s="30">
        <f t="shared" si="180"/>
        <v>45200</v>
      </c>
      <c r="K236" s="62">
        <f>+IF(OR(H236&gt;60,$C$21="nein"),IF($C$19="monatlich",$C$20,IF($C$19="quartalsweise",OR(MONTH(J236)={1,4,7,10})*$C$20,IF($C$19="jährlich",(MONTH(J236)=7)*$C$20))),IF($C$19="monatlich",$C$22,IF($C$19="quartalsweise",OR(MONTH(J236)={1,4,7,10})*$C$22,IF($C$19="jährlich",(MONTH(J236)=7)*$C$22))))</f>
        <v>900</v>
      </c>
      <c r="L236" s="66">
        <f t="shared" si="216"/>
        <v>0</v>
      </c>
      <c r="M236" s="62">
        <f t="shared" si="217"/>
        <v>0</v>
      </c>
      <c r="N236" s="67">
        <f>+IF(AND($C$19="monatlich",K236&lt;$C$20),$C$20-K236,IF(AND($C$19="quartalsweise",OR(MONTH(J236)={1,4,7,10}),K236&lt;$C$20),$C$20-K236,IF(AND($C$19="jährlich",MONTH(J236)=7,K236&lt;$C$20),$C$20-K236,0)))</f>
        <v>0</v>
      </c>
      <c r="O236" s="67">
        <v>0</v>
      </c>
      <c r="P236" s="67">
        <v>0</v>
      </c>
      <c r="Q236" s="63">
        <f t="shared" si="218"/>
        <v>0</v>
      </c>
      <c r="R236" s="68">
        <f t="shared" si="201"/>
        <v>900</v>
      </c>
      <c r="S236" s="69">
        <f t="shared" si="177"/>
        <v>54434.701827304343</v>
      </c>
      <c r="T236" s="68">
        <f t="shared" si="220"/>
        <v>0</v>
      </c>
      <c r="U236" s="66">
        <f t="shared" si="221"/>
        <v>-46.90239273814025</v>
      </c>
      <c r="V236" s="68">
        <f t="shared" si="222"/>
        <v>241.5250909648218</v>
      </c>
      <c r="W236" s="66">
        <f t="shared" si="223"/>
        <v>58820.644529783916</v>
      </c>
    </row>
    <row r="237" spans="2:23" outlineLevel="1">
      <c r="G237" s="12">
        <f t="shared" si="189"/>
        <v>39.249315068493154</v>
      </c>
      <c r="H237" s="4">
        <v>149</v>
      </c>
      <c r="I237" s="4">
        <f t="shared" si="207"/>
        <v>13</v>
      </c>
      <c r="J237" s="30">
        <f t="shared" si="180"/>
        <v>45231</v>
      </c>
      <c r="K237" s="62">
        <f>+IF(OR(H237&gt;60,$C$21="nein"),IF($C$19="monatlich",$C$20,IF($C$19="quartalsweise",OR(MONTH(J237)={1,4,7,10})*$C$20,IF($C$19="jährlich",(MONTH(J237)=7)*$C$20))),IF($C$19="monatlich",$C$22,IF($C$19="quartalsweise",OR(MONTH(J237)={1,4,7,10})*$C$22,IF($C$19="jährlich",(MONTH(J237)=7)*$C$22))))</f>
        <v>0</v>
      </c>
      <c r="L237" s="66">
        <f t="shared" si="216"/>
        <v>0</v>
      </c>
      <c r="M237" s="62">
        <f t="shared" si="217"/>
        <v>0</v>
      </c>
      <c r="N237" s="67">
        <f>+IF(AND($C$19="monatlich",K237&lt;$C$20),$C$20-K237,IF(AND($C$19="quartalsweise",OR(MONTH(J237)={1,4,7,10}),K237&lt;$C$20),$C$20-K237,IF(AND($C$19="jährlich",MONTH(J237)=7,K237&lt;$C$20),$C$20-K237,0)))</f>
        <v>0</v>
      </c>
      <c r="O237" s="67">
        <v>0</v>
      </c>
      <c r="P237" s="67">
        <v>0</v>
      </c>
      <c r="Q237" s="63">
        <f t="shared" si="218"/>
        <v>0</v>
      </c>
      <c r="R237" s="68">
        <f t="shared" si="201"/>
        <v>0</v>
      </c>
      <c r="S237" s="69">
        <f t="shared" si="177"/>
        <v>54434.701827304343</v>
      </c>
      <c r="T237" s="68">
        <f t="shared" si="220"/>
        <v>0</v>
      </c>
      <c r="U237" s="66">
        <f t="shared" si="221"/>
        <v>-47.791773680449431</v>
      </c>
      <c r="V237" s="68">
        <f t="shared" si="222"/>
        <v>246.08601887409964</v>
      </c>
      <c r="W237" s="66">
        <f t="shared" si="223"/>
        <v>59018.938774977563</v>
      </c>
    </row>
    <row r="238" spans="2:23" outlineLevel="1">
      <c r="G238" s="12">
        <f t="shared" si="189"/>
        <v>39.331506849315069</v>
      </c>
      <c r="H238" s="4">
        <v>150</v>
      </c>
      <c r="I238" s="4">
        <f t="shared" si="207"/>
        <v>13</v>
      </c>
      <c r="J238" s="30">
        <f t="shared" si="180"/>
        <v>45261</v>
      </c>
      <c r="K238" s="62">
        <f>+IF(OR(H238&gt;60,$C$21="nein"),IF($C$19="monatlich",$C$20,IF($C$19="quartalsweise",OR(MONTH(J238)={1,4,7,10})*$C$20,IF($C$19="jährlich",(MONTH(J238)=7)*$C$20))),IF($C$19="monatlich",$C$22,IF($C$19="quartalsweise",OR(MONTH(J238)={1,4,7,10})*$C$22,IF($C$19="jährlich",(MONTH(J238)=7)*$C$22))))</f>
        <v>0</v>
      </c>
      <c r="L238" s="66">
        <f t="shared" si="216"/>
        <v>0</v>
      </c>
      <c r="M238" s="62">
        <f t="shared" si="217"/>
        <v>0</v>
      </c>
      <c r="N238" s="67">
        <f>+IF(AND($C$19="monatlich",K238&lt;$C$20),$C$20-K238,IF(AND($C$19="quartalsweise",OR(MONTH(J238)={1,4,7,10}),K238&lt;$C$20),$C$20-K238,IF(AND($C$19="jährlich",MONTH(J238)=7,K238&lt;$C$20),$C$20-K238,0)))</f>
        <v>0</v>
      </c>
      <c r="O238" s="67">
        <v>0</v>
      </c>
      <c r="P238" s="67">
        <v>0</v>
      </c>
      <c r="Q238" s="63">
        <f t="shared" si="218"/>
        <v>0</v>
      </c>
      <c r="R238" s="68">
        <f t="shared" si="201"/>
        <v>0</v>
      </c>
      <c r="S238" s="69">
        <f t="shared" si="177"/>
        <v>54434.701827304343</v>
      </c>
      <c r="T238" s="68">
        <f t="shared" si="220"/>
        <v>-15.4</v>
      </c>
      <c r="U238" s="66">
        <f t="shared" si="221"/>
        <v>-47.95288775466927</v>
      </c>
      <c r="V238" s="68">
        <f t="shared" si="222"/>
        <v>246.91224489573983</v>
      </c>
      <c r="W238" s="66">
        <f t="shared" si="223"/>
        <v>59202.498132118635</v>
      </c>
    </row>
    <row r="239" spans="2:23" outlineLevel="1">
      <c r="G239" s="12">
        <f t="shared" si="189"/>
        <v>39.416438356164385</v>
      </c>
      <c r="H239" s="4">
        <v>151</v>
      </c>
      <c r="I239" s="4">
        <f t="shared" si="207"/>
        <v>13</v>
      </c>
      <c r="J239" s="30">
        <f t="shared" si="180"/>
        <v>45292</v>
      </c>
      <c r="K239" s="62">
        <f>+IF(OR(H239&gt;60,$C$21="nein"),IF($C$19="monatlich",$C$20,IF($C$19="quartalsweise",OR(MONTH(J239)={1,4,7,10})*$C$20,IF($C$19="jährlich",(MONTH(J239)=7)*$C$20))),IF($C$19="monatlich",$C$22,IF($C$19="quartalsweise",OR(MONTH(J239)={1,4,7,10})*$C$22,IF($C$19="jährlich",(MONTH(J239)=7)*$C$22))))</f>
        <v>900</v>
      </c>
      <c r="L239" s="66">
        <f t="shared" si="216"/>
        <v>0</v>
      </c>
      <c r="M239" s="62">
        <f t="shared" si="217"/>
        <v>0</v>
      </c>
      <c r="N239" s="67">
        <f>+IF(AND($C$19="monatlich",K239&lt;$C$20),$C$20-K239,IF(AND($C$19="quartalsweise",OR(MONTH(J239)={1,4,7,10}),K239&lt;$C$20),$C$20-K239,IF(AND($C$19="jährlich",MONTH(J239)=7,K239&lt;$C$20),$C$20-K239,0)))</f>
        <v>0</v>
      </c>
      <c r="O239" s="67">
        <v>0</v>
      </c>
      <c r="P239" s="67">
        <v>0</v>
      </c>
      <c r="Q239" s="63">
        <f t="shared" si="218"/>
        <v>0</v>
      </c>
      <c r="R239" s="68">
        <f t="shared" si="201"/>
        <v>900</v>
      </c>
      <c r="S239" s="69">
        <f t="shared" si="177"/>
        <v>55334.701827304343</v>
      </c>
      <c r="T239" s="68">
        <f t="shared" si="220"/>
        <v>0</v>
      </c>
      <c r="U239" s="66">
        <f t="shared" si="221"/>
        <v>-48.102029732346388</v>
      </c>
      <c r="V239" s="68">
        <f t="shared" si="222"/>
        <v>247.67707555049432</v>
      </c>
      <c r="W239" s="66">
        <f t="shared" si="223"/>
        <v>60302.073177936778</v>
      </c>
    </row>
    <row r="240" spans="2:23" outlineLevel="1">
      <c r="G240" s="12">
        <f t="shared" si="189"/>
        <v>39.5013698630137</v>
      </c>
      <c r="H240" s="4">
        <v>152</v>
      </c>
      <c r="I240" s="4">
        <f t="shared" si="207"/>
        <v>13</v>
      </c>
      <c r="J240" s="30">
        <f t="shared" si="180"/>
        <v>45323</v>
      </c>
      <c r="K240" s="62">
        <f>+IF(OR(H240&gt;60,$C$21="nein"),IF($C$19="monatlich",$C$20,IF($C$19="quartalsweise",OR(MONTH(J240)={1,4,7,10})*$C$20,IF($C$19="jährlich",(MONTH(J240)=7)*$C$20))),IF($C$19="monatlich",$C$22,IF($C$19="quartalsweise",OR(MONTH(J240)={1,4,7,10})*$C$22,IF($C$19="jährlich",(MONTH(J240)=7)*$C$22))))</f>
        <v>0</v>
      </c>
      <c r="L240" s="66">
        <f t="shared" si="216"/>
        <v>0</v>
      </c>
      <c r="M240" s="62">
        <f t="shared" si="217"/>
        <v>0</v>
      </c>
      <c r="N240" s="67">
        <f>+IF(AND($C$19="monatlich",K240&lt;$C$20),$C$20-K240,IF(AND($C$19="quartalsweise",OR(MONTH(J240)={1,4,7,10}),K240&lt;$C$20),$C$20-K240,IF(AND($C$19="jährlich",MONTH(J240)=7,K240&lt;$C$20),$C$20-K240,0)))</f>
        <v>0</v>
      </c>
      <c r="O240" s="67">
        <v>0</v>
      </c>
      <c r="P240" s="67">
        <v>0</v>
      </c>
      <c r="Q240" s="63">
        <f t="shared" si="218"/>
        <v>0</v>
      </c>
      <c r="R240" s="68">
        <f t="shared" si="201"/>
        <v>0</v>
      </c>
      <c r="S240" s="69">
        <f t="shared" si="177"/>
        <v>55334.701827304343</v>
      </c>
      <c r="T240" s="68">
        <f t="shared" si="220"/>
        <v>0</v>
      </c>
      <c r="U240" s="66">
        <f t="shared" si="221"/>
        <v>-48.995434457073628</v>
      </c>
      <c r="V240" s="68">
        <f t="shared" si="222"/>
        <v>252.25863824140325</v>
      </c>
      <c r="W240" s="66">
        <f t="shared" si="223"/>
        <v>60505.336381721107</v>
      </c>
    </row>
    <row r="241" spans="2:23" outlineLevel="1">
      <c r="G241" s="12">
        <f t="shared" si="189"/>
        <v>39.580821917808223</v>
      </c>
      <c r="H241" s="4">
        <v>153</v>
      </c>
      <c r="I241" s="4">
        <f t="shared" si="207"/>
        <v>13</v>
      </c>
      <c r="J241" s="30">
        <f t="shared" si="180"/>
        <v>45352</v>
      </c>
      <c r="K241" s="62">
        <f>+IF(OR(H241&gt;60,$C$21="nein"),IF($C$19="monatlich",$C$20,IF($C$19="quartalsweise",OR(MONTH(J241)={1,4,7,10})*$C$20,IF($C$19="jährlich",(MONTH(J241)=7)*$C$20))),IF($C$19="monatlich",$C$22,IF($C$19="quartalsweise",OR(MONTH(J241)={1,4,7,10})*$C$22,IF($C$19="jährlich",(MONTH(J241)=7)*$C$22))))</f>
        <v>0</v>
      </c>
      <c r="L241" s="66">
        <f t="shared" si="216"/>
        <v>0</v>
      </c>
      <c r="M241" s="62">
        <f t="shared" si="217"/>
        <v>0</v>
      </c>
      <c r="N241" s="67">
        <f>+IF(AND($C$19="monatlich",K241&lt;$C$20),$C$20-K241,IF(AND($C$19="quartalsweise",OR(MONTH(J241)={1,4,7,10}),K241&lt;$C$20),$C$20-K241,IF(AND($C$19="jährlich",MONTH(J241)=7,K241&lt;$C$20),$C$20-K241,0)))-$C$67/100*SUM(Q223:Q231,Q233:Q235)-$C$66/100*SUM(L223:L231,L233:L235)</f>
        <v>8.1052640608639894</v>
      </c>
      <c r="O241" s="67">
        <v>0</v>
      </c>
      <c r="P241" s="67">
        <v>0</v>
      </c>
      <c r="Q241" s="63">
        <f t="shared" si="218"/>
        <v>-0.40526320304319946</v>
      </c>
      <c r="R241" s="68">
        <f t="shared" si="201"/>
        <v>8.1052640608639894</v>
      </c>
      <c r="S241" s="69">
        <f t="shared" si="177"/>
        <v>55342.807091365205</v>
      </c>
      <c r="T241" s="68">
        <f t="shared" si="220"/>
        <v>0</v>
      </c>
      <c r="U241" s="66">
        <f t="shared" si="221"/>
        <v>-49.160585810148397</v>
      </c>
      <c r="V241" s="68">
        <f t="shared" si="222"/>
        <v>253.10556825717129</v>
      </c>
      <c r="W241" s="66">
        <f t="shared" si="223"/>
        <v>60716.981365025946</v>
      </c>
    </row>
    <row r="242" spans="2:23" outlineLevel="1">
      <c r="G242" s="12">
        <f t="shared" si="189"/>
        <v>39.665753424657531</v>
      </c>
      <c r="H242" s="4">
        <v>154</v>
      </c>
      <c r="I242" s="4">
        <f t="shared" si="207"/>
        <v>13</v>
      </c>
      <c r="J242" s="30">
        <f t="shared" si="180"/>
        <v>45383</v>
      </c>
      <c r="K242" s="62">
        <f>+IF(OR(H242&gt;60,$C$21="nein"),IF($C$19="monatlich",$C$20,IF($C$19="quartalsweise",OR(MONTH(J242)={1,4,7,10})*$C$20,IF($C$19="jährlich",(MONTH(J242)=7)*$C$20))),IF($C$19="monatlich",$C$22,IF($C$19="quartalsweise",OR(MONTH(J242)={1,4,7,10})*$C$22,IF($C$19="jährlich",(MONTH(J242)=7)*$C$22))))</f>
        <v>900</v>
      </c>
      <c r="L242" s="66">
        <f t="shared" si="216"/>
        <v>0</v>
      </c>
      <c r="M242" s="62">
        <f t="shared" si="217"/>
        <v>154</v>
      </c>
      <c r="N242" s="67">
        <f>+IF(AND($C$19="monatlich",K242&lt;$C$20),$C$20-K242,IF(AND($C$19="quartalsweise",OR(MONTH(J242)={1,4,7,10}),K242&lt;$C$20),$C$20-K242,IF(AND($C$19="jährlich",MONTH(J242)=7,K242&lt;$C$20),$C$20-K242,0)))</f>
        <v>0</v>
      </c>
      <c r="O242" s="67">
        <v>0</v>
      </c>
      <c r="P242" s="67">
        <v>0</v>
      </c>
      <c r="Q242" s="63">
        <f t="shared" si="218"/>
        <v>-7.7</v>
      </c>
      <c r="R242" s="68">
        <f t="shared" si="201"/>
        <v>1054</v>
      </c>
      <c r="S242" s="69">
        <f t="shared" si="177"/>
        <v>56396.807091365205</v>
      </c>
      <c r="T242" s="68">
        <f t="shared" si="220"/>
        <v>0</v>
      </c>
      <c r="U242" s="66">
        <f t="shared" si="221"/>
        <v>-49.332547359083577</v>
      </c>
      <c r="V242" s="68">
        <f t="shared" si="222"/>
        <v>253.98742235427477</v>
      </c>
      <c r="W242" s="66">
        <f t="shared" si="223"/>
        <v>61967.936240021139</v>
      </c>
    </row>
    <row r="243" spans="2:23" outlineLevel="1">
      <c r="G243" s="12">
        <f t="shared" si="189"/>
        <v>39.747945205479454</v>
      </c>
      <c r="H243" s="4">
        <v>155</v>
      </c>
      <c r="I243" s="4">
        <f t="shared" si="207"/>
        <v>13</v>
      </c>
      <c r="J243" s="30">
        <f t="shared" si="180"/>
        <v>45413</v>
      </c>
      <c r="K243" s="62">
        <f>+IF(OR(H243&gt;60,$C$21="nein"),IF($C$19="monatlich",$C$20,IF($C$19="quartalsweise",OR(MONTH(J243)={1,4,7,10})*$C$20,IF($C$19="jährlich",(MONTH(J243)=7)*$C$20))),IF($C$19="monatlich",$C$22,IF($C$19="quartalsweise",OR(MONTH(J243)={1,4,7,10})*$C$22,IF($C$19="jährlich",(MONTH(J243)=7)*$C$22))))</f>
        <v>0</v>
      </c>
      <c r="L243" s="66">
        <f t="shared" si="216"/>
        <v>0</v>
      </c>
      <c r="M243" s="62">
        <f t="shared" si="217"/>
        <v>0</v>
      </c>
      <c r="N243" s="67">
        <f>+IF(AND($C$19="monatlich",K243&lt;$C$20),$C$20-K243,IF(AND($C$19="quartalsweise",OR(MONTH(J243)={1,4,7,10}),K243&lt;$C$20),$C$20-K243,IF(AND($C$19="jährlich",MONTH(J243)=7,K243&lt;$C$20),$C$20-K243,0)))</f>
        <v>0</v>
      </c>
      <c r="O243" s="67">
        <v>0</v>
      </c>
      <c r="P243" s="67">
        <v>0</v>
      </c>
      <c r="Q243" s="63">
        <f t="shared" si="218"/>
        <v>0</v>
      </c>
      <c r="R243" s="68">
        <f t="shared" si="201"/>
        <v>0</v>
      </c>
      <c r="S243" s="69">
        <f t="shared" si="177"/>
        <v>56396.807091365205</v>
      </c>
      <c r="T243" s="68">
        <f t="shared" si="220"/>
        <v>0</v>
      </c>
      <c r="U243" s="66">
        <f t="shared" si="221"/>
        <v>-50.348948195017172</v>
      </c>
      <c r="V243" s="68">
        <f t="shared" si="222"/>
        <v>259.19973433342142</v>
      </c>
      <c r="W243" s="66">
        <f t="shared" si="223"/>
        <v>62176.787026159545</v>
      </c>
    </row>
    <row r="244" spans="2:23" outlineLevel="1">
      <c r="G244" s="13">
        <f t="shared" si="189"/>
        <v>39.832876712328769</v>
      </c>
      <c r="H244" s="6">
        <v>156</v>
      </c>
      <c r="I244" s="6">
        <f t="shared" si="207"/>
        <v>13</v>
      </c>
      <c r="J244" s="31">
        <f t="shared" si="180"/>
        <v>45444</v>
      </c>
      <c r="K244" s="62">
        <f>+IF(OR(H244&gt;60,$C$21="nein"),IF($C$19="monatlich",$C$20,IF($C$19="quartalsweise",OR(MONTH(J244)={1,4,7,10})*$C$20,IF($C$19="jährlich",(MONTH(J244)=7)*$C$20))),IF($C$19="monatlich",$C$22,IF($C$19="quartalsweise",OR(MONTH(J244)={1,4,7,10})*$C$22,IF($C$19="jährlich",(MONTH(J244)=7)*$C$22))))</f>
        <v>0</v>
      </c>
      <c r="L244" s="70">
        <f t="shared" si="216"/>
        <v>0</v>
      </c>
      <c r="M244" s="62">
        <f t="shared" si="217"/>
        <v>0</v>
      </c>
      <c r="N244" s="71">
        <f>+IF(AND($C$19="monatlich",K244&lt;$C$20),$C$20-K244,IF(AND($C$19="quartalsweise",OR(MONTH(J244)={1,4,7,10}),K244&lt;$C$20),$C$20-K244,IF(AND($C$19="jährlich",MONTH(J244)=7,K244&lt;$C$20),$C$20-K244,0)))</f>
        <v>0</v>
      </c>
      <c r="O244" s="71">
        <v>0</v>
      </c>
      <c r="P244" s="71">
        <v>0</v>
      </c>
      <c r="Q244" s="63">
        <f t="shared" si="218"/>
        <v>0</v>
      </c>
      <c r="R244" s="72">
        <f t="shared" si="201"/>
        <v>0</v>
      </c>
      <c r="S244" s="73">
        <f t="shared" si="177"/>
        <v>56396.807091365205</v>
      </c>
      <c r="T244" s="72">
        <f t="shared" si="220"/>
        <v>0</v>
      </c>
      <c r="U244" s="70">
        <f t="shared" si="221"/>
        <v>-50.518639458754627</v>
      </c>
      <c r="V244" s="72">
        <f t="shared" si="222"/>
        <v>260.06994594233146</v>
      </c>
      <c r="W244" s="70">
        <f t="shared" si="223"/>
        <v>62386.338332643121</v>
      </c>
    </row>
    <row r="245" spans="2:23" s="5" customFormat="1" ht="15">
      <c r="B245" s="17"/>
      <c r="G245" s="115">
        <f t="shared" si="189"/>
        <v>39.832876712328769</v>
      </c>
      <c r="H245" s="116" t="str">
        <f>H233&amp;" - "&amp;H244</f>
        <v>145 - 156</v>
      </c>
      <c r="I245" s="117">
        <f t="shared" si="207"/>
        <v>13</v>
      </c>
      <c r="J245" s="118">
        <f t="shared" ref="J245" si="224">+J244</f>
        <v>45444</v>
      </c>
      <c r="K245" s="119">
        <f t="shared" ref="K245:L245" si="225">SUM(K233:K244)</f>
        <v>3600</v>
      </c>
      <c r="L245" s="120">
        <f t="shared" si="225"/>
        <v>0</v>
      </c>
      <c r="M245" s="119">
        <f t="shared" ref="M245" si="226">SUM(M233:M244)</f>
        <v>154</v>
      </c>
      <c r="N245" s="121">
        <f t="shared" ref="N245:N297" si="227">SUM(N233:N244)</f>
        <v>8.1052640608639894</v>
      </c>
      <c r="O245" s="121">
        <f t="shared" ref="O245" si="228">SUM(O233:O244)</f>
        <v>0</v>
      </c>
      <c r="P245" s="121">
        <f t="shared" ref="P245" si="229">SUM(P233:P244)</f>
        <v>0</v>
      </c>
      <c r="Q245" s="120">
        <f t="shared" si="212"/>
        <v>-8.105263203043199</v>
      </c>
      <c r="R245" s="119">
        <f t="shared" ref="R245" si="230">SUM(R233:R244)</f>
        <v>3762.1052640608641</v>
      </c>
      <c r="S245" s="122">
        <f t="shared" si="177"/>
        <v>56396.807091365205</v>
      </c>
      <c r="T245" s="119">
        <f t="shared" ref="T245:V245" si="231">SUM(T233:T244)</f>
        <v>-15.4</v>
      </c>
      <c r="U245" s="120">
        <f t="shared" si="231"/>
        <v>-578.14010369572952</v>
      </c>
      <c r="V245" s="119">
        <f t="shared" si="231"/>
        <v>2976.8210445934842</v>
      </c>
      <c r="W245" s="123">
        <f t="shared" ref="W245" si="232">+W244</f>
        <v>62386.338332643121</v>
      </c>
    </row>
    <row r="246" spans="2:23" outlineLevel="1">
      <c r="G246" s="11">
        <f t="shared" si="189"/>
        <v>39.915068493150685</v>
      </c>
      <c r="H246" s="2">
        <v>157</v>
      </c>
      <c r="I246" s="2">
        <f t="shared" si="207"/>
        <v>14</v>
      </c>
      <c r="J246" s="29">
        <f t="shared" si="180"/>
        <v>45474</v>
      </c>
      <c r="K246" s="62">
        <f>+IF(OR(H246&gt;60,$C$21="nein"),IF($C$19="monatlich",$C$20,IF($C$19="quartalsweise",OR(MONTH(J246)={1,4,7,10})*$C$20,IF($C$19="jährlich",(MONTH(J246)=7)*$C$20))),IF($C$19="monatlich",$C$22,IF($C$19="quartalsweise",OR(MONTH(J246)={1,4,7,10})*$C$22,IF($C$19="jährlich",(MONTH(J246)=7)*$C$22))))</f>
        <v>900</v>
      </c>
      <c r="L246" s="63">
        <f t="shared" ref="L246:L257" si="233">-IF(H246&gt;60,0,IF($C$19="monatlich",$C$52,IF(AND($C$19="quartalsweise",K246&gt;0),$C$52,IF(AND($C$19="jährlich",K246&gt;0),$C$51,0))))</f>
        <v>0</v>
      </c>
      <c r="M246" s="62">
        <f t="shared" ref="M246:M257" si="234">+IF(MONTH(J246)=4,$C$25,0)</f>
        <v>0</v>
      </c>
      <c r="N246" s="64">
        <f>+IF(AND($C$19="monatlich",K246&lt;$C$20),$C$20-K246,IF(AND($C$19="quartalsweise",OR(MONTH(J246)={1,4,7,10}),K246&lt;$C$20),$C$20-K246,IF(AND($C$19="jährlich",MONTH(J246)=7,K246&lt;$C$20),$C$20-K246,0)))</f>
        <v>0</v>
      </c>
      <c r="O246" s="64">
        <v>0</v>
      </c>
      <c r="P246" s="64">
        <v>0</v>
      </c>
      <c r="Q246" s="63">
        <f t="shared" ref="Q246:Q257" si="235">-SUM(M246:P246)*$C$47/100</f>
        <v>0</v>
      </c>
      <c r="R246" s="62">
        <f t="shared" ref="R246" si="236">+SUM(K246,M246:P246)</f>
        <v>900</v>
      </c>
      <c r="S246" s="65">
        <f t="shared" si="177"/>
        <v>57296.807091365205</v>
      </c>
      <c r="T246" s="62">
        <f t="shared" ref="T246:T257" si="237">-IF(MONTH(J246)=12,$C$55,0)</f>
        <v>0</v>
      </c>
      <c r="U246" s="63">
        <f t="shared" ref="U246:U257" si="238">-W245*($D$43/100/12)</f>
        <v>-50.688899895272534</v>
      </c>
      <c r="V246" s="62">
        <f t="shared" ref="V246:V257" si="239">+(1+(IF($C$71="pauschal",$C$72/100/12,VLOOKUP(I245,$J$5:$L$44,3,FALSE)/100/12)*W245))</f>
        <v>260.94307638601299</v>
      </c>
      <c r="W246" s="63">
        <f t="shared" ref="W246:W257" si="240">+SUM(W245,R246,L246,Q246,T246:V246)</f>
        <v>63496.592509133865</v>
      </c>
    </row>
    <row r="247" spans="2:23" outlineLevel="1">
      <c r="G247" s="12">
        <f t="shared" si="189"/>
        <v>40</v>
      </c>
      <c r="H247" s="4">
        <v>158</v>
      </c>
      <c r="I247" s="4">
        <f t="shared" si="207"/>
        <v>14</v>
      </c>
      <c r="J247" s="30">
        <f t="shared" si="180"/>
        <v>45505</v>
      </c>
      <c r="K247" s="62">
        <f>+IF(OR(H247&gt;60,$C$21="nein"),IF($C$19="monatlich",$C$20,IF($C$19="quartalsweise",OR(MONTH(J247)={1,4,7,10})*$C$20,IF($C$19="jährlich",(MONTH(J247)=7)*$C$20))),IF($C$19="monatlich",$C$22,IF($C$19="quartalsweise",OR(MONTH(J247)={1,4,7,10})*$C$22,IF($C$19="jährlich",(MONTH(J247)=7)*$C$22))))</f>
        <v>0</v>
      </c>
      <c r="L247" s="66">
        <f t="shared" si="233"/>
        <v>0</v>
      </c>
      <c r="M247" s="62">
        <f t="shared" si="234"/>
        <v>0</v>
      </c>
      <c r="N247" s="67">
        <f>+IF(AND($C$19="monatlich",K247&lt;$C$20),$C$20-K247,IF(AND($C$19="quartalsweise",OR(MONTH(J247)={1,4,7,10}),K247&lt;$C$20),$C$20-K247,IF(AND($C$19="jährlich",MONTH(J247)=7,K247&lt;$C$20),$C$20-K247,0)))</f>
        <v>0</v>
      </c>
      <c r="O247" s="67">
        <v>0</v>
      </c>
      <c r="P247" s="67">
        <v>0</v>
      </c>
      <c r="Q247" s="63">
        <f t="shared" si="235"/>
        <v>0</v>
      </c>
      <c r="R247" s="68">
        <f t="shared" si="201"/>
        <v>0</v>
      </c>
      <c r="S247" s="69">
        <f t="shared" si="177"/>
        <v>57296.807091365205</v>
      </c>
      <c r="T247" s="68">
        <f t="shared" si="237"/>
        <v>0</v>
      </c>
      <c r="U247" s="66">
        <f t="shared" si="238"/>
        <v>-51.590981413671265</v>
      </c>
      <c r="V247" s="68">
        <f t="shared" si="239"/>
        <v>265.56913545472446</v>
      </c>
      <c r="W247" s="66">
        <f t="shared" si="240"/>
        <v>63710.57066317492</v>
      </c>
    </row>
    <row r="248" spans="2:23" outlineLevel="1">
      <c r="G248" s="12">
        <f t="shared" si="189"/>
        <v>40.084931506849315</v>
      </c>
      <c r="H248" s="4">
        <v>159</v>
      </c>
      <c r="I248" s="4">
        <f t="shared" si="207"/>
        <v>14</v>
      </c>
      <c r="J248" s="30">
        <f t="shared" si="180"/>
        <v>45536</v>
      </c>
      <c r="K248" s="62">
        <f>+IF(OR(H248&gt;60,$C$21="nein"),IF($C$19="monatlich",$C$20,IF($C$19="quartalsweise",OR(MONTH(J248)={1,4,7,10})*$C$20,IF($C$19="jährlich",(MONTH(J248)=7)*$C$20))),IF($C$19="monatlich",$C$22,IF($C$19="quartalsweise",OR(MONTH(J248)={1,4,7,10})*$C$22,IF($C$19="jährlich",(MONTH(J248)=7)*$C$22))))</f>
        <v>0</v>
      </c>
      <c r="L248" s="66">
        <f t="shared" si="233"/>
        <v>0</v>
      </c>
      <c r="M248" s="62">
        <f t="shared" si="234"/>
        <v>0</v>
      </c>
      <c r="N248" s="67">
        <f>+IF(AND($C$19="monatlich",K248&lt;$C$20),$C$20-K248,IF(AND($C$19="quartalsweise",OR(MONTH(J248)={1,4,7,10}),K248&lt;$C$20),$C$20-K248,IF(AND($C$19="jährlich",MONTH(J248)=7,K248&lt;$C$20),$C$20-K248,0)))</f>
        <v>0</v>
      </c>
      <c r="O248" s="67">
        <v>0</v>
      </c>
      <c r="P248" s="67">
        <v>0</v>
      </c>
      <c r="Q248" s="63">
        <f t="shared" si="235"/>
        <v>0</v>
      </c>
      <c r="R248" s="68">
        <f t="shared" si="201"/>
        <v>0</v>
      </c>
      <c r="S248" s="69">
        <f t="shared" si="177"/>
        <v>57296.807091365205</v>
      </c>
      <c r="T248" s="68">
        <f t="shared" si="237"/>
        <v>0</v>
      </c>
      <c r="U248" s="66">
        <f t="shared" si="238"/>
        <v>-51.764838663829622</v>
      </c>
      <c r="V248" s="68">
        <f t="shared" si="239"/>
        <v>266.46071109656214</v>
      </c>
      <c r="W248" s="66">
        <f t="shared" si="240"/>
        <v>63925.266535607647</v>
      </c>
    </row>
    <row r="249" spans="2:23" outlineLevel="1">
      <c r="G249" s="12">
        <f t="shared" si="189"/>
        <v>40.167123287671231</v>
      </c>
      <c r="H249" s="4">
        <v>160</v>
      </c>
      <c r="I249" s="4">
        <f t="shared" si="207"/>
        <v>14</v>
      </c>
      <c r="J249" s="30">
        <f t="shared" si="180"/>
        <v>45566</v>
      </c>
      <c r="K249" s="62">
        <f>+IF(OR(H249&gt;60,$C$21="nein"),IF($C$19="monatlich",$C$20,IF($C$19="quartalsweise",OR(MONTH(J249)={1,4,7,10})*$C$20,IF($C$19="jährlich",(MONTH(J249)=7)*$C$20))),IF($C$19="monatlich",$C$22,IF($C$19="quartalsweise",OR(MONTH(J249)={1,4,7,10})*$C$22,IF($C$19="jährlich",(MONTH(J249)=7)*$C$22))))</f>
        <v>900</v>
      </c>
      <c r="L249" s="66">
        <f t="shared" si="233"/>
        <v>0</v>
      </c>
      <c r="M249" s="62">
        <f t="shared" si="234"/>
        <v>0</v>
      </c>
      <c r="N249" s="67">
        <f>+IF(AND($C$19="monatlich",K249&lt;$C$20),$C$20-K249,IF(AND($C$19="quartalsweise",OR(MONTH(J249)={1,4,7,10}),K249&lt;$C$20),$C$20-K249,IF(AND($C$19="jährlich",MONTH(J249)=7,K249&lt;$C$20),$C$20-K249,0)))</f>
        <v>0</v>
      </c>
      <c r="O249" s="67">
        <v>0</v>
      </c>
      <c r="P249" s="67">
        <v>0</v>
      </c>
      <c r="Q249" s="63">
        <f t="shared" si="235"/>
        <v>0</v>
      </c>
      <c r="R249" s="68">
        <f t="shared" si="201"/>
        <v>900</v>
      </c>
      <c r="S249" s="69">
        <f t="shared" si="177"/>
        <v>58196.807091365205</v>
      </c>
      <c r="T249" s="68">
        <f t="shared" si="237"/>
        <v>0</v>
      </c>
      <c r="U249" s="66">
        <f t="shared" si="238"/>
        <v>-51.939279060181214</v>
      </c>
      <c r="V249" s="68">
        <f t="shared" si="239"/>
        <v>267.35527723169855</v>
      </c>
      <c r="W249" s="66">
        <f t="shared" si="240"/>
        <v>65040.682533779167</v>
      </c>
    </row>
    <row r="250" spans="2:23" outlineLevel="1">
      <c r="G250" s="12">
        <f t="shared" si="189"/>
        <v>40.252054794520546</v>
      </c>
      <c r="H250" s="4">
        <v>161</v>
      </c>
      <c r="I250" s="4">
        <f t="shared" si="207"/>
        <v>14</v>
      </c>
      <c r="J250" s="30">
        <f t="shared" si="180"/>
        <v>45597</v>
      </c>
      <c r="K250" s="62">
        <f>+IF(OR(H250&gt;60,$C$21="nein"),IF($C$19="monatlich",$C$20,IF($C$19="quartalsweise",OR(MONTH(J250)={1,4,7,10})*$C$20,IF($C$19="jährlich",(MONTH(J250)=7)*$C$20))),IF($C$19="monatlich",$C$22,IF($C$19="quartalsweise",OR(MONTH(J250)={1,4,7,10})*$C$22,IF($C$19="jährlich",(MONTH(J250)=7)*$C$22))))</f>
        <v>0</v>
      </c>
      <c r="L250" s="66">
        <f t="shared" si="233"/>
        <v>0</v>
      </c>
      <c r="M250" s="62">
        <f t="shared" si="234"/>
        <v>0</v>
      </c>
      <c r="N250" s="67">
        <f>+IF(AND($C$19="monatlich",K250&lt;$C$20),$C$20-K250,IF(AND($C$19="quartalsweise",OR(MONTH(J250)={1,4,7,10}),K250&lt;$C$20),$C$20-K250,IF(AND($C$19="jährlich",MONTH(J250)=7,K250&lt;$C$20),$C$20-K250,0)))</f>
        <v>0</v>
      </c>
      <c r="O250" s="67">
        <v>0</v>
      </c>
      <c r="P250" s="67">
        <v>0</v>
      </c>
      <c r="Q250" s="63">
        <f t="shared" si="235"/>
        <v>0</v>
      </c>
      <c r="R250" s="68">
        <f t="shared" si="201"/>
        <v>0</v>
      </c>
      <c r="S250" s="69">
        <f t="shared" si="177"/>
        <v>58196.807091365205</v>
      </c>
      <c r="T250" s="68">
        <f t="shared" si="237"/>
        <v>0</v>
      </c>
      <c r="U250" s="66">
        <f t="shared" si="238"/>
        <v>-52.845554558695568</v>
      </c>
      <c r="V250" s="68">
        <f t="shared" si="239"/>
        <v>272.00284389074653</v>
      </c>
      <c r="W250" s="66">
        <f t="shared" si="240"/>
        <v>65259.839823111215</v>
      </c>
    </row>
    <row r="251" spans="2:23" outlineLevel="1">
      <c r="G251" s="12">
        <f t="shared" si="189"/>
        <v>40.334246575342469</v>
      </c>
      <c r="H251" s="4">
        <v>162</v>
      </c>
      <c r="I251" s="4">
        <f t="shared" si="207"/>
        <v>14</v>
      </c>
      <c r="J251" s="30">
        <f t="shared" si="180"/>
        <v>45627</v>
      </c>
      <c r="K251" s="62">
        <f>+IF(OR(H251&gt;60,$C$21="nein"),IF($C$19="monatlich",$C$20,IF($C$19="quartalsweise",OR(MONTH(J251)={1,4,7,10})*$C$20,IF($C$19="jährlich",(MONTH(J251)=7)*$C$20))),IF($C$19="monatlich",$C$22,IF($C$19="quartalsweise",OR(MONTH(J251)={1,4,7,10})*$C$22,IF($C$19="jährlich",(MONTH(J251)=7)*$C$22))))</f>
        <v>0</v>
      </c>
      <c r="L251" s="66">
        <f t="shared" si="233"/>
        <v>0</v>
      </c>
      <c r="M251" s="62">
        <f t="shared" si="234"/>
        <v>0</v>
      </c>
      <c r="N251" s="67">
        <f>+IF(AND($C$19="monatlich",K251&lt;$C$20),$C$20-K251,IF(AND($C$19="quartalsweise",OR(MONTH(J251)={1,4,7,10}),K251&lt;$C$20),$C$20-K251,IF(AND($C$19="jährlich",MONTH(J251)=7,K251&lt;$C$20),$C$20-K251,0)))</f>
        <v>0</v>
      </c>
      <c r="O251" s="67">
        <v>0</v>
      </c>
      <c r="P251" s="67">
        <v>0</v>
      </c>
      <c r="Q251" s="63">
        <f t="shared" si="235"/>
        <v>0</v>
      </c>
      <c r="R251" s="68">
        <f t="shared" si="201"/>
        <v>0</v>
      </c>
      <c r="S251" s="69">
        <f t="shared" si="177"/>
        <v>58196.807091365205</v>
      </c>
      <c r="T251" s="68">
        <f t="shared" si="237"/>
        <v>-15.4</v>
      </c>
      <c r="U251" s="66">
        <f t="shared" si="238"/>
        <v>-53.023619856277861</v>
      </c>
      <c r="V251" s="68">
        <f t="shared" si="239"/>
        <v>272.9159992629634</v>
      </c>
      <c r="W251" s="66">
        <f t="shared" si="240"/>
        <v>65464.3322025179</v>
      </c>
    </row>
    <row r="252" spans="2:23" outlineLevel="1">
      <c r="G252" s="12">
        <f t="shared" si="189"/>
        <v>40.419178082191777</v>
      </c>
      <c r="H252" s="4">
        <v>163</v>
      </c>
      <c r="I252" s="4">
        <f t="shared" si="207"/>
        <v>14</v>
      </c>
      <c r="J252" s="30">
        <f t="shared" si="180"/>
        <v>45658</v>
      </c>
      <c r="K252" s="62">
        <f>+IF(OR(H252&gt;60,$C$21="nein"),IF($C$19="monatlich",$C$20,IF($C$19="quartalsweise",OR(MONTH(J252)={1,4,7,10})*$C$20,IF($C$19="jährlich",(MONTH(J252)=7)*$C$20))),IF($C$19="monatlich",$C$22,IF($C$19="quartalsweise",OR(MONTH(J252)={1,4,7,10})*$C$22,IF($C$19="jährlich",(MONTH(J252)=7)*$C$22))))</f>
        <v>900</v>
      </c>
      <c r="L252" s="66">
        <f t="shared" si="233"/>
        <v>0</v>
      </c>
      <c r="M252" s="62">
        <f t="shared" si="234"/>
        <v>0</v>
      </c>
      <c r="N252" s="67">
        <f>+IF(AND($C$19="monatlich",K252&lt;$C$20),$C$20-K252,IF(AND($C$19="quartalsweise",OR(MONTH(J252)={1,4,7,10}),K252&lt;$C$20),$C$20-K252,IF(AND($C$19="jährlich",MONTH(J252)=7,K252&lt;$C$20),$C$20-K252,0)))</f>
        <v>0</v>
      </c>
      <c r="O252" s="67">
        <v>0</v>
      </c>
      <c r="P252" s="67">
        <v>0</v>
      </c>
      <c r="Q252" s="63">
        <f t="shared" si="235"/>
        <v>0</v>
      </c>
      <c r="R252" s="68">
        <f t="shared" si="201"/>
        <v>900</v>
      </c>
      <c r="S252" s="69">
        <f t="shared" si="177"/>
        <v>59096.807091365205</v>
      </c>
      <c r="T252" s="68">
        <f t="shared" si="237"/>
        <v>0</v>
      </c>
      <c r="U252" s="66">
        <f t="shared" si="238"/>
        <v>-53.189769914545792</v>
      </c>
      <c r="V252" s="68">
        <f t="shared" si="239"/>
        <v>273.7680508438246</v>
      </c>
      <c r="W252" s="66">
        <f t="shared" si="240"/>
        <v>66584.910483447165</v>
      </c>
    </row>
    <row r="253" spans="2:23" outlineLevel="1">
      <c r="G253" s="12">
        <f t="shared" si="189"/>
        <v>40.504109589041093</v>
      </c>
      <c r="H253" s="4">
        <v>164</v>
      </c>
      <c r="I253" s="4">
        <f t="shared" si="207"/>
        <v>14</v>
      </c>
      <c r="J253" s="30">
        <f t="shared" si="180"/>
        <v>45689</v>
      </c>
      <c r="K253" s="62">
        <f>+IF(OR(H253&gt;60,$C$21="nein"),IF($C$19="monatlich",$C$20,IF($C$19="quartalsweise",OR(MONTH(J253)={1,4,7,10})*$C$20,IF($C$19="jährlich",(MONTH(J253)=7)*$C$20))),IF($C$19="monatlich",$C$22,IF($C$19="quartalsweise",OR(MONTH(J253)={1,4,7,10})*$C$22,IF($C$19="jährlich",(MONTH(J253)=7)*$C$22))))</f>
        <v>0</v>
      </c>
      <c r="L253" s="66">
        <f t="shared" si="233"/>
        <v>0</v>
      </c>
      <c r="M253" s="62">
        <f t="shared" si="234"/>
        <v>0</v>
      </c>
      <c r="N253" s="67">
        <f>+IF(AND($C$19="monatlich",K253&lt;$C$20),$C$20-K253,IF(AND($C$19="quartalsweise",OR(MONTH(J253)={1,4,7,10}),K253&lt;$C$20),$C$20-K253,IF(AND($C$19="jährlich",MONTH(J253)=7,K253&lt;$C$20),$C$20-K253,0)))</f>
        <v>0</v>
      </c>
      <c r="O253" s="67">
        <v>0</v>
      </c>
      <c r="P253" s="67">
        <v>0</v>
      </c>
      <c r="Q253" s="63">
        <f t="shared" si="235"/>
        <v>0</v>
      </c>
      <c r="R253" s="68">
        <f t="shared" si="201"/>
        <v>0</v>
      </c>
      <c r="S253" s="69">
        <f t="shared" si="177"/>
        <v>59096.807091365205</v>
      </c>
      <c r="T253" s="68">
        <f t="shared" si="237"/>
        <v>0</v>
      </c>
      <c r="U253" s="66">
        <f t="shared" si="238"/>
        <v>-54.100239767800822</v>
      </c>
      <c r="V253" s="68">
        <f t="shared" si="239"/>
        <v>278.43712701436317</v>
      </c>
      <c r="W253" s="66">
        <f t="shared" si="240"/>
        <v>66809.247370693731</v>
      </c>
    </row>
    <row r="254" spans="2:23" outlineLevel="1">
      <c r="G254" s="12">
        <f t="shared" si="189"/>
        <v>40.580821917808223</v>
      </c>
      <c r="H254" s="4">
        <v>165</v>
      </c>
      <c r="I254" s="4">
        <f t="shared" si="207"/>
        <v>14</v>
      </c>
      <c r="J254" s="30">
        <f t="shared" si="180"/>
        <v>45717</v>
      </c>
      <c r="K254" s="62">
        <f>+IF(OR(H254&gt;60,$C$21="nein"),IF($C$19="monatlich",$C$20,IF($C$19="quartalsweise",OR(MONTH(J254)={1,4,7,10})*$C$20,IF($C$19="jährlich",(MONTH(J254)=7)*$C$20))),IF($C$19="monatlich",$C$22,IF($C$19="quartalsweise",OR(MONTH(J254)={1,4,7,10})*$C$22,IF($C$19="jährlich",(MONTH(J254)=7)*$C$22))))</f>
        <v>0</v>
      </c>
      <c r="L254" s="66">
        <f t="shared" si="233"/>
        <v>0</v>
      </c>
      <c r="M254" s="62">
        <f t="shared" si="234"/>
        <v>0</v>
      </c>
      <c r="N254" s="67">
        <f>+IF(AND($C$19="monatlich",K254&lt;$C$20),$C$20-K254,IF(AND($C$19="quartalsweise",OR(MONTH(J254)={1,4,7,10}),K254&lt;$C$20),$C$20-K254,IF(AND($C$19="jährlich",MONTH(J254)=7,K254&lt;$C$20),$C$20-K254,0)))-$C$67/100*SUM(Q236:Q244,Q246:Q248)-$C$66/100*SUM(L236:L244,L246:L248)</f>
        <v>8.105263203043199</v>
      </c>
      <c r="O254" s="67">
        <v>0</v>
      </c>
      <c r="P254" s="67">
        <v>0</v>
      </c>
      <c r="Q254" s="63">
        <f t="shared" si="235"/>
        <v>-0.40526316015215996</v>
      </c>
      <c r="R254" s="68">
        <f t="shared" si="201"/>
        <v>8.105263203043199</v>
      </c>
      <c r="S254" s="69">
        <f t="shared" si="177"/>
        <v>59104.912354568245</v>
      </c>
      <c r="T254" s="68">
        <f t="shared" si="237"/>
        <v>0</v>
      </c>
      <c r="U254" s="66">
        <f t="shared" si="238"/>
        <v>-54.28251348868865</v>
      </c>
      <c r="V254" s="68">
        <f t="shared" si="239"/>
        <v>279.37186404455719</v>
      </c>
      <c r="W254" s="66">
        <f t="shared" si="240"/>
        <v>67042.03672129249</v>
      </c>
    </row>
    <row r="255" spans="2:23" outlineLevel="1">
      <c r="G255" s="12">
        <f t="shared" si="189"/>
        <v>40.665753424657531</v>
      </c>
      <c r="H255" s="4">
        <v>166</v>
      </c>
      <c r="I255" s="4">
        <f t="shared" si="207"/>
        <v>14</v>
      </c>
      <c r="J255" s="30">
        <f t="shared" si="180"/>
        <v>45748</v>
      </c>
      <c r="K255" s="62">
        <f>+IF(OR(H255&gt;60,$C$21="nein"),IF($C$19="monatlich",$C$20,IF($C$19="quartalsweise",OR(MONTH(J255)={1,4,7,10})*$C$20,IF($C$19="jährlich",(MONTH(J255)=7)*$C$20))),IF($C$19="monatlich",$C$22,IF($C$19="quartalsweise",OR(MONTH(J255)={1,4,7,10})*$C$22,IF($C$19="jährlich",(MONTH(J255)=7)*$C$22))))</f>
        <v>900</v>
      </c>
      <c r="L255" s="66">
        <f t="shared" si="233"/>
        <v>0</v>
      </c>
      <c r="M255" s="62">
        <f t="shared" si="234"/>
        <v>154</v>
      </c>
      <c r="N255" s="67">
        <f>+IF(AND($C$19="monatlich",K255&lt;$C$20),$C$20-K255,IF(AND($C$19="quartalsweise",OR(MONTH(J255)={1,4,7,10}),K255&lt;$C$20),$C$20-K255,IF(AND($C$19="jährlich",MONTH(J255)=7,K255&lt;$C$20),$C$20-K255,0)))</f>
        <v>0</v>
      </c>
      <c r="O255" s="67">
        <v>0</v>
      </c>
      <c r="P255" s="67">
        <v>0</v>
      </c>
      <c r="Q255" s="63">
        <f t="shared" si="235"/>
        <v>-7.7</v>
      </c>
      <c r="R255" s="68">
        <f t="shared" si="201"/>
        <v>1054</v>
      </c>
      <c r="S255" s="69">
        <f t="shared" si="177"/>
        <v>60158.912354568245</v>
      </c>
      <c r="T255" s="68">
        <f t="shared" si="237"/>
        <v>0</v>
      </c>
      <c r="U255" s="66">
        <f t="shared" si="238"/>
        <v>-54.471654836050149</v>
      </c>
      <c r="V255" s="68">
        <f t="shared" si="239"/>
        <v>280.34181967205205</v>
      </c>
      <c r="W255" s="66">
        <f t="shared" si="240"/>
        <v>68314.206886128493</v>
      </c>
    </row>
    <row r="256" spans="2:23" outlineLevel="1">
      <c r="G256" s="12">
        <f t="shared" si="189"/>
        <v>40.747945205479454</v>
      </c>
      <c r="H256" s="4">
        <v>167</v>
      </c>
      <c r="I256" s="4">
        <f t="shared" si="207"/>
        <v>14</v>
      </c>
      <c r="J256" s="30">
        <f t="shared" si="180"/>
        <v>45778</v>
      </c>
      <c r="K256" s="62">
        <f>+IF(OR(H256&gt;60,$C$21="nein"),IF($C$19="monatlich",$C$20,IF($C$19="quartalsweise",OR(MONTH(J256)={1,4,7,10})*$C$20,IF($C$19="jährlich",(MONTH(J256)=7)*$C$20))),IF($C$19="monatlich",$C$22,IF($C$19="quartalsweise",OR(MONTH(J256)={1,4,7,10})*$C$22,IF($C$19="jährlich",(MONTH(J256)=7)*$C$22))))</f>
        <v>0</v>
      </c>
      <c r="L256" s="66">
        <f t="shared" si="233"/>
        <v>0</v>
      </c>
      <c r="M256" s="62">
        <f t="shared" si="234"/>
        <v>0</v>
      </c>
      <c r="N256" s="67">
        <f>+IF(AND($C$19="monatlich",K256&lt;$C$20),$C$20-K256,IF(AND($C$19="quartalsweise",OR(MONTH(J256)={1,4,7,10}),K256&lt;$C$20),$C$20-K256,IF(AND($C$19="jährlich",MONTH(J256)=7,K256&lt;$C$20),$C$20-K256,0)))</f>
        <v>0</v>
      </c>
      <c r="O256" s="67">
        <v>0</v>
      </c>
      <c r="P256" s="67">
        <v>0</v>
      </c>
      <c r="Q256" s="63">
        <f t="shared" si="235"/>
        <v>0</v>
      </c>
      <c r="R256" s="68">
        <f t="shared" si="201"/>
        <v>0</v>
      </c>
      <c r="S256" s="69">
        <f t="shared" si="177"/>
        <v>60158.912354568245</v>
      </c>
      <c r="T256" s="68">
        <f t="shared" si="237"/>
        <v>0</v>
      </c>
      <c r="U256" s="66">
        <f t="shared" si="238"/>
        <v>-55.5052930949794</v>
      </c>
      <c r="V256" s="68">
        <f t="shared" si="239"/>
        <v>285.64252869220206</v>
      </c>
      <c r="W256" s="66">
        <f t="shared" si="240"/>
        <v>68544.34412172572</v>
      </c>
    </row>
    <row r="257" spans="2:23" outlineLevel="1">
      <c r="G257" s="13">
        <f t="shared" si="189"/>
        <v>40.832876712328769</v>
      </c>
      <c r="H257" s="6">
        <v>168</v>
      </c>
      <c r="I257" s="6">
        <f t="shared" si="207"/>
        <v>14</v>
      </c>
      <c r="J257" s="31">
        <f t="shared" si="180"/>
        <v>45809</v>
      </c>
      <c r="K257" s="62">
        <f>+IF(OR(H257&gt;60,$C$21="nein"),IF($C$19="monatlich",$C$20,IF($C$19="quartalsweise",OR(MONTH(J257)={1,4,7,10})*$C$20,IF($C$19="jährlich",(MONTH(J257)=7)*$C$20))),IF($C$19="monatlich",$C$22,IF($C$19="quartalsweise",OR(MONTH(J257)={1,4,7,10})*$C$22,IF($C$19="jährlich",(MONTH(J257)=7)*$C$22))))</f>
        <v>0</v>
      </c>
      <c r="L257" s="70">
        <f t="shared" si="233"/>
        <v>0</v>
      </c>
      <c r="M257" s="62">
        <f t="shared" si="234"/>
        <v>0</v>
      </c>
      <c r="N257" s="71">
        <f>+IF(AND($C$19="monatlich",K257&lt;$C$20),$C$20-K257,IF(AND($C$19="quartalsweise",OR(MONTH(J257)={1,4,7,10}),K257&lt;$C$20),$C$20-K257,IF(AND($C$19="jährlich",MONTH(J257)=7,K257&lt;$C$20),$C$20-K257,0)))</f>
        <v>0</v>
      </c>
      <c r="O257" s="71">
        <v>0</v>
      </c>
      <c r="P257" s="71">
        <v>0</v>
      </c>
      <c r="Q257" s="63">
        <f t="shared" si="235"/>
        <v>0</v>
      </c>
      <c r="R257" s="72">
        <f t="shared" si="201"/>
        <v>0</v>
      </c>
      <c r="S257" s="73">
        <f t="shared" si="177"/>
        <v>60158.912354568245</v>
      </c>
      <c r="T257" s="72">
        <f t="shared" si="237"/>
        <v>0</v>
      </c>
      <c r="U257" s="70">
        <f t="shared" si="238"/>
        <v>-55.692279598902147</v>
      </c>
      <c r="V257" s="72">
        <f t="shared" si="239"/>
        <v>286.60143384052384</v>
      </c>
      <c r="W257" s="70">
        <f t="shared" si="240"/>
        <v>68775.253275967334</v>
      </c>
    </row>
    <row r="258" spans="2:23" s="5" customFormat="1" ht="15">
      <c r="B258" s="17"/>
      <c r="G258" s="115">
        <f t="shared" si="189"/>
        <v>40.832876712328769</v>
      </c>
      <c r="H258" s="116" t="str">
        <f>H246&amp;" - "&amp;H257</f>
        <v>157 - 168</v>
      </c>
      <c r="I258" s="117">
        <f t="shared" si="207"/>
        <v>14</v>
      </c>
      <c r="J258" s="118">
        <f t="shared" ref="J258" si="241">+J257</f>
        <v>45809</v>
      </c>
      <c r="K258" s="119">
        <f t="shared" ref="K258:L258" si="242">SUM(K246:K257)</f>
        <v>3600</v>
      </c>
      <c r="L258" s="120">
        <f t="shared" si="242"/>
        <v>0</v>
      </c>
      <c r="M258" s="119">
        <f t="shared" ref="M258" si="243">SUM(M246:M257)</f>
        <v>154</v>
      </c>
      <c r="N258" s="121">
        <f t="shared" si="227"/>
        <v>8.105263203043199</v>
      </c>
      <c r="O258" s="121">
        <f t="shared" ref="O258" si="244">SUM(O246:O257)</f>
        <v>0</v>
      </c>
      <c r="P258" s="121">
        <f t="shared" ref="P258:Q271" si="245">SUM(P246:P257)</f>
        <v>0</v>
      </c>
      <c r="Q258" s="120">
        <f t="shared" si="245"/>
        <v>-8.1052631601521608</v>
      </c>
      <c r="R258" s="119">
        <f t="shared" ref="R258" si="246">SUM(R246:R257)</f>
        <v>3762.1052632030433</v>
      </c>
      <c r="S258" s="122">
        <f t="shared" si="177"/>
        <v>60158.912354568245</v>
      </c>
      <c r="T258" s="119">
        <f t="shared" ref="T258:V258" si="247">SUM(T246:T257)</f>
        <v>-15.4</v>
      </c>
      <c r="U258" s="120">
        <f t="shared" si="247"/>
        <v>-639.09492414889496</v>
      </c>
      <c r="V258" s="119">
        <f t="shared" si="247"/>
        <v>3289.4098674302313</v>
      </c>
      <c r="W258" s="123">
        <f t="shared" ref="W258" si="248">+W257</f>
        <v>68775.253275967334</v>
      </c>
    </row>
    <row r="259" spans="2:23" outlineLevel="1">
      <c r="G259" s="11">
        <f t="shared" si="189"/>
        <v>40.915068493150685</v>
      </c>
      <c r="H259" s="2">
        <v>169</v>
      </c>
      <c r="I259" s="2">
        <f t="shared" si="207"/>
        <v>15</v>
      </c>
      <c r="J259" s="29">
        <f t="shared" si="180"/>
        <v>45839</v>
      </c>
      <c r="K259" s="62">
        <f>+IF(OR(H259&gt;60,$C$21="nein"),IF($C$19="monatlich",$C$20,IF($C$19="quartalsweise",OR(MONTH(J259)={1,4,7,10})*$C$20,IF($C$19="jährlich",(MONTH(J259)=7)*$C$20))),IF($C$19="monatlich",$C$22,IF($C$19="quartalsweise",OR(MONTH(J259)={1,4,7,10})*$C$22,IF($C$19="jährlich",(MONTH(J259)=7)*$C$22))))</f>
        <v>900</v>
      </c>
      <c r="L259" s="63">
        <f t="shared" ref="L259:L270" si="249">-IF(H259&gt;60,0,IF($C$19="monatlich",$C$52,IF(AND($C$19="quartalsweise",K259&gt;0),$C$52,IF(AND($C$19="jährlich",K259&gt;0),$C$51,0))))</f>
        <v>0</v>
      </c>
      <c r="M259" s="62">
        <f t="shared" ref="M259:M270" si="250">+IF(MONTH(J259)=4,$C$25,0)</f>
        <v>0</v>
      </c>
      <c r="N259" s="64">
        <f>+IF(AND($C$19="monatlich",K259&lt;$C$20),$C$20-K259,IF(AND($C$19="quartalsweise",OR(MONTH(J259)={1,4,7,10}),K259&lt;$C$20),$C$20-K259,IF(AND($C$19="jährlich",MONTH(J259)=7,K259&lt;$C$20),$C$20-K259,0)))</f>
        <v>0</v>
      </c>
      <c r="O259" s="64">
        <v>0</v>
      </c>
      <c r="P259" s="64">
        <v>0</v>
      </c>
      <c r="Q259" s="63">
        <f t="shared" ref="Q259:Q270" si="251">-SUM(M259:P259)*$C$47/100</f>
        <v>0</v>
      </c>
      <c r="R259" s="62">
        <f t="shared" ref="R259" si="252">+SUM(K259,M259:P259)</f>
        <v>900</v>
      </c>
      <c r="S259" s="65">
        <f t="shared" si="177"/>
        <v>61058.912354568245</v>
      </c>
      <c r="T259" s="62">
        <f t="shared" ref="T259:T270" si="253">-IF(MONTH(J259)=12,$C$55,0)</f>
        <v>0</v>
      </c>
      <c r="U259" s="63">
        <f t="shared" ref="U259:U270" si="254">-W258*($D$43/100/12)</f>
        <v>-55.879893286723458</v>
      </c>
      <c r="V259" s="62">
        <f t="shared" ref="V259:V270" si="255">+(1+(IF($C$71="pauschal",$C$72/100/12,VLOOKUP(I258,$J$5:$L$44,3,FALSE)/100/12)*W258))</f>
        <v>287.56355531653054</v>
      </c>
      <c r="W259" s="63">
        <f t="shared" ref="W259:W270" si="256">+SUM(W258,R259,L259,Q259,T259:V259)</f>
        <v>69906.936937997147</v>
      </c>
    </row>
    <row r="260" spans="2:23" outlineLevel="1">
      <c r="G260" s="12">
        <f t="shared" si="189"/>
        <v>41</v>
      </c>
      <c r="H260" s="4">
        <v>170</v>
      </c>
      <c r="I260" s="4">
        <f t="shared" si="207"/>
        <v>15</v>
      </c>
      <c r="J260" s="30">
        <f t="shared" si="180"/>
        <v>45870</v>
      </c>
      <c r="K260" s="62">
        <f>+IF(OR(H260&gt;60,$C$21="nein"),IF($C$19="monatlich",$C$20,IF($C$19="quartalsweise",OR(MONTH(J260)={1,4,7,10})*$C$20,IF($C$19="jährlich",(MONTH(J260)=7)*$C$20))),IF($C$19="monatlich",$C$22,IF($C$19="quartalsweise",OR(MONTH(J260)={1,4,7,10})*$C$22,IF($C$19="jährlich",(MONTH(J260)=7)*$C$22))))</f>
        <v>0</v>
      </c>
      <c r="L260" s="66">
        <f t="shared" si="249"/>
        <v>0</v>
      </c>
      <c r="M260" s="62">
        <f t="shared" si="250"/>
        <v>0</v>
      </c>
      <c r="N260" s="67">
        <f>+IF(AND($C$19="monatlich",K260&lt;$C$20),$C$20-K260,IF(AND($C$19="quartalsweise",OR(MONTH(J260)={1,4,7,10}),K260&lt;$C$20),$C$20-K260,IF(AND($C$19="jährlich",MONTH(J260)=7,K260&lt;$C$20),$C$20-K260,0)))</f>
        <v>0</v>
      </c>
      <c r="O260" s="67">
        <v>0</v>
      </c>
      <c r="P260" s="67">
        <v>0</v>
      </c>
      <c r="Q260" s="63">
        <f t="shared" si="251"/>
        <v>0</v>
      </c>
      <c r="R260" s="68">
        <f t="shared" si="201"/>
        <v>0</v>
      </c>
      <c r="S260" s="69">
        <f t="shared" si="177"/>
        <v>61058.912354568245</v>
      </c>
      <c r="T260" s="68">
        <f t="shared" si="253"/>
        <v>0</v>
      </c>
      <c r="U260" s="66">
        <f t="shared" si="254"/>
        <v>-56.799386262122681</v>
      </c>
      <c r="V260" s="68">
        <f t="shared" si="255"/>
        <v>292.27890390832147</v>
      </c>
      <c r="W260" s="66">
        <f t="shared" si="256"/>
        <v>70142.416455643339</v>
      </c>
    </row>
    <row r="261" spans="2:23" outlineLevel="1">
      <c r="G261" s="12">
        <f t="shared" si="189"/>
        <v>41.084931506849315</v>
      </c>
      <c r="H261" s="4">
        <v>171</v>
      </c>
      <c r="I261" s="4">
        <f t="shared" si="207"/>
        <v>15</v>
      </c>
      <c r="J261" s="30">
        <f t="shared" si="180"/>
        <v>45901</v>
      </c>
      <c r="K261" s="62">
        <f>+IF(OR(H261&gt;60,$C$21="nein"),IF($C$19="monatlich",$C$20,IF($C$19="quartalsweise",OR(MONTH(J261)={1,4,7,10})*$C$20,IF($C$19="jährlich",(MONTH(J261)=7)*$C$20))),IF($C$19="monatlich",$C$22,IF($C$19="quartalsweise",OR(MONTH(J261)={1,4,7,10})*$C$22,IF($C$19="jährlich",(MONTH(J261)=7)*$C$22))))</f>
        <v>0</v>
      </c>
      <c r="L261" s="66">
        <f t="shared" si="249"/>
        <v>0</v>
      </c>
      <c r="M261" s="62">
        <f t="shared" si="250"/>
        <v>0</v>
      </c>
      <c r="N261" s="67">
        <f>+IF(AND($C$19="monatlich",K261&lt;$C$20),$C$20-K261,IF(AND($C$19="quartalsweise",OR(MONTH(J261)={1,4,7,10}),K261&lt;$C$20),$C$20-K261,IF(AND($C$19="jährlich",MONTH(J261)=7,K261&lt;$C$20),$C$20-K261,0)))</f>
        <v>0</v>
      </c>
      <c r="O261" s="67">
        <v>0</v>
      </c>
      <c r="P261" s="67">
        <v>0</v>
      </c>
      <c r="Q261" s="63">
        <f t="shared" si="251"/>
        <v>0</v>
      </c>
      <c r="R261" s="68">
        <f t="shared" si="201"/>
        <v>0</v>
      </c>
      <c r="S261" s="69">
        <f t="shared" si="177"/>
        <v>61058.912354568245</v>
      </c>
      <c r="T261" s="68">
        <f t="shared" si="253"/>
        <v>0</v>
      </c>
      <c r="U261" s="66">
        <f t="shared" si="254"/>
        <v>-56.990713370210209</v>
      </c>
      <c r="V261" s="68">
        <f t="shared" si="255"/>
        <v>293.26006856518057</v>
      </c>
      <c r="W261" s="66">
        <f t="shared" si="256"/>
        <v>70378.685810838317</v>
      </c>
    </row>
    <row r="262" spans="2:23" outlineLevel="1">
      <c r="G262" s="12">
        <f t="shared" si="189"/>
        <v>41.167123287671231</v>
      </c>
      <c r="H262" s="4">
        <v>172</v>
      </c>
      <c r="I262" s="4">
        <f t="shared" si="207"/>
        <v>15</v>
      </c>
      <c r="J262" s="30">
        <f t="shared" si="180"/>
        <v>45931</v>
      </c>
      <c r="K262" s="62">
        <f>+IF(OR(H262&gt;60,$C$21="nein"),IF($C$19="monatlich",$C$20,IF($C$19="quartalsweise",OR(MONTH(J262)={1,4,7,10})*$C$20,IF($C$19="jährlich",(MONTH(J262)=7)*$C$20))),IF($C$19="monatlich",$C$22,IF($C$19="quartalsweise",OR(MONTH(J262)={1,4,7,10})*$C$22,IF($C$19="jährlich",(MONTH(J262)=7)*$C$22))))</f>
        <v>900</v>
      </c>
      <c r="L262" s="66">
        <f t="shared" si="249"/>
        <v>0</v>
      </c>
      <c r="M262" s="62">
        <f t="shared" si="250"/>
        <v>0</v>
      </c>
      <c r="N262" s="67">
        <f>+IF(AND($C$19="monatlich",K262&lt;$C$20),$C$20-K262,IF(AND($C$19="quartalsweise",OR(MONTH(J262)={1,4,7,10}),K262&lt;$C$20),$C$20-K262,IF(AND($C$19="jährlich",MONTH(J262)=7,K262&lt;$C$20),$C$20-K262,0)))</f>
        <v>0</v>
      </c>
      <c r="O262" s="67">
        <v>0</v>
      </c>
      <c r="P262" s="67">
        <v>0</v>
      </c>
      <c r="Q262" s="63">
        <f t="shared" si="251"/>
        <v>0</v>
      </c>
      <c r="R262" s="68">
        <f t="shared" si="201"/>
        <v>900</v>
      </c>
      <c r="S262" s="69">
        <f t="shared" si="177"/>
        <v>61958.912354568245</v>
      </c>
      <c r="T262" s="68">
        <f t="shared" si="253"/>
        <v>0</v>
      </c>
      <c r="U262" s="66">
        <f t="shared" si="254"/>
        <v>-57.182682221306131</v>
      </c>
      <c r="V262" s="68">
        <f t="shared" si="255"/>
        <v>294.24452421182633</v>
      </c>
      <c r="W262" s="66">
        <f t="shared" si="256"/>
        <v>71515.747652828839</v>
      </c>
    </row>
    <row r="263" spans="2:23" outlineLevel="1">
      <c r="G263" s="12">
        <f t="shared" si="189"/>
        <v>41.252054794520546</v>
      </c>
      <c r="H263" s="4">
        <v>173</v>
      </c>
      <c r="I263" s="4">
        <f t="shared" si="207"/>
        <v>15</v>
      </c>
      <c r="J263" s="30">
        <f t="shared" si="180"/>
        <v>45962</v>
      </c>
      <c r="K263" s="62">
        <f>+IF(OR(H263&gt;60,$C$21="nein"),IF($C$19="monatlich",$C$20,IF($C$19="quartalsweise",OR(MONTH(J263)={1,4,7,10})*$C$20,IF($C$19="jährlich",(MONTH(J263)=7)*$C$20))),IF($C$19="monatlich",$C$22,IF($C$19="quartalsweise",OR(MONTH(J263)={1,4,7,10})*$C$22,IF($C$19="jährlich",(MONTH(J263)=7)*$C$22))))</f>
        <v>0</v>
      </c>
      <c r="L263" s="66">
        <f t="shared" si="249"/>
        <v>0</v>
      </c>
      <c r="M263" s="62">
        <f t="shared" si="250"/>
        <v>0</v>
      </c>
      <c r="N263" s="67">
        <f>+IF(AND($C$19="monatlich",K263&lt;$C$20),$C$20-K263,IF(AND($C$19="quartalsweise",OR(MONTH(J263)={1,4,7,10}),K263&lt;$C$20),$C$20-K263,IF(AND($C$19="jährlich",MONTH(J263)=7,K263&lt;$C$20),$C$20-K263,0)))</f>
        <v>0</v>
      </c>
      <c r="O263" s="67">
        <v>0</v>
      </c>
      <c r="P263" s="67">
        <v>0</v>
      </c>
      <c r="Q263" s="63">
        <f t="shared" si="251"/>
        <v>0</v>
      </c>
      <c r="R263" s="68">
        <f t="shared" si="201"/>
        <v>0</v>
      </c>
      <c r="S263" s="69">
        <f t="shared" si="177"/>
        <v>61958.912354568245</v>
      </c>
      <c r="T263" s="68">
        <f t="shared" si="253"/>
        <v>0</v>
      </c>
      <c r="U263" s="66">
        <f t="shared" si="254"/>
        <v>-58.106544967923426</v>
      </c>
      <c r="V263" s="68">
        <f t="shared" si="255"/>
        <v>298.98228188678684</v>
      </c>
      <c r="W263" s="66">
        <f t="shared" si="256"/>
        <v>71756.623389747692</v>
      </c>
    </row>
    <row r="264" spans="2:23" outlineLevel="1">
      <c r="G264" s="12">
        <f t="shared" si="189"/>
        <v>41.334246575342469</v>
      </c>
      <c r="H264" s="4">
        <v>174</v>
      </c>
      <c r="I264" s="4">
        <f t="shared" ref="I264:I295" si="257">+I251+1</f>
        <v>15</v>
      </c>
      <c r="J264" s="30">
        <f t="shared" si="180"/>
        <v>45992</v>
      </c>
      <c r="K264" s="62">
        <f>+IF(OR(H264&gt;60,$C$21="nein"),IF($C$19="monatlich",$C$20,IF($C$19="quartalsweise",OR(MONTH(J264)={1,4,7,10})*$C$20,IF($C$19="jährlich",(MONTH(J264)=7)*$C$20))),IF($C$19="monatlich",$C$22,IF($C$19="quartalsweise",OR(MONTH(J264)={1,4,7,10})*$C$22,IF($C$19="jährlich",(MONTH(J264)=7)*$C$22))))</f>
        <v>0</v>
      </c>
      <c r="L264" s="66">
        <f t="shared" si="249"/>
        <v>0</v>
      </c>
      <c r="M264" s="62">
        <f t="shared" si="250"/>
        <v>0</v>
      </c>
      <c r="N264" s="67">
        <f>+IF(AND($C$19="monatlich",K264&lt;$C$20),$C$20-K264,IF(AND($C$19="quartalsweise",OR(MONTH(J264)={1,4,7,10}),K264&lt;$C$20),$C$20-K264,IF(AND($C$19="jährlich",MONTH(J264)=7,K264&lt;$C$20),$C$20-K264,0)))</f>
        <v>0</v>
      </c>
      <c r="O264" s="67">
        <v>0</v>
      </c>
      <c r="P264" s="67">
        <v>0</v>
      </c>
      <c r="Q264" s="63">
        <f t="shared" si="251"/>
        <v>0</v>
      </c>
      <c r="R264" s="68">
        <f t="shared" si="201"/>
        <v>0</v>
      </c>
      <c r="S264" s="69">
        <f t="shared" si="177"/>
        <v>61958.912354568245</v>
      </c>
      <c r="T264" s="68">
        <f t="shared" si="253"/>
        <v>-15.4</v>
      </c>
      <c r="U264" s="66">
        <f t="shared" si="254"/>
        <v>-58.302256504169996</v>
      </c>
      <c r="V264" s="68">
        <f t="shared" si="255"/>
        <v>299.98593079061538</v>
      </c>
      <c r="W264" s="66">
        <f t="shared" si="256"/>
        <v>71982.907064034138</v>
      </c>
    </row>
    <row r="265" spans="2:23" outlineLevel="1">
      <c r="G265" s="12">
        <f t="shared" si="189"/>
        <v>41.419178082191777</v>
      </c>
      <c r="H265" s="4">
        <v>175</v>
      </c>
      <c r="I265" s="4">
        <f t="shared" si="257"/>
        <v>15</v>
      </c>
      <c r="J265" s="30">
        <f t="shared" si="180"/>
        <v>46023</v>
      </c>
      <c r="K265" s="62">
        <f>+IF(OR(H265&gt;60,$C$21="nein"),IF($C$19="monatlich",$C$20,IF($C$19="quartalsweise",OR(MONTH(J265)={1,4,7,10})*$C$20,IF($C$19="jährlich",(MONTH(J265)=7)*$C$20))),IF($C$19="monatlich",$C$22,IF($C$19="quartalsweise",OR(MONTH(J265)={1,4,7,10})*$C$22,IF($C$19="jährlich",(MONTH(J265)=7)*$C$22))))</f>
        <v>900</v>
      </c>
      <c r="L265" s="66">
        <f t="shared" si="249"/>
        <v>0</v>
      </c>
      <c r="M265" s="62">
        <f t="shared" si="250"/>
        <v>0</v>
      </c>
      <c r="N265" s="67">
        <f>+IF(AND($C$19="monatlich",K265&lt;$C$20),$C$20-K265,IF(AND($C$19="quartalsweise",OR(MONTH(J265)={1,4,7,10}),K265&lt;$C$20),$C$20-K265,IF(AND($C$19="jährlich",MONTH(J265)=7,K265&lt;$C$20),$C$20-K265,0)))</f>
        <v>0</v>
      </c>
      <c r="O265" s="67">
        <v>0</v>
      </c>
      <c r="P265" s="67">
        <v>0</v>
      </c>
      <c r="Q265" s="63">
        <f t="shared" si="251"/>
        <v>0</v>
      </c>
      <c r="R265" s="68">
        <f t="shared" si="201"/>
        <v>900</v>
      </c>
      <c r="S265" s="69">
        <f t="shared" si="177"/>
        <v>62858.912354568245</v>
      </c>
      <c r="T265" s="68">
        <f t="shared" si="253"/>
        <v>0</v>
      </c>
      <c r="U265" s="66">
        <f t="shared" si="254"/>
        <v>-58.486111989527735</v>
      </c>
      <c r="V265" s="68">
        <f t="shared" si="255"/>
        <v>300.9287794334756</v>
      </c>
      <c r="W265" s="66">
        <f t="shared" si="256"/>
        <v>73125.349731478098</v>
      </c>
    </row>
    <row r="266" spans="2:23" outlineLevel="1">
      <c r="G266" s="12">
        <f t="shared" si="189"/>
        <v>41.504109589041093</v>
      </c>
      <c r="H266" s="4">
        <v>176</v>
      </c>
      <c r="I266" s="4">
        <f t="shared" si="257"/>
        <v>15</v>
      </c>
      <c r="J266" s="30">
        <f t="shared" si="180"/>
        <v>46054</v>
      </c>
      <c r="K266" s="62">
        <f>+IF(OR(H266&gt;60,$C$21="nein"),IF($C$19="monatlich",$C$20,IF($C$19="quartalsweise",OR(MONTH(J266)={1,4,7,10})*$C$20,IF($C$19="jährlich",(MONTH(J266)=7)*$C$20))),IF($C$19="monatlich",$C$22,IF($C$19="quartalsweise",OR(MONTH(J266)={1,4,7,10})*$C$22,IF($C$19="jährlich",(MONTH(J266)=7)*$C$22))))</f>
        <v>0</v>
      </c>
      <c r="L266" s="66">
        <f t="shared" si="249"/>
        <v>0</v>
      </c>
      <c r="M266" s="62">
        <f t="shared" si="250"/>
        <v>0</v>
      </c>
      <c r="N266" s="67">
        <f>+IF(AND($C$19="monatlich",K266&lt;$C$20),$C$20-K266,IF(AND($C$19="quartalsweise",OR(MONTH(J266)={1,4,7,10}),K266&lt;$C$20),$C$20-K266,IF(AND($C$19="jährlich",MONTH(J266)=7,K266&lt;$C$20),$C$20-K266,0)))</f>
        <v>0</v>
      </c>
      <c r="O266" s="67">
        <v>0</v>
      </c>
      <c r="P266" s="67">
        <v>0</v>
      </c>
      <c r="Q266" s="63">
        <f t="shared" si="251"/>
        <v>0</v>
      </c>
      <c r="R266" s="68">
        <f t="shared" si="201"/>
        <v>0</v>
      </c>
      <c r="S266" s="69">
        <f t="shared" si="177"/>
        <v>62858.912354568245</v>
      </c>
      <c r="T266" s="68">
        <f t="shared" si="253"/>
        <v>0</v>
      </c>
      <c r="U266" s="66">
        <f t="shared" si="254"/>
        <v>-59.414346656825948</v>
      </c>
      <c r="V266" s="68">
        <f t="shared" si="255"/>
        <v>305.68895721449206</v>
      </c>
      <c r="W266" s="66">
        <f t="shared" si="256"/>
        <v>73371.624342035764</v>
      </c>
    </row>
    <row r="267" spans="2:23" outlineLevel="1">
      <c r="G267" s="12">
        <f t="shared" si="189"/>
        <v>41.580821917808223</v>
      </c>
      <c r="H267" s="4">
        <v>177</v>
      </c>
      <c r="I267" s="4">
        <f t="shared" si="257"/>
        <v>15</v>
      </c>
      <c r="J267" s="30">
        <f t="shared" si="180"/>
        <v>46082</v>
      </c>
      <c r="K267" s="62">
        <f>+IF(OR(H267&gt;60,$C$21="nein"),IF($C$19="monatlich",$C$20,IF($C$19="quartalsweise",OR(MONTH(J267)={1,4,7,10})*$C$20,IF($C$19="jährlich",(MONTH(J267)=7)*$C$20))),IF($C$19="monatlich",$C$22,IF($C$19="quartalsweise",OR(MONTH(J267)={1,4,7,10})*$C$22,IF($C$19="jährlich",(MONTH(J267)=7)*$C$22))))</f>
        <v>0</v>
      </c>
      <c r="L267" s="66">
        <f t="shared" si="249"/>
        <v>0</v>
      </c>
      <c r="M267" s="62">
        <f t="shared" si="250"/>
        <v>0</v>
      </c>
      <c r="N267" s="67">
        <f>+IF(AND($C$19="monatlich",K267&lt;$C$20),$C$20-K267,IF(AND($C$19="quartalsweise",OR(MONTH(J267)={1,4,7,10}),K267&lt;$C$20),$C$20-K267,IF(AND($C$19="jährlich",MONTH(J267)=7,K267&lt;$C$20),$C$20-K267,0)))-$C$67/100*SUM(Q249:Q257,Q259:Q261)-$C$66/100*SUM(L249:L257,L259:L261)</f>
        <v>8.1052631601521608</v>
      </c>
      <c r="O267" s="67">
        <v>0</v>
      </c>
      <c r="P267" s="67">
        <v>0</v>
      </c>
      <c r="Q267" s="63">
        <f t="shared" si="251"/>
        <v>-0.40526315800760804</v>
      </c>
      <c r="R267" s="68">
        <f t="shared" si="201"/>
        <v>8.1052631601521608</v>
      </c>
      <c r="S267" s="69">
        <f t="shared" si="177"/>
        <v>62867.017617728394</v>
      </c>
      <c r="T267" s="68">
        <f t="shared" si="253"/>
        <v>0</v>
      </c>
      <c r="U267" s="66">
        <f t="shared" si="254"/>
        <v>-59.614444777904055</v>
      </c>
      <c r="V267" s="68">
        <f t="shared" si="255"/>
        <v>306.71510142514899</v>
      </c>
      <c r="W267" s="66">
        <f t="shared" si="256"/>
        <v>73626.424998685136</v>
      </c>
    </row>
    <row r="268" spans="2:23" outlineLevel="1">
      <c r="G268" s="12">
        <f t="shared" si="189"/>
        <v>41.665753424657531</v>
      </c>
      <c r="H268" s="4">
        <v>178</v>
      </c>
      <c r="I268" s="4">
        <f t="shared" si="257"/>
        <v>15</v>
      </c>
      <c r="J268" s="30">
        <f t="shared" si="180"/>
        <v>46113</v>
      </c>
      <c r="K268" s="62">
        <f>+IF(OR(H268&gt;60,$C$21="nein"),IF($C$19="monatlich",$C$20,IF($C$19="quartalsweise",OR(MONTH(J268)={1,4,7,10})*$C$20,IF($C$19="jährlich",(MONTH(J268)=7)*$C$20))),IF($C$19="monatlich",$C$22,IF($C$19="quartalsweise",OR(MONTH(J268)={1,4,7,10})*$C$22,IF($C$19="jährlich",(MONTH(J268)=7)*$C$22))))</f>
        <v>900</v>
      </c>
      <c r="L268" s="66">
        <f t="shared" si="249"/>
        <v>0</v>
      </c>
      <c r="M268" s="62">
        <f t="shared" si="250"/>
        <v>154</v>
      </c>
      <c r="N268" s="67">
        <f>+IF(AND($C$19="monatlich",K268&lt;$C$20),$C$20-K268,IF(AND($C$19="quartalsweise",OR(MONTH(J268)={1,4,7,10}),K268&lt;$C$20),$C$20-K268,IF(AND($C$19="jährlich",MONTH(J268)=7,K268&lt;$C$20),$C$20-K268,0)))</f>
        <v>0</v>
      </c>
      <c r="O268" s="67">
        <v>0</v>
      </c>
      <c r="P268" s="67">
        <v>0</v>
      </c>
      <c r="Q268" s="63">
        <f t="shared" si="251"/>
        <v>-7.7</v>
      </c>
      <c r="R268" s="68">
        <f t="shared" si="201"/>
        <v>1054</v>
      </c>
      <c r="S268" s="69">
        <f t="shared" si="177"/>
        <v>63921.017617728394</v>
      </c>
      <c r="T268" s="68">
        <f t="shared" si="253"/>
        <v>0</v>
      </c>
      <c r="U268" s="66">
        <f t="shared" si="254"/>
        <v>-59.821470311431668</v>
      </c>
      <c r="V268" s="68">
        <f t="shared" si="255"/>
        <v>307.7767708278547</v>
      </c>
      <c r="W268" s="66">
        <f t="shared" si="256"/>
        <v>74920.680299201558</v>
      </c>
    </row>
    <row r="269" spans="2:23" outlineLevel="1">
      <c r="G269" s="12">
        <f t="shared" si="189"/>
        <v>41.747945205479454</v>
      </c>
      <c r="H269" s="4">
        <v>179</v>
      </c>
      <c r="I269" s="4">
        <f t="shared" si="257"/>
        <v>15</v>
      </c>
      <c r="J269" s="30">
        <f t="shared" si="180"/>
        <v>46143</v>
      </c>
      <c r="K269" s="62">
        <f>+IF(OR(H269&gt;60,$C$21="nein"),IF($C$19="monatlich",$C$20,IF($C$19="quartalsweise",OR(MONTH(J269)={1,4,7,10})*$C$20,IF($C$19="jährlich",(MONTH(J269)=7)*$C$20))),IF($C$19="monatlich",$C$22,IF($C$19="quartalsweise",OR(MONTH(J269)={1,4,7,10})*$C$22,IF($C$19="jährlich",(MONTH(J269)=7)*$C$22))))</f>
        <v>0</v>
      </c>
      <c r="L269" s="66">
        <f t="shared" si="249"/>
        <v>0</v>
      </c>
      <c r="M269" s="62">
        <f t="shared" si="250"/>
        <v>0</v>
      </c>
      <c r="N269" s="67">
        <f>+IF(AND($C$19="monatlich",K269&lt;$C$20),$C$20-K269,IF(AND($C$19="quartalsweise",OR(MONTH(J269)={1,4,7,10}),K269&lt;$C$20),$C$20-K269,IF(AND($C$19="jährlich",MONTH(J269)=7,K269&lt;$C$20),$C$20-K269,0)))</f>
        <v>0</v>
      </c>
      <c r="O269" s="67">
        <v>0</v>
      </c>
      <c r="P269" s="67">
        <v>0</v>
      </c>
      <c r="Q269" s="63">
        <f t="shared" si="251"/>
        <v>0</v>
      </c>
      <c r="R269" s="68">
        <f t="shared" si="201"/>
        <v>0</v>
      </c>
      <c r="S269" s="69">
        <f t="shared" si="177"/>
        <v>63921.017617728394</v>
      </c>
      <c r="T269" s="68">
        <f t="shared" si="253"/>
        <v>0</v>
      </c>
      <c r="U269" s="66">
        <f t="shared" si="254"/>
        <v>-60.873052743101262</v>
      </c>
      <c r="V269" s="68">
        <f t="shared" si="255"/>
        <v>313.16950124667318</v>
      </c>
      <c r="W269" s="66">
        <f t="shared" si="256"/>
        <v>75172.976747705121</v>
      </c>
    </row>
    <row r="270" spans="2:23" outlineLevel="1">
      <c r="G270" s="13">
        <f t="shared" si="189"/>
        <v>41.832876712328769</v>
      </c>
      <c r="H270" s="6">
        <v>180</v>
      </c>
      <c r="I270" s="6">
        <f t="shared" si="257"/>
        <v>15</v>
      </c>
      <c r="J270" s="31">
        <f t="shared" si="180"/>
        <v>46174</v>
      </c>
      <c r="K270" s="62">
        <f>+IF(OR(H270&gt;60,$C$21="nein"),IF($C$19="monatlich",$C$20,IF($C$19="quartalsweise",OR(MONTH(J270)={1,4,7,10})*$C$20,IF($C$19="jährlich",(MONTH(J270)=7)*$C$20))),IF($C$19="monatlich",$C$22,IF($C$19="quartalsweise",OR(MONTH(J270)={1,4,7,10})*$C$22,IF($C$19="jährlich",(MONTH(J270)=7)*$C$22))))</f>
        <v>0</v>
      </c>
      <c r="L270" s="70">
        <f t="shared" si="249"/>
        <v>0</v>
      </c>
      <c r="M270" s="62">
        <f t="shared" si="250"/>
        <v>0</v>
      </c>
      <c r="N270" s="71">
        <f>+IF(AND($C$19="monatlich",K270&lt;$C$20),$C$20-K270,IF(AND($C$19="quartalsweise",OR(MONTH(J270)={1,4,7,10}),K270&lt;$C$20),$C$20-K270,IF(AND($C$19="jährlich",MONTH(J270)=7,K270&lt;$C$20),$C$20-K270,0)))</f>
        <v>0</v>
      </c>
      <c r="O270" s="71">
        <v>0</v>
      </c>
      <c r="P270" s="71">
        <v>0</v>
      </c>
      <c r="Q270" s="63">
        <f t="shared" si="251"/>
        <v>0</v>
      </c>
      <c r="R270" s="72">
        <f t="shared" si="201"/>
        <v>0</v>
      </c>
      <c r="S270" s="73">
        <f t="shared" ref="S270:S333" si="258">+IF(EXACT(J270,J269),S269,SUM(S269,R270))</f>
        <v>63921.017617728394</v>
      </c>
      <c r="T270" s="72">
        <f t="shared" si="253"/>
        <v>0</v>
      </c>
      <c r="U270" s="70">
        <f t="shared" si="254"/>
        <v>-61.078043607510409</v>
      </c>
      <c r="V270" s="72">
        <f t="shared" si="255"/>
        <v>314.22073644877133</v>
      </c>
      <c r="W270" s="70">
        <f t="shared" si="256"/>
        <v>75426.119440546376</v>
      </c>
    </row>
    <row r="271" spans="2:23" s="5" customFormat="1" ht="15">
      <c r="B271" s="17"/>
      <c r="G271" s="115">
        <f t="shared" si="189"/>
        <v>41.832876712328769</v>
      </c>
      <c r="H271" s="116" t="str">
        <f>H259&amp;" - "&amp;H270</f>
        <v>169 - 180</v>
      </c>
      <c r="I271" s="117">
        <f t="shared" si="257"/>
        <v>15</v>
      </c>
      <c r="J271" s="118">
        <f t="shared" ref="J271" si="259">+J270</f>
        <v>46174</v>
      </c>
      <c r="K271" s="119">
        <f t="shared" ref="K271:L271" si="260">SUM(K259:K270)</f>
        <v>3600</v>
      </c>
      <c r="L271" s="120">
        <f t="shared" si="260"/>
        <v>0</v>
      </c>
      <c r="M271" s="119">
        <f t="shared" ref="M271" si="261">SUM(M259:M270)</f>
        <v>154</v>
      </c>
      <c r="N271" s="121">
        <f t="shared" si="227"/>
        <v>8.1052631601521608</v>
      </c>
      <c r="O271" s="121">
        <f t="shared" ref="O271" si="262">SUM(O259:O270)</f>
        <v>0</v>
      </c>
      <c r="P271" s="121">
        <f t="shared" ref="P271" si="263">SUM(P259:P270)</f>
        <v>0</v>
      </c>
      <c r="Q271" s="120">
        <f t="shared" si="245"/>
        <v>-8.1052631580076078</v>
      </c>
      <c r="R271" s="119">
        <f t="shared" ref="R271" si="264">SUM(R259:R270)</f>
        <v>3762.1052631601519</v>
      </c>
      <c r="S271" s="122">
        <f t="shared" si="258"/>
        <v>63921.017617728394</v>
      </c>
      <c r="T271" s="119">
        <f t="shared" ref="T271:V271" si="265">SUM(T259:T270)</f>
        <v>-15.4</v>
      </c>
      <c r="U271" s="120">
        <f t="shared" si="265"/>
        <v>-702.54894669875694</v>
      </c>
      <c r="V271" s="119">
        <f t="shared" si="265"/>
        <v>3614.8151112756764</v>
      </c>
      <c r="W271" s="123">
        <f t="shared" ref="W271" si="266">+W270</f>
        <v>75426.119440546376</v>
      </c>
    </row>
    <row r="272" spans="2:23" outlineLevel="1">
      <c r="G272" s="11">
        <f t="shared" si="189"/>
        <v>41.915068493150685</v>
      </c>
      <c r="H272" s="2">
        <v>181</v>
      </c>
      <c r="I272" s="2">
        <f t="shared" si="257"/>
        <v>16</v>
      </c>
      <c r="J272" s="29">
        <f t="shared" ref="J272:J335" si="267">+DATE(YEAR(J271),MONTH(J271)+1,1)</f>
        <v>46204</v>
      </c>
      <c r="K272" s="62">
        <f>+IF(OR(H272&gt;60,$C$21="nein"),IF($C$19="monatlich",$C$20,IF($C$19="quartalsweise",OR(MONTH(J272)={1,4,7,10})*$C$20,IF($C$19="jährlich",(MONTH(J272)=7)*$C$20))),IF($C$19="monatlich",$C$22,IF($C$19="quartalsweise",OR(MONTH(J272)={1,4,7,10})*$C$22,IF($C$19="jährlich",(MONTH(J272)=7)*$C$22))))</f>
        <v>900</v>
      </c>
      <c r="L272" s="63">
        <f t="shared" ref="L272:L283" si="268">-IF(H272&gt;60,0,IF($C$19="monatlich",$C$52,IF(AND($C$19="quartalsweise",K272&gt;0),$C$52,IF(AND($C$19="jährlich",K272&gt;0),$C$51,0))))</f>
        <v>0</v>
      </c>
      <c r="M272" s="62">
        <f t="shared" ref="M272:M283" si="269">+IF(MONTH(J272)=4,$C$25,0)</f>
        <v>0</v>
      </c>
      <c r="N272" s="64">
        <f>+IF(AND($C$19="monatlich",K272&lt;$C$20),$C$20-K272,IF(AND($C$19="quartalsweise",OR(MONTH(J272)={1,4,7,10}),K272&lt;$C$20),$C$20-K272,IF(AND($C$19="jährlich",MONTH(J272)=7,K272&lt;$C$20),$C$20-K272,0)))</f>
        <v>0</v>
      </c>
      <c r="O272" s="64">
        <v>0</v>
      </c>
      <c r="P272" s="64">
        <v>0</v>
      </c>
      <c r="Q272" s="63">
        <f t="shared" ref="Q272:Q283" si="270">-SUM(M272:P272)*$C$47/100</f>
        <v>0</v>
      </c>
      <c r="R272" s="62">
        <f t="shared" ref="R272" si="271">+SUM(K272,M272:P272)</f>
        <v>900</v>
      </c>
      <c r="S272" s="65">
        <f t="shared" si="258"/>
        <v>64821.017617728394</v>
      </c>
      <c r="T272" s="62">
        <f t="shared" ref="T272:T283" si="272">-IF(MONTH(J272)=12,$C$55,0)</f>
        <v>0</v>
      </c>
      <c r="U272" s="63">
        <f t="shared" ref="U272:U283" si="273">-W271*($D$43/100/12)</f>
        <v>-61.28372204544393</v>
      </c>
      <c r="V272" s="62">
        <f t="shared" ref="V272:V283" si="274">+(1+(IF($C$71="pauschal",$C$72/100/12,VLOOKUP(I271,$J$5:$L$44,3,FALSE)/100/12)*W271))</f>
        <v>315.27549766894322</v>
      </c>
      <c r="W272" s="63">
        <f t="shared" ref="W272:W283" si="275">+SUM(W271,R272,L272,Q272,T272:V272)</f>
        <v>76580.111216169884</v>
      </c>
    </row>
    <row r="273" spans="2:23" outlineLevel="1">
      <c r="G273" s="12">
        <f t="shared" si="189"/>
        <v>42</v>
      </c>
      <c r="H273" s="4">
        <v>182</v>
      </c>
      <c r="I273" s="4">
        <f t="shared" si="257"/>
        <v>16</v>
      </c>
      <c r="J273" s="30">
        <f t="shared" si="267"/>
        <v>46235</v>
      </c>
      <c r="K273" s="62">
        <f>+IF(OR(H273&gt;60,$C$21="nein"),IF($C$19="monatlich",$C$20,IF($C$19="quartalsweise",OR(MONTH(J273)={1,4,7,10})*$C$20,IF($C$19="jährlich",(MONTH(J273)=7)*$C$20))),IF($C$19="monatlich",$C$22,IF($C$19="quartalsweise",OR(MONTH(J273)={1,4,7,10})*$C$22,IF($C$19="jährlich",(MONTH(J273)=7)*$C$22))))</f>
        <v>0</v>
      </c>
      <c r="L273" s="66">
        <f t="shared" si="268"/>
        <v>0</v>
      </c>
      <c r="M273" s="62">
        <f t="shared" si="269"/>
        <v>0</v>
      </c>
      <c r="N273" s="67">
        <f>+IF(AND($C$19="monatlich",K273&lt;$C$20),$C$20-K273,IF(AND($C$19="quartalsweise",OR(MONTH(J273)={1,4,7,10}),K273&lt;$C$20),$C$20-K273,IF(AND($C$19="jährlich",MONTH(J273)=7,K273&lt;$C$20),$C$20-K273,0)))</f>
        <v>0</v>
      </c>
      <c r="O273" s="67">
        <v>0</v>
      </c>
      <c r="P273" s="67">
        <v>0</v>
      </c>
      <c r="Q273" s="63">
        <f t="shared" si="270"/>
        <v>0</v>
      </c>
      <c r="R273" s="68">
        <f t="shared" si="201"/>
        <v>0</v>
      </c>
      <c r="S273" s="69">
        <f t="shared" si="258"/>
        <v>64821.017617728394</v>
      </c>
      <c r="T273" s="68">
        <f t="shared" si="272"/>
        <v>0</v>
      </c>
      <c r="U273" s="66">
        <f t="shared" si="273"/>
        <v>-62.221340363138026</v>
      </c>
      <c r="V273" s="68">
        <f t="shared" si="274"/>
        <v>320.08379673404119</v>
      </c>
      <c r="W273" s="66">
        <f t="shared" si="275"/>
        <v>76837.973672540786</v>
      </c>
    </row>
    <row r="274" spans="2:23" outlineLevel="1">
      <c r="G274" s="12">
        <f t="shared" si="189"/>
        <v>42.084931506849315</v>
      </c>
      <c r="H274" s="4">
        <v>183</v>
      </c>
      <c r="I274" s="4">
        <f t="shared" si="257"/>
        <v>16</v>
      </c>
      <c r="J274" s="30">
        <f t="shared" si="267"/>
        <v>46266</v>
      </c>
      <c r="K274" s="62">
        <f>+IF(OR(H274&gt;60,$C$21="nein"),IF($C$19="monatlich",$C$20,IF($C$19="quartalsweise",OR(MONTH(J274)={1,4,7,10})*$C$20,IF($C$19="jährlich",(MONTH(J274)=7)*$C$20))),IF($C$19="monatlich",$C$22,IF($C$19="quartalsweise",OR(MONTH(J274)={1,4,7,10})*$C$22,IF($C$19="jährlich",(MONTH(J274)=7)*$C$22))))</f>
        <v>0</v>
      </c>
      <c r="L274" s="66">
        <f t="shared" si="268"/>
        <v>0</v>
      </c>
      <c r="M274" s="62">
        <f t="shared" si="269"/>
        <v>0</v>
      </c>
      <c r="N274" s="67">
        <f>+IF(AND($C$19="monatlich",K274&lt;$C$20),$C$20-K274,IF(AND($C$19="quartalsweise",OR(MONTH(J274)={1,4,7,10}),K274&lt;$C$20),$C$20-K274,IF(AND($C$19="jährlich",MONTH(J274)=7,K274&lt;$C$20),$C$20-K274,0)))</f>
        <v>0</v>
      </c>
      <c r="O274" s="67">
        <v>0</v>
      </c>
      <c r="P274" s="67">
        <v>0</v>
      </c>
      <c r="Q274" s="63">
        <f t="shared" si="270"/>
        <v>0</v>
      </c>
      <c r="R274" s="68">
        <f t="shared" si="201"/>
        <v>0</v>
      </c>
      <c r="S274" s="69">
        <f t="shared" si="258"/>
        <v>64821.017617728394</v>
      </c>
      <c r="T274" s="68">
        <f t="shared" si="272"/>
        <v>0</v>
      </c>
      <c r="U274" s="66">
        <f t="shared" si="273"/>
        <v>-62.430853608939387</v>
      </c>
      <c r="V274" s="68">
        <f t="shared" si="274"/>
        <v>321.15822363558658</v>
      </c>
      <c r="W274" s="66">
        <f t="shared" si="275"/>
        <v>77096.701042567438</v>
      </c>
    </row>
    <row r="275" spans="2:23" outlineLevel="1">
      <c r="G275" s="12">
        <f t="shared" si="189"/>
        <v>42.167123287671231</v>
      </c>
      <c r="H275" s="4">
        <v>184</v>
      </c>
      <c r="I275" s="4">
        <f t="shared" si="257"/>
        <v>16</v>
      </c>
      <c r="J275" s="30">
        <f t="shared" si="267"/>
        <v>46296</v>
      </c>
      <c r="K275" s="62">
        <f>+IF(OR(H275&gt;60,$C$21="nein"),IF($C$19="monatlich",$C$20,IF($C$19="quartalsweise",OR(MONTH(J275)={1,4,7,10})*$C$20,IF($C$19="jährlich",(MONTH(J275)=7)*$C$20))),IF($C$19="monatlich",$C$22,IF($C$19="quartalsweise",OR(MONTH(J275)={1,4,7,10})*$C$22,IF($C$19="jährlich",(MONTH(J275)=7)*$C$22))))</f>
        <v>900</v>
      </c>
      <c r="L275" s="66">
        <f t="shared" si="268"/>
        <v>0</v>
      </c>
      <c r="M275" s="62">
        <f t="shared" si="269"/>
        <v>0</v>
      </c>
      <c r="N275" s="67">
        <f>+IF(AND($C$19="monatlich",K275&lt;$C$20),$C$20-K275,IF(AND($C$19="quartalsweise",OR(MONTH(J275)={1,4,7,10}),K275&lt;$C$20),$C$20-K275,IF(AND($C$19="jährlich",MONTH(J275)=7,K275&lt;$C$20),$C$20-K275,0)))</f>
        <v>0</v>
      </c>
      <c r="O275" s="67">
        <v>0</v>
      </c>
      <c r="P275" s="67">
        <v>0</v>
      </c>
      <c r="Q275" s="63">
        <f t="shared" si="270"/>
        <v>0</v>
      </c>
      <c r="R275" s="68">
        <f t="shared" si="201"/>
        <v>900</v>
      </c>
      <c r="S275" s="69">
        <f t="shared" si="258"/>
        <v>65721.017617728387</v>
      </c>
      <c r="T275" s="68">
        <f t="shared" si="272"/>
        <v>0</v>
      </c>
      <c r="U275" s="66">
        <f t="shared" si="273"/>
        <v>-62.641069597086037</v>
      </c>
      <c r="V275" s="68">
        <f t="shared" si="274"/>
        <v>322.23625434403101</v>
      </c>
      <c r="W275" s="66">
        <f t="shared" si="275"/>
        <v>78256.296227314378</v>
      </c>
    </row>
    <row r="276" spans="2:23" outlineLevel="1">
      <c r="G276" s="12">
        <f t="shared" si="189"/>
        <v>42.252054794520546</v>
      </c>
      <c r="H276" s="4">
        <v>185</v>
      </c>
      <c r="I276" s="4">
        <f t="shared" si="257"/>
        <v>16</v>
      </c>
      <c r="J276" s="30">
        <f t="shared" si="267"/>
        <v>46327</v>
      </c>
      <c r="K276" s="62">
        <f>+IF(OR(H276&gt;60,$C$21="nein"),IF($C$19="monatlich",$C$20,IF($C$19="quartalsweise",OR(MONTH(J276)={1,4,7,10})*$C$20,IF($C$19="jährlich",(MONTH(J276)=7)*$C$20))),IF($C$19="monatlich",$C$22,IF($C$19="quartalsweise",OR(MONTH(J276)={1,4,7,10})*$C$22,IF($C$19="jährlich",(MONTH(J276)=7)*$C$22))))</f>
        <v>0</v>
      </c>
      <c r="L276" s="66">
        <f t="shared" si="268"/>
        <v>0</v>
      </c>
      <c r="M276" s="62">
        <f t="shared" si="269"/>
        <v>0</v>
      </c>
      <c r="N276" s="67">
        <f>+IF(AND($C$19="monatlich",K276&lt;$C$20),$C$20-K276,IF(AND($C$19="quartalsweise",OR(MONTH(J276)={1,4,7,10}),K276&lt;$C$20),$C$20-K276,IF(AND($C$19="jährlich",MONTH(J276)=7,K276&lt;$C$20),$C$20-K276,0)))</f>
        <v>0</v>
      </c>
      <c r="O276" s="67">
        <v>0</v>
      </c>
      <c r="P276" s="67">
        <v>0</v>
      </c>
      <c r="Q276" s="63">
        <f t="shared" si="270"/>
        <v>0</v>
      </c>
      <c r="R276" s="68">
        <f t="shared" si="201"/>
        <v>0</v>
      </c>
      <c r="S276" s="69">
        <f t="shared" si="258"/>
        <v>65721.017617728387</v>
      </c>
      <c r="T276" s="68">
        <f t="shared" si="272"/>
        <v>0</v>
      </c>
      <c r="U276" s="66">
        <f t="shared" si="273"/>
        <v>-63.583240684692932</v>
      </c>
      <c r="V276" s="68">
        <f t="shared" si="274"/>
        <v>327.06790094714324</v>
      </c>
      <c r="W276" s="66">
        <f t="shared" si="275"/>
        <v>78519.780887576839</v>
      </c>
    </row>
    <row r="277" spans="2:23" outlineLevel="1">
      <c r="G277" s="12">
        <f t="shared" si="189"/>
        <v>42.334246575342469</v>
      </c>
      <c r="H277" s="4">
        <v>186</v>
      </c>
      <c r="I277" s="4">
        <f t="shared" si="257"/>
        <v>16</v>
      </c>
      <c r="J277" s="30">
        <f t="shared" si="267"/>
        <v>46357</v>
      </c>
      <c r="K277" s="62">
        <f>+IF(OR(H277&gt;60,$C$21="nein"),IF($C$19="monatlich",$C$20,IF($C$19="quartalsweise",OR(MONTH(J277)={1,4,7,10})*$C$20,IF($C$19="jährlich",(MONTH(J277)=7)*$C$20))),IF($C$19="monatlich",$C$22,IF($C$19="quartalsweise",OR(MONTH(J277)={1,4,7,10})*$C$22,IF($C$19="jährlich",(MONTH(J277)=7)*$C$22))))</f>
        <v>0</v>
      </c>
      <c r="L277" s="66">
        <f t="shared" si="268"/>
        <v>0</v>
      </c>
      <c r="M277" s="62">
        <f t="shared" si="269"/>
        <v>0</v>
      </c>
      <c r="N277" s="67">
        <f>+IF(AND($C$19="monatlich",K277&lt;$C$20),$C$20-K277,IF(AND($C$19="quartalsweise",OR(MONTH(J277)={1,4,7,10}),K277&lt;$C$20),$C$20-K277,IF(AND($C$19="jährlich",MONTH(J277)=7,K277&lt;$C$20),$C$20-K277,0)))</f>
        <v>0</v>
      </c>
      <c r="O277" s="67">
        <v>0</v>
      </c>
      <c r="P277" s="67">
        <v>0</v>
      </c>
      <c r="Q277" s="63">
        <f t="shared" si="270"/>
        <v>0</v>
      </c>
      <c r="R277" s="68">
        <f t="shared" si="201"/>
        <v>0</v>
      </c>
      <c r="S277" s="69">
        <f t="shared" si="258"/>
        <v>65721.017617728387</v>
      </c>
      <c r="T277" s="68">
        <f t="shared" si="272"/>
        <v>-15.4</v>
      </c>
      <c r="U277" s="66">
        <f t="shared" si="273"/>
        <v>-63.79732197115618</v>
      </c>
      <c r="V277" s="68">
        <f t="shared" si="274"/>
        <v>328.16575369823681</v>
      </c>
      <c r="W277" s="66">
        <f t="shared" si="275"/>
        <v>78768.749319303926</v>
      </c>
    </row>
    <row r="278" spans="2:23" outlineLevel="1">
      <c r="G278" s="12">
        <f t="shared" si="189"/>
        <v>42.419178082191777</v>
      </c>
      <c r="H278" s="4">
        <v>187</v>
      </c>
      <c r="I278" s="4">
        <f t="shared" si="257"/>
        <v>16</v>
      </c>
      <c r="J278" s="30">
        <f t="shared" si="267"/>
        <v>46388</v>
      </c>
      <c r="K278" s="62">
        <f>+IF(OR(H278&gt;60,$C$21="nein"),IF($C$19="monatlich",$C$20,IF($C$19="quartalsweise",OR(MONTH(J278)={1,4,7,10})*$C$20,IF($C$19="jährlich",(MONTH(J278)=7)*$C$20))),IF($C$19="monatlich",$C$22,IF($C$19="quartalsweise",OR(MONTH(J278)={1,4,7,10})*$C$22,IF($C$19="jährlich",(MONTH(J278)=7)*$C$22))))</f>
        <v>900</v>
      </c>
      <c r="L278" s="66">
        <f t="shared" si="268"/>
        <v>0</v>
      </c>
      <c r="M278" s="62">
        <f t="shared" si="269"/>
        <v>0</v>
      </c>
      <c r="N278" s="67">
        <f>+IF(AND($C$19="monatlich",K278&lt;$C$20),$C$20-K278,IF(AND($C$19="quartalsweise",OR(MONTH(J278)={1,4,7,10}),K278&lt;$C$20),$C$20-K278,IF(AND($C$19="jährlich",MONTH(J278)=7,K278&lt;$C$20),$C$20-K278,0)))</f>
        <v>0</v>
      </c>
      <c r="O278" s="67">
        <v>0</v>
      </c>
      <c r="P278" s="67">
        <v>0</v>
      </c>
      <c r="Q278" s="63">
        <f t="shared" si="270"/>
        <v>0</v>
      </c>
      <c r="R278" s="68">
        <f t="shared" si="201"/>
        <v>900</v>
      </c>
      <c r="S278" s="69">
        <f t="shared" si="258"/>
        <v>66621.017617728387</v>
      </c>
      <c r="T278" s="68">
        <f t="shared" si="272"/>
        <v>0</v>
      </c>
      <c r="U278" s="66">
        <f t="shared" si="273"/>
        <v>-63.999608821934437</v>
      </c>
      <c r="V278" s="68">
        <f t="shared" si="274"/>
        <v>329.20312216376635</v>
      </c>
      <c r="W278" s="66">
        <f t="shared" si="275"/>
        <v>79933.952832645766</v>
      </c>
    </row>
    <row r="279" spans="2:23" outlineLevel="1">
      <c r="G279" s="12">
        <f t="shared" si="189"/>
        <v>42.504109589041093</v>
      </c>
      <c r="H279" s="4">
        <v>188</v>
      </c>
      <c r="I279" s="4">
        <f t="shared" si="257"/>
        <v>16</v>
      </c>
      <c r="J279" s="30">
        <f t="shared" si="267"/>
        <v>46419</v>
      </c>
      <c r="K279" s="62">
        <f>+IF(OR(H279&gt;60,$C$21="nein"),IF($C$19="monatlich",$C$20,IF($C$19="quartalsweise",OR(MONTH(J279)={1,4,7,10})*$C$20,IF($C$19="jährlich",(MONTH(J279)=7)*$C$20))),IF($C$19="monatlich",$C$22,IF($C$19="quartalsweise",OR(MONTH(J279)={1,4,7,10})*$C$22,IF($C$19="jährlich",(MONTH(J279)=7)*$C$22))))</f>
        <v>0</v>
      </c>
      <c r="L279" s="66">
        <f t="shared" si="268"/>
        <v>0</v>
      </c>
      <c r="M279" s="62">
        <f t="shared" si="269"/>
        <v>0</v>
      </c>
      <c r="N279" s="67">
        <f>+IF(AND($C$19="monatlich",K279&lt;$C$20),$C$20-K279,IF(AND($C$19="quartalsweise",OR(MONTH(J279)={1,4,7,10}),K279&lt;$C$20),$C$20-K279,IF(AND($C$19="jährlich",MONTH(J279)=7,K279&lt;$C$20),$C$20-K279,0)))</f>
        <v>0</v>
      </c>
      <c r="O279" s="67">
        <v>0</v>
      </c>
      <c r="P279" s="67">
        <v>0</v>
      </c>
      <c r="Q279" s="63">
        <f t="shared" si="270"/>
        <v>0</v>
      </c>
      <c r="R279" s="68">
        <f t="shared" si="201"/>
        <v>0</v>
      </c>
      <c r="S279" s="69">
        <f t="shared" si="258"/>
        <v>66621.017617728387</v>
      </c>
      <c r="T279" s="68">
        <f t="shared" si="272"/>
        <v>0</v>
      </c>
      <c r="U279" s="66">
        <f t="shared" si="273"/>
        <v>-64.94633667652468</v>
      </c>
      <c r="V279" s="68">
        <f t="shared" si="274"/>
        <v>334.05813680269068</v>
      </c>
      <c r="W279" s="66">
        <f t="shared" si="275"/>
        <v>80203.06463277193</v>
      </c>
    </row>
    <row r="280" spans="2:23" outlineLevel="1">
      <c r="G280" s="12">
        <f t="shared" si="189"/>
        <v>42.580821917808223</v>
      </c>
      <c r="H280" s="4">
        <v>189</v>
      </c>
      <c r="I280" s="4">
        <f t="shared" si="257"/>
        <v>16</v>
      </c>
      <c r="J280" s="30">
        <f t="shared" si="267"/>
        <v>46447</v>
      </c>
      <c r="K280" s="62">
        <f>+IF(OR(H280&gt;60,$C$21="nein"),IF($C$19="monatlich",$C$20,IF($C$19="quartalsweise",OR(MONTH(J280)={1,4,7,10})*$C$20,IF($C$19="jährlich",(MONTH(J280)=7)*$C$20))),IF($C$19="monatlich",$C$22,IF($C$19="quartalsweise",OR(MONTH(J280)={1,4,7,10})*$C$22,IF($C$19="jährlich",(MONTH(J280)=7)*$C$22))))</f>
        <v>0</v>
      </c>
      <c r="L280" s="66">
        <f t="shared" si="268"/>
        <v>0</v>
      </c>
      <c r="M280" s="62">
        <f t="shared" si="269"/>
        <v>0</v>
      </c>
      <c r="N280" s="67">
        <f>+IF(AND($C$19="monatlich",K280&lt;$C$20),$C$20-K280,IF(AND($C$19="quartalsweise",OR(MONTH(J280)={1,4,7,10}),K280&lt;$C$20),$C$20-K280,IF(AND($C$19="jährlich",MONTH(J280)=7,K280&lt;$C$20),$C$20-K280,0)))-$C$67/100*SUM(Q262:Q270,Q272:Q274)-$C$66/100*SUM(L262:L270,L272:L274)</f>
        <v>8.1052631580076078</v>
      </c>
      <c r="O280" s="67">
        <v>0</v>
      </c>
      <c r="P280" s="67">
        <v>0</v>
      </c>
      <c r="Q280" s="63">
        <f t="shared" si="270"/>
        <v>-0.40526315790038042</v>
      </c>
      <c r="R280" s="68">
        <f t="shared" si="201"/>
        <v>8.1052631580076078</v>
      </c>
      <c r="S280" s="69">
        <f t="shared" si="258"/>
        <v>66629.122880886396</v>
      </c>
      <c r="T280" s="68">
        <f t="shared" si="272"/>
        <v>0</v>
      </c>
      <c r="U280" s="66">
        <f t="shared" si="273"/>
        <v>-65.164990014127184</v>
      </c>
      <c r="V280" s="68">
        <f t="shared" si="274"/>
        <v>335.17943596988306</v>
      </c>
      <c r="W280" s="66">
        <f t="shared" si="275"/>
        <v>80480.779078727806</v>
      </c>
    </row>
    <row r="281" spans="2:23" outlineLevel="1">
      <c r="G281" s="12">
        <f t="shared" si="189"/>
        <v>42.665753424657531</v>
      </c>
      <c r="H281" s="4">
        <v>190</v>
      </c>
      <c r="I281" s="4">
        <f t="shared" si="257"/>
        <v>16</v>
      </c>
      <c r="J281" s="30">
        <f t="shared" si="267"/>
        <v>46478</v>
      </c>
      <c r="K281" s="62">
        <f>+IF(OR(H281&gt;60,$C$21="nein"),IF($C$19="monatlich",$C$20,IF($C$19="quartalsweise",OR(MONTH(J281)={1,4,7,10})*$C$20,IF($C$19="jährlich",(MONTH(J281)=7)*$C$20))),IF($C$19="monatlich",$C$22,IF($C$19="quartalsweise",OR(MONTH(J281)={1,4,7,10})*$C$22,IF($C$19="jährlich",(MONTH(J281)=7)*$C$22))))</f>
        <v>900</v>
      </c>
      <c r="L281" s="66">
        <f t="shared" si="268"/>
        <v>0</v>
      </c>
      <c r="M281" s="62">
        <f t="shared" si="269"/>
        <v>154</v>
      </c>
      <c r="N281" s="67">
        <f>+IF(AND($C$19="monatlich",K281&lt;$C$20),$C$20-K281,IF(AND($C$19="quartalsweise",OR(MONTH(J281)={1,4,7,10}),K281&lt;$C$20),$C$20-K281,IF(AND($C$19="jährlich",MONTH(J281)=7,K281&lt;$C$20),$C$20-K281,0)))</f>
        <v>0</v>
      </c>
      <c r="O281" s="67">
        <v>0</v>
      </c>
      <c r="P281" s="67">
        <v>0</v>
      </c>
      <c r="Q281" s="63">
        <f t="shared" si="270"/>
        <v>-7.7</v>
      </c>
      <c r="R281" s="68">
        <f t="shared" si="201"/>
        <v>1054</v>
      </c>
      <c r="S281" s="69">
        <f t="shared" si="258"/>
        <v>67683.122880886396</v>
      </c>
      <c r="T281" s="68">
        <f t="shared" si="272"/>
        <v>0</v>
      </c>
      <c r="U281" s="66">
        <f t="shared" si="273"/>
        <v>-65.390633001466341</v>
      </c>
      <c r="V281" s="68">
        <f t="shared" si="274"/>
        <v>336.33657949469921</v>
      </c>
      <c r="W281" s="66">
        <f t="shared" si="275"/>
        <v>81798.025025221039</v>
      </c>
    </row>
    <row r="282" spans="2:23" outlineLevel="1">
      <c r="G282" s="12">
        <f t="shared" si="189"/>
        <v>42.747945205479454</v>
      </c>
      <c r="H282" s="4">
        <v>191</v>
      </c>
      <c r="I282" s="4">
        <f t="shared" si="257"/>
        <v>16</v>
      </c>
      <c r="J282" s="30">
        <f t="shared" si="267"/>
        <v>46508</v>
      </c>
      <c r="K282" s="62">
        <f>+IF(OR(H282&gt;60,$C$21="nein"),IF($C$19="monatlich",$C$20,IF($C$19="quartalsweise",OR(MONTH(J282)={1,4,7,10})*$C$20,IF($C$19="jährlich",(MONTH(J282)=7)*$C$20))),IF($C$19="monatlich",$C$22,IF($C$19="quartalsweise",OR(MONTH(J282)={1,4,7,10})*$C$22,IF($C$19="jährlich",(MONTH(J282)=7)*$C$22))))</f>
        <v>0</v>
      </c>
      <c r="L282" s="66">
        <f t="shared" si="268"/>
        <v>0</v>
      </c>
      <c r="M282" s="62">
        <f t="shared" si="269"/>
        <v>0</v>
      </c>
      <c r="N282" s="67">
        <f>+IF(AND($C$19="monatlich",K282&lt;$C$20),$C$20-K282,IF(AND($C$19="quartalsweise",OR(MONTH(J282)={1,4,7,10}),K282&lt;$C$20),$C$20-K282,IF(AND($C$19="jährlich",MONTH(J282)=7,K282&lt;$C$20),$C$20-K282,0)))</f>
        <v>0</v>
      </c>
      <c r="O282" s="67">
        <v>0</v>
      </c>
      <c r="P282" s="67">
        <v>0</v>
      </c>
      <c r="Q282" s="63">
        <f t="shared" si="270"/>
        <v>0</v>
      </c>
      <c r="R282" s="68">
        <f t="shared" si="201"/>
        <v>0</v>
      </c>
      <c r="S282" s="69">
        <f t="shared" si="258"/>
        <v>67683.122880886396</v>
      </c>
      <c r="T282" s="68">
        <f t="shared" si="272"/>
        <v>0</v>
      </c>
      <c r="U282" s="66">
        <f t="shared" si="273"/>
        <v>-66.460895332992095</v>
      </c>
      <c r="V282" s="68">
        <f t="shared" si="274"/>
        <v>341.8251042717543</v>
      </c>
      <c r="W282" s="66">
        <f t="shared" si="275"/>
        <v>82073.389234159811</v>
      </c>
    </row>
    <row r="283" spans="2:23" outlineLevel="1">
      <c r="G283" s="13">
        <f t="shared" si="189"/>
        <v>42.832876712328769</v>
      </c>
      <c r="H283" s="6">
        <v>192</v>
      </c>
      <c r="I283" s="6">
        <f t="shared" si="257"/>
        <v>16</v>
      </c>
      <c r="J283" s="31">
        <f t="shared" si="267"/>
        <v>46539</v>
      </c>
      <c r="K283" s="62">
        <f>+IF(OR(H283&gt;60,$C$21="nein"),IF($C$19="monatlich",$C$20,IF($C$19="quartalsweise",OR(MONTH(J283)={1,4,7,10})*$C$20,IF($C$19="jährlich",(MONTH(J283)=7)*$C$20))),IF($C$19="monatlich",$C$22,IF($C$19="quartalsweise",OR(MONTH(J283)={1,4,7,10})*$C$22,IF($C$19="jährlich",(MONTH(J283)=7)*$C$22))))</f>
        <v>0</v>
      </c>
      <c r="L283" s="70">
        <f t="shared" si="268"/>
        <v>0</v>
      </c>
      <c r="M283" s="62">
        <f t="shared" si="269"/>
        <v>0</v>
      </c>
      <c r="N283" s="71">
        <f>+IF(AND($C$19="monatlich",K283&lt;$C$20),$C$20-K283,IF(AND($C$19="quartalsweise",OR(MONTH(J283)={1,4,7,10}),K283&lt;$C$20),$C$20-K283,IF(AND($C$19="jährlich",MONTH(J283)=7,K283&lt;$C$20),$C$20-K283,0)))</f>
        <v>0</v>
      </c>
      <c r="O283" s="71">
        <v>0</v>
      </c>
      <c r="P283" s="71">
        <v>0</v>
      </c>
      <c r="Q283" s="63">
        <f t="shared" si="270"/>
        <v>0</v>
      </c>
      <c r="R283" s="72">
        <f t="shared" si="201"/>
        <v>0</v>
      </c>
      <c r="S283" s="73">
        <f t="shared" si="258"/>
        <v>67683.122880886396</v>
      </c>
      <c r="T283" s="72">
        <f t="shared" si="272"/>
        <v>0</v>
      </c>
      <c r="U283" s="70">
        <f t="shared" si="273"/>
        <v>-66.684628752754847</v>
      </c>
      <c r="V283" s="72">
        <f t="shared" si="274"/>
        <v>342.97245514233254</v>
      </c>
      <c r="W283" s="70">
        <f t="shared" si="275"/>
        <v>82349.67706054938</v>
      </c>
    </row>
    <row r="284" spans="2:23" s="5" customFormat="1" ht="15">
      <c r="B284" s="17"/>
      <c r="G284" s="115">
        <f t="shared" si="189"/>
        <v>42.832876712328769</v>
      </c>
      <c r="H284" s="116" t="str">
        <f>H272&amp;" - "&amp;H283</f>
        <v>181 - 192</v>
      </c>
      <c r="I284" s="117">
        <f t="shared" si="257"/>
        <v>16</v>
      </c>
      <c r="J284" s="118">
        <f t="shared" ref="J284" si="276">+J283</f>
        <v>46539</v>
      </c>
      <c r="K284" s="119">
        <f t="shared" ref="K284:L284" si="277">SUM(K272:K283)</f>
        <v>3600</v>
      </c>
      <c r="L284" s="120">
        <f t="shared" si="277"/>
        <v>0</v>
      </c>
      <c r="M284" s="119">
        <f t="shared" ref="M284" si="278">SUM(M272:M283)</f>
        <v>154</v>
      </c>
      <c r="N284" s="121">
        <f t="shared" si="227"/>
        <v>8.1052631580076078</v>
      </c>
      <c r="O284" s="121">
        <f t="shared" ref="O284" si="279">SUM(O272:O283)</f>
        <v>0</v>
      </c>
      <c r="P284" s="121">
        <f t="shared" ref="P284:Q297" si="280">SUM(P272:P283)</f>
        <v>0</v>
      </c>
      <c r="Q284" s="120">
        <f t="shared" si="280"/>
        <v>-8.1052631579003798</v>
      </c>
      <c r="R284" s="119">
        <f t="shared" ref="R284" si="281">SUM(R272:R283)</f>
        <v>3762.1052631580078</v>
      </c>
      <c r="S284" s="122">
        <f t="shared" si="258"/>
        <v>67683.122880886396</v>
      </c>
      <c r="T284" s="119">
        <f t="shared" ref="T284:V284" si="282">SUM(T272:T283)</f>
        <v>-15.4</v>
      </c>
      <c r="U284" s="120">
        <f t="shared" si="282"/>
        <v>-768.60464087025605</v>
      </c>
      <c r="V284" s="119">
        <f t="shared" si="282"/>
        <v>3953.5622608731078</v>
      </c>
      <c r="W284" s="123">
        <f t="shared" ref="W284" si="283">+W283</f>
        <v>82349.67706054938</v>
      </c>
    </row>
    <row r="285" spans="2:23" outlineLevel="1">
      <c r="G285" s="11">
        <f t="shared" si="189"/>
        <v>42.915068493150685</v>
      </c>
      <c r="H285" s="2">
        <v>193</v>
      </c>
      <c r="I285" s="2">
        <f t="shared" si="257"/>
        <v>17</v>
      </c>
      <c r="J285" s="29">
        <f t="shared" si="267"/>
        <v>46569</v>
      </c>
      <c r="K285" s="62">
        <f>+IF(OR(H285&gt;60,$C$21="nein"),IF($C$19="monatlich",$C$20,IF($C$19="quartalsweise",OR(MONTH(J285)={1,4,7,10})*$C$20,IF($C$19="jährlich",(MONTH(J285)=7)*$C$20))),IF($C$19="monatlich",$C$22,IF($C$19="quartalsweise",OR(MONTH(J285)={1,4,7,10})*$C$22,IF($C$19="jährlich",(MONTH(J285)=7)*$C$22))))</f>
        <v>900</v>
      </c>
      <c r="L285" s="63">
        <f t="shared" ref="L285:L296" si="284">-IF(H285&gt;60,0,IF($C$19="monatlich",$C$52,IF(AND($C$19="quartalsweise",K285&gt;0),$C$52,IF(AND($C$19="jährlich",K285&gt;0),$C$51,0))))</f>
        <v>0</v>
      </c>
      <c r="M285" s="62">
        <f t="shared" ref="M285:M296" si="285">+IF(MONTH(J285)=4,$C$25,0)</f>
        <v>0</v>
      </c>
      <c r="N285" s="64">
        <f>+IF(AND($C$19="monatlich",K285&lt;$C$20),$C$20-K285,IF(AND($C$19="quartalsweise",OR(MONTH(J285)={1,4,7,10}),K285&lt;$C$20),$C$20-K285,IF(AND($C$19="jährlich",MONTH(J285)=7,K285&lt;$C$20),$C$20-K285,0)))</f>
        <v>0</v>
      </c>
      <c r="O285" s="64">
        <v>0</v>
      </c>
      <c r="P285" s="64">
        <v>0</v>
      </c>
      <c r="Q285" s="63">
        <f t="shared" ref="Q285:Q296" si="286">-SUM(M285:P285)*$C$47/100</f>
        <v>0</v>
      </c>
      <c r="R285" s="62">
        <f t="shared" ref="R285:R348" si="287">+SUM(K285,M285:P285)</f>
        <v>900</v>
      </c>
      <c r="S285" s="65">
        <f t="shared" si="258"/>
        <v>68583.122880886396</v>
      </c>
      <c r="T285" s="62">
        <f t="shared" ref="T285:T296" si="288">-IF(MONTH(J285)=12,$C$55,0)</f>
        <v>0</v>
      </c>
      <c r="U285" s="63">
        <f t="shared" ref="U285:U296" si="289">-W284*($D$43/100/12)</f>
        <v>-66.909112611696372</v>
      </c>
      <c r="V285" s="62">
        <f t="shared" ref="V285:V296" si="290">+(1+(IF($C$71="pauschal",$C$72/100/12,VLOOKUP(I284,$J$5:$L$44,3,FALSE)/100/12)*W284))</f>
        <v>344.12365441895577</v>
      </c>
      <c r="W285" s="63">
        <f t="shared" ref="W285:W296" si="291">+SUM(W284,R285,L285,Q285,T285:V285)</f>
        <v>83526.891602356642</v>
      </c>
    </row>
    <row r="286" spans="2:23" outlineLevel="1">
      <c r="G286" s="12">
        <f t="shared" ref="G286:G354" si="292">+(J286-DATE(1984,8,11))/365</f>
        <v>43</v>
      </c>
      <c r="H286" s="4">
        <v>194</v>
      </c>
      <c r="I286" s="4">
        <f t="shared" si="257"/>
        <v>17</v>
      </c>
      <c r="J286" s="30">
        <f t="shared" si="267"/>
        <v>46600</v>
      </c>
      <c r="K286" s="62">
        <f>+IF(OR(H286&gt;60,$C$21="nein"),IF($C$19="monatlich",$C$20,IF($C$19="quartalsweise",OR(MONTH(J286)={1,4,7,10})*$C$20,IF($C$19="jährlich",(MONTH(J286)=7)*$C$20))),IF($C$19="monatlich",$C$22,IF($C$19="quartalsweise",OR(MONTH(J286)={1,4,7,10})*$C$22,IF($C$19="jährlich",(MONTH(J286)=7)*$C$22))))</f>
        <v>0</v>
      </c>
      <c r="L286" s="66">
        <f t="shared" si="284"/>
        <v>0</v>
      </c>
      <c r="M286" s="62">
        <f t="shared" si="285"/>
        <v>0</v>
      </c>
      <c r="N286" s="67">
        <f>+IF(AND($C$19="monatlich",K286&lt;$C$20),$C$20-K286,IF(AND($C$19="quartalsweise",OR(MONTH(J286)={1,4,7,10}),K286&lt;$C$20),$C$20-K286,IF(AND($C$19="jährlich",MONTH(J286)=7,K286&lt;$C$20),$C$20-K286,0)))</f>
        <v>0</v>
      </c>
      <c r="O286" s="67">
        <v>0</v>
      </c>
      <c r="P286" s="67">
        <v>0</v>
      </c>
      <c r="Q286" s="63">
        <f t="shared" si="286"/>
        <v>0</v>
      </c>
      <c r="R286" s="68">
        <f t="shared" si="287"/>
        <v>0</v>
      </c>
      <c r="S286" s="69">
        <f t="shared" si="258"/>
        <v>68583.122880886396</v>
      </c>
      <c r="T286" s="68">
        <f t="shared" si="288"/>
        <v>0</v>
      </c>
      <c r="U286" s="66">
        <f t="shared" si="289"/>
        <v>-67.86559942691477</v>
      </c>
      <c r="V286" s="68">
        <f t="shared" si="290"/>
        <v>349.02871500981934</v>
      </c>
      <c r="W286" s="66">
        <f t="shared" si="291"/>
        <v>83808.054717939536</v>
      </c>
    </row>
    <row r="287" spans="2:23" outlineLevel="1">
      <c r="G287" s="12">
        <f t="shared" si="292"/>
        <v>43.084931506849315</v>
      </c>
      <c r="H287" s="4">
        <v>195</v>
      </c>
      <c r="I287" s="4">
        <f t="shared" si="257"/>
        <v>17</v>
      </c>
      <c r="J287" s="30">
        <f t="shared" si="267"/>
        <v>46631</v>
      </c>
      <c r="K287" s="62">
        <f>+IF(OR(H287&gt;60,$C$21="nein"),IF($C$19="monatlich",$C$20,IF($C$19="quartalsweise",OR(MONTH(J287)={1,4,7,10})*$C$20,IF($C$19="jährlich",(MONTH(J287)=7)*$C$20))),IF($C$19="monatlich",$C$22,IF($C$19="quartalsweise",OR(MONTH(J287)={1,4,7,10})*$C$22,IF($C$19="jährlich",(MONTH(J287)=7)*$C$22))))</f>
        <v>0</v>
      </c>
      <c r="L287" s="66">
        <f t="shared" si="284"/>
        <v>0</v>
      </c>
      <c r="M287" s="62">
        <f t="shared" si="285"/>
        <v>0</v>
      </c>
      <c r="N287" s="67">
        <f>+IF(AND($C$19="monatlich",K287&lt;$C$20),$C$20-K287,IF(AND($C$19="quartalsweise",OR(MONTH(J287)={1,4,7,10}),K287&lt;$C$20),$C$20-K287,IF(AND($C$19="jährlich",MONTH(J287)=7,K287&lt;$C$20),$C$20-K287,0)))</f>
        <v>0</v>
      </c>
      <c r="O287" s="67">
        <v>0</v>
      </c>
      <c r="P287" s="67">
        <v>0</v>
      </c>
      <c r="Q287" s="63">
        <f t="shared" si="286"/>
        <v>0</v>
      </c>
      <c r="R287" s="68">
        <f t="shared" si="287"/>
        <v>0</v>
      </c>
      <c r="S287" s="69">
        <f t="shared" si="258"/>
        <v>68583.122880886396</v>
      </c>
      <c r="T287" s="68">
        <f t="shared" si="288"/>
        <v>0</v>
      </c>
      <c r="U287" s="66">
        <f t="shared" si="289"/>
        <v>-68.094044458325868</v>
      </c>
      <c r="V287" s="68">
        <f t="shared" si="290"/>
        <v>350.20022799141475</v>
      </c>
      <c r="W287" s="66">
        <f t="shared" si="291"/>
        <v>84090.160901472627</v>
      </c>
    </row>
    <row r="288" spans="2:23" outlineLevel="1">
      <c r="G288" s="12">
        <f t="shared" si="292"/>
        <v>43.167123287671231</v>
      </c>
      <c r="H288" s="4">
        <v>196</v>
      </c>
      <c r="I288" s="4">
        <f t="shared" si="257"/>
        <v>17</v>
      </c>
      <c r="J288" s="30">
        <f t="shared" si="267"/>
        <v>46661</v>
      </c>
      <c r="K288" s="62">
        <f>+IF(OR(H288&gt;60,$C$21="nein"),IF($C$19="monatlich",$C$20,IF($C$19="quartalsweise",OR(MONTH(J288)={1,4,7,10})*$C$20,IF($C$19="jährlich",(MONTH(J288)=7)*$C$20))),IF($C$19="monatlich",$C$22,IF($C$19="quartalsweise",OR(MONTH(J288)={1,4,7,10})*$C$22,IF($C$19="jährlich",(MONTH(J288)=7)*$C$22))))</f>
        <v>900</v>
      </c>
      <c r="L288" s="66">
        <f t="shared" si="284"/>
        <v>0</v>
      </c>
      <c r="M288" s="62">
        <f t="shared" si="285"/>
        <v>0</v>
      </c>
      <c r="N288" s="67">
        <f>+IF(AND($C$19="monatlich",K288&lt;$C$20),$C$20-K288,IF(AND($C$19="quartalsweise",OR(MONTH(J288)={1,4,7,10}),K288&lt;$C$20),$C$20-K288,IF(AND($C$19="jährlich",MONTH(J288)=7,K288&lt;$C$20),$C$20-K288,0)))</f>
        <v>0</v>
      </c>
      <c r="O288" s="67">
        <v>0</v>
      </c>
      <c r="P288" s="67">
        <v>0</v>
      </c>
      <c r="Q288" s="63">
        <f t="shared" si="286"/>
        <v>0</v>
      </c>
      <c r="R288" s="68">
        <f t="shared" si="287"/>
        <v>900</v>
      </c>
      <c r="S288" s="69">
        <f t="shared" si="258"/>
        <v>69483.122880886396</v>
      </c>
      <c r="T288" s="68">
        <f t="shared" si="288"/>
        <v>0</v>
      </c>
      <c r="U288" s="66">
        <f t="shared" si="289"/>
        <v>-68.323255732446512</v>
      </c>
      <c r="V288" s="68">
        <f t="shared" si="290"/>
        <v>351.37567042280261</v>
      </c>
      <c r="W288" s="66">
        <f t="shared" si="291"/>
        <v>85273.213316162975</v>
      </c>
    </row>
    <row r="289" spans="2:23" outlineLevel="1">
      <c r="G289" s="12">
        <f t="shared" si="292"/>
        <v>43.252054794520546</v>
      </c>
      <c r="H289" s="4">
        <v>197</v>
      </c>
      <c r="I289" s="4">
        <f t="shared" si="257"/>
        <v>17</v>
      </c>
      <c r="J289" s="30">
        <f t="shared" si="267"/>
        <v>46692</v>
      </c>
      <c r="K289" s="62">
        <f>+IF(OR(H289&gt;60,$C$21="nein"),IF($C$19="monatlich",$C$20,IF($C$19="quartalsweise",OR(MONTH(J289)={1,4,7,10})*$C$20,IF($C$19="jährlich",(MONTH(J289)=7)*$C$20))),IF($C$19="monatlich",$C$22,IF($C$19="quartalsweise",OR(MONTH(J289)={1,4,7,10})*$C$22,IF($C$19="jährlich",(MONTH(J289)=7)*$C$22))))</f>
        <v>0</v>
      </c>
      <c r="L289" s="66">
        <f t="shared" si="284"/>
        <v>0</v>
      </c>
      <c r="M289" s="62">
        <f t="shared" si="285"/>
        <v>0</v>
      </c>
      <c r="N289" s="67">
        <f>+IF(AND($C$19="monatlich",K289&lt;$C$20),$C$20-K289,IF(AND($C$19="quartalsweise",OR(MONTH(J289)={1,4,7,10}),K289&lt;$C$20),$C$20-K289,IF(AND($C$19="jährlich",MONTH(J289)=7,K289&lt;$C$20),$C$20-K289,0)))</f>
        <v>0</v>
      </c>
      <c r="O289" s="67">
        <v>0</v>
      </c>
      <c r="P289" s="67">
        <v>0</v>
      </c>
      <c r="Q289" s="63">
        <f t="shared" si="286"/>
        <v>0</v>
      </c>
      <c r="R289" s="68">
        <f t="shared" si="287"/>
        <v>0</v>
      </c>
      <c r="S289" s="69">
        <f t="shared" si="258"/>
        <v>69483.122880886396</v>
      </c>
      <c r="T289" s="68">
        <f t="shared" si="288"/>
        <v>0</v>
      </c>
      <c r="U289" s="66">
        <f t="shared" si="289"/>
        <v>-69.284485819382411</v>
      </c>
      <c r="V289" s="68">
        <f t="shared" si="290"/>
        <v>356.30505548401237</v>
      </c>
      <c r="W289" s="66">
        <f t="shared" si="291"/>
        <v>85560.233885827605</v>
      </c>
    </row>
    <row r="290" spans="2:23" outlineLevel="1">
      <c r="G290" s="12">
        <f t="shared" si="292"/>
        <v>43.334246575342469</v>
      </c>
      <c r="H290" s="4">
        <v>198</v>
      </c>
      <c r="I290" s="4">
        <f t="shared" si="257"/>
        <v>17</v>
      </c>
      <c r="J290" s="30">
        <f t="shared" si="267"/>
        <v>46722</v>
      </c>
      <c r="K290" s="62">
        <f>+IF(OR(H290&gt;60,$C$21="nein"),IF($C$19="monatlich",$C$20,IF($C$19="quartalsweise",OR(MONTH(J290)={1,4,7,10})*$C$20,IF($C$19="jährlich",(MONTH(J290)=7)*$C$20))),IF($C$19="monatlich",$C$22,IF($C$19="quartalsweise",OR(MONTH(J290)={1,4,7,10})*$C$22,IF($C$19="jährlich",(MONTH(J290)=7)*$C$22))))</f>
        <v>0</v>
      </c>
      <c r="L290" s="66">
        <f t="shared" si="284"/>
        <v>0</v>
      </c>
      <c r="M290" s="62">
        <f t="shared" si="285"/>
        <v>0</v>
      </c>
      <c r="N290" s="67">
        <f>+IF(AND($C$19="monatlich",K290&lt;$C$20),$C$20-K290,IF(AND($C$19="quartalsweise",OR(MONTH(J290)={1,4,7,10}),K290&lt;$C$20),$C$20-K290,IF(AND($C$19="jährlich",MONTH(J290)=7,K290&lt;$C$20),$C$20-K290,0)))</f>
        <v>0</v>
      </c>
      <c r="O290" s="67">
        <v>0</v>
      </c>
      <c r="P290" s="67">
        <v>0</v>
      </c>
      <c r="Q290" s="63">
        <f t="shared" si="286"/>
        <v>0</v>
      </c>
      <c r="R290" s="68">
        <f t="shared" si="287"/>
        <v>0</v>
      </c>
      <c r="S290" s="69">
        <f t="shared" si="258"/>
        <v>69483.122880886396</v>
      </c>
      <c r="T290" s="68">
        <f t="shared" si="288"/>
        <v>-15.4</v>
      </c>
      <c r="U290" s="66">
        <f t="shared" si="289"/>
        <v>-69.517690032234924</v>
      </c>
      <c r="V290" s="68">
        <f t="shared" si="290"/>
        <v>357.50097452428167</v>
      </c>
      <c r="W290" s="66">
        <f t="shared" si="291"/>
        <v>85832.817170319657</v>
      </c>
    </row>
    <row r="291" spans="2:23" outlineLevel="1">
      <c r="G291" s="12">
        <f t="shared" si="292"/>
        <v>43.419178082191777</v>
      </c>
      <c r="H291" s="4">
        <v>199</v>
      </c>
      <c r="I291" s="4">
        <f t="shared" si="257"/>
        <v>17</v>
      </c>
      <c r="J291" s="30">
        <f t="shared" si="267"/>
        <v>46753</v>
      </c>
      <c r="K291" s="62">
        <f>+IF(OR(H291&gt;60,$C$21="nein"),IF($C$19="monatlich",$C$20,IF($C$19="quartalsweise",OR(MONTH(J291)={1,4,7,10})*$C$20,IF($C$19="jährlich",(MONTH(J291)=7)*$C$20))),IF($C$19="monatlich",$C$22,IF($C$19="quartalsweise",OR(MONTH(J291)={1,4,7,10})*$C$22,IF($C$19="jährlich",(MONTH(J291)=7)*$C$22))))</f>
        <v>900</v>
      </c>
      <c r="L291" s="66">
        <f t="shared" si="284"/>
        <v>0</v>
      </c>
      <c r="M291" s="62">
        <f t="shared" si="285"/>
        <v>0</v>
      </c>
      <c r="N291" s="67">
        <f>+IF(AND($C$19="monatlich",K291&lt;$C$20),$C$20-K291,IF(AND($C$19="quartalsweise",OR(MONTH(J291)={1,4,7,10}),K291&lt;$C$20),$C$20-K291,IF(AND($C$19="jährlich",MONTH(J291)=7,K291&lt;$C$20),$C$20-K291,0)))</f>
        <v>0</v>
      </c>
      <c r="O291" s="67">
        <v>0</v>
      </c>
      <c r="P291" s="67">
        <v>0</v>
      </c>
      <c r="Q291" s="63">
        <f t="shared" si="286"/>
        <v>0</v>
      </c>
      <c r="R291" s="68">
        <f t="shared" si="287"/>
        <v>900</v>
      </c>
      <c r="S291" s="69">
        <f t="shared" si="258"/>
        <v>70383.122880886396</v>
      </c>
      <c r="T291" s="68">
        <f t="shared" si="288"/>
        <v>0</v>
      </c>
      <c r="U291" s="66">
        <f t="shared" si="289"/>
        <v>-69.739163950884716</v>
      </c>
      <c r="V291" s="68">
        <f t="shared" si="290"/>
        <v>358.63673820966522</v>
      </c>
      <c r="W291" s="66">
        <f t="shared" si="291"/>
        <v>87021.714744578436</v>
      </c>
    </row>
    <row r="292" spans="2:23" outlineLevel="1">
      <c r="G292" s="12">
        <f t="shared" si="292"/>
        <v>43.504109589041093</v>
      </c>
      <c r="H292" s="4">
        <v>200</v>
      </c>
      <c r="I292" s="4">
        <f t="shared" si="257"/>
        <v>17</v>
      </c>
      <c r="J292" s="30">
        <f t="shared" si="267"/>
        <v>46784</v>
      </c>
      <c r="K292" s="62">
        <f>+IF(OR(H292&gt;60,$C$21="nein"),IF($C$19="monatlich",$C$20,IF($C$19="quartalsweise",OR(MONTH(J292)={1,4,7,10})*$C$20,IF($C$19="jährlich",(MONTH(J292)=7)*$C$20))),IF($C$19="monatlich",$C$22,IF($C$19="quartalsweise",OR(MONTH(J292)={1,4,7,10})*$C$22,IF($C$19="jährlich",(MONTH(J292)=7)*$C$22))))</f>
        <v>0</v>
      </c>
      <c r="L292" s="66">
        <f t="shared" si="284"/>
        <v>0</v>
      </c>
      <c r="M292" s="62">
        <f t="shared" si="285"/>
        <v>0</v>
      </c>
      <c r="N292" s="67">
        <f>+IF(AND($C$19="monatlich",K292&lt;$C$20),$C$20-K292,IF(AND($C$19="quartalsweise",OR(MONTH(J292)={1,4,7,10}),K292&lt;$C$20),$C$20-K292,IF(AND($C$19="jährlich",MONTH(J292)=7,K292&lt;$C$20),$C$20-K292,0)))</f>
        <v>0</v>
      </c>
      <c r="O292" s="67">
        <v>0</v>
      </c>
      <c r="P292" s="67">
        <v>0</v>
      </c>
      <c r="Q292" s="63">
        <f t="shared" si="286"/>
        <v>0</v>
      </c>
      <c r="R292" s="68">
        <f t="shared" si="287"/>
        <v>0</v>
      </c>
      <c r="S292" s="69">
        <f t="shared" si="258"/>
        <v>70383.122880886396</v>
      </c>
      <c r="T292" s="68">
        <f t="shared" si="288"/>
        <v>0</v>
      </c>
      <c r="U292" s="66">
        <f t="shared" si="289"/>
        <v>-70.705143229969977</v>
      </c>
      <c r="V292" s="68">
        <f t="shared" si="290"/>
        <v>363.59047810241015</v>
      </c>
      <c r="W292" s="66">
        <f t="shared" si="291"/>
        <v>87314.600079450887</v>
      </c>
    </row>
    <row r="293" spans="2:23" outlineLevel="1">
      <c r="G293" s="12">
        <f t="shared" si="292"/>
        <v>43.583561643835615</v>
      </c>
      <c r="H293" s="4">
        <v>201</v>
      </c>
      <c r="I293" s="4">
        <f t="shared" si="257"/>
        <v>17</v>
      </c>
      <c r="J293" s="30">
        <f t="shared" si="267"/>
        <v>46813</v>
      </c>
      <c r="K293" s="62">
        <f>+IF(OR(H293&gt;60,$C$21="nein"),IF($C$19="monatlich",$C$20,IF($C$19="quartalsweise",OR(MONTH(J293)={1,4,7,10})*$C$20,IF($C$19="jährlich",(MONTH(J293)=7)*$C$20))),IF($C$19="monatlich",$C$22,IF($C$19="quartalsweise",OR(MONTH(J293)={1,4,7,10})*$C$22,IF($C$19="jährlich",(MONTH(J293)=7)*$C$22))))</f>
        <v>0</v>
      </c>
      <c r="L293" s="66">
        <f t="shared" si="284"/>
        <v>0</v>
      </c>
      <c r="M293" s="62">
        <f t="shared" si="285"/>
        <v>0</v>
      </c>
      <c r="N293" s="67">
        <f>+IF(AND($C$19="monatlich",K293&lt;$C$20),$C$20-K293,IF(AND($C$19="quartalsweise",OR(MONTH(J293)={1,4,7,10}),K293&lt;$C$20),$C$20-K293,IF(AND($C$19="jährlich",MONTH(J293)=7,K293&lt;$C$20),$C$20-K293,0)))-$C$67/100*SUM(Q275:Q283,Q285:Q287)-$C$66/100*SUM(L275:L283,L285:L287)</f>
        <v>8.1052631579003798</v>
      </c>
      <c r="O293" s="67">
        <v>0</v>
      </c>
      <c r="P293" s="67">
        <v>0</v>
      </c>
      <c r="Q293" s="63">
        <f t="shared" si="286"/>
        <v>-0.40526315789501899</v>
      </c>
      <c r="R293" s="68">
        <f t="shared" si="287"/>
        <v>8.1052631579003798</v>
      </c>
      <c r="S293" s="69">
        <f t="shared" si="258"/>
        <v>70391.228144044289</v>
      </c>
      <c r="T293" s="68">
        <f t="shared" si="288"/>
        <v>0</v>
      </c>
      <c r="U293" s="66">
        <f t="shared" si="289"/>
        <v>-70.943112564553843</v>
      </c>
      <c r="V293" s="68">
        <f t="shared" si="290"/>
        <v>364.81083366437872</v>
      </c>
      <c r="W293" s="66">
        <f t="shared" si="291"/>
        <v>87616.167800550713</v>
      </c>
    </row>
    <row r="294" spans="2:23" outlineLevel="1">
      <c r="G294" s="12">
        <f t="shared" si="292"/>
        <v>43.668493150684931</v>
      </c>
      <c r="H294" s="4">
        <v>202</v>
      </c>
      <c r="I294" s="4">
        <f t="shared" si="257"/>
        <v>17</v>
      </c>
      <c r="J294" s="30">
        <f t="shared" si="267"/>
        <v>46844</v>
      </c>
      <c r="K294" s="62">
        <f>+IF(OR(H294&gt;60,$C$21="nein"),IF($C$19="monatlich",$C$20,IF($C$19="quartalsweise",OR(MONTH(J294)={1,4,7,10})*$C$20,IF($C$19="jährlich",(MONTH(J294)=7)*$C$20))),IF($C$19="monatlich",$C$22,IF($C$19="quartalsweise",OR(MONTH(J294)={1,4,7,10})*$C$22,IF($C$19="jährlich",(MONTH(J294)=7)*$C$22))))</f>
        <v>900</v>
      </c>
      <c r="L294" s="66">
        <f t="shared" si="284"/>
        <v>0</v>
      </c>
      <c r="M294" s="62">
        <f t="shared" si="285"/>
        <v>154</v>
      </c>
      <c r="N294" s="67">
        <f>+IF(AND($C$19="monatlich",K294&lt;$C$20),$C$20-K294,IF(AND($C$19="quartalsweise",OR(MONTH(J294)={1,4,7,10}),K294&lt;$C$20),$C$20-K294,IF(AND($C$19="jährlich",MONTH(J294)=7,K294&lt;$C$20),$C$20-K294,0)))</f>
        <v>0</v>
      </c>
      <c r="O294" s="67">
        <v>0</v>
      </c>
      <c r="P294" s="67">
        <v>0</v>
      </c>
      <c r="Q294" s="63">
        <f t="shared" si="286"/>
        <v>-7.7</v>
      </c>
      <c r="R294" s="68">
        <f t="shared" si="287"/>
        <v>1054</v>
      </c>
      <c r="S294" s="69">
        <f t="shared" si="258"/>
        <v>71445.228144044289</v>
      </c>
      <c r="T294" s="68">
        <f t="shared" si="288"/>
        <v>0</v>
      </c>
      <c r="U294" s="66">
        <f t="shared" si="289"/>
        <v>-71.188136337947455</v>
      </c>
      <c r="V294" s="68">
        <f t="shared" si="290"/>
        <v>366.06736583562798</v>
      </c>
      <c r="W294" s="66">
        <f t="shared" si="291"/>
        <v>88957.34703004839</v>
      </c>
    </row>
    <row r="295" spans="2:23" outlineLevel="1">
      <c r="G295" s="12">
        <f t="shared" si="292"/>
        <v>43.750684931506846</v>
      </c>
      <c r="H295" s="4">
        <v>203</v>
      </c>
      <c r="I295" s="4">
        <f t="shared" si="257"/>
        <v>17</v>
      </c>
      <c r="J295" s="30">
        <f t="shared" si="267"/>
        <v>46874</v>
      </c>
      <c r="K295" s="62">
        <f>+IF(OR(H295&gt;60,$C$21="nein"),IF($C$19="monatlich",$C$20,IF($C$19="quartalsweise",OR(MONTH(J295)={1,4,7,10})*$C$20,IF($C$19="jährlich",(MONTH(J295)=7)*$C$20))),IF($C$19="monatlich",$C$22,IF($C$19="quartalsweise",OR(MONTH(J295)={1,4,7,10})*$C$22,IF($C$19="jährlich",(MONTH(J295)=7)*$C$22))))</f>
        <v>0</v>
      </c>
      <c r="L295" s="66">
        <f t="shared" si="284"/>
        <v>0</v>
      </c>
      <c r="M295" s="62">
        <f t="shared" si="285"/>
        <v>0</v>
      </c>
      <c r="N295" s="67">
        <f>+IF(AND($C$19="monatlich",K295&lt;$C$20),$C$20-K295,IF(AND($C$19="quartalsweise",OR(MONTH(J295)={1,4,7,10}),K295&lt;$C$20),$C$20-K295,IF(AND($C$19="jährlich",MONTH(J295)=7,K295&lt;$C$20),$C$20-K295,0)))</f>
        <v>0</v>
      </c>
      <c r="O295" s="67">
        <v>0</v>
      </c>
      <c r="P295" s="67">
        <v>0</v>
      </c>
      <c r="Q295" s="63">
        <f t="shared" si="286"/>
        <v>0</v>
      </c>
      <c r="R295" s="68">
        <f t="shared" si="287"/>
        <v>0</v>
      </c>
      <c r="S295" s="69">
        <f t="shared" si="258"/>
        <v>71445.228144044289</v>
      </c>
      <c r="T295" s="68">
        <f t="shared" si="288"/>
        <v>0</v>
      </c>
      <c r="U295" s="66">
        <f t="shared" si="289"/>
        <v>-72.277844461914313</v>
      </c>
      <c r="V295" s="68">
        <f t="shared" si="290"/>
        <v>371.65561262520163</v>
      </c>
      <c r="W295" s="66">
        <f t="shared" si="291"/>
        <v>89256.724798211668</v>
      </c>
    </row>
    <row r="296" spans="2:23" outlineLevel="1">
      <c r="G296" s="13">
        <f t="shared" si="292"/>
        <v>43.835616438356162</v>
      </c>
      <c r="H296" s="6">
        <v>204</v>
      </c>
      <c r="I296" s="6">
        <f t="shared" ref="I296:I298" si="293">+I283+1</f>
        <v>17</v>
      </c>
      <c r="J296" s="31">
        <f t="shared" si="267"/>
        <v>46905</v>
      </c>
      <c r="K296" s="62">
        <f>+IF(OR(H296&gt;60,$C$21="nein"),IF($C$19="monatlich",$C$20,IF($C$19="quartalsweise",OR(MONTH(J296)={1,4,7,10})*$C$20,IF($C$19="jährlich",(MONTH(J296)=7)*$C$20))),IF($C$19="monatlich",$C$22,IF($C$19="quartalsweise",OR(MONTH(J296)={1,4,7,10})*$C$22,IF($C$19="jährlich",(MONTH(J296)=7)*$C$22))))</f>
        <v>0</v>
      </c>
      <c r="L296" s="70">
        <f t="shared" si="284"/>
        <v>0</v>
      </c>
      <c r="M296" s="62">
        <f t="shared" si="285"/>
        <v>0</v>
      </c>
      <c r="N296" s="71">
        <f>+IF(AND($C$19="monatlich",K296&lt;$C$20),$C$20-K296,IF(AND($C$19="quartalsweise",OR(MONTH(J296)={1,4,7,10}),K296&lt;$C$20),$C$20-K296,IF(AND($C$19="jährlich",MONTH(J296)=7,K296&lt;$C$20),$C$20-K296,0)))</f>
        <v>0</v>
      </c>
      <c r="O296" s="71">
        <v>0</v>
      </c>
      <c r="P296" s="71">
        <v>0</v>
      </c>
      <c r="Q296" s="63">
        <f t="shared" si="286"/>
        <v>0</v>
      </c>
      <c r="R296" s="72">
        <f t="shared" si="287"/>
        <v>0</v>
      </c>
      <c r="S296" s="73">
        <f t="shared" si="258"/>
        <v>71445.228144044289</v>
      </c>
      <c r="T296" s="72">
        <f t="shared" si="288"/>
        <v>0</v>
      </c>
      <c r="U296" s="70">
        <f t="shared" si="289"/>
        <v>-72.521088898546978</v>
      </c>
      <c r="V296" s="72">
        <f t="shared" si="290"/>
        <v>372.90301999254859</v>
      </c>
      <c r="W296" s="70">
        <f t="shared" si="291"/>
        <v>89557.106729305669</v>
      </c>
    </row>
    <row r="297" spans="2:23" s="5" customFormat="1" ht="15">
      <c r="B297" s="17"/>
      <c r="G297" s="115">
        <f t="shared" si="292"/>
        <v>43.835616438356162</v>
      </c>
      <c r="H297" s="116" t="str">
        <f>H285&amp;" - "&amp;H296</f>
        <v>193 - 204</v>
      </c>
      <c r="I297" s="117">
        <f t="shared" si="293"/>
        <v>17</v>
      </c>
      <c r="J297" s="118">
        <f t="shared" ref="J297" si="294">+J296</f>
        <v>46905</v>
      </c>
      <c r="K297" s="119">
        <f t="shared" ref="K297:L297" si="295">SUM(K285:K296)</f>
        <v>3600</v>
      </c>
      <c r="L297" s="120">
        <f t="shared" si="295"/>
        <v>0</v>
      </c>
      <c r="M297" s="119">
        <f t="shared" ref="M297" si="296">SUM(M285:M296)</f>
        <v>154</v>
      </c>
      <c r="N297" s="121">
        <f t="shared" si="227"/>
        <v>8.1052631579003798</v>
      </c>
      <c r="O297" s="121">
        <f t="shared" ref="O297" si="297">SUM(O285:O296)</f>
        <v>0</v>
      </c>
      <c r="P297" s="121">
        <f t="shared" ref="P297" si="298">SUM(P285:P296)</f>
        <v>0</v>
      </c>
      <c r="Q297" s="120">
        <f t="shared" si="280"/>
        <v>-8.1052631578950187</v>
      </c>
      <c r="R297" s="119">
        <f t="shared" ref="R297" si="299">SUM(R285:R296)</f>
        <v>3762.1052631579005</v>
      </c>
      <c r="S297" s="122">
        <f t="shared" si="258"/>
        <v>71445.228144044289</v>
      </c>
      <c r="T297" s="119">
        <f t="shared" ref="T297:V297" si="300">SUM(T285:T296)</f>
        <v>-15.4</v>
      </c>
      <c r="U297" s="120">
        <f t="shared" si="300"/>
        <v>-837.36867752481817</v>
      </c>
      <c r="V297" s="119">
        <f t="shared" si="300"/>
        <v>4306.1983462811186</v>
      </c>
      <c r="W297" s="123">
        <f t="shared" ref="W297" si="301">+W296</f>
        <v>89557.106729305669</v>
      </c>
    </row>
    <row r="298" spans="2:23" outlineLevel="1">
      <c r="G298" s="11">
        <f t="shared" si="292"/>
        <v>43.917808219178085</v>
      </c>
      <c r="H298" s="2">
        <v>205</v>
      </c>
      <c r="I298" s="2">
        <f t="shared" si="293"/>
        <v>18</v>
      </c>
      <c r="J298" s="29">
        <f t="shared" si="267"/>
        <v>46935</v>
      </c>
      <c r="K298" s="62">
        <f>+IF(OR(H298&gt;60,$C$21="nein"),IF($C$19="monatlich",$C$20,IF($C$19="quartalsweise",OR(MONTH(J298)={1,4,7,10})*$C$20,IF($C$19="jährlich",(MONTH(J298)=7)*$C$20))),IF($C$19="monatlich",$C$22,IF($C$19="quartalsweise",OR(MONTH(J298)={1,4,7,10})*$C$22,IF($C$19="jährlich",(MONTH(J298)=7)*$C$22))))</f>
        <v>900</v>
      </c>
      <c r="L298" s="63">
        <f t="shared" ref="L298:L309" si="302">-IF(H298&gt;60,0,IF($C$19="monatlich",$C$52,IF(AND($C$19="quartalsweise",K298&gt;0),$C$52,IF(AND($C$19="jährlich",K298&gt;0),$C$51,0))))</f>
        <v>0</v>
      </c>
      <c r="M298" s="62">
        <f t="shared" ref="M298:M309" si="303">+IF(MONTH(J298)=4,$C$25,0)</f>
        <v>0</v>
      </c>
      <c r="N298" s="64">
        <f>+IF(AND($C$19="monatlich",K298&lt;$C$20),$C$20-K298,IF(AND($C$19="quartalsweise",OR(MONTH(J298)={1,4,7,10}),K298&lt;$C$20),$C$20-K298,IF(AND($C$19="jährlich",MONTH(J298)=7,K298&lt;$C$20),$C$20-K298,0)))</f>
        <v>0</v>
      </c>
      <c r="O298" s="64">
        <v>0</v>
      </c>
      <c r="P298" s="64">
        <v>0</v>
      </c>
      <c r="Q298" s="63">
        <f t="shared" ref="Q298:Q309" si="304">-SUM(M298:P298)*$C$47/100</f>
        <v>0</v>
      </c>
      <c r="R298" s="62">
        <f t="shared" ref="R298" si="305">+SUM(K298,M298:P298)</f>
        <v>900</v>
      </c>
      <c r="S298" s="65">
        <f t="shared" si="258"/>
        <v>72345.228144044289</v>
      </c>
      <c r="T298" s="62">
        <f t="shared" ref="T298:T309" si="306">-IF(MONTH(J298)=12,$C$55,0)</f>
        <v>0</v>
      </c>
      <c r="U298" s="63">
        <f t="shared" ref="U298:U309" si="307">-W297*($D$43/100/12)</f>
        <v>-72.765149217560847</v>
      </c>
      <c r="V298" s="62">
        <f t="shared" ref="V298:V309" si="308">+(1+(IF($C$71="pauschal",$C$72/100/12,VLOOKUP(I297,$J$5:$L$44,3,FALSE)/100/12)*W297))</f>
        <v>374.15461137210696</v>
      </c>
      <c r="W298" s="63">
        <f t="shared" ref="W298:W309" si="309">+SUM(W297,R298,L298,Q298,T298:V298)</f>
        <v>90758.496191460217</v>
      </c>
    </row>
    <row r="299" spans="2:23" outlineLevel="1">
      <c r="G299" s="12">
        <f t="shared" si="292"/>
        <v>44.0027397260274</v>
      </c>
      <c r="H299" s="4">
        <v>206</v>
      </c>
      <c r="I299" s="4">
        <f t="shared" ref="I299:I309" si="310">+I286+1</f>
        <v>18</v>
      </c>
      <c r="J299" s="30">
        <f t="shared" si="267"/>
        <v>46966</v>
      </c>
      <c r="K299" s="62">
        <f>+IF(OR(H299&gt;60,$C$21="nein"),IF($C$19="monatlich",$C$20,IF($C$19="quartalsweise",OR(MONTH(J299)={1,4,7,10})*$C$20,IF($C$19="jährlich",(MONTH(J299)=7)*$C$20))),IF($C$19="monatlich",$C$22,IF($C$19="quartalsweise",OR(MONTH(J299)={1,4,7,10})*$C$22,IF($C$19="jährlich",(MONTH(J299)=7)*$C$22))))</f>
        <v>0</v>
      </c>
      <c r="L299" s="66">
        <f t="shared" si="302"/>
        <v>0</v>
      </c>
      <c r="M299" s="62">
        <f t="shared" si="303"/>
        <v>0</v>
      </c>
      <c r="N299" s="67">
        <f>+IF(AND($C$19="monatlich",K299&lt;$C$20),$C$20-K299,IF(AND($C$19="quartalsweise",OR(MONTH(J299)={1,4,7,10}),K299&lt;$C$20),$C$20-K299,IF(AND($C$19="jährlich",MONTH(J299)=7,K299&lt;$C$20),$C$20-K299,0)))</f>
        <v>0</v>
      </c>
      <c r="O299" s="67">
        <v>0</v>
      </c>
      <c r="P299" s="67">
        <v>0</v>
      </c>
      <c r="Q299" s="63">
        <f t="shared" si="304"/>
        <v>0</v>
      </c>
      <c r="R299" s="68">
        <f t="shared" si="287"/>
        <v>0</v>
      </c>
      <c r="S299" s="69">
        <f t="shared" si="258"/>
        <v>72345.228144044289</v>
      </c>
      <c r="T299" s="68">
        <f t="shared" si="306"/>
        <v>0</v>
      </c>
      <c r="U299" s="66">
        <f t="shared" si="307"/>
        <v>-73.741278155561417</v>
      </c>
      <c r="V299" s="68">
        <f t="shared" si="308"/>
        <v>379.16040079775092</v>
      </c>
      <c r="W299" s="66">
        <f t="shared" si="309"/>
        <v>91063.9153141024</v>
      </c>
    </row>
    <row r="300" spans="2:23" outlineLevel="1">
      <c r="G300" s="12">
        <f t="shared" si="292"/>
        <v>44.087671232876716</v>
      </c>
      <c r="H300" s="4">
        <v>207</v>
      </c>
      <c r="I300" s="4">
        <f t="shared" si="310"/>
        <v>18</v>
      </c>
      <c r="J300" s="30">
        <f t="shared" si="267"/>
        <v>46997</v>
      </c>
      <c r="K300" s="62">
        <f>+IF(OR(H300&gt;60,$C$21="nein"),IF($C$19="monatlich",$C$20,IF($C$19="quartalsweise",OR(MONTH(J300)={1,4,7,10})*$C$20,IF($C$19="jährlich",(MONTH(J300)=7)*$C$20))),IF($C$19="monatlich",$C$22,IF($C$19="quartalsweise",OR(MONTH(J300)={1,4,7,10})*$C$22,IF($C$19="jährlich",(MONTH(J300)=7)*$C$22))))</f>
        <v>0</v>
      </c>
      <c r="L300" s="66">
        <f t="shared" si="302"/>
        <v>0</v>
      </c>
      <c r="M300" s="62">
        <f t="shared" si="303"/>
        <v>0</v>
      </c>
      <c r="N300" s="67">
        <f>+IF(AND($C$19="monatlich",K300&lt;$C$20),$C$20-K300,IF(AND($C$19="quartalsweise",OR(MONTH(J300)={1,4,7,10}),K300&lt;$C$20),$C$20-K300,IF(AND($C$19="jährlich",MONTH(J300)=7,K300&lt;$C$20),$C$20-K300,0)))</f>
        <v>0</v>
      </c>
      <c r="O300" s="67">
        <v>0</v>
      </c>
      <c r="P300" s="67">
        <v>0</v>
      </c>
      <c r="Q300" s="63">
        <f t="shared" si="304"/>
        <v>0</v>
      </c>
      <c r="R300" s="68">
        <f t="shared" si="287"/>
        <v>0</v>
      </c>
      <c r="S300" s="69">
        <f t="shared" si="258"/>
        <v>72345.228144044289</v>
      </c>
      <c r="T300" s="68">
        <f t="shared" si="306"/>
        <v>0</v>
      </c>
      <c r="U300" s="66">
        <f t="shared" si="307"/>
        <v>-73.989431192708196</v>
      </c>
      <c r="V300" s="68">
        <f t="shared" si="308"/>
        <v>380.43298047542669</v>
      </c>
      <c r="W300" s="66">
        <f t="shared" si="309"/>
        <v>91370.358863385118</v>
      </c>
    </row>
    <row r="301" spans="2:23" outlineLevel="1">
      <c r="G301" s="12">
        <f t="shared" si="292"/>
        <v>44.169863013698631</v>
      </c>
      <c r="H301" s="4">
        <v>208</v>
      </c>
      <c r="I301" s="4">
        <f t="shared" si="310"/>
        <v>18</v>
      </c>
      <c r="J301" s="30">
        <f t="shared" si="267"/>
        <v>47027</v>
      </c>
      <c r="K301" s="62">
        <f>+IF(OR(H301&gt;60,$C$21="nein"),IF($C$19="monatlich",$C$20,IF($C$19="quartalsweise",OR(MONTH(J301)={1,4,7,10})*$C$20,IF($C$19="jährlich",(MONTH(J301)=7)*$C$20))),IF($C$19="monatlich",$C$22,IF($C$19="quartalsweise",OR(MONTH(J301)={1,4,7,10})*$C$22,IF($C$19="jährlich",(MONTH(J301)=7)*$C$22))))</f>
        <v>900</v>
      </c>
      <c r="L301" s="66">
        <f t="shared" si="302"/>
        <v>0</v>
      </c>
      <c r="M301" s="62">
        <f t="shared" si="303"/>
        <v>0</v>
      </c>
      <c r="N301" s="67">
        <f>+IF(AND($C$19="monatlich",K301&lt;$C$20),$C$20-K301,IF(AND($C$19="quartalsweise",OR(MONTH(J301)={1,4,7,10}),K301&lt;$C$20),$C$20-K301,IF(AND($C$19="jährlich",MONTH(J301)=7,K301&lt;$C$20),$C$20-K301,0)))</f>
        <v>0</v>
      </c>
      <c r="O301" s="67">
        <v>0</v>
      </c>
      <c r="P301" s="67">
        <v>0</v>
      </c>
      <c r="Q301" s="63">
        <f t="shared" si="304"/>
        <v>0</v>
      </c>
      <c r="R301" s="68">
        <f t="shared" si="287"/>
        <v>900</v>
      </c>
      <c r="S301" s="69">
        <f t="shared" si="258"/>
        <v>73245.228144044289</v>
      </c>
      <c r="T301" s="68">
        <f t="shared" si="306"/>
        <v>0</v>
      </c>
      <c r="U301" s="66">
        <f t="shared" si="307"/>
        <v>-74.238416576500398</v>
      </c>
      <c r="V301" s="68">
        <f t="shared" si="308"/>
        <v>381.70982859743799</v>
      </c>
      <c r="W301" s="66">
        <f t="shared" si="309"/>
        <v>92577.830275406057</v>
      </c>
    </row>
    <row r="302" spans="2:23" outlineLevel="1">
      <c r="G302" s="12">
        <f t="shared" si="292"/>
        <v>44.254794520547946</v>
      </c>
      <c r="H302" s="4">
        <v>209</v>
      </c>
      <c r="I302" s="4">
        <f t="shared" si="310"/>
        <v>18</v>
      </c>
      <c r="J302" s="30">
        <f t="shared" si="267"/>
        <v>47058</v>
      </c>
      <c r="K302" s="62">
        <f>+IF(OR(H302&gt;60,$C$21="nein"),IF($C$19="monatlich",$C$20,IF($C$19="quartalsweise",OR(MONTH(J302)={1,4,7,10})*$C$20,IF($C$19="jährlich",(MONTH(J302)=7)*$C$20))),IF($C$19="monatlich",$C$22,IF($C$19="quartalsweise",OR(MONTH(J302)={1,4,7,10})*$C$22,IF($C$19="jährlich",(MONTH(J302)=7)*$C$22))))</f>
        <v>0</v>
      </c>
      <c r="L302" s="66">
        <f t="shared" si="302"/>
        <v>0</v>
      </c>
      <c r="M302" s="62">
        <f t="shared" si="303"/>
        <v>0</v>
      </c>
      <c r="N302" s="67">
        <f>+IF(AND($C$19="monatlich",K302&lt;$C$20),$C$20-K302,IF(AND($C$19="quartalsweise",OR(MONTH(J302)={1,4,7,10}),K302&lt;$C$20),$C$20-K302,IF(AND($C$19="jährlich",MONTH(J302)=7,K302&lt;$C$20),$C$20-K302,0)))</f>
        <v>0</v>
      </c>
      <c r="O302" s="67">
        <v>0</v>
      </c>
      <c r="P302" s="67">
        <v>0</v>
      </c>
      <c r="Q302" s="63">
        <f t="shared" si="304"/>
        <v>0</v>
      </c>
      <c r="R302" s="68">
        <f t="shared" si="287"/>
        <v>0</v>
      </c>
      <c r="S302" s="69">
        <f t="shared" si="258"/>
        <v>73245.228144044289</v>
      </c>
      <c r="T302" s="68">
        <f t="shared" si="306"/>
        <v>0</v>
      </c>
      <c r="U302" s="66">
        <f t="shared" si="307"/>
        <v>-75.219487098767416</v>
      </c>
      <c r="V302" s="68">
        <f t="shared" si="308"/>
        <v>386.74095948085858</v>
      </c>
      <c r="W302" s="66">
        <f t="shared" si="309"/>
        <v>92889.35174778814</v>
      </c>
    </row>
    <row r="303" spans="2:23" outlineLevel="1">
      <c r="G303" s="12">
        <f t="shared" si="292"/>
        <v>44.336986301369862</v>
      </c>
      <c r="H303" s="4">
        <v>210</v>
      </c>
      <c r="I303" s="4">
        <f t="shared" si="310"/>
        <v>18</v>
      </c>
      <c r="J303" s="30">
        <f t="shared" si="267"/>
        <v>47088</v>
      </c>
      <c r="K303" s="62">
        <f>+IF(OR(H303&gt;60,$C$21="nein"),IF($C$19="monatlich",$C$20,IF($C$19="quartalsweise",OR(MONTH(J303)={1,4,7,10})*$C$20,IF($C$19="jährlich",(MONTH(J303)=7)*$C$20))),IF($C$19="monatlich",$C$22,IF($C$19="quartalsweise",OR(MONTH(J303)={1,4,7,10})*$C$22,IF($C$19="jährlich",(MONTH(J303)=7)*$C$22))))</f>
        <v>0</v>
      </c>
      <c r="L303" s="66">
        <f t="shared" si="302"/>
        <v>0</v>
      </c>
      <c r="M303" s="62">
        <f t="shared" si="303"/>
        <v>0</v>
      </c>
      <c r="N303" s="67">
        <f>+IF(AND($C$19="monatlich",K303&lt;$C$20),$C$20-K303,IF(AND($C$19="quartalsweise",OR(MONTH(J303)={1,4,7,10}),K303&lt;$C$20),$C$20-K303,IF(AND($C$19="jährlich",MONTH(J303)=7,K303&lt;$C$20),$C$20-K303,0)))</f>
        <v>0</v>
      </c>
      <c r="O303" s="67">
        <v>0</v>
      </c>
      <c r="P303" s="67">
        <v>0</v>
      </c>
      <c r="Q303" s="63">
        <f t="shared" si="304"/>
        <v>0</v>
      </c>
      <c r="R303" s="68">
        <f t="shared" si="287"/>
        <v>0</v>
      </c>
      <c r="S303" s="69">
        <f t="shared" si="258"/>
        <v>73245.228144044289</v>
      </c>
      <c r="T303" s="68">
        <f t="shared" si="306"/>
        <v>-15.4</v>
      </c>
      <c r="U303" s="66">
        <f t="shared" si="307"/>
        <v>-75.472598295077859</v>
      </c>
      <c r="V303" s="68">
        <f t="shared" si="308"/>
        <v>388.03896561578392</v>
      </c>
      <c r="W303" s="66">
        <f t="shared" si="309"/>
        <v>93186.518115108847</v>
      </c>
    </row>
    <row r="304" spans="2:23" outlineLevel="1">
      <c r="G304" s="12">
        <f t="shared" si="292"/>
        <v>44.421917808219177</v>
      </c>
      <c r="H304" s="4">
        <v>211</v>
      </c>
      <c r="I304" s="4">
        <f t="shared" si="310"/>
        <v>18</v>
      </c>
      <c r="J304" s="30">
        <f t="shared" si="267"/>
        <v>47119</v>
      </c>
      <c r="K304" s="62">
        <f>+IF(OR(H304&gt;60,$C$21="nein"),IF($C$19="monatlich",$C$20,IF($C$19="quartalsweise",OR(MONTH(J304)={1,4,7,10})*$C$20,IF($C$19="jährlich",(MONTH(J304)=7)*$C$20))),IF($C$19="monatlich",$C$22,IF($C$19="quartalsweise",OR(MONTH(J304)={1,4,7,10})*$C$22,IF($C$19="jährlich",(MONTH(J304)=7)*$C$22))))</f>
        <v>900</v>
      </c>
      <c r="L304" s="66">
        <f t="shared" si="302"/>
        <v>0</v>
      </c>
      <c r="M304" s="62">
        <f t="shared" si="303"/>
        <v>0</v>
      </c>
      <c r="N304" s="67">
        <f>+IF(AND($C$19="monatlich",K304&lt;$C$20),$C$20-K304,IF(AND($C$19="quartalsweise",OR(MONTH(J304)={1,4,7,10}),K304&lt;$C$20),$C$20-K304,IF(AND($C$19="jährlich",MONTH(J304)=7,K304&lt;$C$20),$C$20-K304,0)))</f>
        <v>0</v>
      </c>
      <c r="O304" s="67">
        <v>0</v>
      </c>
      <c r="P304" s="67">
        <v>0</v>
      </c>
      <c r="Q304" s="63">
        <f t="shared" si="304"/>
        <v>0</v>
      </c>
      <c r="R304" s="68">
        <f t="shared" si="287"/>
        <v>900</v>
      </c>
      <c r="S304" s="69">
        <f t="shared" si="258"/>
        <v>74145.228144044289</v>
      </c>
      <c r="T304" s="68">
        <f t="shared" si="306"/>
        <v>0</v>
      </c>
      <c r="U304" s="66">
        <f t="shared" si="307"/>
        <v>-75.714045968525937</v>
      </c>
      <c r="V304" s="68">
        <f t="shared" si="308"/>
        <v>389.27715881295353</v>
      </c>
      <c r="W304" s="66">
        <f t="shared" si="309"/>
        <v>94400.081227953269</v>
      </c>
    </row>
    <row r="305" spans="2:23" outlineLevel="1">
      <c r="G305" s="12">
        <f t="shared" si="292"/>
        <v>44.506849315068493</v>
      </c>
      <c r="H305" s="4">
        <v>212</v>
      </c>
      <c r="I305" s="4">
        <f t="shared" si="310"/>
        <v>18</v>
      </c>
      <c r="J305" s="30">
        <f t="shared" si="267"/>
        <v>47150</v>
      </c>
      <c r="K305" s="62">
        <f>+IF(OR(H305&gt;60,$C$21="nein"),IF($C$19="monatlich",$C$20,IF($C$19="quartalsweise",OR(MONTH(J305)={1,4,7,10})*$C$20,IF($C$19="jährlich",(MONTH(J305)=7)*$C$20))),IF($C$19="monatlich",$C$22,IF($C$19="quartalsweise",OR(MONTH(J305)={1,4,7,10})*$C$22,IF($C$19="jährlich",(MONTH(J305)=7)*$C$22))))</f>
        <v>0</v>
      </c>
      <c r="L305" s="66">
        <f t="shared" si="302"/>
        <v>0</v>
      </c>
      <c r="M305" s="62">
        <f t="shared" si="303"/>
        <v>0</v>
      </c>
      <c r="N305" s="67">
        <f>+IF(AND($C$19="monatlich",K305&lt;$C$20),$C$20-K305,IF(AND($C$19="quartalsweise",OR(MONTH(J305)={1,4,7,10}),K305&lt;$C$20),$C$20-K305,IF(AND($C$19="jährlich",MONTH(J305)=7,K305&lt;$C$20),$C$20-K305,0)))</f>
        <v>0</v>
      </c>
      <c r="O305" s="67">
        <v>0</v>
      </c>
      <c r="P305" s="67">
        <v>0</v>
      </c>
      <c r="Q305" s="63">
        <f t="shared" si="304"/>
        <v>0</v>
      </c>
      <c r="R305" s="68">
        <f t="shared" si="287"/>
        <v>0</v>
      </c>
      <c r="S305" s="69">
        <f t="shared" si="258"/>
        <v>74145.228144044289</v>
      </c>
      <c r="T305" s="68">
        <f t="shared" si="306"/>
        <v>0</v>
      </c>
      <c r="U305" s="66">
        <f t="shared" si="307"/>
        <v>-76.700065997712031</v>
      </c>
      <c r="V305" s="68">
        <f t="shared" si="308"/>
        <v>394.33367178313864</v>
      </c>
      <c r="W305" s="66">
        <f t="shared" si="309"/>
        <v>94717.714833738704</v>
      </c>
    </row>
    <row r="306" spans="2:23" outlineLevel="1">
      <c r="G306" s="12">
        <f t="shared" si="292"/>
        <v>44.583561643835615</v>
      </c>
      <c r="H306" s="4">
        <v>213</v>
      </c>
      <c r="I306" s="4">
        <f t="shared" si="310"/>
        <v>18</v>
      </c>
      <c r="J306" s="30">
        <f t="shared" si="267"/>
        <v>47178</v>
      </c>
      <c r="K306" s="62">
        <f>+IF(OR(H306&gt;60,$C$21="nein"),IF($C$19="monatlich",$C$20,IF($C$19="quartalsweise",OR(MONTH(J306)={1,4,7,10})*$C$20,IF($C$19="jährlich",(MONTH(J306)=7)*$C$20))),IF($C$19="monatlich",$C$22,IF($C$19="quartalsweise",OR(MONTH(J306)={1,4,7,10})*$C$22,IF($C$19="jährlich",(MONTH(J306)=7)*$C$22))))</f>
        <v>0</v>
      </c>
      <c r="L306" s="66">
        <f t="shared" si="302"/>
        <v>0</v>
      </c>
      <c r="M306" s="62">
        <f t="shared" si="303"/>
        <v>0</v>
      </c>
      <c r="N306" s="67">
        <f>+IF(AND($C$19="monatlich",K306&lt;$C$20),$C$20-K306,IF(AND($C$19="quartalsweise",OR(MONTH(J306)={1,4,7,10}),K306&lt;$C$20),$C$20-K306,IF(AND($C$19="jährlich",MONTH(J306)=7,K306&lt;$C$20),$C$20-K306,0)))-$C$67/100*SUM(Q288:Q296,Q298:Q300)-$C$66/100*SUM(L288:L296,L298:L300)</f>
        <v>8.1052631578950187</v>
      </c>
      <c r="O306" s="67">
        <v>0</v>
      </c>
      <c r="P306" s="67">
        <v>0</v>
      </c>
      <c r="Q306" s="63">
        <f t="shared" si="304"/>
        <v>-0.40526315789475092</v>
      </c>
      <c r="R306" s="68">
        <f t="shared" si="287"/>
        <v>8.1052631578950187</v>
      </c>
      <c r="S306" s="69">
        <f t="shared" si="258"/>
        <v>74153.333407202183</v>
      </c>
      <c r="T306" s="68">
        <f t="shared" si="306"/>
        <v>0</v>
      </c>
      <c r="U306" s="66">
        <f t="shared" si="307"/>
        <v>-76.958143302412694</v>
      </c>
      <c r="V306" s="68">
        <f t="shared" si="308"/>
        <v>395.65714514057794</v>
      </c>
      <c r="W306" s="66">
        <f t="shared" si="309"/>
        <v>95044.113835576863</v>
      </c>
    </row>
    <row r="307" spans="2:23" outlineLevel="1">
      <c r="G307" s="12">
        <f t="shared" si="292"/>
        <v>44.668493150684931</v>
      </c>
      <c r="H307" s="4">
        <v>214</v>
      </c>
      <c r="I307" s="4">
        <f t="shared" si="310"/>
        <v>18</v>
      </c>
      <c r="J307" s="30">
        <f t="shared" si="267"/>
        <v>47209</v>
      </c>
      <c r="K307" s="62">
        <f>+IF(OR(H307&gt;60,$C$21="nein"),IF($C$19="monatlich",$C$20,IF($C$19="quartalsweise",OR(MONTH(J307)={1,4,7,10})*$C$20,IF($C$19="jährlich",(MONTH(J307)=7)*$C$20))),IF($C$19="monatlich",$C$22,IF($C$19="quartalsweise",OR(MONTH(J307)={1,4,7,10})*$C$22,IF($C$19="jährlich",(MONTH(J307)=7)*$C$22))))</f>
        <v>900</v>
      </c>
      <c r="L307" s="66">
        <f t="shared" si="302"/>
        <v>0</v>
      </c>
      <c r="M307" s="62">
        <f t="shared" si="303"/>
        <v>154</v>
      </c>
      <c r="N307" s="67">
        <f>+IF(AND($C$19="monatlich",K307&lt;$C$20),$C$20-K307,IF(AND($C$19="quartalsweise",OR(MONTH(J307)={1,4,7,10}),K307&lt;$C$20),$C$20-K307,IF(AND($C$19="jährlich",MONTH(J307)=7,K307&lt;$C$20),$C$20-K307,0)))</f>
        <v>0</v>
      </c>
      <c r="O307" s="67">
        <v>0</v>
      </c>
      <c r="P307" s="67">
        <v>0</v>
      </c>
      <c r="Q307" s="63">
        <f t="shared" si="304"/>
        <v>-7.7</v>
      </c>
      <c r="R307" s="68">
        <f t="shared" si="287"/>
        <v>1054</v>
      </c>
      <c r="S307" s="69">
        <f t="shared" si="258"/>
        <v>75207.333407202183</v>
      </c>
      <c r="T307" s="68">
        <f t="shared" si="306"/>
        <v>0</v>
      </c>
      <c r="U307" s="66">
        <f t="shared" si="307"/>
        <v>-77.2233424914062</v>
      </c>
      <c r="V307" s="68">
        <f t="shared" si="308"/>
        <v>397.01714098157026</v>
      </c>
      <c r="W307" s="66">
        <f t="shared" si="309"/>
        <v>96410.207634067032</v>
      </c>
    </row>
    <row r="308" spans="2:23" outlineLevel="1">
      <c r="G308" s="12">
        <f t="shared" si="292"/>
        <v>44.750684931506846</v>
      </c>
      <c r="H308" s="4">
        <v>215</v>
      </c>
      <c r="I308" s="4">
        <f t="shared" si="310"/>
        <v>18</v>
      </c>
      <c r="J308" s="30">
        <f t="shared" si="267"/>
        <v>47239</v>
      </c>
      <c r="K308" s="62">
        <f>+IF(OR(H308&gt;60,$C$21="nein"),IF($C$19="monatlich",$C$20,IF($C$19="quartalsweise",OR(MONTH(J308)={1,4,7,10})*$C$20,IF($C$19="jährlich",(MONTH(J308)=7)*$C$20))),IF($C$19="monatlich",$C$22,IF($C$19="quartalsweise",OR(MONTH(J308)={1,4,7,10})*$C$22,IF($C$19="jährlich",(MONTH(J308)=7)*$C$22))))</f>
        <v>0</v>
      </c>
      <c r="L308" s="66">
        <f t="shared" si="302"/>
        <v>0</v>
      </c>
      <c r="M308" s="62">
        <f t="shared" si="303"/>
        <v>0</v>
      </c>
      <c r="N308" s="67">
        <f>+IF(AND($C$19="monatlich",K308&lt;$C$20),$C$20-K308,IF(AND($C$19="quartalsweise",OR(MONTH(J308)={1,4,7,10}),K308&lt;$C$20),$C$20-K308,IF(AND($C$19="jährlich",MONTH(J308)=7,K308&lt;$C$20),$C$20-K308,0)))</f>
        <v>0</v>
      </c>
      <c r="O308" s="67">
        <v>0</v>
      </c>
      <c r="P308" s="67">
        <v>0</v>
      </c>
      <c r="Q308" s="63">
        <f t="shared" si="304"/>
        <v>0</v>
      </c>
      <c r="R308" s="68">
        <f t="shared" si="287"/>
        <v>0</v>
      </c>
      <c r="S308" s="69">
        <f t="shared" si="258"/>
        <v>75207.333407202183</v>
      </c>
      <c r="T308" s="68">
        <f t="shared" si="306"/>
        <v>0</v>
      </c>
      <c r="U308" s="66">
        <f t="shared" si="307"/>
        <v>-78.333293702679455</v>
      </c>
      <c r="V308" s="68">
        <f t="shared" si="308"/>
        <v>402.70919847527932</v>
      </c>
      <c r="W308" s="66">
        <f t="shared" si="309"/>
        <v>96734.583538839623</v>
      </c>
    </row>
    <row r="309" spans="2:23" outlineLevel="1">
      <c r="G309" s="13">
        <f t="shared" si="292"/>
        <v>44.835616438356162</v>
      </c>
      <c r="H309" s="6">
        <v>216</v>
      </c>
      <c r="I309" s="6">
        <f t="shared" si="310"/>
        <v>18</v>
      </c>
      <c r="J309" s="31">
        <f t="shared" si="267"/>
        <v>47270</v>
      </c>
      <c r="K309" s="62">
        <f>+IF(OR(H309&gt;60,$C$21="nein"),IF($C$19="monatlich",$C$20,IF($C$19="quartalsweise",OR(MONTH(J309)={1,4,7,10})*$C$20,IF($C$19="jährlich",(MONTH(J309)=7)*$C$20))),IF($C$19="monatlich",$C$22,IF($C$19="quartalsweise",OR(MONTH(J309)={1,4,7,10})*$C$22,IF($C$19="jährlich",(MONTH(J309)=7)*$C$22))))</f>
        <v>0</v>
      </c>
      <c r="L309" s="70">
        <f t="shared" si="302"/>
        <v>0</v>
      </c>
      <c r="M309" s="62">
        <f t="shared" si="303"/>
        <v>0</v>
      </c>
      <c r="N309" s="71">
        <f>+IF(AND($C$19="monatlich",K309&lt;$C$20),$C$20-K309,IF(AND($C$19="quartalsweise",OR(MONTH(J309)={1,4,7,10}),K309&lt;$C$20),$C$20-K309,IF(AND($C$19="jährlich",MONTH(J309)=7,K309&lt;$C$20),$C$20-K309,0)))</f>
        <v>0</v>
      </c>
      <c r="O309" s="71">
        <v>0</v>
      </c>
      <c r="P309" s="71">
        <v>0</v>
      </c>
      <c r="Q309" s="63">
        <f t="shared" si="304"/>
        <v>0</v>
      </c>
      <c r="R309" s="72">
        <f t="shared" si="287"/>
        <v>0</v>
      </c>
      <c r="S309" s="73">
        <f t="shared" si="258"/>
        <v>75207.333407202183</v>
      </c>
      <c r="T309" s="72">
        <f t="shared" si="306"/>
        <v>0</v>
      </c>
      <c r="U309" s="70">
        <f t="shared" si="307"/>
        <v>-78.596849125307187</v>
      </c>
      <c r="V309" s="72">
        <f t="shared" si="308"/>
        <v>404.0607647451651</v>
      </c>
      <c r="W309" s="70">
        <f t="shared" si="309"/>
        <v>97060.047454459491</v>
      </c>
    </row>
    <row r="310" spans="2:23" s="5" customFormat="1" ht="15">
      <c r="B310" s="17"/>
      <c r="G310" s="115">
        <f t="shared" si="292"/>
        <v>44.835616438356162</v>
      </c>
      <c r="H310" s="116" t="str">
        <f>H298&amp;" - "&amp;H309</f>
        <v>205 - 216</v>
      </c>
      <c r="I310" s="117">
        <f t="shared" ref="I310:I341" si="311">+I297+1</f>
        <v>18</v>
      </c>
      <c r="J310" s="118">
        <f t="shared" ref="J310" si="312">+J309</f>
        <v>47270</v>
      </c>
      <c r="K310" s="119">
        <f t="shared" ref="K310:L310" si="313">SUM(K298:K309)</f>
        <v>3600</v>
      </c>
      <c r="L310" s="120">
        <f t="shared" si="313"/>
        <v>0</v>
      </c>
      <c r="M310" s="119">
        <f t="shared" ref="M310" si="314">SUM(M298:M309)</f>
        <v>154</v>
      </c>
      <c r="N310" s="121">
        <f t="shared" ref="N310:N362" si="315">SUM(N298:N309)</f>
        <v>8.1052631578950187</v>
      </c>
      <c r="O310" s="121">
        <f t="shared" ref="O310" si="316">SUM(O298:O309)</f>
        <v>0</v>
      </c>
      <c r="P310" s="121">
        <f t="shared" ref="P310:Q323" si="317">SUM(P298:P309)</f>
        <v>0</v>
      </c>
      <c r="Q310" s="120">
        <f t="shared" si="317"/>
        <v>-8.1052631578947505</v>
      </c>
      <c r="R310" s="119">
        <f t="shared" ref="R310" si="318">SUM(R298:R309)</f>
        <v>3762.105263157895</v>
      </c>
      <c r="S310" s="122">
        <f t="shared" si="258"/>
        <v>75207.333407202183</v>
      </c>
      <c r="T310" s="119">
        <f t="shared" ref="T310:V310" si="319">SUM(T298:T309)</f>
        <v>-15.4</v>
      </c>
      <c r="U310" s="120">
        <f t="shared" si="319"/>
        <v>-908.95210112421978</v>
      </c>
      <c r="V310" s="119">
        <f t="shared" si="319"/>
        <v>4673.2928262780506</v>
      </c>
      <c r="W310" s="123">
        <f t="shared" ref="W310" si="320">+W309</f>
        <v>97060.047454459491</v>
      </c>
    </row>
    <row r="311" spans="2:23" outlineLevel="1">
      <c r="G311" s="11">
        <f t="shared" si="292"/>
        <v>44.917808219178085</v>
      </c>
      <c r="H311" s="2">
        <v>217</v>
      </c>
      <c r="I311" s="2">
        <f t="shared" si="311"/>
        <v>19</v>
      </c>
      <c r="J311" s="29">
        <f t="shared" si="267"/>
        <v>47300</v>
      </c>
      <c r="K311" s="62">
        <f>+IF(OR(H311&gt;60,$C$21="nein"),IF($C$19="monatlich",$C$20,IF($C$19="quartalsweise",OR(MONTH(J311)={1,4,7,10})*$C$20,IF($C$19="jährlich",(MONTH(J311)=7)*$C$20))),IF($C$19="monatlich",$C$22,IF($C$19="quartalsweise",OR(MONTH(J311)={1,4,7,10})*$C$22,IF($C$19="jährlich",(MONTH(J311)=7)*$C$22))))</f>
        <v>900</v>
      </c>
      <c r="L311" s="63">
        <f t="shared" ref="L311:L322" si="321">-IF(H311&gt;60,0,IF($C$19="monatlich",$C$52,IF(AND($C$19="quartalsweise",K311&gt;0),$C$52,IF(AND($C$19="jährlich",K311&gt;0),$C$51,0))))</f>
        <v>0</v>
      </c>
      <c r="M311" s="62">
        <f t="shared" ref="M311:M322" si="322">+IF(MONTH(J311)=4,$C$25,0)</f>
        <v>0</v>
      </c>
      <c r="N311" s="64">
        <f>+IF(AND($C$19="monatlich",K311&lt;$C$20),$C$20-K311,IF(AND($C$19="quartalsweise",OR(MONTH(J311)={1,4,7,10}),K311&lt;$C$20),$C$20-K311,IF(AND($C$19="jährlich",MONTH(J311)=7,K311&lt;$C$20),$C$20-K311,0)))</f>
        <v>0</v>
      </c>
      <c r="O311" s="64">
        <v>0</v>
      </c>
      <c r="P311" s="64">
        <v>0</v>
      </c>
      <c r="Q311" s="63">
        <f t="shared" ref="Q311:Q322" si="323">-SUM(M311:P311)*$C$47/100</f>
        <v>0</v>
      </c>
      <c r="R311" s="62">
        <f t="shared" ref="R311" si="324">+SUM(K311,M311:P311)</f>
        <v>900</v>
      </c>
      <c r="S311" s="65">
        <f t="shared" si="258"/>
        <v>76107.333407202183</v>
      </c>
      <c r="T311" s="62">
        <f t="shared" ref="T311:T322" si="325">-IF(MONTH(J311)=12,$C$55,0)</f>
        <v>0</v>
      </c>
      <c r="U311" s="63">
        <f t="shared" ref="U311:U322" si="326">-W310*($D$43/100/12)</f>
        <v>-78.861288556748335</v>
      </c>
      <c r="V311" s="62">
        <f t="shared" ref="V311:V322" si="327">+(1+(IF($C$71="pauschal",$C$72/100/12,VLOOKUP(I310,$J$5:$L$44,3,FALSE)/100/12)*W310))</f>
        <v>405.41686439358119</v>
      </c>
      <c r="W311" s="63">
        <f t="shared" ref="W311:W322" si="328">+SUM(W310,R311,L311,Q311,T311:V311)</f>
        <v>98286.603030296334</v>
      </c>
    </row>
    <row r="312" spans="2:23" outlineLevel="1">
      <c r="G312" s="12">
        <f t="shared" si="292"/>
        <v>45.0027397260274</v>
      </c>
      <c r="H312" s="4">
        <v>218</v>
      </c>
      <c r="I312" s="4">
        <f t="shared" si="311"/>
        <v>19</v>
      </c>
      <c r="J312" s="30">
        <f t="shared" si="267"/>
        <v>47331</v>
      </c>
      <c r="K312" s="62">
        <f>+IF(OR(H312&gt;60,$C$21="nein"),IF($C$19="monatlich",$C$20,IF($C$19="quartalsweise",OR(MONTH(J312)={1,4,7,10})*$C$20,IF($C$19="jährlich",(MONTH(J312)=7)*$C$20))),IF($C$19="monatlich",$C$22,IF($C$19="quartalsweise",OR(MONTH(J312)={1,4,7,10})*$C$22,IF($C$19="jährlich",(MONTH(J312)=7)*$C$22))))</f>
        <v>0</v>
      </c>
      <c r="L312" s="66">
        <f t="shared" si="321"/>
        <v>0</v>
      </c>
      <c r="M312" s="62">
        <f t="shared" si="322"/>
        <v>0</v>
      </c>
      <c r="N312" s="67">
        <f>+IF(AND($C$19="monatlich",K312&lt;$C$20),$C$20-K312,IF(AND($C$19="quartalsweise",OR(MONTH(J312)={1,4,7,10}),K312&lt;$C$20),$C$20-K312,IF(AND($C$19="jährlich",MONTH(J312)=7,K312&lt;$C$20),$C$20-K312,0)))</f>
        <v>0</v>
      </c>
      <c r="O312" s="67">
        <v>0</v>
      </c>
      <c r="P312" s="67">
        <v>0</v>
      </c>
      <c r="Q312" s="63">
        <f t="shared" si="323"/>
        <v>0</v>
      </c>
      <c r="R312" s="68">
        <f t="shared" si="287"/>
        <v>0</v>
      </c>
      <c r="S312" s="69">
        <f t="shared" si="258"/>
        <v>76107.333407202183</v>
      </c>
      <c r="T312" s="68">
        <f t="shared" si="325"/>
        <v>0</v>
      </c>
      <c r="U312" s="66">
        <f t="shared" si="326"/>
        <v>-79.857864962115769</v>
      </c>
      <c r="V312" s="68">
        <f t="shared" si="327"/>
        <v>410.52751262623474</v>
      </c>
      <c r="W312" s="66">
        <f t="shared" si="328"/>
        <v>98617.272677960442</v>
      </c>
    </row>
    <row r="313" spans="2:23" outlineLevel="1">
      <c r="G313" s="12">
        <f t="shared" si="292"/>
        <v>45.087671232876716</v>
      </c>
      <c r="H313" s="4">
        <v>219</v>
      </c>
      <c r="I313" s="4">
        <f t="shared" si="311"/>
        <v>19</v>
      </c>
      <c r="J313" s="30">
        <f t="shared" si="267"/>
        <v>47362</v>
      </c>
      <c r="K313" s="62">
        <f>+IF(OR(H313&gt;60,$C$21="nein"),IF($C$19="monatlich",$C$20,IF($C$19="quartalsweise",OR(MONTH(J313)={1,4,7,10})*$C$20,IF($C$19="jährlich",(MONTH(J313)=7)*$C$20))),IF($C$19="monatlich",$C$22,IF($C$19="quartalsweise",OR(MONTH(J313)={1,4,7,10})*$C$22,IF($C$19="jährlich",(MONTH(J313)=7)*$C$22))))</f>
        <v>0</v>
      </c>
      <c r="L313" s="66">
        <f t="shared" si="321"/>
        <v>0</v>
      </c>
      <c r="M313" s="62">
        <f t="shared" si="322"/>
        <v>0</v>
      </c>
      <c r="N313" s="67">
        <f>+IF(AND($C$19="monatlich",K313&lt;$C$20),$C$20-K313,IF(AND($C$19="quartalsweise",OR(MONTH(J313)={1,4,7,10}),K313&lt;$C$20),$C$20-K313,IF(AND($C$19="jährlich",MONTH(J313)=7,K313&lt;$C$20),$C$20-K313,0)))</f>
        <v>0</v>
      </c>
      <c r="O313" s="67">
        <v>0</v>
      </c>
      <c r="P313" s="67">
        <v>0</v>
      </c>
      <c r="Q313" s="63">
        <f t="shared" si="323"/>
        <v>0</v>
      </c>
      <c r="R313" s="68">
        <f t="shared" si="287"/>
        <v>0</v>
      </c>
      <c r="S313" s="69">
        <f t="shared" si="258"/>
        <v>76107.333407202183</v>
      </c>
      <c r="T313" s="68">
        <f t="shared" si="325"/>
        <v>0</v>
      </c>
      <c r="U313" s="66">
        <f t="shared" si="326"/>
        <v>-80.126534050842849</v>
      </c>
      <c r="V313" s="68">
        <f t="shared" si="327"/>
        <v>411.90530282483519</v>
      </c>
      <c r="W313" s="66">
        <f t="shared" si="328"/>
        <v>98949.051446734433</v>
      </c>
    </row>
    <row r="314" spans="2:23" outlineLevel="1">
      <c r="G314" s="12">
        <f t="shared" si="292"/>
        <v>45.169863013698631</v>
      </c>
      <c r="H314" s="4">
        <v>220</v>
      </c>
      <c r="I314" s="4">
        <f t="shared" si="311"/>
        <v>19</v>
      </c>
      <c r="J314" s="30">
        <f t="shared" si="267"/>
        <v>47392</v>
      </c>
      <c r="K314" s="62">
        <f>+IF(OR(H314&gt;60,$C$21="nein"),IF($C$19="monatlich",$C$20,IF($C$19="quartalsweise",OR(MONTH(J314)={1,4,7,10})*$C$20,IF($C$19="jährlich",(MONTH(J314)=7)*$C$20))),IF($C$19="monatlich",$C$22,IF($C$19="quartalsweise",OR(MONTH(J314)={1,4,7,10})*$C$22,IF($C$19="jährlich",(MONTH(J314)=7)*$C$22))))</f>
        <v>900</v>
      </c>
      <c r="L314" s="66">
        <f t="shared" si="321"/>
        <v>0</v>
      </c>
      <c r="M314" s="62">
        <f t="shared" si="322"/>
        <v>0</v>
      </c>
      <c r="N314" s="67">
        <f>+IF(AND($C$19="monatlich",K314&lt;$C$20),$C$20-K314,IF(AND($C$19="quartalsweise",OR(MONTH(J314)={1,4,7,10}),K314&lt;$C$20),$C$20-K314,IF(AND($C$19="jährlich",MONTH(J314)=7,K314&lt;$C$20),$C$20-K314,0)))</f>
        <v>0</v>
      </c>
      <c r="O314" s="67">
        <v>0</v>
      </c>
      <c r="P314" s="67">
        <v>0</v>
      </c>
      <c r="Q314" s="63">
        <f t="shared" si="323"/>
        <v>0</v>
      </c>
      <c r="R314" s="68">
        <f t="shared" si="287"/>
        <v>900</v>
      </c>
      <c r="S314" s="69">
        <f t="shared" si="258"/>
        <v>77007.333407202183</v>
      </c>
      <c r="T314" s="68">
        <f t="shared" si="325"/>
        <v>0</v>
      </c>
      <c r="U314" s="66">
        <f t="shared" si="326"/>
        <v>-80.39610430047172</v>
      </c>
      <c r="V314" s="68">
        <f t="shared" si="327"/>
        <v>413.28771436139345</v>
      </c>
      <c r="W314" s="66">
        <f t="shared" si="328"/>
        <v>100181.94305679535</v>
      </c>
    </row>
    <row r="315" spans="2:23" outlineLevel="1">
      <c r="G315" s="12">
        <f t="shared" si="292"/>
        <v>45.254794520547946</v>
      </c>
      <c r="H315" s="4">
        <v>221</v>
      </c>
      <c r="I315" s="4">
        <f t="shared" si="311"/>
        <v>19</v>
      </c>
      <c r="J315" s="30">
        <f t="shared" si="267"/>
        <v>47423</v>
      </c>
      <c r="K315" s="62">
        <f>+IF(OR(H315&gt;60,$C$21="nein"),IF($C$19="monatlich",$C$20,IF($C$19="quartalsweise",OR(MONTH(J315)={1,4,7,10})*$C$20,IF($C$19="jährlich",(MONTH(J315)=7)*$C$20))),IF($C$19="monatlich",$C$22,IF($C$19="quartalsweise",OR(MONTH(J315)={1,4,7,10})*$C$22,IF($C$19="jährlich",(MONTH(J315)=7)*$C$22))))</f>
        <v>0</v>
      </c>
      <c r="L315" s="66">
        <f t="shared" si="321"/>
        <v>0</v>
      </c>
      <c r="M315" s="62">
        <f t="shared" si="322"/>
        <v>0</v>
      </c>
      <c r="N315" s="67">
        <f>+IF(AND($C$19="monatlich",K315&lt;$C$20),$C$20-K315,IF(AND($C$19="quartalsweise",OR(MONTH(J315)={1,4,7,10}),K315&lt;$C$20),$C$20-K315,IF(AND($C$19="jährlich",MONTH(J315)=7,K315&lt;$C$20),$C$20-K315,0)))</f>
        <v>0</v>
      </c>
      <c r="O315" s="67">
        <v>0</v>
      </c>
      <c r="P315" s="67">
        <v>0</v>
      </c>
      <c r="Q315" s="63">
        <f t="shared" si="323"/>
        <v>0</v>
      </c>
      <c r="R315" s="68">
        <f t="shared" si="287"/>
        <v>0</v>
      </c>
      <c r="S315" s="69">
        <f t="shared" si="258"/>
        <v>77007.333407202183</v>
      </c>
      <c r="T315" s="68">
        <f t="shared" si="325"/>
        <v>0</v>
      </c>
      <c r="U315" s="66">
        <f t="shared" si="326"/>
        <v>-81.397828733646222</v>
      </c>
      <c r="V315" s="68">
        <f t="shared" si="327"/>
        <v>418.42476273664732</v>
      </c>
      <c r="W315" s="66">
        <f t="shared" si="328"/>
        <v>100518.96999079834</v>
      </c>
    </row>
    <row r="316" spans="2:23" outlineLevel="1">
      <c r="G316" s="12">
        <f t="shared" si="292"/>
        <v>45.336986301369862</v>
      </c>
      <c r="H316" s="4">
        <v>222</v>
      </c>
      <c r="I316" s="4">
        <f t="shared" si="311"/>
        <v>19</v>
      </c>
      <c r="J316" s="30">
        <f t="shared" si="267"/>
        <v>47453</v>
      </c>
      <c r="K316" s="62">
        <f>+IF(OR(H316&gt;60,$C$21="nein"),IF($C$19="monatlich",$C$20,IF($C$19="quartalsweise",OR(MONTH(J316)={1,4,7,10})*$C$20,IF($C$19="jährlich",(MONTH(J316)=7)*$C$20))),IF($C$19="monatlich",$C$22,IF($C$19="quartalsweise",OR(MONTH(J316)={1,4,7,10})*$C$22,IF($C$19="jährlich",(MONTH(J316)=7)*$C$22))))</f>
        <v>0</v>
      </c>
      <c r="L316" s="66">
        <f t="shared" si="321"/>
        <v>0</v>
      </c>
      <c r="M316" s="62">
        <f t="shared" si="322"/>
        <v>0</v>
      </c>
      <c r="N316" s="67">
        <f>+IF(AND($C$19="monatlich",K316&lt;$C$20),$C$20-K316,IF(AND($C$19="quartalsweise",OR(MONTH(J316)={1,4,7,10}),K316&lt;$C$20),$C$20-K316,IF(AND($C$19="jährlich",MONTH(J316)=7,K316&lt;$C$20),$C$20-K316,0)))</f>
        <v>0</v>
      </c>
      <c r="O316" s="67">
        <v>0</v>
      </c>
      <c r="P316" s="67">
        <v>0</v>
      </c>
      <c r="Q316" s="63">
        <f t="shared" si="323"/>
        <v>0</v>
      </c>
      <c r="R316" s="68">
        <f t="shared" si="287"/>
        <v>0</v>
      </c>
      <c r="S316" s="69">
        <f t="shared" si="258"/>
        <v>77007.333407202183</v>
      </c>
      <c r="T316" s="68">
        <f t="shared" si="325"/>
        <v>-15.4</v>
      </c>
      <c r="U316" s="66">
        <f t="shared" si="326"/>
        <v>-81.67166311752365</v>
      </c>
      <c r="V316" s="68">
        <f t="shared" si="327"/>
        <v>419.82904162832642</v>
      </c>
      <c r="W316" s="66">
        <f t="shared" si="328"/>
        <v>100841.72736930916</v>
      </c>
    </row>
    <row r="317" spans="2:23" outlineLevel="1">
      <c r="G317" s="12">
        <f t="shared" si="292"/>
        <v>45.421917808219177</v>
      </c>
      <c r="H317" s="4">
        <v>223</v>
      </c>
      <c r="I317" s="4">
        <f t="shared" si="311"/>
        <v>19</v>
      </c>
      <c r="J317" s="30">
        <f t="shared" si="267"/>
        <v>47484</v>
      </c>
      <c r="K317" s="62">
        <f>+IF(OR(H317&gt;60,$C$21="nein"),IF($C$19="monatlich",$C$20,IF($C$19="quartalsweise",OR(MONTH(J317)={1,4,7,10})*$C$20,IF($C$19="jährlich",(MONTH(J317)=7)*$C$20))),IF($C$19="monatlich",$C$22,IF($C$19="quartalsweise",OR(MONTH(J317)={1,4,7,10})*$C$22,IF($C$19="jährlich",(MONTH(J317)=7)*$C$22))))</f>
        <v>900</v>
      </c>
      <c r="L317" s="66">
        <f t="shared" si="321"/>
        <v>0</v>
      </c>
      <c r="M317" s="62">
        <f t="shared" si="322"/>
        <v>0</v>
      </c>
      <c r="N317" s="67">
        <f>+IF(AND($C$19="monatlich",K317&lt;$C$20),$C$20-K317,IF(AND($C$19="quartalsweise",OR(MONTH(J317)={1,4,7,10}),K317&lt;$C$20),$C$20-K317,IF(AND($C$19="jährlich",MONTH(J317)=7,K317&lt;$C$20),$C$20-K317,0)))</f>
        <v>0</v>
      </c>
      <c r="O317" s="67">
        <v>0</v>
      </c>
      <c r="P317" s="67">
        <v>0</v>
      </c>
      <c r="Q317" s="63">
        <f t="shared" si="323"/>
        <v>0</v>
      </c>
      <c r="R317" s="68">
        <f t="shared" si="287"/>
        <v>900</v>
      </c>
      <c r="S317" s="69">
        <f t="shared" si="258"/>
        <v>77907.333407202183</v>
      </c>
      <c r="T317" s="68">
        <f t="shared" si="325"/>
        <v>0</v>
      </c>
      <c r="U317" s="66">
        <f t="shared" si="326"/>
        <v>-81.933903487563683</v>
      </c>
      <c r="V317" s="68">
        <f t="shared" si="327"/>
        <v>421.17386403878817</v>
      </c>
      <c r="W317" s="66">
        <f t="shared" si="328"/>
        <v>102080.96732986039</v>
      </c>
    </row>
    <row r="318" spans="2:23" outlineLevel="1">
      <c r="G318" s="12">
        <f t="shared" si="292"/>
        <v>45.506849315068493</v>
      </c>
      <c r="H318" s="4">
        <v>224</v>
      </c>
      <c r="I318" s="4">
        <f t="shared" si="311"/>
        <v>19</v>
      </c>
      <c r="J318" s="30">
        <f t="shared" si="267"/>
        <v>47515</v>
      </c>
      <c r="K318" s="62">
        <f>+IF(OR(H318&gt;60,$C$21="nein"),IF($C$19="monatlich",$C$20,IF($C$19="quartalsweise",OR(MONTH(J318)={1,4,7,10})*$C$20,IF($C$19="jährlich",(MONTH(J318)=7)*$C$20))),IF($C$19="monatlich",$C$22,IF($C$19="quartalsweise",OR(MONTH(J318)={1,4,7,10})*$C$22,IF($C$19="jährlich",(MONTH(J318)=7)*$C$22))))</f>
        <v>0</v>
      </c>
      <c r="L318" s="66">
        <f t="shared" si="321"/>
        <v>0</v>
      </c>
      <c r="M318" s="62">
        <f t="shared" si="322"/>
        <v>0</v>
      </c>
      <c r="N318" s="67">
        <f>+IF(AND($C$19="monatlich",K318&lt;$C$20),$C$20-K318,IF(AND($C$19="quartalsweise",OR(MONTH(J318)={1,4,7,10}),K318&lt;$C$20),$C$20-K318,IF(AND($C$19="jährlich",MONTH(J318)=7,K318&lt;$C$20),$C$20-K318,0)))</f>
        <v>0</v>
      </c>
      <c r="O318" s="67">
        <v>0</v>
      </c>
      <c r="P318" s="67">
        <v>0</v>
      </c>
      <c r="Q318" s="63">
        <f t="shared" si="323"/>
        <v>0</v>
      </c>
      <c r="R318" s="68">
        <f t="shared" si="287"/>
        <v>0</v>
      </c>
      <c r="S318" s="69">
        <f t="shared" si="258"/>
        <v>77907.333407202183</v>
      </c>
      <c r="T318" s="68">
        <f t="shared" si="325"/>
        <v>0</v>
      </c>
      <c r="U318" s="66">
        <f t="shared" si="326"/>
        <v>-82.940785955511558</v>
      </c>
      <c r="V318" s="68">
        <f t="shared" si="327"/>
        <v>426.33736387441826</v>
      </c>
      <c r="W318" s="66">
        <f t="shared" si="328"/>
        <v>102424.36390777931</v>
      </c>
    </row>
    <row r="319" spans="2:23" outlineLevel="1">
      <c r="G319" s="12">
        <f t="shared" si="292"/>
        <v>45.583561643835615</v>
      </c>
      <c r="H319" s="4">
        <v>225</v>
      </c>
      <c r="I319" s="4">
        <f t="shared" si="311"/>
        <v>19</v>
      </c>
      <c r="J319" s="30">
        <f t="shared" si="267"/>
        <v>47543</v>
      </c>
      <c r="K319" s="62">
        <f>+IF(OR(H319&gt;60,$C$21="nein"),IF($C$19="monatlich",$C$20,IF($C$19="quartalsweise",OR(MONTH(J319)={1,4,7,10})*$C$20,IF($C$19="jährlich",(MONTH(J319)=7)*$C$20))),IF($C$19="monatlich",$C$22,IF($C$19="quartalsweise",OR(MONTH(J319)={1,4,7,10})*$C$22,IF($C$19="jährlich",(MONTH(J319)=7)*$C$22))))</f>
        <v>0</v>
      </c>
      <c r="L319" s="66">
        <f t="shared" si="321"/>
        <v>0</v>
      </c>
      <c r="M319" s="62">
        <f t="shared" si="322"/>
        <v>0</v>
      </c>
      <c r="N319" s="67">
        <f>+IF(AND($C$19="monatlich",K319&lt;$C$20),$C$20-K319,IF(AND($C$19="quartalsweise",OR(MONTH(J319)={1,4,7,10}),K319&lt;$C$20),$C$20-K319,IF(AND($C$19="jährlich",MONTH(J319)=7,K319&lt;$C$20),$C$20-K319,0)))-$C$67/100*SUM(Q301:Q309,Q311:Q313)-$C$66/100*SUM(L301:L309,L311:L313)</f>
        <v>8.1052631578947505</v>
      </c>
      <c r="O319" s="67">
        <v>0</v>
      </c>
      <c r="P319" s="67">
        <v>0</v>
      </c>
      <c r="Q319" s="63">
        <f t="shared" si="323"/>
        <v>-0.40526315789473755</v>
      </c>
      <c r="R319" s="68">
        <f t="shared" si="287"/>
        <v>8.1052631578947505</v>
      </c>
      <c r="S319" s="69">
        <f t="shared" si="258"/>
        <v>77915.438670360076</v>
      </c>
      <c r="T319" s="68">
        <f t="shared" si="325"/>
        <v>0</v>
      </c>
      <c r="U319" s="66">
        <f t="shared" si="326"/>
        <v>-83.219795675070685</v>
      </c>
      <c r="V319" s="68">
        <f t="shared" si="327"/>
        <v>427.76818294908043</v>
      </c>
      <c r="W319" s="66">
        <f t="shared" si="328"/>
        <v>102776.6122950533</v>
      </c>
    </row>
    <row r="320" spans="2:23" outlineLevel="1">
      <c r="G320" s="12">
        <f t="shared" si="292"/>
        <v>45.668493150684931</v>
      </c>
      <c r="H320" s="4">
        <v>226</v>
      </c>
      <c r="I320" s="4">
        <f t="shared" si="311"/>
        <v>19</v>
      </c>
      <c r="J320" s="30">
        <f t="shared" si="267"/>
        <v>47574</v>
      </c>
      <c r="K320" s="62">
        <f>+IF(OR(H320&gt;60,$C$21="nein"),IF($C$19="monatlich",$C$20,IF($C$19="quartalsweise",OR(MONTH(J320)={1,4,7,10})*$C$20,IF($C$19="jährlich",(MONTH(J320)=7)*$C$20))),IF($C$19="monatlich",$C$22,IF($C$19="quartalsweise",OR(MONTH(J320)={1,4,7,10})*$C$22,IF($C$19="jährlich",(MONTH(J320)=7)*$C$22))))</f>
        <v>900</v>
      </c>
      <c r="L320" s="66">
        <f t="shared" si="321"/>
        <v>0</v>
      </c>
      <c r="M320" s="62">
        <f t="shared" si="322"/>
        <v>154</v>
      </c>
      <c r="N320" s="67">
        <f>+IF(AND($C$19="monatlich",K320&lt;$C$20),$C$20-K320,IF(AND($C$19="quartalsweise",OR(MONTH(J320)={1,4,7,10}),K320&lt;$C$20),$C$20-K320,IF(AND($C$19="jährlich",MONTH(J320)=7,K320&lt;$C$20),$C$20-K320,0)))</f>
        <v>0</v>
      </c>
      <c r="O320" s="67">
        <v>0</v>
      </c>
      <c r="P320" s="67">
        <v>0</v>
      </c>
      <c r="Q320" s="63">
        <f t="shared" si="323"/>
        <v>-7.7</v>
      </c>
      <c r="R320" s="68">
        <f t="shared" si="287"/>
        <v>1054</v>
      </c>
      <c r="S320" s="69">
        <f t="shared" si="258"/>
        <v>78969.438670360076</v>
      </c>
      <c r="T320" s="68">
        <f t="shared" si="325"/>
        <v>0</v>
      </c>
      <c r="U320" s="66">
        <f t="shared" si="326"/>
        <v>-83.505997489730802</v>
      </c>
      <c r="V320" s="68">
        <f t="shared" si="327"/>
        <v>429.23588456272211</v>
      </c>
      <c r="W320" s="66">
        <f t="shared" si="328"/>
        <v>104168.64218212629</v>
      </c>
    </row>
    <row r="321" spans="2:23" outlineLevel="1">
      <c r="G321" s="12">
        <f t="shared" si="292"/>
        <v>45.750684931506846</v>
      </c>
      <c r="H321" s="4">
        <v>227</v>
      </c>
      <c r="I321" s="4">
        <f t="shared" si="311"/>
        <v>19</v>
      </c>
      <c r="J321" s="30">
        <f t="shared" si="267"/>
        <v>47604</v>
      </c>
      <c r="K321" s="62">
        <f>+IF(OR(H321&gt;60,$C$21="nein"),IF($C$19="monatlich",$C$20,IF($C$19="quartalsweise",OR(MONTH(J321)={1,4,7,10})*$C$20,IF($C$19="jährlich",(MONTH(J321)=7)*$C$20))),IF($C$19="monatlich",$C$22,IF($C$19="quartalsweise",OR(MONTH(J321)={1,4,7,10})*$C$22,IF($C$19="jährlich",(MONTH(J321)=7)*$C$22))))</f>
        <v>0</v>
      </c>
      <c r="L321" s="66">
        <f t="shared" si="321"/>
        <v>0</v>
      </c>
      <c r="M321" s="62">
        <f t="shared" si="322"/>
        <v>0</v>
      </c>
      <c r="N321" s="67">
        <f>+IF(AND($C$19="monatlich",K321&lt;$C$20),$C$20-K321,IF(AND($C$19="quartalsweise",OR(MONTH(J321)={1,4,7,10}),K321&lt;$C$20),$C$20-K321,IF(AND($C$19="jährlich",MONTH(J321)=7,K321&lt;$C$20),$C$20-K321,0)))</f>
        <v>0</v>
      </c>
      <c r="O321" s="67">
        <v>0</v>
      </c>
      <c r="P321" s="67">
        <v>0</v>
      </c>
      <c r="Q321" s="63">
        <f t="shared" si="323"/>
        <v>0</v>
      </c>
      <c r="R321" s="68">
        <f t="shared" si="287"/>
        <v>0</v>
      </c>
      <c r="S321" s="69">
        <f t="shared" si="258"/>
        <v>78969.438670360076</v>
      </c>
      <c r="T321" s="68">
        <f t="shared" si="325"/>
        <v>0</v>
      </c>
      <c r="U321" s="66">
        <f t="shared" si="326"/>
        <v>-84.637021772977604</v>
      </c>
      <c r="V321" s="68">
        <f t="shared" si="327"/>
        <v>435.0360090921929</v>
      </c>
      <c r="W321" s="66">
        <f t="shared" si="328"/>
        <v>104519.04116944551</v>
      </c>
    </row>
    <row r="322" spans="2:23" outlineLevel="1">
      <c r="G322" s="13">
        <f t="shared" si="292"/>
        <v>45.835616438356162</v>
      </c>
      <c r="H322" s="6">
        <v>228</v>
      </c>
      <c r="I322" s="6">
        <f t="shared" si="311"/>
        <v>19</v>
      </c>
      <c r="J322" s="31">
        <f t="shared" si="267"/>
        <v>47635</v>
      </c>
      <c r="K322" s="62">
        <f>+IF(OR(H322&gt;60,$C$21="nein"),IF($C$19="monatlich",$C$20,IF($C$19="quartalsweise",OR(MONTH(J322)={1,4,7,10})*$C$20,IF($C$19="jährlich",(MONTH(J322)=7)*$C$20))),IF($C$19="monatlich",$C$22,IF($C$19="quartalsweise",OR(MONTH(J322)={1,4,7,10})*$C$22,IF($C$19="jährlich",(MONTH(J322)=7)*$C$22))))</f>
        <v>0</v>
      </c>
      <c r="L322" s="70">
        <f t="shared" si="321"/>
        <v>0</v>
      </c>
      <c r="M322" s="62">
        <f t="shared" si="322"/>
        <v>0</v>
      </c>
      <c r="N322" s="71">
        <f>+IF(AND($C$19="monatlich",K322&lt;$C$20),$C$20-K322,IF(AND($C$19="quartalsweise",OR(MONTH(J322)={1,4,7,10}),K322&lt;$C$20),$C$20-K322,IF(AND($C$19="jährlich",MONTH(J322)=7,K322&lt;$C$20),$C$20-K322,0)))</f>
        <v>0</v>
      </c>
      <c r="O322" s="71">
        <v>0</v>
      </c>
      <c r="P322" s="71">
        <v>0</v>
      </c>
      <c r="Q322" s="63">
        <f t="shared" si="323"/>
        <v>0</v>
      </c>
      <c r="R322" s="72">
        <f t="shared" si="287"/>
        <v>0</v>
      </c>
      <c r="S322" s="73">
        <f t="shared" si="258"/>
        <v>78969.438670360076</v>
      </c>
      <c r="T322" s="72">
        <f t="shared" si="325"/>
        <v>0</v>
      </c>
      <c r="U322" s="70">
        <f t="shared" si="326"/>
        <v>-84.921720950174475</v>
      </c>
      <c r="V322" s="72">
        <f t="shared" si="327"/>
        <v>436.49600487268964</v>
      </c>
      <c r="W322" s="70">
        <f t="shared" si="328"/>
        <v>104870.61545336802</v>
      </c>
    </row>
    <row r="323" spans="2:23" s="5" customFormat="1" ht="15">
      <c r="B323" s="17"/>
      <c r="G323" s="115">
        <f t="shared" si="292"/>
        <v>45.835616438356162</v>
      </c>
      <c r="H323" s="116" t="str">
        <f>H311&amp;" - "&amp;H322</f>
        <v>217 - 228</v>
      </c>
      <c r="I323" s="117">
        <f t="shared" si="311"/>
        <v>19</v>
      </c>
      <c r="J323" s="118">
        <f t="shared" ref="J323" si="329">+J322</f>
        <v>47635</v>
      </c>
      <c r="K323" s="119">
        <f t="shared" ref="K323:L323" si="330">SUM(K311:K322)</f>
        <v>3600</v>
      </c>
      <c r="L323" s="120">
        <f t="shared" si="330"/>
        <v>0</v>
      </c>
      <c r="M323" s="119">
        <f t="shared" ref="M323" si="331">SUM(M311:M322)</f>
        <v>154</v>
      </c>
      <c r="N323" s="121">
        <f t="shared" si="315"/>
        <v>8.1052631578947505</v>
      </c>
      <c r="O323" s="121">
        <f t="shared" ref="O323" si="332">SUM(O311:O322)</f>
        <v>0</v>
      </c>
      <c r="P323" s="121">
        <f t="shared" ref="P323" si="333">SUM(P311:P322)</f>
        <v>0</v>
      </c>
      <c r="Q323" s="120">
        <f t="shared" si="317"/>
        <v>-8.1052631578947381</v>
      </c>
      <c r="R323" s="119">
        <f t="shared" ref="R323" si="334">SUM(R311:R322)</f>
        <v>3762.1052631578946</v>
      </c>
      <c r="S323" s="122">
        <f t="shared" si="258"/>
        <v>78969.438670360076</v>
      </c>
      <c r="T323" s="119">
        <f t="shared" ref="T323:V323" si="335">SUM(T311:T322)</f>
        <v>-15.4</v>
      </c>
      <c r="U323" s="120">
        <f t="shared" si="335"/>
        <v>-983.47050905237745</v>
      </c>
      <c r="V323" s="119">
        <f t="shared" si="335"/>
        <v>5055.4385079609101</v>
      </c>
      <c r="W323" s="123">
        <f t="shared" ref="W323" si="336">+W322</f>
        <v>104870.61545336802</v>
      </c>
    </row>
    <row r="324" spans="2:23" outlineLevel="1">
      <c r="G324" s="11">
        <f t="shared" si="292"/>
        <v>45.917808219178085</v>
      </c>
      <c r="H324" s="2">
        <v>229</v>
      </c>
      <c r="I324" s="2">
        <f t="shared" si="311"/>
        <v>20</v>
      </c>
      <c r="J324" s="29">
        <f t="shared" si="267"/>
        <v>47665</v>
      </c>
      <c r="K324" s="62">
        <f>+IF(OR(H324&gt;60,$C$21="nein"),IF($C$19="monatlich",$C$20,IF($C$19="quartalsweise",OR(MONTH(J324)={1,4,7,10})*$C$20,IF($C$19="jährlich",(MONTH(J324)=7)*$C$20))),IF($C$19="monatlich",$C$22,IF($C$19="quartalsweise",OR(MONTH(J324)={1,4,7,10})*$C$22,IF($C$19="jährlich",(MONTH(J324)=7)*$C$22))))</f>
        <v>900</v>
      </c>
      <c r="L324" s="63">
        <f t="shared" ref="L324:L335" si="337">-IF(H324&gt;60,0,IF($C$19="monatlich",$C$52,IF(AND($C$19="quartalsweise",K324&gt;0),$C$52,IF(AND($C$19="jährlich",K324&gt;0),$C$51,0))))</f>
        <v>0</v>
      </c>
      <c r="M324" s="62">
        <f t="shared" ref="M324:M335" si="338">+IF(MONTH(J324)=4,$C$25,0)</f>
        <v>0</v>
      </c>
      <c r="N324" s="64">
        <f>+IF(AND($C$19="monatlich",K324&lt;$C$20),$C$20-K324,IF(AND($C$19="quartalsweise",OR(MONTH(J324)={1,4,7,10}),K324&lt;$C$20),$C$20-K324,IF(AND($C$19="jährlich",MONTH(J324)=7,K324&lt;$C$20),$C$20-K324,0)))</f>
        <v>0</v>
      </c>
      <c r="O324" s="64">
        <v>0</v>
      </c>
      <c r="P324" s="64">
        <v>0</v>
      </c>
      <c r="Q324" s="63">
        <f t="shared" ref="Q324:Q335" si="339">-SUM(M324:P324)*$C$47/100</f>
        <v>0</v>
      </c>
      <c r="R324" s="62">
        <f t="shared" ref="R324" si="340">+SUM(K324,M324:P324)</f>
        <v>900</v>
      </c>
      <c r="S324" s="65">
        <f t="shared" si="258"/>
        <v>79869.438670360076</v>
      </c>
      <c r="T324" s="62">
        <f t="shared" ref="T324:T335" si="341">-IF(MONTH(J324)=12,$C$55,0)</f>
        <v>0</v>
      </c>
      <c r="U324" s="63">
        <f t="shared" ref="U324:U335" si="342">-W323*($D$43/100/12)</f>
        <v>-85.207375055861519</v>
      </c>
      <c r="V324" s="62">
        <f t="shared" ref="V324:V335" si="343">+(1+(IF($C$71="pauschal",$C$72/100/12,VLOOKUP(I323,$J$5:$L$44,3,FALSE)/100/12)*W323))</f>
        <v>437.96089772236678</v>
      </c>
      <c r="W324" s="63">
        <f t="shared" ref="W324:W335" si="344">+SUM(W323,R324,L324,Q324,T324:V324)</f>
        <v>106123.36897603453</v>
      </c>
    </row>
    <row r="325" spans="2:23" outlineLevel="1">
      <c r="G325" s="12">
        <f t="shared" si="292"/>
        <v>46.0027397260274</v>
      </c>
      <c r="H325" s="4">
        <v>230</v>
      </c>
      <c r="I325" s="4">
        <f t="shared" si="311"/>
        <v>20</v>
      </c>
      <c r="J325" s="30">
        <f t="shared" si="267"/>
        <v>47696</v>
      </c>
      <c r="K325" s="62">
        <f>+IF(OR(H325&gt;60,$C$21="nein"),IF($C$19="monatlich",$C$20,IF($C$19="quartalsweise",OR(MONTH(J325)={1,4,7,10})*$C$20,IF($C$19="jährlich",(MONTH(J325)=7)*$C$20))),IF($C$19="monatlich",$C$22,IF($C$19="quartalsweise",OR(MONTH(J325)={1,4,7,10})*$C$22,IF($C$19="jährlich",(MONTH(J325)=7)*$C$22))))</f>
        <v>0</v>
      </c>
      <c r="L325" s="66">
        <f t="shared" si="337"/>
        <v>0</v>
      </c>
      <c r="M325" s="62">
        <f t="shared" si="338"/>
        <v>0</v>
      </c>
      <c r="N325" s="67">
        <f>+IF(AND($C$19="monatlich",K325&lt;$C$20),$C$20-K325,IF(AND($C$19="quartalsweise",OR(MONTH(J325)={1,4,7,10}),K325&lt;$C$20),$C$20-K325,IF(AND($C$19="jährlich",MONTH(J325)=7,K325&lt;$C$20),$C$20-K325,0)))</f>
        <v>0</v>
      </c>
      <c r="O325" s="67">
        <v>0</v>
      </c>
      <c r="P325" s="67">
        <v>0</v>
      </c>
      <c r="Q325" s="63">
        <f t="shared" si="339"/>
        <v>0</v>
      </c>
      <c r="R325" s="68">
        <f t="shared" si="287"/>
        <v>0</v>
      </c>
      <c r="S325" s="69">
        <f t="shared" si="258"/>
        <v>79869.438670360076</v>
      </c>
      <c r="T325" s="68">
        <f t="shared" si="341"/>
        <v>0</v>
      </c>
      <c r="U325" s="66">
        <f t="shared" si="342"/>
        <v>-86.225237293028044</v>
      </c>
      <c r="V325" s="68">
        <f t="shared" si="343"/>
        <v>443.18070406681051</v>
      </c>
      <c r="W325" s="66">
        <f t="shared" si="344"/>
        <v>106480.32444280831</v>
      </c>
    </row>
    <row r="326" spans="2:23" outlineLevel="1">
      <c r="G326" s="12">
        <f t="shared" si="292"/>
        <v>46.087671232876716</v>
      </c>
      <c r="H326" s="4">
        <v>231</v>
      </c>
      <c r="I326" s="4">
        <f t="shared" si="311"/>
        <v>20</v>
      </c>
      <c r="J326" s="30">
        <f t="shared" si="267"/>
        <v>47727</v>
      </c>
      <c r="K326" s="62">
        <f>+IF(OR(H326&gt;60,$C$21="nein"),IF($C$19="monatlich",$C$20,IF($C$19="quartalsweise",OR(MONTH(J326)={1,4,7,10})*$C$20,IF($C$19="jährlich",(MONTH(J326)=7)*$C$20))),IF($C$19="monatlich",$C$22,IF($C$19="quartalsweise",OR(MONTH(J326)={1,4,7,10})*$C$22,IF($C$19="jährlich",(MONTH(J326)=7)*$C$22))))</f>
        <v>0</v>
      </c>
      <c r="L326" s="66">
        <f t="shared" si="337"/>
        <v>0</v>
      </c>
      <c r="M326" s="62">
        <f t="shared" si="338"/>
        <v>0</v>
      </c>
      <c r="N326" s="67">
        <f>+IF(AND($C$19="monatlich",K326&lt;$C$20),$C$20-K326,IF(AND($C$19="quartalsweise",OR(MONTH(J326)={1,4,7,10}),K326&lt;$C$20),$C$20-K326,IF(AND($C$19="jährlich",MONTH(J326)=7,K326&lt;$C$20),$C$20-K326,0)))</f>
        <v>0</v>
      </c>
      <c r="O326" s="67">
        <v>0</v>
      </c>
      <c r="P326" s="67">
        <v>0</v>
      </c>
      <c r="Q326" s="63">
        <f t="shared" si="339"/>
        <v>0</v>
      </c>
      <c r="R326" s="68">
        <f t="shared" si="287"/>
        <v>0</v>
      </c>
      <c r="S326" s="69">
        <f t="shared" si="258"/>
        <v>79869.438670360076</v>
      </c>
      <c r="T326" s="68">
        <f t="shared" si="341"/>
        <v>0</v>
      </c>
      <c r="U326" s="66">
        <f t="shared" si="342"/>
        <v>-86.515263609781755</v>
      </c>
      <c r="V326" s="68">
        <f t="shared" si="343"/>
        <v>444.66801851170129</v>
      </c>
      <c r="W326" s="66">
        <f t="shared" si="344"/>
        <v>106838.47719771024</v>
      </c>
    </row>
    <row r="327" spans="2:23" outlineLevel="1">
      <c r="G327" s="12">
        <f t="shared" si="292"/>
        <v>46.169863013698631</v>
      </c>
      <c r="H327" s="4">
        <v>232</v>
      </c>
      <c r="I327" s="4">
        <f t="shared" si="311"/>
        <v>20</v>
      </c>
      <c r="J327" s="30">
        <f t="shared" si="267"/>
        <v>47757</v>
      </c>
      <c r="K327" s="62">
        <f>+IF(OR(H327&gt;60,$C$21="nein"),IF($C$19="monatlich",$C$20,IF($C$19="quartalsweise",OR(MONTH(J327)={1,4,7,10})*$C$20,IF($C$19="jährlich",(MONTH(J327)=7)*$C$20))),IF($C$19="monatlich",$C$22,IF($C$19="quartalsweise",OR(MONTH(J327)={1,4,7,10})*$C$22,IF($C$19="jährlich",(MONTH(J327)=7)*$C$22))))</f>
        <v>900</v>
      </c>
      <c r="L327" s="66">
        <f t="shared" si="337"/>
        <v>0</v>
      </c>
      <c r="M327" s="62">
        <f t="shared" si="338"/>
        <v>0</v>
      </c>
      <c r="N327" s="67">
        <f>+IF(AND($C$19="monatlich",K327&lt;$C$20),$C$20-K327,IF(AND($C$19="quartalsweise",OR(MONTH(J327)={1,4,7,10}),K327&lt;$C$20),$C$20-K327,IF(AND($C$19="jährlich",MONTH(J327)=7,K327&lt;$C$20),$C$20-K327,0)))</f>
        <v>0</v>
      </c>
      <c r="O327" s="67">
        <v>0</v>
      </c>
      <c r="P327" s="67">
        <v>0</v>
      </c>
      <c r="Q327" s="63">
        <f t="shared" si="339"/>
        <v>0</v>
      </c>
      <c r="R327" s="68">
        <f t="shared" si="287"/>
        <v>900</v>
      </c>
      <c r="S327" s="69">
        <f t="shared" si="258"/>
        <v>80769.438670360076</v>
      </c>
      <c r="T327" s="68">
        <f t="shared" si="341"/>
        <v>0</v>
      </c>
      <c r="U327" s="66">
        <f t="shared" si="342"/>
        <v>-86.806262723139568</v>
      </c>
      <c r="V327" s="68">
        <f t="shared" si="343"/>
        <v>446.16032165712596</v>
      </c>
      <c r="W327" s="66">
        <f t="shared" si="344"/>
        <v>108097.83125664422</v>
      </c>
    </row>
    <row r="328" spans="2:23" outlineLevel="1">
      <c r="G328" s="12">
        <f t="shared" si="292"/>
        <v>46.254794520547946</v>
      </c>
      <c r="H328" s="4">
        <v>233</v>
      </c>
      <c r="I328" s="4">
        <f t="shared" si="311"/>
        <v>20</v>
      </c>
      <c r="J328" s="30">
        <f t="shared" si="267"/>
        <v>47788</v>
      </c>
      <c r="K328" s="62">
        <f>+IF(OR(H328&gt;60,$C$21="nein"),IF($C$19="monatlich",$C$20,IF($C$19="quartalsweise",OR(MONTH(J328)={1,4,7,10})*$C$20,IF($C$19="jährlich",(MONTH(J328)=7)*$C$20))),IF($C$19="monatlich",$C$22,IF($C$19="quartalsweise",OR(MONTH(J328)={1,4,7,10})*$C$22,IF($C$19="jährlich",(MONTH(J328)=7)*$C$22))))</f>
        <v>0</v>
      </c>
      <c r="L328" s="66">
        <f t="shared" si="337"/>
        <v>0</v>
      </c>
      <c r="M328" s="62">
        <f t="shared" si="338"/>
        <v>0</v>
      </c>
      <c r="N328" s="67">
        <f>+IF(AND($C$19="monatlich",K328&lt;$C$20),$C$20-K328,IF(AND($C$19="quartalsweise",OR(MONTH(J328)={1,4,7,10}),K328&lt;$C$20),$C$20-K328,IF(AND($C$19="jährlich",MONTH(J328)=7,K328&lt;$C$20),$C$20-K328,0)))</f>
        <v>0</v>
      </c>
      <c r="O328" s="67">
        <v>0</v>
      </c>
      <c r="P328" s="67">
        <v>0</v>
      </c>
      <c r="Q328" s="63">
        <f t="shared" si="339"/>
        <v>0</v>
      </c>
      <c r="R328" s="68">
        <f t="shared" si="287"/>
        <v>0</v>
      </c>
      <c r="S328" s="69">
        <f t="shared" si="258"/>
        <v>80769.438670360076</v>
      </c>
      <c r="T328" s="68">
        <f t="shared" si="341"/>
        <v>0</v>
      </c>
      <c r="U328" s="66">
        <f t="shared" si="342"/>
        <v>-87.829487896023423</v>
      </c>
      <c r="V328" s="68">
        <f t="shared" si="343"/>
        <v>451.40763023601755</v>
      </c>
      <c r="W328" s="66">
        <f t="shared" si="344"/>
        <v>108461.40939898421</v>
      </c>
    </row>
    <row r="329" spans="2:23" outlineLevel="1">
      <c r="G329" s="12">
        <f t="shared" si="292"/>
        <v>46.336986301369862</v>
      </c>
      <c r="H329" s="4">
        <v>234</v>
      </c>
      <c r="I329" s="4">
        <f t="shared" si="311"/>
        <v>20</v>
      </c>
      <c r="J329" s="30">
        <f t="shared" si="267"/>
        <v>47818</v>
      </c>
      <c r="K329" s="62">
        <f>+IF(OR(H329&gt;60,$C$21="nein"),IF($C$19="monatlich",$C$20,IF($C$19="quartalsweise",OR(MONTH(J329)={1,4,7,10})*$C$20,IF($C$19="jährlich",(MONTH(J329)=7)*$C$20))),IF($C$19="monatlich",$C$22,IF($C$19="quartalsweise",OR(MONTH(J329)={1,4,7,10})*$C$22,IF($C$19="jährlich",(MONTH(J329)=7)*$C$22))))</f>
        <v>0</v>
      </c>
      <c r="L329" s="66">
        <f t="shared" si="337"/>
        <v>0</v>
      </c>
      <c r="M329" s="62">
        <f t="shared" si="338"/>
        <v>0</v>
      </c>
      <c r="N329" s="67">
        <f>+IF(AND($C$19="monatlich",K329&lt;$C$20),$C$20-K329,IF(AND($C$19="quartalsweise",OR(MONTH(J329)={1,4,7,10}),K329&lt;$C$20),$C$20-K329,IF(AND($C$19="jährlich",MONTH(J329)=7,K329&lt;$C$20),$C$20-K329,0)))</f>
        <v>0</v>
      </c>
      <c r="O329" s="67">
        <v>0</v>
      </c>
      <c r="P329" s="67">
        <v>0</v>
      </c>
      <c r="Q329" s="63">
        <f t="shared" si="339"/>
        <v>0</v>
      </c>
      <c r="R329" s="68">
        <f t="shared" si="287"/>
        <v>0</v>
      </c>
      <c r="S329" s="69">
        <f t="shared" si="258"/>
        <v>80769.438670360076</v>
      </c>
      <c r="T329" s="68">
        <f t="shared" si="341"/>
        <v>-15.4</v>
      </c>
      <c r="U329" s="66">
        <f t="shared" si="342"/>
        <v>-88.124895136674667</v>
      </c>
      <c r="V329" s="68">
        <f t="shared" si="343"/>
        <v>452.92253916243419</v>
      </c>
      <c r="W329" s="66">
        <f t="shared" si="344"/>
        <v>108810.80704300998</v>
      </c>
    </row>
    <row r="330" spans="2:23" outlineLevel="1">
      <c r="G330" s="12">
        <f t="shared" si="292"/>
        <v>46.421917808219177</v>
      </c>
      <c r="H330" s="4">
        <v>235</v>
      </c>
      <c r="I330" s="4">
        <f t="shared" si="311"/>
        <v>20</v>
      </c>
      <c r="J330" s="30">
        <f t="shared" si="267"/>
        <v>47849</v>
      </c>
      <c r="K330" s="62">
        <f>+IF(OR(H330&gt;60,$C$21="nein"),IF($C$19="monatlich",$C$20,IF($C$19="quartalsweise",OR(MONTH(J330)={1,4,7,10})*$C$20,IF($C$19="jährlich",(MONTH(J330)=7)*$C$20))),IF($C$19="monatlich",$C$22,IF($C$19="quartalsweise",OR(MONTH(J330)={1,4,7,10})*$C$22,IF($C$19="jährlich",(MONTH(J330)=7)*$C$22))))</f>
        <v>900</v>
      </c>
      <c r="L330" s="66">
        <f t="shared" si="337"/>
        <v>0</v>
      </c>
      <c r="M330" s="62">
        <f t="shared" si="338"/>
        <v>0</v>
      </c>
      <c r="N330" s="67">
        <f>+IF(AND($C$19="monatlich",K330&lt;$C$20),$C$20-K330,IF(AND($C$19="quartalsweise",OR(MONTH(J330)={1,4,7,10}),K330&lt;$C$20),$C$20-K330,IF(AND($C$19="jährlich",MONTH(J330)=7,K330&lt;$C$20),$C$20-K330,0)))</f>
        <v>0</v>
      </c>
      <c r="O330" s="67">
        <v>0</v>
      </c>
      <c r="P330" s="67">
        <v>0</v>
      </c>
      <c r="Q330" s="63">
        <f t="shared" si="339"/>
        <v>0</v>
      </c>
      <c r="R330" s="68">
        <f t="shared" si="287"/>
        <v>900</v>
      </c>
      <c r="S330" s="69">
        <f t="shared" si="258"/>
        <v>81669.438670360076</v>
      </c>
      <c r="T330" s="68">
        <f t="shared" si="341"/>
        <v>0</v>
      </c>
      <c r="U330" s="66">
        <f t="shared" si="342"/>
        <v>-88.408780722445599</v>
      </c>
      <c r="V330" s="68">
        <f t="shared" si="343"/>
        <v>454.37836267920824</v>
      </c>
      <c r="W330" s="66">
        <f t="shared" si="344"/>
        <v>110076.77662496675</v>
      </c>
    </row>
    <row r="331" spans="2:23" outlineLevel="1">
      <c r="G331" s="12">
        <f t="shared" si="292"/>
        <v>46.506849315068493</v>
      </c>
      <c r="H331" s="4">
        <v>236</v>
      </c>
      <c r="I331" s="4">
        <f t="shared" si="311"/>
        <v>20</v>
      </c>
      <c r="J331" s="30">
        <f t="shared" si="267"/>
        <v>47880</v>
      </c>
      <c r="K331" s="62">
        <f>+IF(OR(H331&gt;60,$C$21="nein"),IF($C$19="monatlich",$C$20,IF($C$19="quartalsweise",OR(MONTH(J331)={1,4,7,10})*$C$20,IF($C$19="jährlich",(MONTH(J331)=7)*$C$20))),IF($C$19="monatlich",$C$22,IF($C$19="quartalsweise",OR(MONTH(J331)={1,4,7,10})*$C$22,IF($C$19="jährlich",(MONTH(J331)=7)*$C$22))))</f>
        <v>0</v>
      </c>
      <c r="L331" s="66">
        <f t="shared" si="337"/>
        <v>0</v>
      </c>
      <c r="M331" s="62">
        <f t="shared" si="338"/>
        <v>0</v>
      </c>
      <c r="N331" s="67">
        <f>+IF(AND($C$19="monatlich",K331&lt;$C$20),$C$20-K331,IF(AND($C$19="quartalsweise",OR(MONTH(J331)={1,4,7,10}),K331&lt;$C$20),$C$20-K331,IF(AND($C$19="jährlich",MONTH(J331)=7,K331&lt;$C$20),$C$20-K331,0)))</f>
        <v>0</v>
      </c>
      <c r="O331" s="67">
        <v>0</v>
      </c>
      <c r="P331" s="67">
        <v>0</v>
      </c>
      <c r="Q331" s="63">
        <f t="shared" si="339"/>
        <v>0</v>
      </c>
      <c r="R331" s="68">
        <f t="shared" si="287"/>
        <v>0</v>
      </c>
      <c r="S331" s="69">
        <f t="shared" si="258"/>
        <v>81669.438670360076</v>
      </c>
      <c r="T331" s="68">
        <f t="shared" si="341"/>
        <v>0</v>
      </c>
      <c r="U331" s="66">
        <f t="shared" si="342"/>
        <v>-89.437381007785476</v>
      </c>
      <c r="V331" s="68">
        <f t="shared" si="343"/>
        <v>459.65323593736144</v>
      </c>
      <c r="W331" s="66">
        <f t="shared" si="344"/>
        <v>110446.99247989633</v>
      </c>
    </row>
    <row r="332" spans="2:23" outlineLevel="1">
      <c r="G332" s="12">
        <f t="shared" si="292"/>
        <v>46.583561643835615</v>
      </c>
      <c r="H332" s="4">
        <v>237</v>
      </c>
      <c r="I332" s="4">
        <f t="shared" si="311"/>
        <v>20</v>
      </c>
      <c r="J332" s="30">
        <f t="shared" si="267"/>
        <v>47908</v>
      </c>
      <c r="K332" s="62">
        <f>+IF(OR(H332&gt;60,$C$21="nein"),IF($C$19="monatlich",$C$20,IF($C$19="quartalsweise",OR(MONTH(J332)={1,4,7,10})*$C$20,IF($C$19="jährlich",(MONTH(J332)=7)*$C$20))),IF($C$19="monatlich",$C$22,IF($C$19="quartalsweise",OR(MONTH(J332)={1,4,7,10})*$C$22,IF($C$19="jährlich",(MONTH(J332)=7)*$C$22))))</f>
        <v>0</v>
      </c>
      <c r="L332" s="66">
        <f t="shared" si="337"/>
        <v>0</v>
      </c>
      <c r="M332" s="62">
        <f t="shared" si="338"/>
        <v>0</v>
      </c>
      <c r="N332" s="67">
        <f>+IF(AND($C$19="monatlich",K332&lt;$C$20),$C$20-K332,IF(AND($C$19="quartalsweise",OR(MONTH(J332)={1,4,7,10}),K332&lt;$C$20),$C$20-K332,IF(AND($C$19="jährlich",MONTH(J332)=7,K332&lt;$C$20),$C$20-K332,0)))-$C$67/100*SUM(Q314:Q322,Q324:Q326)-$C$66/100*SUM(L314:L322,L324:L326)</f>
        <v>8.1052631578947381</v>
      </c>
      <c r="O332" s="67">
        <v>0</v>
      </c>
      <c r="P332" s="67">
        <v>0</v>
      </c>
      <c r="Q332" s="63">
        <f t="shared" si="339"/>
        <v>-0.40526315789473694</v>
      </c>
      <c r="R332" s="68">
        <f t="shared" si="287"/>
        <v>8.1052631578947381</v>
      </c>
      <c r="S332" s="69">
        <f t="shared" si="258"/>
        <v>81677.543933517969</v>
      </c>
      <c r="T332" s="68">
        <f t="shared" si="341"/>
        <v>0</v>
      </c>
      <c r="U332" s="66">
        <f t="shared" si="342"/>
        <v>-89.738181389915766</v>
      </c>
      <c r="V332" s="68">
        <f t="shared" si="343"/>
        <v>461.19580199956806</v>
      </c>
      <c r="W332" s="66">
        <f t="shared" si="344"/>
        <v>110826.15010050598</v>
      </c>
    </row>
    <row r="333" spans="2:23" outlineLevel="1">
      <c r="G333" s="12">
        <f t="shared" si="292"/>
        <v>46.668493150684931</v>
      </c>
      <c r="H333" s="4">
        <v>238</v>
      </c>
      <c r="I333" s="4">
        <f t="shared" si="311"/>
        <v>20</v>
      </c>
      <c r="J333" s="30">
        <f t="shared" si="267"/>
        <v>47939</v>
      </c>
      <c r="K333" s="62">
        <f>+IF(OR(H333&gt;60,$C$21="nein"),IF($C$19="monatlich",$C$20,IF($C$19="quartalsweise",OR(MONTH(J333)={1,4,7,10})*$C$20,IF($C$19="jährlich",(MONTH(J333)=7)*$C$20))),IF($C$19="monatlich",$C$22,IF($C$19="quartalsweise",OR(MONTH(J333)={1,4,7,10})*$C$22,IF($C$19="jährlich",(MONTH(J333)=7)*$C$22))))</f>
        <v>900</v>
      </c>
      <c r="L333" s="66">
        <f t="shared" si="337"/>
        <v>0</v>
      </c>
      <c r="M333" s="62">
        <f t="shared" si="338"/>
        <v>154</v>
      </c>
      <c r="N333" s="67">
        <f>+IF(AND($C$19="monatlich",K333&lt;$C$20),$C$20-K333,IF(AND($C$19="quartalsweise",OR(MONTH(J333)={1,4,7,10}),K333&lt;$C$20),$C$20-K333,IF(AND($C$19="jährlich",MONTH(J333)=7,K333&lt;$C$20),$C$20-K333,0)))</f>
        <v>0</v>
      </c>
      <c r="O333" s="67">
        <v>0</v>
      </c>
      <c r="P333" s="67">
        <v>0</v>
      </c>
      <c r="Q333" s="63">
        <f t="shared" si="339"/>
        <v>-7.7</v>
      </c>
      <c r="R333" s="68">
        <f t="shared" si="287"/>
        <v>1054</v>
      </c>
      <c r="S333" s="69">
        <f t="shared" si="258"/>
        <v>82731.543933517969</v>
      </c>
      <c r="T333" s="68">
        <f t="shared" si="341"/>
        <v>0</v>
      </c>
      <c r="U333" s="66">
        <f t="shared" si="342"/>
        <v>-90.046246956661108</v>
      </c>
      <c r="V333" s="68">
        <f t="shared" si="343"/>
        <v>462.77562541877495</v>
      </c>
      <c r="W333" s="66">
        <f t="shared" si="344"/>
        <v>112245.1794789681</v>
      </c>
    </row>
    <row r="334" spans="2:23" outlineLevel="1">
      <c r="G334" s="12">
        <f t="shared" si="292"/>
        <v>46.750684931506846</v>
      </c>
      <c r="H334" s="4">
        <v>239</v>
      </c>
      <c r="I334" s="4">
        <f t="shared" si="311"/>
        <v>20</v>
      </c>
      <c r="J334" s="30">
        <f t="shared" si="267"/>
        <v>47969</v>
      </c>
      <c r="K334" s="62">
        <f>+IF(OR(H334&gt;60,$C$21="nein"),IF($C$19="monatlich",$C$20,IF($C$19="quartalsweise",OR(MONTH(J334)={1,4,7,10})*$C$20,IF($C$19="jährlich",(MONTH(J334)=7)*$C$20))),IF($C$19="monatlich",$C$22,IF($C$19="quartalsweise",OR(MONTH(J334)={1,4,7,10})*$C$22,IF($C$19="jährlich",(MONTH(J334)=7)*$C$22))))</f>
        <v>0</v>
      </c>
      <c r="L334" s="66">
        <f t="shared" si="337"/>
        <v>0</v>
      </c>
      <c r="M334" s="62">
        <f t="shared" si="338"/>
        <v>0</v>
      </c>
      <c r="N334" s="67">
        <f>+IF(AND($C$19="monatlich",K334&lt;$C$20),$C$20-K334,IF(AND($C$19="quartalsweise",OR(MONTH(J334)={1,4,7,10}),K334&lt;$C$20),$C$20-K334,IF(AND($C$19="jährlich",MONTH(J334)=7,K334&lt;$C$20),$C$20-K334,0)))</f>
        <v>0</v>
      </c>
      <c r="O334" s="67">
        <v>0</v>
      </c>
      <c r="P334" s="67">
        <v>0</v>
      </c>
      <c r="Q334" s="63">
        <f t="shared" si="339"/>
        <v>0</v>
      </c>
      <c r="R334" s="68">
        <f t="shared" si="287"/>
        <v>0</v>
      </c>
      <c r="S334" s="69">
        <f t="shared" ref="S334:S397" si="345">+IF(EXACT(J334,J333),S333,SUM(S333,R334))</f>
        <v>82731.543933517969</v>
      </c>
      <c r="T334" s="68">
        <f t="shared" si="341"/>
        <v>0</v>
      </c>
      <c r="U334" s="66">
        <f t="shared" si="342"/>
        <v>-91.199208326661577</v>
      </c>
      <c r="V334" s="68">
        <f t="shared" si="343"/>
        <v>468.68824782903374</v>
      </c>
      <c r="W334" s="66">
        <f t="shared" si="344"/>
        <v>112622.66851847047</v>
      </c>
    </row>
    <row r="335" spans="2:23" outlineLevel="1">
      <c r="G335" s="13">
        <f t="shared" si="292"/>
        <v>46.835616438356162</v>
      </c>
      <c r="H335" s="6">
        <v>240</v>
      </c>
      <c r="I335" s="6">
        <f t="shared" si="311"/>
        <v>20</v>
      </c>
      <c r="J335" s="31">
        <f t="shared" si="267"/>
        <v>48000</v>
      </c>
      <c r="K335" s="62">
        <f>+IF(OR(H335&gt;60,$C$21="nein"),IF($C$19="monatlich",$C$20,IF($C$19="quartalsweise",OR(MONTH(J335)={1,4,7,10})*$C$20,IF($C$19="jährlich",(MONTH(J335)=7)*$C$20))),IF($C$19="monatlich",$C$22,IF($C$19="quartalsweise",OR(MONTH(J335)={1,4,7,10})*$C$22,IF($C$19="jährlich",(MONTH(J335)=7)*$C$22))))</f>
        <v>0</v>
      </c>
      <c r="L335" s="70">
        <f t="shared" si="337"/>
        <v>0</v>
      </c>
      <c r="M335" s="62">
        <f t="shared" si="338"/>
        <v>0</v>
      </c>
      <c r="N335" s="71">
        <f>+IF(AND($C$19="monatlich",K335&lt;$C$20),$C$20-K335,IF(AND($C$19="quartalsweise",OR(MONTH(J335)={1,4,7,10}),K335&lt;$C$20),$C$20-K335,IF(AND($C$19="jährlich",MONTH(J335)=7,K335&lt;$C$20),$C$20-K335,0)))</f>
        <v>0</v>
      </c>
      <c r="O335" s="71">
        <v>0</v>
      </c>
      <c r="P335" s="71">
        <v>0</v>
      </c>
      <c r="Q335" s="63">
        <f t="shared" si="339"/>
        <v>0</v>
      </c>
      <c r="R335" s="72">
        <f t="shared" si="287"/>
        <v>0</v>
      </c>
      <c r="S335" s="73">
        <f t="shared" si="345"/>
        <v>82731.543933517969</v>
      </c>
      <c r="T335" s="72">
        <f t="shared" si="341"/>
        <v>0</v>
      </c>
      <c r="U335" s="70">
        <f t="shared" si="342"/>
        <v>-91.50591817125725</v>
      </c>
      <c r="V335" s="72">
        <f t="shared" si="343"/>
        <v>470.26111882696028</v>
      </c>
      <c r="W335" s="70">
        <f t="shared" si="344"/>
        <v>113001.42371912618</v>
      </c>
    </row>
    <row r="336" spans="2:23" s="5" customFormat="1" ht="15">
      <c r="B336" s="17"/>
      <c r="G336" s="115">
        <f t="shared" si="292"/>
        <v>46.835616438356162</v>
      </c>
      <c r="H336" s="116" t="str">
        <f>H324&amp;" - "&amp;H335</f>
        <v>229 - 240</v>
      </c>
      <c r="I336" s="117">
        <f t="shared" si="311"/>
        <v>20</v>
      </c>
      <c r="J336" s="118">
        <f t="shared" ref="J336" si="346">+J335</f>
        <v>48000</v>
      </c>
      <c r="K336" s="119">
        <f t="shared" ref="K336:L336" si="347">SUM(K324:K335)</f>
        <v>3600</v>
      </c>
      <c r="L336" s="120">
        <f t="shared" si="347"/>
        <v>0</v>
      </c>
      <c r="M336" s="119">
        <f t="shared" ref="M336" si="348">SUM(M324:M335)</f>
        <v>154</v>
      </c>
      <c r="N336" s="121">
        <f t="shared" si="315"/>
        <v>8.1052631578947381</v>
      </c>
      <c r="O336" s="121">
        <f t="shared" ref="O336" si="349">SUM(O324:O335)</f>
        <v>0</v>
      </c>
      <c r="P336" s="121">
        <f t="shared" ref="P336:Q349" si="350">SUM(P324:P335)</f>
        <v>0</v>
      </c>
      <c r="Q336" s="120">
        <f t="shared" si="350"/>
        <v>-8.1052631578947363</v>
      </c>
      <c r="R336" s="119">
        <f t="shared" ref="R336" si="351">SUM(R324:R335)</f>
        <v>3762.1052631578946</v>
      </c>
      <c r="S336" s="122">
        <f t="shared" si="345"/>
        <v>82731.543933517969</v>
      </c>
      <c r="T336" s="119">
        <f t="shared" ref="T336:V336" si="352">SUM(T324:T335)</f>
        <v>-15.4</v>
      </c>
      <c r="U336" s="120">
        <f t="shared" si="352"/>
        <v>-1061.0442382892359</v>
      </c>
      <c r="V336" s="119">
        <f t="shared" si="352"/>
        <v>5453.2525040473629</v>
      </c>
      <c r="W336" s="123">
        <f t="shared" ref="W336" si="353">+W335</f>
        <v>113001.42371912618</v>
      </c>
    </row>
    <row r="337" spans="2:23" outlineLevel="1">
      <c r="G337" s="11">
        <f t="shared" si="292"/>
        <v>46.917808219178085</v>
      </c>
      <c r="H337" s="2">
        <v>241</v>
      </c>
      <c r="I337" s="2">
        <f t="shared" si="311"/>
        <v>21</v>
      </c>
      <c r="J337" s="29">
        <f t="shared" ref="J337:J400" si="354">+DATE(YEAR(J336),MONTH(J336)+1,1)</f>
        <v>48030</v>
      </c>
      <c r="K337" s="62">
        <f>+IF(OR(H337&gt;60,$C$21="nein"),IF($C$19="monatlich",$C$20,IF($C$19="quartalsweise",OR(MONTH(J337)={1,4,7,10})*$C$20,IF($C$19="jährlich",(MONTH(J337)=7)*$C$20))),IF($C$19="monatlich",$C$22,IF($C$19="quartalsweise",OR(MONTH(J337)={1,4,7,10})*$C$22,IF($C$19="jährlich",(MONTH(J337)=7)*$C$22))))</f>
        <v>900</v>
      </c>
      <c r="L337" s="63">
        <f t="shared" ref="L337:L348" si="355">-IF(H337&gt;60,0,IF($C$19="monatlich",$C$52,IF(AND($C$19="quartalsweise",K337&gt;0),$C$52,IF(AND($C$19="jährlich",K337&gt;0),$C$51,0))))</f>
        <v>0</v>
      </c>
      <c r="M337" s="62">
        <f t="shared" ref="M337:M348" si="356">+IF(MONTH(J337)=4,$C$25,0)</f>
        <v>0</v>
      </c>
      <c r="N337" s="64">
        <f>+IF(AND($C$19="monatlich",K337&lt;$C$20),$C$20-K337,IF(AND($C$19="quartalsweise",OR(MONTH(J337)={1,4,7,10}),K337&lt;$C$20),$C$20-K337,IF(AND($C$19="jährlich",MONTH(J337)=7,K337&lt;$C$20),$C$20-K337,0)))</f>
        <v>0</v>
      </c>
      <c r="O337" s="64">
        <v>0</v>
      </c>
      <c r="P337" s="64">
        <v>0</v>
      </c>
      <c r="Q337" s="63">
        <f t="shared" ref="Q337:Q348" si="357">-SUM(M337:P337)*$C$47/100</f>
        <v>0</v>
      </c>
      <c r="R337" s="62">
        <f t="shared" ref="R337" si="358">+SUM(K337,M337:P337)</f>
        <v>900</v>
      </c>
      <c r="S337" s="65">
        <f t="shared" si="345"/>
        <v>83631.543933517969</v>
      </c>
      <c r="T337" s="62">
        <f t="shared" ref="T337:T348" si="359">-IF(MONTH(J337)=12,$C$55,0)</f>
        <v>0</v>
      </c>
      <c r="U337" s="63">
        <f t="shared" ref="U337:U348" si="360">-W336*($D$43/100/12)</f>
        <v>-91.813656771790022</v>
      </c>
      <c r="V337" s="62">
        <f t="shared" ref="V337:V348" si="361">+(1+(IF($C$71="pauschal",$C$72/100/12,VLOOKUP(I336,$J$5:$L$44,3,FALSE)/100/12)*W336))</f>
        <v>471.83926549635908</v>
      </c>
      <c r="W337" s="63">
        <f t="shared" ref="W337:W348" si="362">+SUM(W336,R337,L337,Q337,T337:V337)</f>
        <v>114281.44932785074</v>
      </c>
    </row>
    <row r="338" spans="2:23" outlineLevel="1">
      <c r="G338" s="12">
        <f t="shared" si="292"/>
        <v>47.0027397260274</v>
      </c>
      <c r="H338" s="4">
        <v>242</v>
      </c>
      <c r="I338" s="4">
        <f t="shared" si="311"/>
        <v>21</v>
      </c>
      <c r="J338" s="30">
        <f t="shared" si="354"/>
        <v>48061</v>
      </c>
      <c r="K338" s="62">
        <f>+IF(OR(H338&gt;60,$C$21="nein"),IF($C$19="monatlich",$C$20,IF($C$19="quartalsweise",OR(MONTH(J338)={1,4,7,10})*$C$20,IF($C$19="jährlich",(MONTH(J338)=7)*$C$20))),IF($C$19="monatlich",$C$22,IF($C$19="quartalsweise",OR(MONTH(J338)={1,4,7,10})*$C$22,IF($C$19="jährlich",(MONTH(J338)=7)*$C$22))))</f>
        <v>0</v>
      </c>
      <c r="L338" s="66">
        <f t="shared" si="355"/>
        <v>0</v>
      </c>
      <c r="M338" s="62">
        <f t="shared" si="356"/>
        <v>0</v>
      </c>
      <c r="N338" s="67">
        <f>+IF(AND($C$19="monatlich",K338&lt;$C$20),$C$20-K338,IF(AND($C$19="quartalsweise",OR(MONTH(J338)={1,4,7,10}),K338&lt;$C$20),$C$20-K338,IF(AND($C$19="jährlich",MONTH(J338)=7,K338&lt;$C$20),$C$20-K338,0)))</f>
        <v>0</v>
      </c>
      <c r="O338" s="67">
        <v>0</v>
      </c>
      <c r="P338" s="67">
        <v>0</v>
      </c>
      <c r="Q338" s="63">
        <f t="shared" si="357"/>
        <v>0</v>
      </c>
      <c r="R338" s="68">
        <f t="shared" si="287"/>
        <v>0</v>
      </c>
      <c r="S338" s="69">
        <f t="shared" si="345"/>
        <v>83631.543933517969</v>
      </c>
      <c r="T338" s="68">
        <f t="shared" si="359"/>
        <v>0</v>
      </c>
      <c r="U338" s="66">
        <f t="shared" si="360"/>
        <v>-92.853677578878731</v>
      </c>
      <c r="V338" s="68">
        <f t="shared" si="361"/>
        <v>477.1727055327114</v>
      </c>
      <c r="W338" s="66">
        <f t="shared" si="362"/>
        <v>114665.76835580457</v>
      </c>
    </row>
    <row r="339" spans="2:23" outlineLevel="1">
      <c r="G339" s="12">
        <f t="shared" si="292"/>
        <v>47.087671232876716</v>
      </c>
      <c r="H339" s="4">
        <v>243</v>
      </c>
      <c r="I339" s="4">
        <f t="shared" si="311"/>
        <v>21</v>
      </c>
      <c r="J339" s="30">
        <f t="shared" si="354"/>
        <v>48092</v>
      </c>
      <c r="K339" s="62">
        <f>+IF(OR(H339&gt;60,$C$21="nein"),IF($C$19="monatlich",$C$20,IF($C$19="quartalsweise",OR(MONTH(J339)={1,4,7,10})*$C$20,IF($C$19="jährlich",(MONTH(J339)=7)*$C$20))),IF($C$19="monatlich",$C$22,IF($C$19="quartalsweise",OR(MONTH(J339)={1,4,7,10})*$C$22,IF($C$19="jährlich",(MONTH(J339)=7)*$C$22))))</f>
        <v>0</v>
      </c>
      <c r="L339" s="66">
        <f t="shared" si="355"/>
        <v>0</v>
      </c>
      <c r="M339" s="62">
        <f t="shared" si="356"/>
        <v>0</v>
      </c>
      <c r="N339" s="67">
        <f>+IF(AND($C$19="monatlich",K339&lt;$C$20),$C$20-K339,IF(AND($C$19="quartalsweise",OR(MONTH(J339)={1,4,7,10}),K339&lt;$C$20),$C$20-K339,IF(AND($C$19="jährlich",MONTH(J339)=7,K339&lt;$C$20),$C$20-K339,0)))</f>
        <v>0</v>
      </c>
      <c r="O339" s="67">
        <v>0</v>
      </c>
      <c r="P339" s="67">
        <v>0</v>
      </c>
      <c r="Q339" s="63">
        <f t="shared" si="357"/>
        <v>0</v>
      </c>
      <c r="R339" s="68">
        <f t="shared" si="287"/>
        <v>0</v>
      </c>
      <c r="S339" s="69">
        <f t="shared" si="345"/>
        <v>83631.543933517969</v>
      </c>
      <c r="T339" s="68">
        <f t="shared" si="359"/>
        <v>0</v>
      </c>
      <c r="U339" s="66">
        <f t="shared" si="360"/>
        <v>-93.165936789091205</v>
      </c>
      <c r="V339" s="68">
        <f t="shared" si="361"/>
        <v>478.77403481585236</v>
      </c>
      <c r="W339" s="66">
        <f t="shared" si="362"/>
        <v>115051.37645383133</v>
      </c>
    </row>
    <row r="340" spans="2:23" outlineLevel="1">
      <c r="G340" s="12">
        <f t="shared" si="292"/>
        <v>47.169863013698631</v>
      </c>
      <c r="H340" s="4">
        <v>244</v>
      </c>
      <c r="I340" s="4">
        <f t="shared" si="311"/>
        <v>21</v>
      </c>
      <c r="J340" s="30">
        <f t="shared" si="354"/>
        <v>48122</v>
      </c>
      <c r="K340" s="62">
        <f>+IF(OR(H340&gt;60,$C$21="nein"),IF($C$19="monatlich",$C$20,IF($C$19="quartalsweise",OR(MONTH(J340)={1,4,7,10})*$C$20,IF($C$19="jährlich",(MONTH(J340)=7)*$C$20))),IF($C$19="monatlich",$C$22,IF($C$19="quartalsweise",OR(MONTH(J340)={1,4,7,10})*$C$22,IF($C$19="jährlich",(MONTH(J340)=7)*$C$22))))</f>
        <v>900</v>
      </c>
      <c r="L340" s="66">
        <f t="shared" si="355"/>
        <v>0</v>
      </c>
      <c r="M340" s="62">
        <f t="shared" si="356"/>
        <v>0</v>
      </c>
      <c r="N340" s="67">
        <f>+IF(AND($C$19="monatlich",K340&lt;$C$20),$C$20-K340,IF(AND($C$19="quartalsweise",OR(MONTH(J340)={1,4,7,10}),K340&lt;$C$20),$C$20-K340,IF(AND($C$19="jährlich",MONTH(J340)=7,K340&lt;$C$20),$C$20-K340,0)))</f>
        <v>0</v>
      </c>
      <c r="O340" s="67">
        <v>0</v>
      </c>
      <c r="P340" s="67">
        <v>0</v>
      </c>
      <c r="Q340" s="63">
        <f t="shared" si="357"/>
        <v>0</v>
      </c>
      <c r="R340" s="68">
        <f t="shared" si="287"/>
        <v>900</v>
      </c>
      <c r="S340" s="69">
        <f t="shared" si="345"/>
        <v>84531.543933517969</v>
      </c>
      <c r="T340" s="68">
        <f t="shared" si="359"/>
        <v>0</v>
      </c>
      <c r="U340" s="66">
        <f t="shared" si="360"/>
        <v>-93.479243368737954</v>
      </c>
      <c r="V340" s="68">
        <f t="shared" si="361"/>
        <v>480.38073522429721</v>
      </c>
      <c r="W340" s="66">
        <f t="shared" si="362"/>
        <v>116338.27794568689</v>
      </c>
    </row>
    <row r="341" spans="2:23" outlineLevel="1">
      <c r="G341" s="12">
        <f t="shared" si="292"/>
        <v>47.254794520547946</v>
      </c>
      <c r="H341" s="4">
        <v>245</v>
      </c>
      <c r="I341" s="4">
        <f t="shared" si="311"/>
        <v>21</v>
      </c>
      <c r="J341" s="30">
        <f t="shared" si="354"/>
        <v>48153</v>
      </c>
      <c r="K341" s="62">
        <f>+IF(OR(H341&gt;60,$C$21="nein"),IF($C$19="monatlich",$C$20,IF($C$19="quartalsweise",OR(MONTH(J341)={1,4,7,10})*$C$20,IF($C$19="jährlich",(MONTH(J341)=7)*$C$20))),IF($C$19="monatlich",$C$22,IF($C$19="quartalsweise",OR(MONTH(J341)={1,4,7,10})*$C$22,IF($C$19="jährlich",(MONTH(J341)=7)*$C$22))))</f>
        <v>0</v>
      </c>
      <c r="L341" s="66">
        <f t="shared" si="355"/>
        <v>0</v>
      </c>
      <c r="M341" s="62">
        <f t="shared" si="356"/>
        <v>0</v>
      </c>
      <c r="N341" s="67">
        <f>+IF(AND($C$19="monatlich",K341&lt;$C$20),$C$20-K341,IF(AND($C$19="quartalsweise",OR(MONTH(J341)={1,4,7,10}),K341&lt;$C$20),$C$20-K341,IF(AND($C$19="jährlich",MONTH(J341)=7,K341&lt;$C$20),$C$20-K341,0)))</f>
        <v>0</v>
      </c>
      <c r="O341" s="67">
        <v>0</v>
      </c>
      <c r="P341" s="67">
        <v>0</v>
      </c>
      <c r="Q341" s="63">
        <f t="shared" si="357"/>
        <v>0</v>
      </c>
      <c r="R341" s="68">
        <f t="shared" si="287"/>
        <v>0</v>
      </c>
      <c r="S341" s="69">
        <f t="shared" si="345"/>
        <v>84531.543933517969</v>
      </c>
      <c r="T341" s="68">
        <f t="shared" si="359"/>
        <v>0</v>
      </c>
      <c r="U341" s="66">
        <f t="shared" si="360"/>
        <v>-94.524850830870591</v>
      </c>
      <c r="V341" s="68">
        <f t="shared" si="361"/>
        <v>485.74282477369536</v>
      </c>
      <c r="W341" s="66">
        <f t="shared" si="362"/>
        <v>116729.49591962971</v>
      </c>
    </row>
    <row r="342" spans="2:23" outlineLevel="1">
      <c r="G342" s="12">
        <f t="shared" si="292"/>
        <v>47.336986301369862</v>
      </c>
      <c r="H342" s="4">
        <v>246</v>
      </c>
      <c r="I342" s="4">
        <f t="shared" ref="I342:I367" si="363">+I329+1</f>
        <v>21</v>
      </c>
      <c r="J342" s="30">
        <f t="shared" si="354"/>
        <v>48183</v>
      </c>
      <c r="K342" s="62">
        <f>+IF(OR(H342&gt;60,$C$21="nein"),IF($C$19="monatlich",$C$20,IF($C$19="quartalsweise",OR(MONTH(J342)={1,4,7,10})*$C$20,IF($C$19="jährlich",(MONTH(J342)=7)*$C$20))),IF($C$19="monatlich",$C$22,IF($C$19="quartalsweise",OR(MONTH(J342)={1,4,7,10})*$C$22,IF($C$19="jährlich",(MONTH(J342)=7)*$C$22))))</f>
        <v>0</v>
      </c>
      <c r="L342" s="66">
        <f t="shared" si="355"/>
        <v>0</v>
      </c>
      <c r="M342" s="62">
        <f t="shared" si="356"/>
        <v>0</v>
      </c>
      <c r="N342" s="67">
        <f>+IF(AND($C$19="monatlich",K342&lt;$C$20),$C$20-K342,IF(AND($C$19="quartalsweise",OR(MONTH(J342)={1,4,7,10}),K342&lt;$C$20),$C$20-K342,IF(AND($C$19="jährlich",MONTH(J342)=7,K342&lt;$C$20),$C$20-K342,0)))</f>
        <v>0</v>
      </c>
      <c r="O342" s="67">
        <v>0</v>
      </c>
      <c r="P342" s="67">
        <v>0</v>
      </c>
      <c r="Q342" s="63">
        <f t="shared" si="357"/>
        <v>0</v>
      </c>
      <c r="R342" s="68">
        <f t="shared" si="287"/>
        <v>0</v>
      </c>
      <c r="S342" s="69">
        <f t="shared" si="345"/>
        <v>84531.543933517969</v>
      </c>
      <c r="T342" s="68">
        <f t="shared" si="359"/>
        <v>-15.4</v>
      </c>
      <c r="U342" s="66">
        <f t="shared" si="360"/>
        <v>-94.842715434699144</v>
      </c>
      <c r="V342" s="68">
        <f t="shared" si="361"/>
        <v>487.37289966512378</v>
      </c>
      <c r="W342" s="66">
        <f t="shared" si="362"/>
        <v>117106.62610386014</v>
      </c>
    </row>
    <row r="343" spans="2:23" outlineLevel="1">
      <c r="G343" s="12">
        <f t="shared" si="292"/>
        <v>47.421917808219177</v>
      </c>
      <c r="H343" s="4">
        <v>247</v>
      </c>
      <c r="I343" s="4">
        <f t="shared" si="363"/>
        <v>21</v>
      </c>
      <c r="J343" s="30">
        <f t="shared" si="354"/>
        <v>48214</v>
      </c>
      <c r="K343" s="62">
        <f>+IF(OR(H343&gt;60,$C$21="nein"),IF($C$19="monatlich",$C$20,IF($C$19="quartalsweise",OR(MONTH(J343)={1,4,7,10})*$C$20,IF($C$19="jährlich",(MONTH(J343)=7)*$C$20))),IF($C$19="monatlich",$C$22,IF($C$19="quartalsweise",OR(MONTH(J343)={1,4,7,10})*$C$22,IF($C$19="jährlich",(MONTH(J343)=7)*$C$22))))</f>
        <v>900</v>
      </c>
      <c r="L343" s="66">
        <f t="shared" si="355"/>
        <v>0</v>
      </c>
      <c r="M343" s="62">
        <f t="shared" si="356"/>
        <v>0</v>
      </c>
      <c r="N343" s="67">
        <f>+IF(AND($C$19="monatlich",K343&lt;$C$20),$C$20-K343,IF(AND($C$19="quartalsweise",OR(MONTH(J343)={1,4,7,10}),K343&lt;$C$20),$C$20-K343,IF(AND($C$19="jährlich",MONTH(J343)=7,K343&lt;$C$20),$C$20-K343,0)))</f>
        <v>0</v>
      </c>
      <c r="O343" s="67">
        <v>0</v>
      </c>
      <c r="P343" s="67">
        <v>0</v>
      </c>
      <c r="Q343" s="63">
        <f t="shared" si="357"/>
        <v>0</v>
      </c>
      <c r="R343" s="68">
        <f t="shared" si="287"/>
        <v>900</v>
      </c>
      <c r="S343" s="69">
        <f t="shared" si="345"/>
        <v>85431.543933517969</v>
      </c>
      <c r="T343" s="68">
        <f t="shared" si="359"/>
        <v>0</v>
      </c>
      <c r="U343" s="66">
        <f t="shared" si="360"/>
        <v>-95.149133709386362</v>
      </c>
      <c r="V343" s="68">
        <f t="shared" si="361"/>
        <v>488.94427543275054</v>
      </c>
      <c r="W343" s="66">
        <f t="shared" si="362"/>
        <v>118400.42124558349</v>
      </c>
    </row>
    <row r="344" spans="2:23" outlineLevel="1">
      <c r="G344" s="12">
        <f t="shared" si="292"/>
        <v>47.506849315068493</v>
      </c>
      <c r="H344" s="4">
        <v>248</v>
      </c>
      <c r="I344" s="4">
        <f t="shared" si="363"/>
        <v>21</v>
      </c>
      <c r="J344" s="30">
        <f t="shared" si="354"/>
        <v>48245</v>
      </c>
      <c r="K344" s="62">
        <f>+IF(OR(H344&gt;60,$C$21="nein"),IF($C$19="monatlich",$C$20,IF($C$19="quartalsweise",OR(MONTH(J344)={1,4,7,10})*$C$20,IF($C$19="jährlich",(MONTH(J344)=7)*$C$20))),IF($C$19="monatlich",$C$22,IF($C$19="quartalsweise",OR(MONTH(J344)={1,4,7,10})*$C$22,IF($C$19="jährlich",(MONTH(J344)=7)*$C$22))))</f>
        <v>0</v>
      </c>
      <c r="L344" s="66">
        <f t="shared" si="355"/>
        <v>0</v>
      </c>
      <c r="M344" s="62">
        <f t="shared" si="356"/>
        <v>0</v>
      </c>
      <c r="N344" s="67">
        <f>+IF(AND($C$19="monatlich",K344&lt;$C$20),$C$20-K344,IF(AND($C$19="quartalsweise",OR(MONTH(J344)={1,4,7,10}),K344&lt;$C$20),$C$20-K344,IF(AND($C$19="jährlich",MONTH(J344)=7,K344&lt;$C$20),$C$20-K344,0)))</f>
        <v>0</v>
      </c>
      <c r="O344" s="67">
        <v>0</v>
      </c>
      <c r="P344" s="67">
        <v>0</v>
      </c>
      <c r="Q344" s="63">
        <f t="shared" si="357"/>
        <v>0</v>
      </c>
      <c r="R344" s="68">
        <f t="shared" si="287"/>
        <v>0</v>
      </c>
      <c r="S344" s="69">
        <f t="shared" si="345"/>
        <v>85431.543933517969</v>
      </c>
      <c r="T344" s="68">
        <f t="shared" si="359"/>
        <v>0</v>
      </c>
      <c r="U344" s="66">
        <f t="shared" si="360"/>
        <v>-96.200342262036585</v>
      </c>
      <c r="V344" s="68">
        <f t="shared" si="361"/>
        <v>494.33508852326457</v>
      </c>
      <c r="W344" s="66">
        <f t="shared" si="362"/>
        <v>118798.55599184473</v>
      </c>
    </row>
    <row r="345" spans="2:23" outlineLevel="1">
      <c r="G345" s="12">
        <f t="shared" si="292"/>
        <v>47.586301369863016</v>
      </c>
      <c r="H345" s="4">
        <v>249</v>
      </c>
      <c r="I345" s="4">
        <f t="shared" si="363"/>
        <v>21</v>
      </c>
      <c r="J345" s="30">
        <f t="shared" si="354"/>
        <v>48274</v>
      </c>
      <c r="K345" s="62">
        <f>+IF(OR(H345&gt;60,$C$21="nein"),IF($C$19="monatlich",$C$20,IF($C$19="quartalsweise",OR(MONTH(J345)={1,4,7,10})*$C$20,IF($C$19="jährlich",(MONTH(J345)=7)*$C$20))),IF($C$19="monatlich",$C$22,IF($C$19="quartalsweise",OR(MONTH(J345)={1,4,7,10})*$C$22,IF($C$19="jährlich",(MONTH(J345)=7)*$C$22))))</f>
        <v>0</v>
      </c>
      <c r="L345" s="66">
        <f t="shared" si="355"/>
        <v>0</v>
      </c>
      <c r="M345" s="62">
        <f t="shared" si="356"/>
        <v>0</v>
      </c>
      <c r="N345" s="67">
        <f>+IF(AND($C$19="monatlich",K345&lt;$C$20),$C$20-K345,IF(AND($C$19="quartalsweise",OR(MONTH(J345)={1,4,7,10}),K345&lt;$C$20),$C$20-K345,IF(AND($C$19="jährlich",MONTH(J345)=7,K345&lt;$C$20),$C$20-K345,0)))-$C$67/100*SUM(Q327:Q335,Q337:Q339)-$C$66/100*SUM(L327:L335,L337:L339)</f>
        <v>8.1052631578947363</v>
      </c>
      <c r="O345" s="67">
        <v>0</v>
      </c>
      <c r="P345" s="67">
        <v>0</v>
      </c>
      <c r="Q345" s="63">
        <f t="shared" si="357"/>
        <v>-0.40526315789473683</v>
      </c>
      <c r="R345" s="68">
        <f t="shared" si="287"/>
        <v>8.1052631578947363</v>
      </c>
      <c r="S345" s="69">
        <f t="shared" si="345"/>
        <v>85439.649196675862</v>
      </c>
      <c r="T345" s="68">
        <f t="shared" si="359"/>
        <v>0</v>
      </c>
      <c r="U345" s="66">
        <f t="shared" si="360"/>
        <v>-96.523826743373832</v>
      </c>
      <c r="V345" s="68">
        <f t="shared" si="361"/>
        <v>495.99398329935303</v>
      </c>
      <c r="W345" s="66">
        <f t="shared" si="362"/>
        <v>119205.7261484007</v>
      </c>
    </row>
    <row r="346" spans="2:23" outlineLevel="1">
      <c r="G346" s="12">
        <f t="shared" si="292"/>
        <v>47.671232876712331</v>
      </c>
      <c r="H346" s="4">
        <v>250</v>
      </c>
      <c r="I346" s="4">
        <f t="shared" si="363"/>
        <v>21</v>
      </c>
      <c r="J346" s="30">
        <f t="shared" si="354"/>
        <v>48305</v>
      </c>
      <c r="K346" s="62">
        <f>+IF(OR(H346&gt;60,$C$21="nein"),IF($C$19="monatlich",$C$20,IF($C$19="quartalsweise",OR(MONTH(J346)={1,4,7,10})*$C$20,IF($C$19="jährlich",(MONTH(J346)=7)*$C$20))),IF($C$19="monatlich",$C$22,IF($C$19="quartalsweise",OR(MONTH(J346)={1,4,7,10})*$C$22,IF($C$19="jährlich",(MONTH(J346)=7)*$C$22))))</f>
        <v>900</v>
      </c>
      <c r="L346" s="66">
        <f t="shared" si="355"/>
        <v>0</v>
      </c>
      <c r="M346" s="62">
        <f t="shared" si="356"/>
        <v>154</v>
      </c>
      <c r="N346" s="67">
        <f>+IF(AND($C$19="monatlich",K346&lt;$C$20),$C$20-K346,IF(AND($C$19="quartalsweise",OR(MONTH(J346)={1,4,7,10}),K346&lt;$C$20),$C$20-K346,IF(AND($C$19="jährlich",MONTH(J346)=7,K346&lt;$C$20),$C$20-K346,0)))</f>
        <v>0</v>
      </c>
      <c r="O346" s="67">
        <v>0</v>
      </c>
      <c r="P346" s="67">
        <v>0</v>
      </c>
      <c r="Q346" s="63">
        <f t="shared" si="357"/>
        <v>-7.7</v>
      </c>
      <c r="R346" s="68">
        <f t="shared" si="287"/>
        <v>1054</v>
      </c>
      <c r="S346" s="69">
        <f t="shared" si="345"/>
        <v>86493.649196675862</v>
      </c>
      <c r="T346" s="68">
        <f t="shared" si="359"/>
        <v>0</v>
      </c>
      <c r="U346" s="66">
        <f t="shared" si="360"/>
        <v>-96.854652495575564</v>
      </c>
      <c r="V346" s="68">
        <f t="shared" si="361"/>
        <v>497.69052561833627</v>
      </c>
      <c r="W346" s="66">
        <f t="shared" si="362"/>
        <v>120652.86202152347</v>
      </c>
    </row>
    <row r="347" spans="2:23" outlineLevel="1">
      <c r="G347" s="12">
        <f t="shared" si="292"/>
        <v>47.753424657534246</v>
      </c>
      <c r="H347" s="4">
        <v>251</v>
      </c>
      <c r="I347" s="4">
        <f t="shared" si="363"/>
        <v>21</v>
      </c>
      <c r="J347" s="30">
        <f t="shared" si="354"/>
        <v>48335</v>
      </c>
      <c r="K347" s="62">
        <f>+IF(OR(H347&gt;60,$C$21="nein"),IF($C$19="monatlich",$C$20,IF($C$19="quartalsweise",OR(MONTH(J347)={1,4,7,10})*$C$20,IF($C$19="jährlich",(MONTH(J347)=7)*$C$20))),IF($C$19="monatlich",$C$22,IF($C$19="quartalsweise",OR(MONTH(J347)={1,4,7,10})*$C$22,IF($C$19="jährlich",(MONTH(J347)=7)*$C$22))))</f>
        <v>0</v>
      </c>
      <c r="L347" s="66">
        <f t="shared" si="355"/>
        <v>0</v>
      </c>
      <c r="M347" s="62">
        <f t="shared" si="356"/>
        <v>0</v>
      </c>
      <c r="N347" s="67">
        <f>+IF(AND($C$19="monatlich",K347&lt;$C$20),$C$20-K347,IF(AND($C$19="quartalsweise",OR(MONTH(J347)={1,4,7,10}),K347&lt;$C$20),$C$20-K347,IF(AND($C$19="jährlich",MONTH(J347)=7,K347&lt;$C$20),$C$20-K347,0)))</f>
        <v>0</v>
      </c>
      <c r="O347" s="67">
        <v>0</v>
      </c>
      <c r="P347" s="67">
        <v>0</v>
      </c>
      <c r="Q347" s="63">
        <f t="shared" si="357"/>
        <v>0</v>
      </c>
      <c r="R347" s="68">
        <f t="shared" si="287"/>
        <v>0</v>
      </c>
      <c r="S347" s="69">
        <f t="shared" si="345"/>
        <v>86493.649196675862</v>
      </c>
      <c r="T347" s="68">
        <f t="shared" si="359"/>
        <v>0</v>
      </c>
      <c r="U347" s="66">
        <f t="shared" si="360"/>
        <v>-98.030450392487808</v>
      </c>
      <c r="V347" s="68">
        <f t="shared" si="361"/>
        <v>503.72025842301446</v>
      </c>
      <c r="W347" s="66">
        <f t="shared" si="362"/>
        <v>121058.551829554</v>
      </c>
    </row>
    <row r="348" spans="2:23" outlineLevel="1">
      <c r="G348" s="13">
        <f t="shared" si="292"/>
        <v>47.838356164383562</v>
      </c>
      <c r="H348" s="6">
        <v>252</v>
      </c>
      <c r="I348" s="6">
        <f t="shared" si="363"/>
        <v>21</v>
      </c>
      <c r="J348" s="31">
        <f t="shared" si="354"/>
        <v>48366</v>
      </c>
      <c r="K348" s="62">
        <f>+IF(OR(H348&gt;60,$C$21="nein"),IF($C$19="monatlich",$C$20,IF($C$19="quartalsweise",OR(MONTH(J348)={1,4,7,10})*$C$20,IF($C$19="jährlich",(MONTH(J348)=7)*$C$20))),IF($C$19="monatlich",$C$22,IF($C$19="quartalsweise",OR(MONTH(J348)={1,4,7,10})*$C$22,IF($C$19="jährlich",(MONTH(J348)=7)*$C$22))))</f>
        <v>0</v>
      </c>
      <c r="L348" s="70">
        <f t="shared" si="355"/>
        <v>0</v>
      </c>
      <c r="M348" s="62">
        <f t="shared" si="356"/>
        <v>0</v>
      </c>
      <c r="N348" s="71">
        <f>+IF(AND($C$19="monatlich",K348&lt;$C$20),$C$20-K348,IF(AND($C$19="quartalsweise",OR(MONTH(J348)={1,4,7,10}),K348&lt;$C$20),$C$20-K348,IF(AND($C$19="jährlich",MONTH(J348)=7,K348&lt;$C$20),$C$20-K348,0)))</f>
        <v>0</v>
      </c>
      <c r="O348" s="71">
        <v>0</v>
      </c>
      <c r="P348" s="71">
        <v>0</v>
      </c>
      <c r="Q348" s="63">
        <f t="shared" si="357"/>
        <v>0</v>
      </c>
      <c r="R348" s="72">
        <f t="shared" si="287"/>
        <v>0</v>
      </c>
      <c r="S348" s="73">
        <f t="shared" si="345"/>
        <v>86493.649196675862</v>
      </c>
      <c r="T348" s="72">
        <f t="shared" si="359"/>
        <v>0</v>
      </c>
      <c r="U348" s="70">
        <f t="shared" si="360"/>
        <v>-98.360073361512619</v>
      </c>
      <c r="V348" s="72">
        <f t="shared" si="361"/>
        <v>505.41063262314162</v>
      </c>
      <c r="W348" s="70">
        <f t="shared" si="362"/>
        <v>121465.60238881562</v>
      </c>
    </row>
    <row r="349" spans="2:23" s="5" customFormat="1" ht="15">
      <c r="B349" s="17"/>
      <c r="G349" s="115">
        <f t="shared" si="292"/>
        <v>47.838356164383562</v>
      </c>
      <c r="H349" s="116" t="str">
        <f>H337&amp;" - "&amp;H348</f>
        <v>241 - 252</v>
      </c>
      <c r="I349" s="117">
        <f t="shared" si="363"/>
        <v>21</v>
      </c>
      <c r="J349" s="118">
        <f t="shared" ref="J349" si="364">+J348</f>
        <v>48366</v>
      </c>
      <c r="K349" s="119">
        <f t="shared" ref="K349:L349" si="365">SUM(K337:K348)</f>
        <v>3600</v>
      </c>
      <c r="L349" s="120">
        <f t="shared" si="365"/>
        <v>0</v>
      </c>
      <c r="M349" s="119">
        <f t="shared" ref="M349" si="366">SUM(M337:M348)</f>
        <v>154</v>
      </c>
      <c r="N349" s="121">
        <f t="shared" si="315"/>
        <v>8.1052631578947363</v>
      </c>
      <c r="O349" s="121">
        <f t="shared" ref="O349" si="367">SUM(O337:O348)</f>
        <v>0</v>
      </c>
      <c r="P349" s="121">
        <f t="shared" ref="P349" si="368">SUM(P337:P348)</f>
        <v>0</v>
      </c>
      <c r="Q349" s="120">
        <f t="shared" si="350"/>
        <v>-8.1052631578947363</v>
      </c>
      <c r="R349" s="119">
        <f t="shared" ref="R349" si="369">SUM(R337:R348)</f>
        <v>3762.1052631578946</v>
      </c>
      <c r="S349" s="122">
        <f t="shared" si="345"/>
        <v>86493.649196675862</v>
      </c>
      <c r="T349" s="119">
        <f t="shared" ref="T349:V349" si="370">SUM(T337:T348)</f>
        <v>-15.4</v>
      </c>
      <c r="U349" s="120">
        <f t="shared" si="370"/>
        <v>-1141.7985597384404</v>
      </c>
      <c r="V349" s="119">
        <f t="shared" si="370"/>
        <v>5867.3772294278997</v>
      </c>
      <c r="W349" s="123">
        <f t="shared" ref="W349" si="371">+W348</f>
        <v>121465.60238881562</v>
      </c>
    </row>
    <row r="350" spans="2:23" outlineLevel="1">
      <c r="G350" s="11">
        <f t="shared" si="292"/>
        <v>47.920547945205477</v>
      </c>
      <c r="H350" s="2">
        <v>253</v>
      </c>
      <c r="I350" s="2">
        <f t="shared" si="363"/>
        <v>22</v>
      </c>
      <c r="J350" s="29">
        <f t="shared" si="354"/>
        <v>48396</v>
      </c>
      <c r="K350" s="62">
        <f>+IF(OR(H350&gt;60,$C$21="nein"),IF($C$19="monatlich",$C$20,IF($C$19="quartalsweise",OR(MONTH(J350)={1,4,7,10})*$C$20,IF($C$19="jährlich",(MONTH(J350)=7)*$C$20))),IF($C$19="monatlich",$C$22,IF($C$19="quartalsweise",OR(MONTH(J350)={1,4,7,10})*$C$22,IF($C$19="jährlich",(MONTH(J350)=7)*$C$22))))</f>
        <v>900</v>
      </c>
      <c r="L350" s="63">
        <f t="shared" ref="L350:L361" si="372">-IF(H350&gt;60,0,IF($C$19="monatlich",$C$52,IF(AND($C$19="quartalsweise",K350&gt;0),$C$52,IF(AND($C$19="jährlich",K350&gt;0),$C$51,0))))</f>
        <v>0</v>
      </c>
      <c r="M350" s="62">
        <f t="shared" ref="M350:M361" si="373">+IF(MONTH(J350)=4,$C$25,0)</f>
        <v>0</v>
      </c>
      <c r="N350" s="64">
        <f>+IF(AND($C$19="monatlich",K350&lt;$C$20),$C$20-K350,IF(AND($C$19="quartalsweise",OR(MONTH(J350)={1,4,7,10}),K350&lt;$C$20),$C$20-K350,IF(AND($C$19="jährlich",MONTH(J350)=7,K350&lt;$C$20),$C$20-K350,0)))</f>
        <v>0</v>
      </c>
      <c r="O350" s="64">
        <v>0</v>
      </c>
      <c r="P350" s="64">
        <v>0</v>
      </c>
      <c r="Q350" s="63">
        <f t="shared" ref="Q350:Q361" si="374">-SUM(M350:P350)*$C$47/100</f>
        <v>0</v>
      </c>
      <c r="R350" s="62">
        <f t="shared" ref="R350:R413" si="375">+SUM(K350,M350:P350)</f>
        <v>900</v>
      </c>
      <c r="S350" s="65">
        <f t="shared" si="345"/>
        <v>87393.649196675862</v>
      </c>
      <c r="T350" s="62">
        <f t="shared" ref="T350:T361" si="376">-IF(MONTH(J350)=12,$C$55,0)</f>
        <v>0</v>
      </c>
      <c r="U350" s="63">
        <f t="shared" ref="U350:U361" si="377">-W349*($D$43/100/12)</f>
        <v>-98.690801940912692</v>
      </c>
      <c r="V350" s="62">
        <f t="shared" ref="V350:V361" si="378">+(1+(IF($C$71="pauschal",$C$72/100/12,VLOOKUP(I349,$J$5:$L$44,3,FALSE)/100/12)*W349))</f>
        <v>507.10667662006506</v>
      </c>
      <c r="W350" s="63">
        <f t="shared" ref="W350:W361" si="379">+SUM(W349,R350,L350,Q350,T350:V350)</f>
        <v>122774.01826349477</v>
      </c>
    </row>
    <row r="351" spans="2:23" outlineLevel="1">
      <c r="G351" s="12">
        <f t="shared" si="292"/>
        <v>48.005479452054793</v>
      </c>
      <c r="H351" s="4">
        <v>254</v>
      </c>
      <c r="I351" s="4">
        <f t="shared" si="363"/>
        <v>22</v>
      </c>
      <c r="J351" s="30">
        <f t="shared" si="354"/>
        <v>48427</v>
      </c>
      <c r="K351" s="62">
        <f>+IF(OR(H351&gt;60,$C$21="nein"),IF($C$19="monatlich",$C$20,IF($C$19="quartalsweise",OR(MONTH(J351)={1,4,7,10})*$C$20,IF($C$19="jährlich",(MONTH(J351)=7)*$C$20))),IF($C$19="monatlich",$C$22,IF($C$19="quartalsweise",OR(MONTH(J351)={1,4,7,10})*$C$22,IF($C$19="jährlich",(MONTH(J351)=7)*$C$22))))</f>
        <v>0</v>
      </c>
      <c r="L351" s="66">
        <f t="shared" si="372"/>
        <v>0</v>
      </c>
      <c r="M351" s="62">
        <f t="shared" si="373"/>
        <v>0</v>
      </c>
      <c r="N351" s="67">
        <f>+IF(AND($C$19="monatlich",K351&lt;$C$20),$C$20-K351,IF(AND($C$19="quartalsweise",OR(MONTH(J351)={1,4,7,10}),K351&lt;$C$20),$C$20-K351,IF(AND($C$19="jährlich",MONTH(J351)=7,K351&lt;$C$20),$C$20-K351,0)))</f>
        <v>0</v>
      </c>
      <c r="O351" s="67">
        <v>0</v>
      </c>
      <c r="P351" s="67">
        <v>0</v>
      </c>
      <c r="Q351" s="63">
        <f t="shared" si="374"/>
        <v>0</v>
      </c>
      <c r="R351" s="68">
        <f t="shared" si="375"/>
        <v>0</v>
      </c>
      <c r="S351" s="69">
        <f t="shared" si="345"/>
        <v>87393.649196675862</v>
      </c>
      <c r="T351" s="68">
        <f t="shared" si="376"/>
        <v>0</v>
      </c>
      <c r="U351" s="66">
        <f t="shared" si="377"/>
        <v>-99.753889839089496</v>
      </c>
      <c r="V351" s="68">
        <f t="shared" si="378"/>
        <v>512.55840943122826</v>
      </c>
      <c r="W351" s="66">
        <f t="shared" si="379"/>
        <v>123186.8227830869</v>
      </c>
    </row>
    <row r="352" spans="2:23" outlineLevel="1">
      <c r="G352" s="12">
        <f t="shared" si="292"/>
        <v>48.090410958904108</v>
      </c>
      <c r="H352" s="4">
        <v>255</v>
      </c>
      <c r="I352" s="4">
        <f t="shared" si="363"/>
        <v>22</v>
      </c>
      <c r="J352" s="30">
        <f t="shared" si="354"/>
        <v>48458</v>
      </c>
      <c r="K352" s="62">
        <f>+IF(OR(H352&gt;60,$C$21="nein"),IF($C$19="monatlich",$C$20,IF($C$19="quartalsweise",OR(MONTH(J352)={1,4,7,10})*$C$20,IF($C$19="jährlich",(MONTH(J352)=7)*$C$20))),IF($C$19="monatlich",$C$22,IF($C$19="quartalsweise",OR(MONTH(J352)={1,4,7,10})*$C$22,IF($C$19="jährlich",(MONTH(J352)=7)*$C$22))))</f>
        <v>0</v>
      </c>
      <c r="L352" s="66">
        <f t="shared" si="372"/>
        <v>0</v>
      </c>
      <c r="M352" s="62">
        <f t="shared" si="373"/>
        <v>0</v>
      </c>
      <c r="N352" s="67">
        <f>+IF(AND($C$19="monatlich",K352&lt;$C$20),$C$20-K352,IF(AND($C$19="quartalsweise",OR(MONTH(J352)={1,4,7,10}),K352&lt;$C$20),$C$20-K352,IF(AND($C$19="jährlich",MONTH(J352)=7,K352&lt;$C$20),$C$20-K352,0)))</f>
        <v>0</v>
      </c>
      <c r="O352" s="67">
        <v>0</v>
      </c>
      <c r="P352" s="67">
        <v>0</v>
      </c>
      <c r="Q352" s="63">
        <f t="shared" si="374"/>
        <v>0</v>
      </c>
      <c r="R352" s="68">
        <f t="shared" si="375"/>
        <v>0</v>
      </c>
      <c r="S352" s="69">
        <f t="shared" si="345"/>
        <v>87393.649196675862</v>
      </c>
      <c r="T352" s="68">
        <f t="shared" si="376"/>
        <v>0</v>
      </c>
      <c r="U352" s="66">
        <f t="shared" si="377"/>
        <v>-100.08929351125811</v>
      </c>
      <c r="V352" s="68">
        <f t="shared" si="378"/>
        <v>514.27842826286212</v>
      </c>
      <c r="W352" s="66">
        <f t="shared" si="379"/>
        <v>123601.01191783849</v>
      </c>
    </row>
    <row r="353" spans="2:23" outlineLevel="1">
      <c r="G353" s="12">
        <f t="shared" si="292"/>
        <v>48.172602739726024</v>
      </c>
      <c r="H353" s="4">
        <v>256</v>
      </c>
      <c r="I353" s="4">
        <f t="shared" si="363"/>
        <v>22</v>
      </c>
      <c r="J353" s="30">
        <f t="shared" si="354"/>
        <v>48488</v>
      </c>
      <c r="K353" s="62">
        <f>+IF(OR(H353&gt;60,$C$21="nein"),IF($C$19="monatlich",$C$20,IF($C$19="quartalsweise",OR(MONTH(J353)={1,4,7,10})*$C$20,IF($C$19="jährlich",(MONTH(J353)=7)*$C$20))),IF($C$19="monatlich",$C$22,IF($C$19="quartalsweise",OR(MONTH(J353)={1,4,7,10})*$C$22,IF($C$19="jährlich",(MONTH(J353)=7)*$C$22))))</f>
        <v>900</v>
      </c>
      <c r="L353" s="66">
        <f t="shared" si="372"/>
        <v>0</v>
      </c>
      <c r="M353" s="62">
        <f t="shared" si="373"/>
        <v>0</v>
      </c>
      <c r="N353" s="67">
        <f>+IF(AND($C$19="monatlich",K353&lt;$C$20),$C$20-K353,IF(AND($C$19="quartalsweise",OR(MONTH(J353)={1,4,7,10}),K353&lt;$C$20),$C$20-K353,IF(AND($C$19="jährlich",MONTH(J353)=7,K353&lt;$C$20),$C$20-K353,0)))</f>
        <v>0</v>
      </c>
      <c r="O353" s="67">
        <v>0</v>
      </c>
      <c r="P353" s="67">
        <v>0</v>
      </c>
      <c r="Q353" s="63">
        <f t="shared" si="374"/>
        <v>0</v>
      </c>
      <c r="R353" s="68">
        <f t="shared" si="375"/>
        <v>900</v>
      </c>
      <c r="S353" s="69">
        <f t="shared" si="345"/>
        <v>88293.649196675862</v>
      </c>
      <c r="T353" s="68">
        <f t="shared" si="376"/>
        <v>0</v>
      </c>
      <c r="U353" s="66">
        <f t="shared" si="377"/>
        <v>-100.42582218324377</v>
      </c>
      <c r="V353" s="68">
        <f t="shared" si="378"/>
        <v>516.00421632432699</v>
      </c>
      <c r="W353" s="66">
        <f t="shared" si="379"/>
        <v>124916.59031197958</v>
      </c>
    </row>
    <row r="354" spans="2:23" outlineLevel="1">
      <c r="G354" s="12">
        <f t="shared" si="292"/>
        <v>48.257534246575339</v>
      </c>
      <c r="H354" s="4">
        <v>257</v>
      </c>
      <c r="I354" s="4">
        <f t="shared" si="363"/>
        <v>22</v>
      </c>
      <c r="J354" s="30">
        <f t="shared" si="354"/>
        <v>48519</v>
      </c>
      <c r="K354" s="62">
        <f>+IF(OR(H354&gt;60,$C$21="nein"),IF($C$19="monatlich",$C$20,IF($C$19="quartalsweise",OR(MONTH(J354)={1,4,7,10})*$C$20,IF($C$19="jährlich",(MONTH(J354)=7)*$C$20))),IF($C$19="monatlich",$C$22,IF($C$19="quartalsweise",OR(MONTH(J354)={1,4,7,10})*$C$22,IF($C$19="jährlich",(MONTH(J354)=7)*$C$22))))</f>
        <v>0</v>
      </c>
      <c r="L354" s="66">
        <f t="shared" si="372"/>
        <v>0</v>
      </c>
      <c r="M354" s="62">
        <f t="shared" si="373"/>
        <v>0</v>
      </c>
      <c r="N354" s="67">
        <f>+IF(AND($C$19="monatlich",K354&lt;$C$20),$C$20-K354,IF(AND($C$19="quartalsweise",OR(MONTH(J354)={1,4,7,10}),K354&lt;$C$20),$C$20-K354,IF(AND($C$19="jährlich",MONTH(J354)=7,K354&lt;$C$20),$C$20-K354,0)))</f>
        <v>0</v>
      </c>
      <c r="O354" s="67">
        <v>0</v>
      </c>
      <c r="P354" s="67">
        <v>0</v>
      </c>
      <c r="Q354" s="63">
        <f t="shared" si="374"/>
        <v>0</v>
      </c>
      <c r="R354" s="68">
        <f t="shared" si="375"/>
        <v>0</v>
      </c>
      <c r="S354" s="69">
        <f t="shared" si="345"/>
        <v>88293.649196675862</v>
      </c>
      <c r="T354" s="68">
        <f t="shared" si="376"/>
        <v>0</v>
      </c>
      <c r="U354" s="66">
        <f t="shared" si="377"/>
        <v>-101.49472962848341</v>
      </c>
      <c r="V354" s="68">
        <f t="shared" si="378"/>
        <v>521.48579296658158</v>
      </c>
      <c r="W354" s="66">
        <f t="shared" si="379"/>
        <v>125336.58137531769</v>
      </c>
    </row>
    <row r="355" spans="2:23" outlineLevel="1">
      <c r="G355" s="12">
        <f t="shared" ref="G355:G423" si="380">+(J355-DATE(1984,8,11))/365</f>
        <v>48.339726027397262</v>
      </c>
      <c r="H355" s="4">
        <v>258</v>
      </c>
      <c r="I355" s="4">
        <f t="shared" si="363"/>
        <v>22</v>
      </c>
      <c r="J355" s="30">
        <f t="shared" si="354"/>
        <v>48549</v>
      </c>
      <c r="K355" s="62">
        <f>+IF(OR(H355&gt;60,$C$21="nein"),IF($C$19="monatlich",$C$20,IF($C$19="quartalsweise",OR(MONTH(J355)={1,4,7,10})*$C$20,IF($C$19="jährlich",(MONTH(J355)=7)*$C$20))),IF($C$19="monatlich",$C$22,IF($C$19="quartalsweise",OR(MONTH(J355)={1,4,7,10})*$C$22,IF($C$19="jährlich",(MONTH(J355)=7)*$C$22))))</f>
        <v>0</v>
      </c>
      <c r="L355" s="66">
        <f t="shared" si="372"/>
        <v>0</v>
      </c>
      <c r="M355" s="62">
        <f t="shared" si="373"/>
        <v>0</v>
      </c>
      <c r="N355" s="67">
        <f>+IF(AND($C$19="monatlich",K355&lt;$C$20),$C$20-K355,IF(AND($C$19="quartalsweise",OR(MONTH(J355)={1,4,7,10}),K355&lt;$C$20),$C$20-K355,IF(AND($C$19="jährlich",MONTH(J355)=7,K355&lt;$C$20),$C$20-K355,0)))</f>
        <v>0</v>
      </c>
      <c r="O355" s="67">
        <v>0</v>
      </c>
      <c r="P355" s="67">
        <v>0</v>
      </c>
      <c r="Q355" s="63">
        <f t="shared" si="374"/>
        <v>0</v>
      </c>
      <c r="R355" s="68">
        <f t="shared" si="375"/>
        <v>0</v>
      </c>
      <c r="S355" s="69">
        <f t="shared" si="345"/>
        <v>88293.649196675862</v>
      </c>
      <c r="T355" s="68">
        <f t="shared" si="376"/>
        <v>-15.4</v>
      </c>
      <c r="U355" s="66">
        <f t="shared" si="377"/>
        <v>-101.83597236744562</v>
      </c>
      <c r="V355" s="68">
        <f t="shared" si="378"/>
        <v>523.23575573049038</v>
      </c>
      <c r="W355" s="66">
        <f t="shared" si="379"/>
        <v>125742.58115868074</v>
      </c>
    </row>
    <row r="356" spans="2:23" outlineLevel="1">
      <c r="G356" s="12">
        <f t="shared" si="380"/>
        <v>48.424657534246577</v>
      </c>
      <c r="H356" s="4">
        <v>259</v>
      </c>
      <c r="I356" s="4">
        <f t="shared" si="363"/>
        <v>22</v>
      </c>
      <c r="J356" s="30">
        <f t="shared" si="354"/>
        <v>48580</v>
      </c>
      <c r="K356" s="62">
        <f>+IF(OR(H356&gt;60,$C$21="nein"),IF($C$19="monatlich",$C$20,IF($C$19="quartalsweise",OR(MONTH(J356)={1,4,7,10})*$C$20,IF($C$19="jährlich",(MONTH(J356)=7)*$C$20))),IF($C$19="monatlich",$C$22,IF($C$19="quartalsweise",OR(MONTH(J356)={1,4,7,10})*$C$22,IF($C$19="jährlich",(MONTH(J356)=7)*$C$22))))</f>
        <v>900</v>
      </c>
      <c r="L356" s="66">
        <f t="shared" si="372"/>
        <v>0</v>
      </c>
      <c r="M356" s="62">
        <f t="shared" si="373"/>
        <v>0</v>
      </c>
      <c r="N356" s="67">
        <f>+IF(AND($C$19="monatlich",K356&lt;$C$20),$C$20-K356,IF(AND($C$19="quartalsweise",OR(MONTH(J356)={1,4,7,10}),K356&lt;$C$20),$C$20-K356,IF(AND($C$19="jährlich",MONTH(J356)=7,K356&lt;$C$20),$C$20-K356,0)))</f>
        <v>0</v>
      </c>
      <c r="O356" s="67">
        <v>0</v>
      </c>
      <c r="P356" s="67">
        <v>0</v>
      </c>
      <c r="Q356" s="63">
        <f t="shared" si="374"/>
        <v>0</v>
      </c>
      <c r="R356" s="68">
        <f t="shared" si="375"/>
        <v>900</v>
      </c>
      <c r="S356" s="69">
        <f t="shared" si="345"/>
        <v>89193.649196675862</v>
      </c>
      <c r="T356" s="68">
        <f t="shared" si="376"/>
        <v>0</v>
      </c>
      <c r="U356" s="66">
        <f t="shared" si="377"/>
        <v>-102.1658471914281</v>
      </c>
      <c r="V356" s="68">
        <f t="shared" si="378"/>
        <v>524.92742149450305</v>
      </c>
      <c r="W356" s="66">
        <f t="shared" si="379"/>
        <v>127065.34273298382</v>
      </c>
    </row>
    <row r="357" spans="2:23" outlineLevel="1">
      <c r="G357" s="12">
        <f t="shared" si="380"/>
        <v>48.509589041095893</v>
      </c>
      <c r="H357" s="4">
        <v>260</v>
      </c>
      <c r="I357" s="4">
        <f t="shared" si="363"/>
        <v>22</v>
      </c>
      <c r="J357" s="30">
        <f t="shared" si="354"/>
        <v>48611</v>
      </c>
      <c r="K357" s="62">
        <f>+IF(OR(H357&gt;60,$C$21="nein"),IF($C$19="monatlich",$C$20,IF($C$19="quartalsweise",OR(MONTH(J357)={1,4,7,10})*$C$20,IF($C$19="jährlich",(MONTH(J357)=7)*$C$20))),IF($C$19="monatlich",$C$22,IF($C$19="quartalsweise",OR(MONTH(J357)={1,4,7,10})*$C$22,IF($C$19="jährlich",(MONTH(J357)=7)*$C$22))))</f>
        <v>0</v>
      </c>
      <c r="L357" s="66">
        <f t="shared" si="372"/>
        <v>0</v>
      </c>
      <c r="M357" s="62">
        <f t="shared" si="373"/>
        <v>0</v>
      </c>
      <c r="N357" s="67">
        <f>+IF(AND($C$19="monatlich",K357&lt;$C$20),$C$20-K357,IF(AND($C$19="quartalsweise",OR(MONTH(J357)={1,4,7,10}),K357&lt;$C$20),$C$20-K357,IF(AND($C$19="jährlich",MONTH(J357)=7,K357&lt;$C$20),$C$20-K357,0)))</f>
        <v>0</v>
      </c>
      <c r="O357" s="67">
        <v>0</v>
      </c>
      <c r="P357" s="67">
        <v>0</v>
      </c>
      <c r="Q357" s="63">
        <f t="shared" si="374"/>
        <v>0</v>
      </c>
      <c r="R357" s="68">
        <f t="shared" si="375"/>
        <v>0</v>
      </c>
      <c r="S357" s="69">
        <f t="shared" si="345"/>
        <v>89193.649196675862</v>
      </c>
      <c r="T357" s="68">
        <f t="shared" si="376"/>
        <v>0</v>
      </c>
      <c r="U357" s="66">
        <f t="shared" si="377"/>
        <v>-103.24059097054935</v>
      </c>
      <c r="V357" s="68">
        <f t="shared" si="378"/>
        <v>530.43892805409928</v>
      </c>
      <c r="W357" s="66">
        <f t="shared" si="379"/>
        <v>127492.54107006735</v>
      </c>
    </row>
    <row r="358" spans="2:23" outlineLevel="1">
      <c r="G358" s="12">
        <f t="shared" si="380"/>
        <v>48.586301369863016</v>
      </c>
      <c r="H358" s="4">
        <v>261</v>
      </c>
      <c r="I358" s="4">
        <f t="shared" si="363"/>
        <v>22</v>
      </c>
      <c r="J358" s="30">
        <f t="shared" si="354"/>
        <v>48639</v>
      </c>
      <c r="K358" s="62">
        <f>+IF(OR(H358&gt;60,$C$21="nein"),IF($C$19="monatlich",$C$20,IF($C$19="quartalsweise",OR(MONTH(J358)={1,4,7,10})*$C$20,IF($C$19="jährlich",(MONTH(J358)=7)*$C$20))),IF($C$19="monatlich",$C$22,IF($C$19="quartalsweise",OR(MONTH(J358)={1,4,7,10})*$C$22,IF($C$19="jährlich",(MONTH(J358)=7)*$C$22))))</f>
        <v>0</v>
      </c>
      <c r="L358" s="66">
        <f t="shared" si="372"/>
        <v>0</v>
      </c>
      <c r="M358" s="62">
        <f t="shared" si="373"/>
        <v>0</v>
      </c>
      <c r="N358" s="67">
        <f>+IF(AND($C$19="monatlich",K358&lt;$C$20),$C$20-K358,IF(AND($C$19="quartalsweise",OR(MONTH(J358)={1,4,7,10}),K358&lt;$C$20),$C$20-K358,IF(AND($C$19="jährlich",MONTH(J358)=7,K358&lt;$C$20),$C$20-K358,0)))-$C$67/100*SUM(Q340:Q348,Q350:Q352)-$C$66/100*SUM(L340:L348,L350:L352)</f>
        <v>8.1052631578947363</v>
      </c>
      <c r="O358" s="67">
        <v>0</v>
      </c>
      <c r="P358" s="67">
        <v>0</v>
      </c>
      <c r="Q358" s="63">
        <f t="shared" si="374"/>
        <v>-0.40526315789473683</v>
      </c>
      <c r="R358" s="68">
        <f t="shared" si="375"/>
        <v>8.1052631578947363</v>
      </c>
      <c r="S358" s="69">
        <f t="shared" si="345"/>
        <v>89201.754459833755</v>
      </c>
      <c r="T358" s="68">
        <f t="shared" si="376"/>
        <v>0</v>
      </c>
      <c r="U358" s="66">
        <f t="shared" si="377"/>
        <v>-103.58768961942972</v>
      </c>
      <c r="V358" s="68">
        <f t="shared" si="378"/>
        <v>532.21892112528064</v>
      </c>
      <c r="W358" s="66">
        <f t="shared" si="379"/>
        <v>127928.87230157321</v>
      </c>
    </row>
    <row r="359" spans="2:23" outlineLevel="1">
      <c r="G359" s="12">
        <f t="shared" si="380"/>
        <v>48.671232876712331</v>
      </c>
      <c r="H359" s="4">
        <v>262</v>
      </c>
      <c r="I359" s="4">
        <f t="shared" si="363"/>
        <v>22</v>
      </c>
      <c r="J359" s="30">
        <f t="shared" si="354"/>
        <v>48670</v>
      </c>
      <c r="K359" s="62">
        <f>+IF(OR(H359&gt;60,$C$21="nein"),IF($C$19="monatlich",$C$20,IF($C$19="quartalsweise",OR(MONTH(J359)={1,4,7,10})*$C$20,IF($C$19="jährlich",(MONTH(J359)=7)*$C$20))),IF($C$19="monatlich",$C$22,IF($C$19="quartalsweise",OR(MONTH(J359)={1,4,7,10})*$C$22,IF($C$19="jährlich",(MONTH(J359)=7)*$C$22))))</f>
        <v>900</v>
      </c>
      <c r="L359" s="66">
        <f t="shared" si="372"/>
        <v>0</v>
      </c>
      <c r="M359" s="62">
        <f t="shared" si="373"/>
        <v>154</v>
      </c>
      <c r="N359" s="67">
        <f>+IF(AND($C$19="monatlich",K359&lt;$C$20),$C$20-K359,IF(AND($C$19="quartalsweise",OR(MONTH(J359)={1,4,7,10}),K359&lt;$C$20),$C$20-K359,IF(AND($C$19="jährlich",MONTH(J359)=7,K359&lt;$C$20),$C$20-K359,0)))</f>
        <v>0</v>
      </c>
      <c r="O359" s="67">
        <v>0</v>
      </c>
      <c r="P359" s="67">
        <v>0</v>
      </c>
      <c r="Q359" s="63">
        <f t="shared" si="374"/>
        <v>-7.7</v>
      </c>
      <c r="R359" s="68">
        <f t="shared" si="375"/>
        <v>1054</v>
      </c>
      <c r="S359" s="69">
        <f t="shared" si="345"/>
        <v>90255.754459833755</v>
      </c>
      <c r="T359" s="68">
        <f t="shared" si="376"/>
        <v>0</v>
      </c>
      <c r="U359" s="66">
        <f t="shared" si="377"/>
        <v>-103.94220874502822</v>
      </c>
      <c r="V359" s="68">
        <f t="shared" si="378"/>
        <v>534.03696792322171</v>
      </c>
      <c r="W359" s="66">
        <f t="shared" si="379"/>
        <v>129405.26706075142</v>
      </c>
    </row>
    <row r="360" spans="2:23" outlineLevel="1">
      <c r="G360" s="12">
        <f t="shared" si="380"/>
        <v>48.753424657534246</v>
      </c>
      <c r="H360" s="4">
        <v>263</v>
      </c>
      <c r="I360" s="4">
        <f t="shared" si="363"/>
        <v>22</v>
      </c>
      <c r="J360" s="30">
        <f t="shared" si="354"/>
        <v>48700</v>
      </c>
      <c r="K360" s="62">
        <f>+IF(OR(H360&gt;60,$C$21="nein"),IF($C$19="monatlich",$C$20,IF($C$19="quartalsweise",OR(MONTH(J360)={1,4,7,10})*$C$20,IF($C$19="jährlich",(MONTH(J360)=7)*$C$20))),IF($C$19="monatlich",$C$22,IF($C$19="quartalsweise",OR(MONTH(J360)={1,4,7,10})*$C$22,IF($C$19="jährlich",(MONTH(J360)=7)*$C$22))))</f>
        <v>0</v>
      </c>
      <c r="L360" s="66">
        <f t="shared" si="372"/>
        <v>0</v>
      </c>
      <c r="M360" s="62">
        <f t="shared" si="373"/>
        <v>0</v>
      </c>
      <c r="N360" s="67">
        <f>+IF(AND($C$19="monatlich",K360&lt;$C$20),$C$20-K360,IF(AND($C$19="quartalsweise",OR(MONTH(J360)={1,4,7,10}),K360&lt;$C$20),$C$20-K360,IF(AND($C$19="jährlich",MONTH(J360)=7,K360&lt;$C$20),$C$20-K360,0)))</f>
        <v>0</v>
      </c>
      <c r="O360" s="67">
        <v>0</v>
      </c>
      <c r="P360" s="67">
        <v>0</v>
      </c>
      <c r="Q360" s="63">
        <f t="shared" si="374"/>
        <v>0</v>
      </c>
      <c r="R360" s="68">
        <f t="shared" si="375"/>
        <v>0</v>
      </c>
      <c r="S360" s="69">
        <f t="shared" si="345"/>
        <v>90255.754459833755</v>
      </c>
      <c r="T360" s="68">
        <f t="shared" si="376"/>
        <v>0</v>
      </c>
      <c r="U360" s="66">
        <f t="shared" si="377"/>
        <v>-105.14177948686051</v>
      </c>
      <c r="V360" s="68">
        <f t="shared" si="378"/>
        <v>540.18861275313088</v>
      </c>
      <c r="W360" s="66">
        <f t="shared" si="379"/>
        <v>129840.31389401769</v>
      </c>
    </row>
    <row r="361" spans="2:23" outlineLevel="1">
      <c r="G361" s="13">
        <f t="shared" si="380"/>
        <v>48.838356164383562</v>
      </c>
      <c r="H361" s="6">
        <v>264</v>
      </c>
      <c r="I361" s="6">
        <f t="shared" si="363"/>
        <v>22</v>
      </c>
      <c r="J361" s="31">
        <f t="shared" si="354"/>
        <v>48731</v>
      </c>
      <c r="K361" s="62">
        <f>+IF(OR(H361&gt;60,$C$21="nein"),IF($C$19="monatlich",$C$20,IF($C$19="quartalsweise",OR(MONTH(J361)={1,4,7,10})*$C$20,IF($C$19="jährlich",(MONTH(J361)=7)*$C$20))),IF($C$19="monatlich",$C$22,IF($C$19="quartalsweise",OR(MONTH(J361)={1,4,7,10})*$C$22,IF($C$19="jährlich",(MONTH(J361)=7)*$C$22))))</f>
        <v>0</v>
      </c>
      <c r="L361" s="70">
        <f t="shared" si="372"/>
        <v>0</v>
      </c>
      <c r="M361" s="62">
        <f t="shared" si="373"/>
        <v>0</v>
      </c>
      <c r="N361" s="71">
        <f>+IF(AND($C$19="monatlich",K361&lt;$C$20),$C$20-K361,IF(AND($C$19="quartalsweise",OR(MONTH(J361)={1,4,7,10}),K361&lt;$C$20),$C$20-K361,IF(AND($C$19="jährlich",MONTH(J361)=7,K361&lt;$C$20),$C$20-K361,0)))</f>
        <v>0</v>
      </c>
      <c r="O361" s="71">
        <v>0</v>
      </c>
      <c r="P361" s="71">
        <v>0</v>
      </c>
      <c r="Q361" s="63">
        <f t="shared" si="374"/>
        <v>0</v>
      </c>
      <c r="R361" s="72">
        <f t="shared" si="375"/>
        <v>0</v>
      </c>
      <c r="S361" s="73">
        <f t="shared" si="345"/>
        <v>90255.754459833755</v>
      </c>
      <c r="T361" s="72">
        <f t="shared" si="376"/>
        <v>0</v>
      </c>
      <c r="U361" s="70">
        <f t="shared" si="377"/>
        <v>-105.49525503888937</v>
      </c>
      <c r="V361" s="72">
        <f t="shared" si="378"/>
        <v>542.00130789174034</v>
      </c>
      <c r="W361" s="70">
        <f t="shared" si="379"/>
        <v>130276.81994687054</v>
      </c>
    </row>
    <row r="362" spans="2:23" s="5" customFormat="1" ht="15">
      <c r="B362" s="17"/>
      <c r="G362" s="115">
        <f t="shared" si="380"/>
        <v>48.838356164383562</v>
      </c>
      <c r="H362" s="116" t="str">
        <f>H350&amp;" - "&amp;H361</f>
        <v>253 - 264</v>
      </c>
      <c r="I362" s="117">
        <f t="shared" si="363"/>
        <v>22</v>
      </c>
      <c r="J362" s="118">
        <f t="shared" ref="J362" si="381">+J361</f>
        <v>48731</v>
      </c>
      <c r="K362" s="119">
        <f t="shared" ref="K362:L362" si="382">SUM(K350:K361)</f>
        <v>3600</v>
      </c>
      <c r="L362" s="120">
        <f t="shared" si="382"/>
        <v>0</v>
      </c>
      <c r="M362" s="119">
        <f t="shared" ref="M362" si="383">SUM(M350:M361)</f>
        <v>154</v>
      </c>
      <c r="N362" s="121">
        <f t="shared" si="315"/>
        <v>8.1052631578947363</v>
      </c>
      <c r="O362" s="121">
        <f t="shared" ref="O362" si="384">SUM(O350:O361)</f>
        <v>0</v>
      </c>
      <c r="P362" s="121">
        <f t="shared" ref="P362:Q375" si="385">SUM(P350:P361)</f>
        <v>0</v>
      </c>
      <c r="Q362" s="120">
        <f t="shared" si="385"/>
        <v>-8.1052631578947363</v>
      </c>
      <c r="R362" s="119">
        <f t="shared" ref="R362" si="386">SUM(R350:R361)</f>
        <v>3762.1052631578946</v>
      </c>
      <c r="S362" s="122">
        <f t="shared" si="345"/>
        <v>90255.754459833755</v>
      </c>
      <c r="T362" s="119">
        <f t="shared" ref="T362:V362" si="387">SUM(T350:T361)</f>
        <v>-15.4</v>
      </c>
      <c r="U362" s="120">
        <f t="shared" si="387"/>
        <v>-1225.8638805226183</v>
      </c>
      <c r="V362" s="119">
        <f t="shared" si="387"/>
        <v>6298.4814385775298</v>
      </c>
      <c r="W362" s="123">
        <f t="shared" ref="W362" si="388">+W361</f>
        <v>130276.81994687054</v>
      </c>
    </row>
    <row r="363" spans="2:23" outlineLevel="1">
      <c r="G363" s="11">
        <f t="shared" si="380"/>
        <v>48.920547945205477</v>
      </c>
      <c r="H363" s="2">
        <v>265</v>
      </c>
      <c r="I363" s="2">
        <f t="shared" si="363"/>
        <v>23</v>
      </c>
      <c r="J363" s="29">
        <f t="shared" si="354"/>
        <v>48761</v>
      </c>
      <c r="K363" s="62">
        <f>+IF(OR(H363&gt;60,$C$21="nein"),IF($C$19="monatlich",$C$20,IF($C$19="quartalsweise",OR(MONTH(J363)={1,4,7,10})*$C$20,IF($C$19="jährlich",(MONTH(J363)=7)*$C$20))),IF($C$19="monatlich",$C$22,IF($C$19="quartalsweise",OR(MONTH(J363)={1,4,7,10})*$C$22,IF($C$19="jährlich",(MONTH(J363)=7)*$C$22))))</f>
        <v>900</v>
      </c>
      <c r="L363" s="63">
        <f t="shared" ref="L363:L374" si="389">-IF(H363&gt;60,0,IF($C$19="monatlich",$C$52,IF(AND($C$19="quartalsweise",K363&gt;0),$C$52,IF(AND($C$19="jährlich",K363&gt;0),$C$51,0))))</f>
        <v>0</v>
      </c>
      <c r="M363" s="62">
        <f t="shared" ref="M363:M374" si="390">+IF(MONTH(J363)=4,$C$25,0)</f>
        <v>0</v>
      </c>
      <c r="N363" s="64">
        <f>+IF(AND($C$19="monatlich",K363&lt;$C$20),$C$20-K363,IF(AND($C$19="quartalsweise",OR(MONTH(J363)={1,4,7,10}),K363&lt;$C$20),$C$20-K363,IF(AND($C$19="jährlich",MONTH(J363)=7,K363&lt;$C$20),$C$20-K363,0)))</f>
        <v>0</v>
      </c>
      <c r="O363" s="64">
        <v>0</v>
      </c>
      <c r="P363" s="64">
        <v>0</v>
      </c>
      <c r="Q363" s="63">
        <f t="shared" ref="Q363:Q374" si="391">-SUM(M363:P363)*$C$47/100</f>
        <v>0</v>
      </c>
      <c r="R363" s="62">
        <f t="shared" ref="R363" si="392">+SUM(K363,M363:P363)</f>
        <v>900</v>
      </c>
      <c r="S363" s="65">
        <f t="shared" si="345"/>
        <v>91155.754459833755</v>
      </c>
      <c r="T363" s="62">
        <f t="shared" ref="T363:T374" si="393">-IF(MONTH(J363)=12,$C$55,0)</f>
        <v>0</v>
      </c>
      <c r="U363" s="63">
        <f t="shared" ref="U363:U374" si="394">-W362*($D$43/100/12)</f>
        <v>-105.8499162068323</v>
      </c>
      <c r="V363" s="62">
        <f t="shared" ref="V363:V374" si="395">+(1+(IF($C$71="pauschal",$C$72/100/12,VLOOKUP(I362,$J$5:$L$44,3,FALSE)/100/12)*W362))</f>
        <v>543.82008311196057</v>
      </c>
      <c r="W363" s="63">
        <f t="shared" ref="W363:W374" si="396">+SUM(W362,R363,L363,Q363,T363:V363)</f>
        <v>131614.79011377567</v>
      </c>
    </row>
    <row r="364" spans="2:23" outlineLevel="1">
      <c r="G364" s="12">
        <f t="shared" si="380"/>
        <v>49.005479452054793</v>
      </c>
      <c r="H364" s="4">
        <v>266</v>
      </c>
      <c r="I364" s="4">
        <f t="shared" si="363"/>
        <v>23</v>
      </c>
      <c r="J364" s="30">
        <f t="shared" si="354"/>
        <v>48792</v>
      </c>
      <c r="K364" s="62">
        <f>+IF(OR(H364&gt;60,$C$21="nein"),IF($C$19="monatlich",$C$20,IF($C$19="quartalsweise",OR(MONTH(J364)={1,4,7,10})*$C$20,IF($C$19="jährlich",(MONTH(J364)=7)*$C$20))),IF($C$19="monatlich",$C$22,IF($C$19="quartalsweise",OR(MONTH(J364)={1,4,7,10})*$C$22,IF($C$19="jährlich",(MONTH(J364)=7)*$C$22))))</f>
        <v>0</v>
      </c>
      <c r="L364" s="66">
        <f t="shared" si="389"/>
        <v>0</v>
      </c>
      <c r="M364" s="62">
        <f t="shared" si="390"/>
        <v>0</v>
      </c>
      <c r="N364" s="67">
        <f>+IF(AND($C$19="monatlich",K364&lt;$C$20),$C$20-K364,IF(AND($C$19="quartalsweise",OR(MONTH(J364)={1,4,7,10}),K364&lt;$C$20),$C$20-K364,IF(AND($C$19="jährlich",MONTH(J364)=7,K364&lt;$C$20),$C$20-K364,0)))</f>
        <v>0</v>
      </c>
      <c r="O364" s="67">
        <v>0</v>
      </c>
      <c r="P364" s="67">
        <v>0</v>
      </c>
      <c r="Q364" s="63">
        <f t="shared" si="391"/>
        <v>0</v>
      </c>
      <c r="R364" s="68">
        <f t="shared" si="375"/>
        <v>0</v>
      </c>
      <c r="S364" s="69">
        <f t="shared" si="345"/>
        <v>91155.754459833755</v>
      </c>
      <c r="T364" s="68">
        <f t="shared" si="393"/>
        <v>0</v>
      </c>
      <c r="U364" s="66">
        <f t="shared" si="394"/>
        <v>-106.93701696744273</v>
      </c>
      <c r="V364" s="68">
        <f t="shared" si="395"/>
        <v>549.39495880739867</v>
      </c>
      <c r="W364" s="66">
        <f t="shared" si="396"/>
        <v>132057.24805561561</v>
      </c>
    </row>
    <row r="365" spans="2:23" outlineLevel="1">
      <c r="G365" s="12">
        <f t="shared" si="380"/>
        <v>49.090410958904108</v>
      </c>
      <c r="H365" s="4">
        <v>267</v>
      </c>
      <c r="I365" s="4">
        <f t="shared" si="363"/>
        <v>23</v>
      </c>
      <c r="J365" s="30">
        <f t="shared" si="354"/>
        <v>48823</v>
      </c>
      <c r="K365" s="62">
        <f>+IF(OR(H365&gt;60,$C$21="nein"),IF($C$19="monatlich",$C$20,IF($C$19="quartalsweise",OR(MONTH(J365)={1,4,7,10})*$C$20,IF($C$19="jährlich",(MONTH(J365)=7)*$C$20))),IF($C$19="monatlich",$C$22,IF($C$19="quartalsweise",OR(MONTH(J365)={1,4,7,10})*$C$22,IF($C$19="jährlich",(MONTH(J365)=7)*$C$22))))</f>
        <v>0</v>
      </c>
      <c r="L365" s="66">
        <f t="shared" si="389"/>
        <v>0</v>
      </c>
      <c r="M365" s="62">
        <f t="shared" si="390"/>
        <v>0</v>
      </c>
      <c r="N365" s="67">
        <f>+IF(AND($C$19="monatlich",K365&lt;$C$20),$C$20-K365,IF(AND($C$19="quartalsweise",OR(MONTH(J365)={1,4,7,10}),K365&lt;$C$20),$C$20-K365,IF(AND($C$19="jährlich",MONTH(J365)=7,K365&lt;$C$20),$C$20-K365,0)))</f>
        <v>0</v>
      </c>
      <c r="O365" s="67">
        <v>0</v>
      </c>
      <c r="P365" s="67">
        <v>0</v>
      </c>
      <c r="Q365" s="63">
        <f t="shared" si="391"/>
        <v>0</v>
      </c>
      <c r="R365" s="68">
        <f t="shared" si="375"/>
        <v>0</v>
      </c>
      <c r="S365" s="69">
        <f t="shared" si="345"/>
        <v>91155.754459833755</v>
      </c>
      <c r="T365" s="68">
        <f t="shared" si="393"/>
        <v>0</v>
      </c>
      <c r="U365" s="66">
        <f t="shared" si="394"/>
        <v>-107.29651404518768</v>
      </c>
      <c r="V365" s="68">
        <f t="shared" si="395"/>
        <v>551.23853356506504</v>
      </c>
      <c r="W365" s="66">
        <f t="shared" si="396"/>
        <v>132501.1900751355</v>
      </c>
    </row>
    <row r="366" spans="2:23" outlineLevel="1">
      <c r="G366" s="12">
        <f t="shared" si="380"/>
        <v>49.172602739726024</v>
      </c>
      <c r="H366" s="4">
        <v>268</v>
      </c>
      <c r="I366" s="4">
        <f t="shared" si="363"/>
        <v>23</v>
      </c>
      <c r="J366" s="30">
        <f t="shared" si="354"/>
        <v>48853</v>
      </c>
      <c r="K366" s="62">
        <f>+IF(OR(H366&gt;60,$C$21="nein"),IF($C$19="monatlich",$C$20,IF($C$19="quartalsweise",OR(MONTH(J366)={1,4,7,10})*$C$20,IF($C$19="jährlich",(MONTH(J366)=7)*$C$20))),IF($C$19="monatlich",$C$22,IF($C$19="quartalsweise",OR(MONTH(J366)={1,4,7,10})*$C$22,IF($C$19="jährlich",(MONTH(J366)=7)*$C$22))))</f>
        <v>900</v>
      </c>
      <c r="L366" s="66">
        <f t="shared" si="389"/>
        <v>0</v>
      </c>
      <c r="M366" s="62">
        <f t="shared" si="390"/>
        <v>0</v>
      </c>
      <c r="N366" s="67">
        <f>+IF(AND($C$19="monatlich",K366&lt;$C$20),$C$20-K366,IF(AND($C$19="quartalsweise",OR(MONTH(J366)={1,4,7,10}),K366&lt;$C$20),$C$20-K366,IF(AND($C$19="jährlich",MONTH(J366)=7,K366&lt;$C$20),$C$20-K366,0)))</f>
        <v>0</v>
      </c>
      <c r="O366" s="67">
        <v>0</v>
      </c>
      <c r="P366" s="67">
        <v>0</v>
      </c>
      <c r="Q366" s="63">
        <f t="shared" si="391"/>
        <v>0</v>
      </c>
      <c r="R366" s="68">
        <f t="shared" si="375"/>
        <v>900</v>
      </c>
      <c r="S366" s="69">
        <f t="shared" si="345"/>
        <v>92055.754459833755</v>
      </c>
      <c r="T366" s="68">
        <f t="shared" si="393"/>
        <v>0</v>
      </c>
      <c r="U366" s="66">
        <f t="shared" si="394"/>
        <v>-107.65721693604759</v>
      </c>
      <c r="V366" s="68">
        <f t="shared" si="395"/>
        <v>553.08829197973125</v>
      </c>
      <c r="W366" s="66">
        <f t="shared" si="396"/>
        <v>133846.62115017918</v>
      </c>
    </row>
    <row r="367" spans="2:23" outlineLevel="1">
      <c r="G367" s="12">
        <f t="shared" si="380"/>
        <v>49.257534246575339</v>
      </c>
      <c r="H367" s="4">
        <v>269</v>
      </c>
      <c r="I367" s="4">
        <f t="shared" si="363"/>
        <v>23</v>
      </c>
      <c r="J367" s="30">
        <f t="shared" si="354"/>
        <v>48884</v>
      </c>
      <c r="K367" s="62">
        <f>+IF(OR(H367&gt;60,$C$21="nein"),IF($C$19="monatlich",$C$20,IF($C$19="quartalsweise",OR(MONTH(J367)={1,4,7,10})*$C$20,IF($C$19="jährlich",(MONTH(J367)=7)*$C$20))),IF($C$19="monatlich",$C$22,IF($C$19="quartalsweise",OR(MONTH(J367)={1,4,7,10})*$C$22,IF($C$19="jährlich",(MONTH(J367)=7)*$C$22))))</f>
        <v>0</v>
      </c>
      <c r="L367" s="66">
        <f t="shared" si="389"/>
        <v>0</v>
      </c>
      <c r="M367" s="62">
        <f t="shared" si="390"/>
        <v>0</v>
      </c>
      <c r="N367" s="67">
        <f>+IF(AND($C$19="monatlich",K367&lt;$C$20),$C$20-K367,IF(AND($C$19="quartalsweise",OR(MONTH(J367)={1,4,7,10}),K367&lt;$C$20),$C$20-K367,IF(AND($C$19="jährlich",MONTH(J367)=7,K367&lt;$C$20),$C$20-K367,0)))</f>
        <v>0</v>
      </c>
      <c r="O367" s="67">
        <v>0</v>
      </c>
      <c r="P367" s="67">
        <v>0</v>
      </c>
      <c r="Q367" s="63">
        <f t="shared" si="391"/>
        <v>0</v>
      </c>
      <c r="R367" s="68">
        <f t="shared" si="375"/>
        <v>0</v>
      </c>
      <c r="S367" s="69">
        <f t="shared" si="345"/>
        <v>92055.754459833755</v>
      </c>
      <c r="T367" s="68">
        <f t="shared" si="393"/>
        <v>0</v>
      </c>
      <c r="U367" s="66">
        <f t="shared" si="394"/>
        <v>-108.75037968452058</v>
      </c>
      <c r="V367" s="68">
        <f t="shared" si="395"/>
        <v>558.69425479241329</v>
      </c>
      <c r="W367" s="66">
        <f t="shared" si="396"/>
        <v>134296.56502528707</v>
      </c>
    </row>
    <row r="368" spans="2:23" outlineLevel="1">
      <c r="G368" s="12">
        <f t="shared" si="380"/>
        <v>49.339726027397262</v>
      </c>
      <c r="H368" s="4">
        <v>270</v>
      </c>
      <c r="I368" s="4">
        <f t="shared" ref="I368:I374" si="397">+I355+1</f>
        <v>23</v>
      </c>
      <c r="J368" s="30">
        <f t="shared" si="354"/>
        <v>48914</v>
      </c>
      <c r="K368" s="62">
        <f>+IF(OR(H368&gt;60,$C$21="nein"),IF($C$19="monatlich",$C$20,IF($C$19="quartalsweise",OR(MONTH(J368)={1,4,7,10})*$C$20,IF($C$19="jährlich",(MONTH(J368)=7)*$C$20))),IF($C$19="monatlich",$C$22,IF($C$19="quartalsweise",OR(MONTH(J368)={1,4,7,10})*$C$22,IF($C$19="jährlich",(MONTH(J368)=7)*$C$22))))</f>
        <v>0</v>
      </c>
      <c r="L368" s="66">
        <f t="shared" si="389"/>
        <v>0</v>
      </c>
      <c r="M368" s="62">
        <f t="shared" si="390"/>
        <v>0</v>
      </c>
      <c r="N368" s="67">
        <f>+IF(AND($C$19="monatlich",K368&lt;$C$20),$C$20-K368,IF(AND($C$19="quartalsweise",OR(MONTH(J368)={1,4,7,10}),K368&lt;$C$20),$C$20-K368,IF(AND($C$19="jährlich",MONTH(J368)=7,K368&lt;$C$20),$C$20-K368,0)))</f>
        <v>0</v>
      </c>
      <c r="O368" s="67">
        <v>0</v>
      </c>
      <c r="P368" s="67">
        <v>0</v>
      </c>
      <c r="Q368" s="63">
        <f t="shared" si="391"/>
        <v>0</v>
      </c>
      <c r="R368" s="68">
        <f t="shared" si="375"/>
        <v>0</v>
      </c>
      <c r="S368" s="69">
        <f t="shared" si="345"/>
        <v>92055.754459833755</v>
      </c>
      <c r="T368" s="68">
        <f t="shared" si="393"/>
        <v>-15.4</v>
      </c>
      <c r="U368" s="66">
        <f t="shared" si="394"/>
        <v>-109.11595908304574</v>
      </c>
      <c r="V368" s="68">
        <f t="shared" si="395"/>
        <v>560.5690209386961</v>
      </c>
      <c r="W368" s="66">
        <f t="shared" si="396"/>
        <v>134732.61808714274</v>
      </c>
    </row>
    <row r="369" spans="2:23" outlineLevel="1">
      <c r="G369" s="12">
        <f t="shared" si="380"/>
        <v>49.424657534246577</v>
      </c>
      <c r="H369" s="4">
        <v>271</v>
      </c>
      <c r="I369" s="4">
        <f t="shared" si="397"/>
        <v>23</v>
      </c>
      <c r="J369" s="30">
        <f t="shared" si="354"/>
        <v>48945</v>
      </c>
      <c r="K369" s="62">
        <f>+IF(OR(H369&gt;60,$C$21="nein"),IF($C$19="monatlich",$C$20,IF($C$19="quartalsweise",OR(MONTH(J369)={1,4,7,10})*$C$20,IF($C$19="jährlich",(MONTH(J369)=7)*$C$20))),IF($C$19="monatlich",$C$22,IF($C$19="quartalsweise",OR(MONTH(J369)={1,4,7,10})*$C$22,IF($C$19="jährlich",(MONTH(J369)=7)*$C$22))))</f>
        <v>900</v>
      </c>
      <c r="L369" s="66">
        <f t="shared" si="389"/>
        <v>0</v>
      </c>
      <c r="M369" s="62">
        <f t="shared" si="390"/>
        <v>0</v>
      </c>
      <c r="N369" s="67">
        <f>+IF(AND($C$19="monatlich",K369&lt;$C$20),$C$20-K369,IF(AND($C$19="quartalsweise",OR(MONTH(J369)={1,4,7,10}),K369&lt;$C$20),$C$20-K369,IF(AND($C$19="jährlich",MONTH(J369)=7,K369&lt;$C$20),$C$20-K369,0)))</f>
        <v>0</v>
      </c>
      <c r="O369" s="67">
        <v>0</v>
      </c>
      <c r="P369" s="67">
        <v>0</v>
      </c>
      <c r="Q369" s="63">
        <f t="shared" si="391"/>
        <v>0</v>
      </c>
      <c r="R369" s="68">
        <f t="shared" si="375"/>
        <v>900</v>
      </c>
      <c r="S369" s="69">
        <f t="shared" si="345"/>
        <v>92955.754459833755</v>
      </c>
      <c r="T369" s="68">
        <f t="shared" si="393"/>
        <v>0</v>
      </c>
      <c r="U369" s="66">
        <f t="shared" si="394"/>
        <v>-109.47025219580347</v>
      </c>
      <c r="V369" s="68">
        <f t="shared" si="395"/>
        <v>562.38590869642803</v>
      </c>
      <c r="W369" s="66">
        <f t="shared" si="396"/>
        <v>136085.53374364335</v>
      </c>
    </row>
    <row r="370" spans="2:23" outlineLevel="1">
      <c r="G370" s="12">
        <f t="shared" si="380"/>
        <v>49.509589041095893</v>
      </c>
      <c r="H370" s="4">
        <v>272</v>
      </c>
      <c r="I370" s="4">
        <f t="shared" si="397"/>
        <v>23</v>
      </c>
      <c r="J370" s="30">
        <f t="shared" si="354"/>
        <v>48976</v>
      </c>
      <c r="K370" s="62">
        <f>+IF(OR(H370&gt;60,$C$21="nein"),IF($C$19="monatlich",$C$20,IF($C$19="quartalsweise",OR(MONTH(J370)={1,4,7,10})*$C$20,IF($C$19="jährlich",(MONTH(J370)=7)*$C$20))),IF($C$19="monatlich",$C$22,IF($C$19="quartalsweise",OR(MONTH(J370)={1,4,7,10})*$C$22,IF($C$19="jährlich",(MONTH(J370)=7)*$C$22))))</f>
        <v>0</v>
      </c>
      <c r="L370" s="66">
        <f t="shared" si="389"/>
        <v>0</v>
      </c>
      <c r="M370" s="62">
        <f t="shared" si="390"/>
        <v>0</v>
      </c>
      <c r="N370" s="67">
        <f>+IF(AND($C$19="monatlich",K370&lt;$C$20),$C$20-K370,IF(AND($C$19="quartalsweise",OR(MONTH(J370)={1,4,7,10}),K370&lt;$C$20),$C$20-K370,IF(AND($C$19="jährlich",MONTH(J370)=7,K370&lt;$C$20),$C$20-K370,0)))</f>
        <v>0</v>
      </c>
      <c r="O370" s="67">
        <v>0</v>
      </c>
      <c r="P370" s="67">
        <v>0</v>
      </c>
      <c r="Q370" s="63">
        <f t="shared" si="391"/>
        <v>0</v>
      </c>
      <c r="R370" s="68">
        <f t="shared" si="375"/>
        <v>0</v>
      </c>
      <c r="S370" s="69">
        <f t="shared" si="345"/>
        <v>92955.754459833755</v>
      </c>
      <c r="T370" s="68">
        <f t="shared" si="393"/>
        <v>0</v>
      </c>
      <c r="U370" s="66">
        <f t="shared" si="394"/>
        <v>-110.56949616671021</v>
      </c>
      <c r="V370" s="68">
        <f t="shared" si="395"/>
        <v>568.02305726518057</v>
      </c>
      <c r="W370" s="66">
        <f t="shared" si="396"/>
        <v>136542.98730474181</v>
      </c>
    </row>
    <row r="371" spans="2:23" outlineLevel="1">
      <c r="G371" s="12">
        <f t="shared" si="380"/>
        <v>49.586301369863016</v>
      </c>
      <c r="H371" s="4">
        <v>273</v>
      </c>
      <c r="I371" s="4">
        <f t="shared" si="397"/>
        <v>23</v>
      </c>
      <c r="J371" s="30">
        <f t="shared" si="354"/>
        <v>49004</v>
      </c>
      <c r="K371" s="62">
        <f>+IF(OR(H371&gt;60,$C$21="nein"),IF($C$19="monatlich",$C$20,IF($C$19="quartalsweise",OR(MONTH(J371)={1,4,7,10})*$C$20,IF($C$19="jährlich",(MONTH(J371)=7)*$C$20))),IF($C$19="monatlich",$C$22,IF($C$19="quartalsweise",OR(MONTH(J371)={1,4,7,10})*$C$22,IF($C$19="jährlich",(MONTH(J371)=7)*$C$22))))</f>
        <v>0</v>
      </c>
      <c r="L371" s="66">
        <f t="shared" si="389"/>
        <v>0</v>
      </c>
      <c r="M371" s="62">
        <f t="shared" si="390"/>
        <v>0</v>
      </c>
      <c r="N371" s="67">
        <f>+IF(AND($C$19="monatlich",K371&lt;$C$20),$C$20-K371,IF(AND($C$19="quartalsweise",OR(MONTH(J371)={1,4,7,10}),K371&lt;$C$20),$C$20-K371,IF(AND($C$19="jährlich",MONTH(J371)=7,K371&lt;$C$20),$C$20-K371,0)))-$C$67/100*SUM(Q353:Q361,Q363:Q365)-$C$66/100*SUM(L353:L361,L363:L365)</f>
        <v>8.1052631578947363</v>
      </c>
      <c r="O371" s="67">
        <v>0</v>
      </c>
      <c r="P371" s="67">
        <v>0</v>
      </c>
      <c r="Q371" s="63">
        <f t="shared" si="391"/>
        <v>-0.40526315789473683</v>
      </c>
      <c r="R371" s="68">
        <f t="shared" si="375"/>
        <v>8.1052631578947363</v>
      </c>
      <c r="S371" s="69">
        <f t="shared" si="345"/>
        <v>92963.859722991649</v>
      </c>
      <c r="T371" s="68">
        <f t="shared" si="393"/>
        <v>0</v>
      </c>
      <c r="U371" s="66">
        <f t="shared" si="394"/>
        <v>-110.94117718510272</v>
      </c>
      <c r="V371" s="68">
        <f t="shared" si="395"/>
        <v>569.92911376975758</v>
      </c>
      <c r="W371" s="66">
        <f t="shared" si="396"/>
        <v>137009.67524132648</v>
      </c>
    </row>
    <row r="372" spans="2:23" outlineLevel="1">
      <c r="G372" s="12">
        <f t="shared" si="380"/>
        <v>49.671232876712331</v>
      </c>
      <c r="H372" s="4">
        <v>274</v>
      </c>
      <c r="I372" s="4">
        <f t="shared" si="397"/>
        <v>23</v>
      </c>
      <c r="J372" s="30">
        <f t="shared" si="354"/>
        <v>49035</v>
      </c>
      <c r="K372" s="62">
        <f>+IF(OR(H372&gt;60,$C$21="nein"),IF($C$19="monatlich",$C$20,IF($C$19="quartalsweise",OR(MONTH(J372)={1,4,7,10})*$C$20,IF($C$19="jährlich",(MONTH(J372)=7)*$C$20))),IF($C$19="monatlich",$C$22,IF($C$19="quartalsweise",OR(MONTH(J372)={1,4,7,10})*$C$22,IF($C$19="jährlich",(MONTH(J372)=7)*$C$22))))</f>
        <v>900</v>
      </c>
      <c r="L372" s="66">
        <f t="shared" si="389"/>
        <v>0</v>
      </c>
      <c r="M372" s="62">
        <f t="shared" si="390"/>
        <v>154</v>
      </c>
      <c r="N372" s="67">
        <f>+IF(AND($C$19="monatlich",K372&lt;$C$20),$C$20-K372,IF(AND($C$19="quartalsweise",OR(MONTH(J372)={1,4,7,10}),K372&lt;$C$20),$C$20-K372,IF(AND($C$19="jährlich",MONTH(J372)=7,K372&lt;$C$20),$C$20-K372,0)))</f>
        <v>0</v>
      </c>
      <c r="O372" s="67">
        <v>0</v>
      </c>
      <c r="P372" s="67">
        <v>0</v>
      </c>
      <c r="Q372" s="63">
        <f t="shared" si="391"/>
        <v>-7.7</v>
      </c>
      <c r="R372" s="68">
        <f t="shared" si="375"/>
        <v>1054</v>
      </c>
      <c r="S372" s="69">
        <f t="shared" si="345"/>
        <v>94017.859722991649</v>
      </c>
      <c r="T372" s="68">
        <f t="shared" si="393"/>
        <v>0</v>
      </c>
      <c r="U372" s="66">
        <f t="shared" si="394"/>
        <v>-111.32036113357776</v>
      </c>
      <c r="V372" s="68">
        <f t="shared" si="395"/>
        <v>571.87364683886028</v>
      </c>
      <c r="W372" s="66">
        <f t="shared" si="396"/>
        <v>138516.52852703174</v>
      </c>
    </row>
    <row r="373" spans="2:23" outlineLevel="1">
      <c r="G373" s="12">
        <f t="shared" si="380"/>
        <v>49.753424657534246</v>
      </c>
      <c r="H373" s="4">
        <v>275</v>
      </c>
      <c r="I373" s="4">
        <f t="shared" si="397"/>
        <v>23</v>
      </c>
      <c r="J373" s="30">
        <f t="shared" si="354"/>
        <v>49065</v>
      </c>
      <c r="K373" s="62">
        <f>+IF(OR(H373&gt;60,$C$21="nein"),IF($C$19="monatlich",$C$20,IF($C$19="quartalsweise",OR(MONTH(J373)={1,4,7,10})*$C$20,IF($C$19="jährlich",(MONTH(J373)=7)*$C$20))),IF($C$19="monatlich",$C$22,IF($C$19="quartalsweise",OR(MONTH(J373)={1,4,7,10})*$C$22,IF($C$19="jährlich",(MONTH(J373)=7)*$C$22))))</f>
        <v>0</v>
      </c>
      <c r="L373" s="66">
        <f t="shared" si="389"/>
        <v>0</v>
      </c>
      <c r="M373" s="62">
        <f t="shared" si="390"/>
        <v>0</v>
      </c>
      <c r="N373" s="67">
        <f>+IF(AND($C$19="monatlich",K373&lt;$C$20),$C$20-K373,IF(AND($C$19="quartalsweise",OR(MONTH(J373)={1,4,7,10}),K373&lt;$C$20),$C$20-K373,IF(AND($C$19="jährlich",MONTH(J373)=7,K373&lt;$C$20),$C$20-K373,0)))</f>
        <v>0</v>
      </c>
      <c r="O373" s="67">
        <v>0</v>
      </c>
      <c r="P373" s="67">
        <v>0</v>
      </c>
      <c r="Q373" s="63">
        <f t="shared" si="391"/>
        <v>0</v>
      </c>
      <c r="R373" s="68">
        <f t="shared" si="375"/>
        <v>0</v>
      </c>
      <c r="S373" s="69">
        <f t="shared" si="345"/>
        <v>94017.859722991649</v>
      </c>
      <c r="T373" s="68">
        <f t="shared" si="393"/>
        <v>0</v>
      </c>
      <c r="U373" s="66">
        <f t="shared" si="394"/>
        <v>-112.54467942821329</v>
      </c>
      <c r="V373" s="68">
        <f t="shared" si="395"/>
        <v>578.15220219596563</v>
      </c>
      <c r="W373" s="66">
        <f t="shared" si="396"/>
        <v>138982.13604979948</v>
      </c>
    </row>
    <row r="374" spans="2:23" outlineLevel="1">
      <c r="G374" s="13">
        <f t="shared" si="380"/>
        <v>49.838356164383562</v>
      </c>
      <c r="H374" s="6">
        <v>276</v>
      </c>
      <c r="I374" s="6">
        <f t="shared" si="397"/>
        <v>23</v>
      </c>
      <c r="J374" s="31">
        <f t="shared" si="354"/>
        <v>49096</v>
      </c>
      <c r="K374" s="62">
        <f>+IF(OR(H374&gt;60,$C$21="nein"),IF($C$19="monatlich",$C$20,IF($C$19="quartalsweise",OR(MONTH(J374)={1,4,7,10})*$C$20,IF($C$19="jährlich",(MONTH(J374)=7)*$C$20))),IF($C$19="monatlich",$C$22,IF($C$19="quartalsweise",OR(MONTH(J374)={1,4,7,10})*$C$22,IF($C$19="jährlich",(MONTH(J374)=7)*$C$22))))</f>
        <v>0</v>
      </c>
      <c r="L374" s="70">
        <f t="shared" si="389"/>
        <v>0</v>
      </c>
      <c r="M374" s="62">
        <f t="shared" si="390"/>
        <v>0</v>
      </c>
      <c r="N374" s="71">
        <f>+IF(AND($C$19="monatlich",K374&lt;$C$20),$C$20-K374,IF(AND($C$19="quartalsweise",OR(MONTH(J374)={1,4,7,10}),K374&lt;$C$20),$C$20-K374,IF(AND($C$19="jährlich",MONTH(J374)=7,K374&lt;$C$20),$C$20-K374,0)))</f>
        <v>0</v>
      </c>
      <c r="O374" s="71">
        <v>0</v>
      </c>
      <c r="P374" s="71">
        <v>0</v>
      </c>
      <c r="Q374" s="63">
        <f t="shared" si="391"/>
        <v>0</v>
      </c>
      <c r="R374" s="72">
        <f t="shared" si="375"/>
        <v>0</v>
      </c>
      <c r="S374" s="73">
        <f t="shared" si="345"/>
        <v>94017.859722991649</v>
      </c>
      <c r="T374" s="72">
        <f t="shared" si="393"/>
        <v>0</v>
      </c>
      <c r="U374" s="70">
        <f t="shared" si="394"/>
        <v>-112.92298554046207</v>
      </c>
      <c r="V374" s="72">
        <f t="shared" si="395"/>
        <v>580.0922335408311</v>
      </c>
      <c r="W374" s="70">
        <f t="shared" si="396"/>
        <v>139449.30529779984</v>
      </c>
    </row>
    <row r="375" spans="2:23" s="5" customFormat="1" ht="15">
      <c r="B375" s="17"/>
      <c r="G375" s="115">
        <f t="shared" si="380"/>
        <v>49.838356164383562</v>
      </c>
      <c r="H375" s="116" t="str">
        <f>H363&amp;" - "&amp;H374</f>
        <v>265 - 276</v>
      </c>
      <c r="I375" s="117">
        <f t="shared" ref="I375:I406" si="398">+I362+1</f>
        <v>23</v>
      </c>
      <c r="J375" s="118">
        <f t="shared" ref="J375" si="399">+J374</f>
        <v>49096</v>
      </c>
      <c r="K375" s="119">
        <f t="shared" ref="K375:L375" si="400">SUM(K363:K374)</f>
        <v>3600</v>
      </c>
      <c r="L375" s="120">
        <f t="shared" si="400"/>
        <v>0</v>
      </c>
      <c r="M375" s="119">
        <f t="shared" ref="M375" si="401">SUM(M363:M374)</f>
        <v>154</v>
      </c>
      <c r="N375" s="121">
        <f t="shared" ref="N375:N427" si="402">SUM(N363:N374)</f>
        <v>8.1052631578947363</v>
      </c>
      <c r="O375" s="121">
        <f t="shared" ref="O375" si="403">SUM(O363:O374)</f>
        <v>0</v>
      </c>
      <c r="P375" s="121">
        <f t="shared" ref="P375" si="404">SUM(P363:P374)</f>
        <v>0</v>
      </c>
      <c r="Q375" s="120">
        <f t="shared" si="385"/>
        <v>-8.1052631578947363</v>
      </c>
      <c r="R375" s="119">
        <f t="shared" ref="R375" si="405">SUM(R363:R374)</f>
        <v>3762.1052631578946</v>
      </c>
      <c r="S375" s="122">
        <f t="shared" si="345"/>
        <v>94017.859722991649</v>
      </c>
      <c r="T375" s="119">
        <f t="shared" ref="T375:V375" si="406">SUM(T363:T374)</f>
        <v>-15.4</v>
      </c>
      <c r="U375" s="120">
        <f t="shared" si="406"/>
        <v>-1313.3759545729463</v>
      </c>
      <c r="V375" s="119">
        <f t="shared" si="406"/>
        <v>6747.2613055022885</v>
      </c>
      <c r="W375" s="123">
        <f t="shared" ref="W375" si="407">+W374</f>
        <v>139449.30529779984</v>
      </c>
    </row>
    <row r="376" spans="2:23" outlineLevel="1">
      <c r="G376" s="11">
        <f t="shared" si="380"/>
        <v>49.920547945205477</v>
      </c>
      <c r="H376" s="2">
        <v>277</v>
      </c>
      <c r="I376" s="2">
        <f t="shared" si="398"/>
        <v>24</v>
      </c>
      <c r="J376" s="29">
        <f t="shared" si="354"/>
        <v>49126</v>
      </c>
      <c r="K376" s="62">
        <f>+IF(OR(H376&gt;60,$C$21="nein"),IF($C$19="monatlich",$C$20,IF($C$19="quartalsweise",OR(MONTH(J376)={1,4,7,10})*$C$20,IF($C$19="jährlich",(MONTH(J376)=7)*$C$20))),IF($C$19="monatlich",$C$22,IF($C$19="quartalsweise",OR(MONTH(J376)={1,4,7,10})*$C$22,IF($C$19="jährlich",(MONTH(J376)=7)*$C$22))))</f>
        <v>900</v>
      </c>
      <c r="L376" s="63">
        <f t="shared" ref="L376:L387" si="408">-IF(H376&gt;60,0,IF($C$19="monatlich",$C$52,IF(AND($C$19="quartalsweise",K376&gt;0),$C$52,IF(AND($C$19="jährlich",K376&gt;0),$C$51,0))))</f>
        <v>0</v>
      </c>
      <c r="M376" s="62">
        <f t="shared" ref="M376:M387" si="409">+IF(MONTH(J376)=4,$C$25,0)</f>
        <v>0</v>
      </c>
      <c r="N376" s="64">
        <f>+IF(AND($C$19="monatlich",K376&lt;$C$20),$C$20-K376,IF(AND($C$19="quartalsweise",OR(MONTH(J376)={1,4,7,10}),K376&lt;$C$20),$C$20-K376,IF(AND($C$19="jährlich",MONTH(J376)=7,K376&lt;$C$20),$C$20-K376,0)))</f>
        <v>0</v>
      </c>
      <c r="O376" s="64">
        <v>0</v>
      </c>
      <c r="P376" s="64">
        <v>0</v>
      </c>
      <c r="Q376" s="63">
        <f t="shared" ref="Q376:Q387" si="410">-SUM(M376:P376)*$C$47/100</f>
        <v>0</v>
      </c>
      <c r="R376" s="62">
        <f t="shared" ref="R376" si="411">+SUM(K376,M376:P376)</f>
        <v>900</v>
      </c>
      <c r="S376" s="65">
        <f t="shared" si="345"/>
        <v>94917.859722991649</v>
      </c>
      <c r="T376" s="62">
        <f t="shared" ref="T376:T387" si="412">-IF(MONTH(J376)=12,$C$55,0)</f>
        <v>0</v>
      </c>
      <c r="U376" s="63">
        <f t="shared" ref="U376:U387" si="413">-W375*($D$43/100/12)</f>
        <v>-113.30256055446237</v>
      </c>
      <c r="V376" s="62">
        <f t="shared" ref="V376:V387" si="414">+(1+(IF($C$71="pauschal",$C$72/100/12,VLOOKUP(I375,$J$5:$L$44,3,FALSE)/100/12)*W375))</f>
        <v>582.03877207416599</v>
      </c>
      <c r="W376" s="63">
        <f t="shared" ref="W376:W387" si="415">+SUM(W375,R376,L376,Q376,T376:V376)</f>
        <v>140818.04150931953</v>
      </c>
    </row>
    <row r="377" spans="2:23" outlineLevel="1">
      <c r="G377" s="12">
        <f t="shared" si="380"/>
        <v>50.005479452054793</v>
      </c>
      <c r="H377" s="4">
        <v>278</v>
      </c>
      <c r="I377" s="4">
        <f t="shared" si="398"/>
        <v>24</v>
      </c>
      <c r="J377" s="30">
        <f t="shared" si="354"/>
        <v>49157</v>
      </c>
      <c r="K377" s="62">
        <f>+IF(OR(H377&gt;60,$C$21="nein"),IF($C$19="monatlich",$C$20,IF($C$19="quartalsweise",OR(MONTH(J377)={1,4,7,10})*$C$20,IF($C$19="jährlich",(MONTH(J377)=7)*$C$20))),IF($C$19="monatlich",$C$22,IF($C$19="quartalsweise",OR(MONTH(J377)={1,4,7,10})*$C$22,IF($C$19="jährlich",(MONTH(J377)=7)*$C$22))))</f>
        <v>0</v>
      </c>
      <c r="L377" s="66">
        <f t="shared" si="408"/>
        <v>0</v>
      </c>
      <c r="M377" s="62">
        <f t="shared" si="409"/>
        <v>0</v>
      </c>
      <c r="N377" s="67">
        <f>+IF(AND($C$19="monatlich",K377&lt;$C$20),$C$20-K377,IF(AND($C$19="quartalsweise",OR(MONTH(J377)={1,4,7,10}),K377&lt;$C$20),$C$20-K377,IF(AND($C$19="jährlich",MONTH(J377)=7,K377&lt;$C$20),$C$20-K377,0)))</f>
        <v>0</v>
      </c>
      <c r="O377" s="67">
        <v>0</v>
      </c>
      <c r="P377" s="67">
        <v>0</v>
      </c>
      <c r="Q377" s="63">
        <f t="shared" si="410"/>
        <v>0</v>
      </c>
      <c r="R377" s="68">
        <f t="shared" si="375"/>
        <v>0</v>
      </c>
      <c r="S377" s="69">
        <f t="shared" si="345"/>
        <v>94917.859722991649</v>
      </c>
      <c r="T377" s="68">
        <f t="shared" si="412"/>
        <v>0</v>
      </c>
      <c r="U377" s="66">
        <f t="shared" si="413"/>
        <v>-114.41465872632212</v>
      </c>
      <c r="V377" s="68">
        <f t="shared" si="414"/>
        <v>587.74183962216466</v>
      </c>
      <c r="W377" s="66">
        <f t="shared" si="415"/>
        <v>141291.3686902154</v>
      </c>
    </row>
    <row r="378" spans="2:23" outlineLevel="1">
      <c r="G378" s="12">
        <f t="shared" si="380"/>
        <v>50.090410958904108</v>
      </c>
      <c r="H378" s="4">
        <v>279</v>
      </c>
      <c r="I378" s="4">
        <f t="shared" si="398"/>
        <v>24</v>
      </c>
      <c r="J378" s="30">
        <f t="shared" si="354"/>
        <v>49188</v>
      </c>
      <c r="K378" s="62">
        <f>+IF(OR(H378&gt;60,$C$21="nein"),IF($C$19="monatlich",$C$20,IF($C$19="quartalsweise",OR(MONTH(J378)={1,4,7,10})*$C$20,IF($C$19="jährlich",(MONTH(J378)=7)*$C$20))),IF($C$19="monatlich",$C$22,IF($C$19="quartalsweise",OR(MONTH(J378)={1,4,7,10})*$C$22,IF($C$19="jährlich",(MONTH(J378)=7)*$C$22))))</f>
        <v>0</v>
      </c>
      <c r="L378" s="66">
        <f t="shared" si="408"/>
        <v>0</v>
      </c>
      <c r="M378" s="62">
        <f t="shared" si="409"/>
        <v>0</v>
      </c>
      <c r="N378" s="67">
        <f>+IF(AND($C$19="monatlich",K378&lt;$C$20),$C$20-K378,IF(AND($C$19="quartalsweise",OR(MONTH(J378)={1,4,7,10}),K378&lt;$C$20),$C$20-K378,IF(AND($C$19="jährlich",MONTH(J378)=7,K378&lt;$C$20),$C$20-K378,0)))</f>
        <v>0</v>
      </c>
      <c r="O378" s="67">
        <v>0</v>
      </c>
      <c r="P378" s="67">
        <v>0</v>
      </c>
      <c r="Q378" s="63">
        <f t="shared" si="410"/>
        <v>0</v>
      </c>
      <c r="R378" s="68">
        <f t="shared" si="375"/>
        <v>0</v>
      </c>
      <c r="S378" s="69">
        <f t="shared" si="345"/>
        <v>94917.859722991649</v>
      </c>
      <c r="T378" s="68">
        <f t="shared" si="412"/>
        <v>0</v>
      </c>
      <c r="U378" s="66">
        <f t="shared" si="413"/>
        <v>-114.79923706080001</v>
      </c>
      <c r="V378" s="68">
        <f t="shared" si="414"/>
        <v>589.71403620923081</v>
      </c>
      <c r="W378" s="66">
        <f t="shared" si="415"/>
        <v>141766.28348936382</v>
      </c>
    </row>
    <row r="379" spans="2:23" outlineLevel="1">
      <c r="G379" s="12">
        <f t="shared" si="380"/>
        <v>50.172602739726024</v>
      </c>
      <c r="H379" s="4">
        <v>280</v>
      </c>
      <c r="I379" s="4">
        <f t="shared" si="398"/>
        <v>24</v>
      </c>
      <c r="J379" s="30">
        <f t="shared" si="354"/>
        <v>49218</v>
      </c>
      <c r="K379" s="62">
        <f>+IF(OR(H379&gt;60,$C$21="nein"),IF($C$19="monatlich",$C$20,IF($C$19="quartalsweise",OR(MONTH(J379)={1,4,7,10})*$C$20,IF($C$19="jährlich",(MONTH(J379)=7)*$C$20))),IF($C$19="monatlich",$C$22,IF($C$19="quartalsweise",OR(MONTH(J379)={1,4,7,10})*$C$22,IF($C$19="jährlich",(MONTH(J379)=7)*$C$22))))</f>
        <v>900</v>
      </c>
      <c r="L379" s="66">
        <f t="shared" si="408"/>
        <v>0</v>
      </c>
      <c r="M379" s="62">
        <f t="shared" si="409"/>
        <v>0</v>
      </c>
      <c r="N379" s="67">
        <f>+IF(AND($C$19="monatlich",K379&lt;$C$20),$C$20-K379,IF(AND($C$19="quartalsweise",OR(MONTH(J379)={1,4,7,10}),K379&lt;$C$20),$C$20-K379,IF(AND($C$19="jährlich",MONTH(J379)=7,K379&lt;$C$20),$C$20-K379,0)))</f>
        <v>0</v>
      </c>
      <c r="O379" s="67">
        <v>0</v>
      </c>
      <c r="P379" s="67">
        <v>0</v>
      </c>
      <c r="Q379" s="63">
        <f t="shared" si="410"/>
        <v>0</v>
      </c>
      <c r="R379" s="68">
        <f t="shared" si="375"/>
        <v>900</v>
      </c>
      <c r="S379" s="69">
        <f t="shared" si="345"/>
        <v>95817.859722991649</v>
      </c>
      <c r="T379" s="68">
        <f t="shared" si="412"/>
        <v>0</v>
      </c>
      <c r="U379" s="66">
        <f t="shared" si="413"/>
        <v>-115.1851053351081</v>
      </c>
      <c r="V379" s="68">
        <f t="shared" si="414"/>
        <v>591.69284787234926</v>
      </c>
      <c r="W379" s="66">
        <f t="shared" si="415"/>
        <v>143142.79123190106</v>
      </c>
    </row>
    <row r="380" spans="2:23" outlineLevel="1">
      <c r="G380" s="12">
        <f t="shared" si="380"/>
        <v>50.257534246575339</v>
      </c>
      <c r="H380" s="4">
        <v>281</v>
      </c>
      <c r="I380" s="4">
        <f t="shared" si="398"/>
        <v>24</v>
      </c>
      <c r="J380" s="30">
        <f t="shared" si="354"/>
        <v>49249</v>
      </c>
      <c r="K380" s="62">
        <f>+IF(OR(H380&gt;60,$C$21="nein"),IF($C$19="monatlich",$C$20,IF($C$19="quartalsweise",OR(MONTH(J380)={1,4,7,10})*$C$20,IF($C$19="jährlich",(MONTH(J380)=7)*$C$20))),IF($C$19="monatlich",$C$22,IF($C$19="quartalsweise",OR(MONTH(J380)={1,4,7,10})*$C$22,IF($C$19="jährlich",(MONTH(J380)=7)*$C$22))))</f>
        <v>0</v>
      </c>
      <c r="L380" s="66">
        <f t="shared" si="408"/>
        <v>0</v>
      </c>
      <c r="M380" s="62">
        <f t="shared" si="409"/>
        <v>0</v>
      </c>
      <c r="N380" s="67">
        <f>+IF(AND($C$19="monatlich",K380&lt;$C$20),$C$20-K380,IF(AND($C$19="quartalsweise",OR(MONTH(J380)={1,4,7,10}),K380&lt;$C$20),$C$20-K380,IF(AND($C$19="jährlich",MONTH(J380)=7,K380&lt;$C$20),$C$20-K380,0)))</f>
        <v>0</v>
      </c>
      <c r="O380" s="67">
        <v>0</v>
      </c>
      <c r="P380" s="67">
        <v>0</v>
      </c>
      <c r="Q380" s="63">
        <f t="shared" si="410"/>
        <v>0</v>
      </c>
      <c r="R380" s="68">
        <f t="shared" si="375"/>
        <v>0</v>
      </c>
      <c r="S380" s="69">
        <f t="shared" si="345"/>
        <v>95817.859722991649</v>
      </c>
      <c r="T380" s="68">
        <f t="shared" si="412"/>
        <v>0</v>
      </c>
      <c r="U380" s="66">
        <f t="shared" si="413"/>
        <v>-116.30351787591961</v>
      </c>
      <c r="V380" s="68">
        <f t="shared" si="414"/>
        <v>597.42829679958777</v>
      </c>
      <c r="W380" s="66">
        <f t="shared" si="415"/>
        <v>143623.91601082473</v>
      </c>
    </row>
    <row r="381" spans="2:23" outlineLevel="1">
      <c r="G381" s="12">
        <f t="shared" si="380"/>
        <v>50.339726027397262</v>
      </c>
      <c r="H381" s="4">
        <v>282</v>
      </c>
      <c r="I381" s="4">
        <f t="shared" si="398"/>
        <v>24</v>
      </c>
      <c r="J381" s="30">
        <f t="shared" si="354"/>
        <v>49279</v>
      </c>
      <c r="K381" s="62">
        <f>+IF(OR(H381&gt;60,$C$21="nein"),IF($C$19="monatlich",$C$20,IF($C$19="quartalsweise",OR(MONTH(J381)={1,4,7,10})*$C$20,IF($C$19="jährlich",(MONTH(J381)=7)*$C$20))),IF($C$19="monatlich",$C$22,IF($C$19="quartalsweise",OR(MONTH(J381)={1,4,7,10})*$C$22,IF($C$19="jährlich",(MONTH(J381)=7)*$C$22))))</f>
        <v>0</v>
      </c>
      <c r="L381" s="66">
        <f t="shared" si="408"/>
        <v>0</v>
      </c>
      <c r="M381" s="62">
        <f t="shared" si="409"/>
        <v>0</v>
      </c>
      <c r="N381" s="67">
        <f>+IF(AND($C$19="monatlich",K381&lt;$C$20),$C$20-K381,IF(AND($C$19="quartalsweise",OR(MONTH(J381)={1,4,7,10}),K381&lt;$C$20),$C$20-K381,IF(AND($C$19="jährlich",MONTH(J381)=7,K381&lt;$C$20),$C$20-K381,0)))</f>
        <v>0</v>
      </c>
      <c r="O381" s="67">
        <v>0</v>
      </c>
      <c r="P381" s="67">
        <v>0</v>
      </c>
      <c r="Q381" s="63">
        <f t="shared" si="410"/>
        <v>0</v>
      </c>
      <c r="R381" s="68">
        <f t="shared" si="375"/>
        <v>0</v>
      </c>
      <c r="S381" s="69">
        <f t="shared" si="345"/>
        <v>95817.859722991649</v>
      </c>
      <c r="T381" s="68">
        <f t="shared" si="412"/>
        <v>-15.4</v>
      </c>
      <c r="U381" s="66">
        <f t="shared" si="413"/>
        <v>-116.69443175879509</v>
      </c>
      <c r="V381" s="68">
        <f t="shared" si="414"/>
        <v>599.43298337843635</v>
      </c>
      <c r="W381" s="66">
        <f t="shared" si="415"/>
        <v>144091.25456244437</v>
      </c>
    </row>
    <row r="382" spans="2:23" outlineLevel="1">
      <c r="G382" s="12">
        <f t="shared" si="380"/>
        <v>50.424657534246577</v>
      </c>
      <c r="H382" s="4">
        <v>283</v>
      </c>
      <c r="I382" s="4">
        <f t="shared" si="398"/>
        <v>24</v>
      </c>
      <c r="J382" s="30">
        <f t="shared" si="354"/>
        <v>49310</v>
      </c>
      <c r="K382" s="62">
        <f>+IF(OR(H382&gt;60,$C$21="nein"),IF($C$19="monatlich",$C$20,IF($C$19="quartalsweise",OR(MONTH(J382)={1,4,7,10})*$C$20,IF($C$19="jährlich",(MONTH(J382)=7)*$C$20))),IF($C$19="monatlich",$C$22,IF($C$19="quartalsweise",OR(MONTH(J382)={1,4,7,10})*$C$22,IF($C$19="jährlich",(MONTH(J382)=7)*$C$22))))</f>
        <v>900</v>
      </c>
      <c r="L382" s="66">
        <f t="shared" si="408"/>
        <v>0</v>
      </c>
      <c r="M382" s="62">
        <f t="shared" si="409"/>
        <v>0</v>
      </c>
      <c r="N382" s="67">
        <f>+IF(AND($C$19="monatlich",K382&lt;$C$20),$C$20-K382,IF(AND($C$19="quartalsweise",OR(MONTH(J382)={1,4,7,10}),K382&lt;$C$20),$C$20-K382,IF(AND($C$19="jährlich",MONTH(J382)=7,K382&lt;$C$20),$C$20-K382,0)))</f>
        <v>0</v>
      </c>
      <c r="O382" s="67">
        <v>0</v>
      </c>
      <c r="P382" s="67">
        <v>0</v>
      </c>
      <c r="Q382" s="63">
        <f t="shared" si="410"/>
        <v>0</v>
      </c>
      <c r="R382" s="68">
        <f t="shared" si="375"/>
        <v>900</v>
      </c>
      <c r="S382" s="69">
        <f t="shared" si="345"/>
        <v>96717.859722991649</v>
      </c>
      <c r="T382" s="68">
        <f t="shared" si="412"/>
        <v>0</v>
      </c>
      <c r="U382" s="66">
        <f t="shared" si="413"/>
        <v>-117.07414433198605</v>
      </c>
      <c r="V382" s="68">
        <f t="shared" si="414"/>
        <v>601.38022734351819</v>
      </c>
      <c r="W382" s="66">
        <f t="shared" si="415"/>
        <v>145475.5606454559</v>
      </c>
    </row>
    <row r="383" spans="2:23" outlineLevel="1">
      <c r="G383" s="12">
        <f t="shared" si="380"/>
        <v>50.509589041095893</v>
      </c>
      <c r="H383" s="4">
        <v>284</v>
      </c>
      <c r="I383" s="4">
        <f t="shared" si="398"/>
        <v>24</v>
      </c>
      <c r="J383" s="30">
        <f t="shared" si="354"/>
        <v>49341</v>
      </c>
      <c r="K383" s="62">
        <f>+IF(OR(H383&gt;60,$C$21="nein"),IF($C$19="monatlich",$C$20,IF($C$19="quartalsweise",OR(MONTH(J383)={1,4,7,10})*$C$20,IF($C$19="jährlich",(MONTH(J383)=7)*$C$20))),IF($C$19="monatlich",$C$22,IF($C$19="quartalsweise",OR(MONTH(J383)={1,4,7,10})*$C$22,IF($C$19="jährlich",(MONTH(J383)=7)*$C$22))))</f>
        <v>0</v>
      </c>
      <c r="L383" s="66">
        <f t="shared" si="408"/>
        <v>0</v>
      </c>
      <c r="M383" s="62">
        <f t="shared" si="409"/>
        <v>0</v>
      </c>
      <c r="N383" s="67">
        <f>+IF(AND($C$19="monatlich",K383&lt;$C$20),$C$20-K383,IF(AND($C$19="quartalsweise",OR(MONTH(J383)={1,4,7,10}),K383&lt;$C$20),$C$20-K383,IF(AND($C$19="jährlich",MONTH(J383)=7,K383&lt;$C$20),$C$20-K383,0)))</f>
        <v>0</v>
      </c>
      <c r="O383" s="67">
        <v>0</v>
      </c>
      <c r="P383" s="67">
        <v>0</v>
      </c>
      <c r="Q383" s="63">
        <f t="shared" si="410"/>
        <v>0</v>
      </c>
      <c r="R383" s="68">
        <f t="shared" si="375"/>
        <v>0</v>
      </c>
      <c r="S383" s="69">
        <f t="shared" si="345"/>
        <v>96717.859722991649</v>
      </c>
      <c r="T383" s="68">
        <f t="shared" si="412"/>
        <v>0</v>
      </c>
      <c r="U383" s="66">
        <f t="shared" si="413"/>
        <v>-118.19889302443292</v>
      </c>
      <c r="V383" s="68">
        <f t="shared" si="414"/>
        <v>607.14816935606621</v>
      </c>
      <c r="W383" s="66">
        <f t="shared" si="415"/>
        <v>145964.50992178754</v>
      </c>
    </row>
    <row r="384" spans="2:23" outlineLevel="1">
      <c r="G384" s="12">
        <f t="shared" si="380"/>
        <v>50.586301369863016</v>
      </c>
      <c r="H384" s="4">
        <v>285</v>
      </c>
      <c r="I384" s="4">
        <f t="shared" si="398"/>
        <v>24</v>
      </c>
      <c r="J384" s="30">
        <f t="shared" si="354"/>
        <v>49369</v>
      </c>
      <c r="K384" s="62">
        <f>+IF(OR(H384&gt;60,$C$21="nein"),IF($C$19="monatlich",$C$20,IF($C$19="quartalsweise",OR(MONTH(J384)={1,4,7,10})*$C$20,IF($C$19="jährlich",(MONTH(J384)=7)*$C$20))),IF($C$19="monatlich",$C$22,IF($C$19="quartalsweise",OR(MONTH(J384)={1,4,7,10})*$C$22,IF($C$19="jährlich",(MONTH(J384)=7)*$C$22))))</f>
        <v>0</v>
      </c>
      <c r="L384" s="66">
        <f t="shared" si="408"/>
        <v>0</v>
      </c>
      <c r="M384" s="62">
        <f t="shared" si="409"/>
        <v>0</v>
      </c>
      <c r="N384" s="67">
        <f>+IF(AND($C$19="monatlich",K384&lt;$C$20),$C$20-K384,IF(AND($C$19="quartalsweise",OR(MONTH(J384)={1,4,7,10}),K384&lt;$C$20),$C$20-K384,IF(AND($C$19="jährlich",MONTH(J384)=7,K384&lt;$C$20),$C$20-K384,0)))-$C$67/100*SUM(Q366:Q374,Q376:Q378)-$C$66/100*SUM(L366:L374,L376:L378)</f>
        <v>8.1052631578947363</v>
      </c>
      <c r="O384" s="67">
        <v>0</v>
      </c>
      <c r="P384" s="67">
        <v>0</v>
      </c>
      <c r="Q384" s="63">
        <f t="shared" si="410"/>
        <v>-0.40526315789473683</v>
      </c>
      <c r="R384" s="68">
        <f t="shared" si="375"/>
        <v>8.1052631578947363</v>
      </c>
      <c r="S384" s="69">
        <f t="shared" si="345"/>
        <v>96725.964986149542</v>
      </c>
      <c r="T384" s="68">
        <f t="shared" si="412"/>
        <v>0</v>
      </c>
      <c r="U384" s="66">
        <f t="shared" si="413"/>
        <v>-118.59616431145237</v>
      </c>
      <c r="V384" s="68">
        <f t="shared" si="414"/>
        <v>609.18545800744812</v>
      </c>
      <c r="W384" s="66">
        <f t="shared" si="415"/>
        <v>146462.79921548354</v>
      </c>
    </row>
    <row r="385" spans="2:23" outlineLevel="1">
      <c r="G385" s="12">
        <f t="shared" si="380"/>
        <v>50.671232876712331</v>
      </c>
      <c r="H385" s="4">
        <v>286</v>
      </c>
      <c r="I385" s="4">
        <f t="shared" si="398"/>
        <v>24</v>
      </c>
      <c r="J385" s="30">
        <f t="shared" si="354"/>
        <v>49400</v>
      </c>
      <c r="K385" s="62">
        <f>+IF(OR(H385&gt;60,$C$21="nein"),IF($C$19="monatlich",$C$20,IF($C$19="quartalsweise",OR(MONTH(J385)={1,4,7,10})*$C$20,IF($C$19="jährlich",(MONTH(J385)=7)*$C$20))),IF($C$19="monatlich",$C$22,IF($C$19="quartalsweise",OR(MONTH(J385)={1,4,7,10})*$C$22,IF($C$19="jährlich",(MONTH(J385)=7)*$C$22))))</f>
        <v>900</v>
      </c>
      <c r="L385" s="66">
        <f t="shared" si="408"/>
        <v>0</v>
      </c>
      <c r="M385" s="62">
        <f t="shared" si="409"/>
        <v>154</v>
      </c>
      <c r="N385" s="67">
        <f>+IF(AND($C$19="monatlich",K385&lt;$C$20),$C$20-K385,IF(AND($C$19="quartalsweise",OR(MONTH(J385)={1,4,7,10}),K385&lt;$C$20),$C$20-K385,IF(AND($C$19="jährlich",MONTH(J385)=7,K385&lt;$C$20),$C$20-K385,0)))</f>
        <v>0</v>
      </c>
      <c r="O385" s="67">
        <v>0</v>
      </c>
      <c r="P385" s="67">
        <v>0</v>
      </c>
      <c r="Q385" s="63">
        <f t="shared" si="410"/>
        <v>-7.7</v>
      </c>
      <c r="R385" s="68">
        <f t="shared" si="375"/>
        <v>1054</v>
      </c>
      <c r="S385" s="69">
        <f t="shared" si="345"/>
        <v>97779.964986149542</v>
      </c>
      <c r="T385" s="68">
        <f t="shared" si="412"/>
        <v>0</v>
      </c>
      <c r="U385" s="66">
        <f t="shared" si="413"/>
        <v>-119.00102436258037</v>
      </c>
      <c r="V385" s="68">
        <f t="shared" si="414"/>
        <v>611.26166339784811</v>
      </c>
      <c r="W385" s="66">
        <f t="shared" si="415"/>
        <v>148001.35985451881</v>
      </c>
    </row>
    <row r="386" spans="2:23" outlineLevel="1">
      <c r="G386" s="12">
        <f t="shared" si="380"/>
        <v>50.753424657534246</v>
      </c>
      <c r="H386" s="4">
        <v>287</v>
      </c>
      <c r="I386" s="4">
        <f t="shared" si="398"/>
        <v>24</v>
      </c>
      <c r="J386" s="30">
        <f t="shared" si="354"/>
        <v>49430</v>
      </c>
      <c r="K386" s="62">
        <f>+IF(OR(H386&gt;60,$C$21="nein"),IF($C$19="monatlich",$C$20,IF($C$19="quartalsweise",OR(MONTH(J386)={1,4,7,10})*$C$20,IF($C$19="jährlich",(MONTH(J386)=7)*$C$20))),IF($C$19="monatlich",$C$22,IF($C$19="quartalsweise",OR(MONTH(J386)={1,4,7,10})*$C$22,IF($C$19="jährlich",(MONTH(J386)=7)*$C$22))))</f>
        <v>0</v>
      </c>
      <c r="L386" s="66">
        <f t="shared" si="408"/>
        <v>0</v>
      </c>
      <c r="M386" s="62">
        <f t="shared" si="409"/>
        <v>0</v>
      </c>
      <c r="N386" s="67">
        <f>+IF(AND($C$19="monatlich",K386&lt;$C$20),$C$20-K386,IF(AND($C$19="quartalsweise",OR(MONTH(J386)={1,4,7,10}),K386&lt;$C$20),$C$20-K386,IF(AND($C$19="jährlich",MONTH(J386)=7,K386&lt;$C$20),$C$20-K386,0)))</f>
        <v>0</v>
      </c>
      <c r="O386" s="67">
        <v>0</v>
      </c>
      <c r="P386" s="67">
        <v>0</v>
      </c>
      <c r="Q386" s="63">
        <f t="shared" si="410"/>
        <v>0</v>
      </c>
      <c r="R386" s="68">
        <f t="shared" si="375"/>
        <v>0</v>
      </c>
      <c r="S386" s="69">
        <f t="shared" si="345"/>
        <v>97779.964986149542</v>
      </c>
      <c r="T386" s="68">
        <f t="shared" si="412"/>
        <v>0</v>
      </c>
      <c r="U386" s="66">
        <f t="shared" si="413"/>
        <v>-120.25110488179654</v>
      </c>
      <c r="V386" s="68">
        <f t="shared" si="414"/>
        <v>617.67233272716169</v>
      </c>
      <c r="W386" s="66">
        <f t="shared" si="415"/>
        <v>148498.78108236421</v>
      </c>
    </row>
    <row r="387" spans="2:23" outlineLevel="1">
      <c r="G387" s="13">
        <f t="shared" si="380"/>
        <v>50.838356164383562</v>
      </c>
      <c r="H387" s="6">
        <v>288</v>
      </c>
      <c r="I387" s="6">
        <f t="shared" si="398"/>
        <v>24</v>
      </c>
      <c r="J387" s="31">
        <f t="shared" si="354"/>
        <v>49461</v>
      </c>
      <c r="K387" s="62">
        <f>+IF(OR(H387&gt;60,$C$21="nein"),IF($C$19="monatlich",$C$20,IF($C$19="quartalsweise",OR(MONTH(J387)={1,4,7,10})*$C$20,IF($C$19="jährlich",(MONTH(J387)=7)*$C$20))),IF($C$19="monatlich",$C$22,IF($C$19="quartalsweise",OR(MONTH(J387)={1,4,7,10})*$C$22,IF($C$19="jährlich",(MONTH(J387)=7)*$C$22))))</f>
        <v>0</v>
      </c>
      <c r="L387" s="70">
        <f t="shared" si="408"/>
        <v>0</v>
      </c>
      <c r="M387" s="62">
        <f t="shared" si="409"/>
        <v>0</v>
      </c>
      <c r="N387" s="71">
        <f>+IF(AND($C$19="monatlich",K387&lt;$C$20),$C$20-K387,IF(AND($C$19="quartalsweise",OR(MONTH(J387)={1,4,7,10}),K387&lt;$C$20),$C$20-K387,IF(AND($C$19="jährlich",MONTH(J387)=7,K387&lt;$C$20),$C$20-K387,0)))</f>
        <v>0</v>
      </c>
      <c r="O387" s="71">
        <v>0</v>
      </c>
      <c r="P387" s="71">
        <v>0</v>
      </c>
      <c r="Q387" s="63">
        <f t="shared" si="410"/>
        <v>0</v>
      </c>
      <c r="R387" s="72">
        <f t="shared" si="375"/>
        <v>0</v>
      </c>
      <c r="S387" s="73">
        <f t="shared" si="345"/>
        <v>97779.964986149542</v>
      </c>
      <c r="T387" s="72">
        <f t="shared" si="412"/>
        <v>0</v>
      </c>
      <c r="U387" s="70">
        <f t="shared" si="413"/>
        <v>-120.65525962942091</v>
      </c>
      <c r="V387" s="72">
        <f t="shared" si="414"/>
        <v>619.74492117651755</v>
      </c>
      <c r="W387" s="70">
        <f t="shared" si="415"/>
        <v>148997.87074391131</v>
      </c>
    </row>
    <row r="388" spans="2:23" s="5" customFormat="1" ht="15">
      <c r="B388" s="17"/>
      <c r="G388" s="115">
        <f t="shared" si="380"/>
        <v>50.838356164383562</v>
      </c>
      <c r="H388" s="116" t="str">
        <f>H376&amp;" - "&amp;H387</f>
        <v>277 - 288</v>
      </c>
      <c r="I388" s="117">
        <f t="shared" si="398"/>
        <v>24</v>
      </c>
      <c r="J388" s="118">
        <f t="shared" ref="J388" si="416">+J387</f>
        <v>49461</v>
      </c>
      <c r="K388" s="119">
        <f t="shared" ref="K388:L388" si="417">SUM(K376:K387)</f>
        <v>3600</v>
      </c>
      <c r="L388" s="120">
        <f t="shared" si="417"/>
        <v>0</v>
      </c>
      <c r="M388" s="119">
        <f t="shared" ref="M388" si="418">SUM(M376:M387)</f>
        <v>154</v>
      </c>
      <c r="N388" s="121">
        <f t="shared" si="402"/>
        <v>8.1052631578947363</v>
      </c>
      <c r="O388" s="121">
        <f t="shared" ref="O388" si="419">SUM(O376:O387)</f>
        <v>0</v>
      </c>
      <c r="P388" s="121">
        <f t="shared" ref="P388:Q401" si="420">SUM(P376:P387)</f>
        <v>0</v>
      </c>
      <c r="Q388" s="120">
        <f t="shared" si="420"/>
        <v>-8.1052631578947363</v>
      </c>
      <c r="R388" s="119">
        <f t="shared" ref="R388" si="421">SUM(R376:R387)</f>
        <v>3762.1052631578946</v>
      </c>
      <c r="S388" s="122">
        <f t="shared" si="345"/>
        <v>97779.964986149542</v>
      </c>
      <c r="T388" s="119">
        <f t="shared" ref="T388:V388" si="422">SUM(T376:T387)</f>
        <v>-15.4</v>
      </c>
      <c r="U388" s="120">
        <f t="shared" si="422"/>
        <v>-1404.4761018530764</v>
      </c>
      <c r="V388" s="119">
        <f t="shared" si="422"/>
        <v>7214.4415479644949</v>
      </c>
      <c r="W388" s="123">
        <f t="shared" ref="W388" si="423">+W387</f>
        <v>148997.87074391131</v>
      </c>
    </row>
    <row r="389" spans="2:23" outlineLevel="1">
      <c r="G389" s="11">
        <f t="shared" si="380"/>
        <v>50.920547945205477</v>
      </c>
      <c r="H389" s="2">
        <v>289</v>
      </c>
      <c r="I389" s="2">
        <f t="shared" si="398"/>
        <v>25</v>
      </c>
      <c r="J389" s="29">
        <f t="shared" si="354"/>
        <v>49491</v>
      </c>
      <c r="K389" s="62">
        <f>+IF(OR(H389&gt;60,$C$21="nein"),IF($C$19="monatlich",$C$20,IF($C$19="quartalsweise",OR(MONTH(J389)={1,4,7,10})*$C$20,IF($C$19="jährlich",(MONTH(J389)=7)*$C$20))),IF($C$19="monatlich",$C$22,IF($C$19="quartalsweise",OR(MONTH(J389)={1,4,7,10})*$C$22,IF($C$19="jährlich",(MONTH(J389)=7)*$C$22))))</f>
        <v>900</v>
      </c>
      <c r="L389" s="63">
        <f t="shared" ref="L389:L400" si="424">-IF(H389&gt;60,0,IF($C$19="monatlich",$C$52,IF(AND($C$19="quartalsweise",K389&gt;0),$C$52,IF(AND($C$19="jährlich",K389&gt;0),$C$51,0))))</f>
        <v>0</v>
      </c>
      <c r="M389" s="62">
        <f t="shared" ref="M389:M400" si="425">+IF(MONTH(J389)=4,$C$25,0)</f>
        <v>0</v>
      </c>
      <c r="N389" s="64">
        <f>+IF(AND($C$19="monatlich",K389&lt;$C$20),$C$20-K389,IF(AND($C$19="quartalsweise",OR(MONTH(J389)={1,4,7,10}),K389&lt;$C$20),$C$20-K389,IF(AND($C$19="jährlich",MONTH(J389)=7,K389&lt;$C$20),$C$20-K389,0)))</f>
        <v>0</v>
      </c>
      <c r="O389" s="64">
        <v>0</v>
      </c>
      <c r="P389" s="64">
        <v>0</v>
      </c>
      <c r="Q389" s="63">
        <f t="shared" ref="Q389:Q400" si="426">-SUM(M389:P389)*$C$47/100</f>
        <v>0</v>
      </c>
      <c r="R389" s="62">
        <f t="shared" ref="R389" si="427">+SUM(K389,M389:P389)</f>
        <v>900</v>
      </c>
      <c r="S389" s="65">
        <f t="shared" si="345"/>
        <v>98679.964986149542</v>
      </c>
      <c r="T389" s="62">
        <f t="shared" ref="T389:T400" si="428">-IF(MONTH(J389)=12,$C$55,0)</f>
        <v>0</v>
      </c>
      <c r="U389" s="63">
        <f t="shared" ref="U389:U400" si="429">-W388*($D$43/100/12)</f>
        <v>-121.06076997942793</v>
      </c>
      <c r="V389" s="62">
        <f t="shared" ref="V389:V400" si="430">+(1+(IF($C$71="pauschal",$C$72/100/12,VLOOKUP(I388,$J$5:$L$44,3,FALSE)/100/12)*W388))</f>
        <v>621.82446143296374</v>
      </c>
      <c r="W389" s="63">
        <f t="shared" ref="W389:W400" si="431">+SUM(W388,R389,L389,Q389,T389:V389)</f>
        <v>150398.63443536483</v>
      </c>
    </row>
    <row r="390" spans="2:23" outlineLevel="1">
      <c r="G390" s="12">
        <f t="shared" si="380"/>
        <v>51.005479452054793</v>
      </c>
      <c r="H390" s="4">
        <v>290</v>
      </c>
      <c r="I390" s="4">
        <f t="shared" si="398"/>
        <v>25</v>
      </c>
      <c r="J390" s="30">
        <f t="shared" si="354"/>
        <v>49522</v>
      </c>
      <c r="K390" s="62">
        <f>+IF(OR(H390&gt;60,$C$21="nein"),IF($C$19="monatlich",$C$20,IF($C$19="quartalsweise",OR(MONTH(J390)={1,4,7,10})*$C$20,IF($C$19="jährlich",(MONTH(J390)=7)*$C$20))),IF($C$19="monatlich",$C$22,IF($C$19="quartalsweise",OR(MONTH(J390)={1,4,7,10})*$C$22,IF($C$19="jährlich",(MONTH(J390)=7)*$C$22))))</f>
        <v>0</v>
      </c>
      <c r="L390" s="66">
        <f t="shared" si="424"/>
        <v>0</v>
      </c>
      <c r="M390" s="62">
        <f t="shared" si="425"/>
        <v>0</v>
      </c>
      <c r="N390" s="67">
        <f>+IF(AND($C$19="monatlich",K390&lt;$C$20),$C$20-K390,IF(AND($C$19="quartalsweise",OR(MONTH(J390)={1,4,7,10}),K390&lt;$C$20),$C$20-K390,IF(AND($C$19="jährlich",MONTH(J390)=7,K390&lt;$C$20),$C$20-K390,0)))</f>
        <v>0</v>
      </c>
      <c r="O390" s="67">
        <v>0</v>
      </c>
      <c r="P390" s="67">
        <v>0</v>
      </c>
      <c r="Q390" s="63">
        <f t="shared" si="426"/>
        <v>0</v>
      </c>
      <c r="R390" s="68">
        <f t="shared" si="375"/>
        <v>0</v>
      </c>
      <c r="S390" s="69">
        <f t="shared" si="345"/>
        <v>98679.964986149542</v>
      </c>
      <c r="T390" s="68">
        <f t="shared" si="428"/>
        <v>0</v>
      </c>
      <c r="U390" s="66">
        <f t="shared" si="429"/>
        <v>-122.19889047873392</v>
      </c>
      <c r="V390" s="68">
        <f t="shared" si="430"/>
        <v>627.66097681402016</v>
      </c>
      <c r="W390" s="66">
        <f t="shared" si="431"/>
        <v>150904.09652170012</v>
      </c>
    </row>
    <row r="391" spans="2:23" outlineLevel="1">
      <c r="G391" s="12">
        <f t="shared" si="380"/>
        <v>51.090410958904108</v>
      </c>
      <c r="H391" s="4">
        <v>291</v>
      </c>
      <c r="I391" s="4">
        <f t="shared" si="398"/>
        <v>25</v>
      </c>
      <c r="J391" s="30">
        <f t="shared" si="354"/>
        <v>49553</v>
      </c>
      <c r="K391" s="62">
        <f>+IF(OR(H391&gt;60,$C$21="nein"),IF($C$19="monatlich",$C$20,IF($C$19="quartalsweise",OR(MONTH(J391)={1,4,7,10})*$C$20,IF($C$19="jährlich",(MONTH(J391)=7)*$C$20))),IF($C$19="monatlich",$C$22,IF($C$19="quartalsweise",OR(MONTH(J391)={1,4,7,10})*$C$22,IF($C$19="jährlich",(MONTH(J391)=7)*$C$22))))</f>
        <v>0</v>
      </c>
      <c r="L391" s="66">
        <f t="shared" si="424"/>
        <v>0</v>
      </c>
      <c r="M391" s="62">
        <f t="shared" si="425"/>
        <v>0</v>
      </c>
      <c r="N391" s="67">
        <f>+IF(AND($C$19="monatlich",K391&lt;$C$20),$C$20-K391,IF(AND($C$19="quartalsweise",OR(MONTH(J391)={1,4,7,10}),K391&lt;$C$20),$C$20-K391,IF(AND($C$19="jährlich",MONTH(J391)=7,K391&lt;$C$20),$C$20-K391,0)))</f>
        <v>0</v>
      </c>
      <c r="O391" s="67">
        <v>0</v>
      </c>
      <c r="P391" s="67">
        <v>0</v>
      </c>
      <c r="Q391" s="63">
        <f t="shared" si="426"/>
        <v>0</v>
      </c>
      <c r="R391" s="68">
        <f t="shared" si="375"/>
        <v>0</v>
      </c>
      <c r="S391" s="69">
        <f t="shared" si="345"/>
        <v>98679.964986149542</v>
      </c>
      <c r="T391" s="68">
        <f t="shared" si="428"/>
        <v>0</v>
      </c>
      <c r="U391" s="66">
        <f t="shared" si="429"/>
        <v>-122.60957842388135</v>
      </c>
      <c r="V391" s="68">
        <f t="shared" si="430"/>
        <v>629.76706884041721</v>
      </c>
      <c r="W391" s="66">
        <f t="shared" si="431"/>
        <v>151411.25401211667</v>
      </c>
    </row>
    <row r="392" spans="2:23" outlineLevel="1">
      <c r="G392" s="12">
        <f t="shared" si="380"/>
        <v>51.172602739726024</v>
      </c>
      <c r="H392" s="4">
        <v>292</v>
      </c>
      <c r="I392" s="4">
        <f t="shared" si="398"/>
        <v>25</v>
      </c>
      <c r="J392" s="30">
        <f t="shared" si="354"/>
        <v>49583</v>
      </c>
      <c r="K392" s="62">
        <f>+IF(OR(H392&gt;60,$C$21="nein"),IF($C$19="monatlich",$C$20,IF($C$19="quartalsweise",OR(MONTH(J392)={1,4,7,10})*$C$20,IF($C$19="jährlich",(MONTH(J392)=7)*$C$20))),IF($C$19="monatlich",$C$22,IF($C$19="quartalsweise",OR(MONTH(J392)={1,4,7,10})*$C$22,IF($C$19="jährlich",(MONTH(J392)=7)*$C$22))))</f>
        <v>900</v>
      </c>
      <c r="L392" s="66">
        <f t="shared" si="424"/>
        <v>0</v>
      </c>
      <c r="M392" s="62">
        <f t="shared" si="425"/>
        <v>0</v>
      </c>
      <c r="N392" s="67">
        <f>+IF(AND($C$19="monatlich",K392&lt;$C$20),$C$20-K392,IF(AND($C$19="quartalsweise",OR(MONTH(J392)={1,4,7,10}),K392&lt;$C$20),$C$20-K392,IF(AND($C$19="jährlich",MONTH(J392)=7,K392&lt;$C$20),$C$20-K392,0)))</f>
        <v>0</v>
      </c>
      <c r="O392" s="67">
        <v>0</v>
      </c>
      <c r="P392" s="67">
        <v>0</v>
      </c>
      <c r="Q392" s="63">
        <f t="shared" si="426"/>
        <v>0</v>
      </c>
      <c r="R392" s="68">
        <f t="shared" si="375"/>
        <v>900</v>
      </c>
      <c r="S392" s="69">
        <f t="shared" si="345"/>
        <v>99579.964986149542</v>
      </c>
      <c r="T392" s="68">
        <f t="shared" si="428"/>
        <v>0</v>
      </c>
      <c r="U392" s="66">
        <f t="shared" si="429"/>
        <v>-123.02164388484479</v>
      </c>
      <c r="V392" s="68">
        <f t="shared" si="430"/>
        <v>631.88022505048616</v>
      </c>
      <c r="W392" s="66">
        <f t="shared" si="431"/>
        <v>152820.11259328231</v>
      </c>
    </row>
    <row r="393" spans="2:23" outlineLevel="1">
      <c r="G393" s="12">
        <f t="shared" si="380"/>
        <v>51.257534246575339</v>
      </c>
      <c r="H393" s="4">
        <v>293</v>
      </c>
      <c r="I393" s="4">
        <f t="shared" si="398"/>
        <v>25</v>
      </c>
      <c r="J393" s="30">
        <f t="shared" si="354"/>
        <v>49614</v>
      </c>
      <c r="K393" s="62">
        <f>+IF(OR(H393&gt;60,$C$21="nein"),IF($C$19="monatlich",$C$20,IF($C$19="quartalsweise",OR(MONTH(J393)={1,4,7,10})*$C$20,IF($C$19="jährlich",(MONTH(J393)=7)*$C$20))),IF($C$19="monatlich",$C$22,IF($C$19="quartalsweise",OR(MONTH(J393)={1,4,7,10})*$C$22,IF($C$19="jährlich",(MONTH(J393)=7)*$C$22))))</f>
        <v>0</v>
      </c>
      <c r="L393" s="66">
        <f t="shared" si="424"/>
        <v>0</v>
      </c>
      <c r="M393" s="62">
        <f t="shared" si="425"/>
        <v>0</v>
      </c>
      <c r="N393" s="67">
        <f>+IF(AND($C$19="monatlich",K393&lt;$C$20),$C$20-K393,IF(AND($C$19="quartalsweise",OR(MONTH(J393)={1,4,7,10}),K393&lt;$C$20),$C$20-K393,IF(AND($C$19="jährlich",MONTH(J393)=7,K393&lt;$C$20),$C$20-K393,0)))</f>
        <v>0</v>
      </c>
      <c r="O393" s="67">
        <v>0</v>
      </c>
      <c r="P393" s="67">
        <v>0</v>
      </c>
      <c r="Q393" s="63">
        <f t="shared" si="426"/>
        <v>0</v>
      </c>
      <c r="R393" s="68">
        <f t="shared" si="375"/>
        <v>0</v>
      </c>
      <c r="S393" s="69">
        <f t="shared" si="345"/>
        <v>99579.964986149542</v>
      </c>
      <c r="T393" s="68">
        <f t="shared" si="428"/>
        <v>0</v>
      </c>
      <c r="U393" s="66">
        <f t="shared" si="429"/>
        <v>-124.16634148204187</v>
      </c>
      <c r="V393" s="68">
        <f t="shared" si="430"/>
        <v>637.75046913867629</v>
      </c>
      <c r="W393" s="66">
        <f t="shared" si="431"/>
        <v>153333.69672093893</v>
      </c>
    </row>
    <row r="394" spans="2:23" outlineLevel="1">
      <c r="G394" s="12">
        <f t="shared" si="380"/>
        <v>51.339726027397262</v>
      </c>
      <c r="H394" s="4">
        <v>294</v>
      </c>
      <c r="I394" s="4">
        <f t="shared" si="398"/>
        <v>25</v>
      </c>
      <c r="J394" s="30">
        <f t="shared" si="354"/>
        <v>49644</v>
      </c>
      <c r="K394" s="62">
        <f>+IF(OR(H394&gt;60,$C$21="nein"),IF($C$19="monatlich",$C$20,IF($C$19="quartalsweise",OR(MONTH(J394)={1,4,7,10})*$C$20,IF($C$19="jährlich",(MONTH(J394)=7)*$C$20))),IF($C$19="monatlich",$C$22,IF($C$19="quartalsweise",OR(MONTH(J394)={1,4,7,10})*$C$22,IF($C$19="jährlich",(MONTH(J394)=7)*$C$22))))</f>
        <v>0</v>
      </c>
      <c r="L394" s="66">
        <f t="shared" si="424"/>
        <v>0</v>
      </c>
      <c r="M394" s="62">
        <f t="shared" si="425"/>
        <v>0</v>
      </c>
      <c r="N394" s="67">
        <f>+IF(AND($C$19="monatlich",K394&lt;$C$20),$C$20-K394,IF(AND($C$19="quartalsweise",OR(MONTH(J394)={1,4,7,10}),K394&lt;$C$20),$C$20-K394,IF(AND($C$19="jährlich",MONTH(J394)=7,K394&lt;$C$20),$C$20-K394,0)))</f>
        <v>0</v>
      </c>
      <c r="O394" s="67">
        <v>0</v>
      </c>
      <c r="P394" s="67">
        <v>0</v>
      </c>
      <c r="Q394" s="63">
        <f t="shared" si="426"/>
        <v>0</v>
      </c>
      <c r="R394" s="68">
        <f t="shared" si="375"/>
        <v>0</v>
      </c>
      <c r="S394" s="69">
        <f t="shared" si="345"/>
        <v>99579.964986149542</v>
      </c>
      <c r="T394" s="68">
        <f t="shared" si="428"/>
        <v>-15.4</v>
      </c>
      <c r="U394" s="66">
        <f t="shared" si="429"/>
        <v>-124.58362858576287</v>
      </c>
      <c r="V394" s="68">
        <f t="shared" si="430"/>
        <v>639.89040300391218</v>
      </c>
      <c r="W394" s="66">
        <f t="shared" si="431"/>
        <v>153833.60349535709</v>
      </c>
    </row>
    <row r="395" spans="2:23" outlineLevel="1">
      <c r="G395" s="12">
        <f t="shared" si="380"/>
        <v>51.424657534246577</v>
      </c>
      <c r="H395" s="4">
        <v>295</v>
      </c>
      <c r="I395" s="4">
        <f t="shared" si="398"/>
        <v>25</v>
      </c>
      <c r="J395" s="30">
        <f t="shared" si="354"/>
        <v>49675</v>
      </c>
      <c r="K395" s="62">
        <f>+IF(OR(H395&gt;60,$C$21="nein"),IF($C$19="monatlich",$C$20,IF($C$19="quartalsweise",OR(MONTH(J395)={1,4,7,10})*$C$20,IF($C$19="jährlich",(MONTH(J395)=7)*$C$20))),IF($C$19="monatlich",$C$22,IF($C$19="quartalsweise",OR(MONTH(J395)={1,4,7,10})*$C$22,IF($C$19="jährlich",(MONTH(J395)=7)*$C$22))))</f>
        <v>900</v>
      </c>
      <c r="L395" s="66">
        <f t="shared" si="424"/>
        <v>0</v>
      </c>
      <c r="M395" s="62">
        <f t="shared" si="425"/>
        <v>0</v>
      </c>
      <c r="N395" s="67">
        <f>+IF(AND($C$19="monatlich",K395&lt;$C$20),$C$20-K395,IF(AND($C$19="quartalsweise",OR(MONTH(J395)={1,4,7,10}),K395&lt;$C$20),$C$20-K395,IF(AND($C$19="jährlich",MONTH(J395)=7,K395&lt;$C$20),$C$20-K395,0)))</f>
        <v>0</v>
      </c>
      <c r="O395" s="67">
        <v>0</v>
      </c>
      <c r="P395" s="67">
        <v>0</v>
      </c>
      <c r="Q395" s="63">
        <f t="shared" si="426"/>
        <v>0</v>
      </c>
      <c r="R395" s="68">
        <f t="shared" si="375"/>
        <v>900</v>
      </c>
      <c r="S395" s="69">
        <f t="shared" si="345"/>
        <v>100479.96498614954</v>
      </c>
      <c r="T395" s="68">
        <f t="shared" si="428"/>
        <v>0</v>
      </c>
      <c r="U395" s="66">
        <f t="shared" si="429"/>
        <v>-124.98980283997763</v>
      </c>
      <c r="V395" s="68">
        <f t="shared" si="430"/>
        <v>641.97334789732122</v>
      </c>
      <c r="W395" s="66">
        <f t="shared" si="431"/>
        <v>155250.58704041442</v>
      </c>
    </row>
    <row r="396" spans="2:23" outlineLevel="1">
      <c r="G396" s="12">
        <f t="shared" si="380"/>
        <v>51.509589041095893</v>
      </c>
      <c r="H396" s="4">
        <v>296</v>
      </c>
      <c r="I396" s="4">
        <f t="shared" si="398"/>
        <v>25</v>
      </c>
      <c r="J396" s="30">
        <f t="shared" si="354"/>
        <v>49706</v>
      </c>
      <c r="K396" s="62">
        <f>+IF(OR(H396&gt;60,$C$21="nein"),IF($C$19="monatlich",$C$20,IF($C$19="quartalsweise",OR(MONTH(J396)={1,4,7,10})*$C$20,IF($C$19="jährlich",(MONTH(J396)=7)*$C$20))),IF($C$19="monatlich",$C$22,IF($C$19="quartalsweise",OR(MONTH(J396)={1,4,7,10})*$C$22,IF($C$19="jährlich",(MONTH(J396)=7)*$C$22))))</f>
        <v>0</v>
      </c>
      <c r="L396" s="66">
        <f t="shared" si="424"/>
        <v>0</v>
      </c>
      <c r="M396" s="62">
        <f t="shared" si="425"/>
        <v>0</v>
      </c>
      <c r="N396" s="67">
        <f>+IF(AND($C$19="monatlich",K396&lt;$C$20),$C$20-K396,IF(AND($C$19="quartalsweise",OR(MONTH(J396)={1,4,7,10}),K396&lt;$C$20),$C$20-K396,IF(AND($C$19="jährlich",MONTH(J396)=7,K396&lt;$C$20),$C$20-K396,0)))</f>
        <v>0</v>
      </c>
      <c r="O396" s="67">
        <v>0</v>
      </c>
      <c r="P396" s="67">
        <v>0</v>
      </c>
      <c r="Q396" s="63">
        <f t="shared" si="426"/>
        <v>0</v>
      </c>
      <c r="R396" s="68">
        <f t="shared" si="375"/>
        <v>0</v>
      </c>
      <c r="S396" s="69">
        <f t="shared" si="345"/>
        <v>100479.96498614954</v>
      </c>
      <c r="T396" s="68">
        <f t="shared" si="428"/>
        <v>0</v>
      </c>
      <c r="U396" s="66">
        <f t="shared" si="429"/>
        <v>-126.14110197033671</v>
      </c>
      <c r="V396" s="68">
        <f t="shared" si="430"/>
        <v>647.87744600172675</v>
      </c>
      <c r="W396" s="66">
        <f t="shared" si="431"/>
        <v>155772.3233844458</v>
      </c>
    </row>
    <row r="397" spans="2:23" outlineLevel="1">
      <c r="G397" s="12">
        <f t="shared" si="380"/>
        <v>51.589041095890408</v>
      </c>
      <c r="H397" s="4">
        <v>297</v>
      </c>
      <c r="I397" s="4">
        <f t="shared" si="398"/>
        <v>25</v>
      </c>
      <c r="J397" s="30">
        <f t="shared" si="354"/>
        <v>49735</v>
      </c>
      <c r="K397" s="62">
        <f>+IF(OR(H397&gt;60,$C$21="nein"),IF($C$19="monatlich",$C$20,IF($C$19="quartalsweise",OR(MONTH(J397)={1,4,7,10})*$C$20,IF($C$19="jährlich",(MONTH(J397)=7)*$C$20))),IF($C$19="monatlich",$C$22,IF($C$19="quartalsweise",OR(MONTH(J397)={1,4,7,10})*$C$22,IF($C$19="jährlich",(MONTH(J397)=7)*$C$22))))</f>
        <v>0</v>
      </c>
      <c r="L397" s="66">
        <f t="shared" si="424"/>
        <v>0</v>
      </c>
      <c r="M397" s="62">
        <f t="shared" si="425"/>
        <v>0</v>
      </c>
      <c r="N397" s="67">
        <f>+IF(AND($C$19="monatlich",K397&lt;$C$20),$C$20-K397,IF(AND($C$19="quartalsweise",OR(MONTH(J397)={1,4,7,10}),K397&lt;$C$20),$C$20-K397,IF(AND($C$19="jährlich",MONTH(J397)=7,K397&lt;$C$20),$C$20-K397,0)))-$C$67/100*SUM(Q379:Q387,Q389:Q391)-$C$66/100*SUM(L379:L387,L389:L391)</f>
        <v>8.1052631578947363</v>
      </c>
      <c r="O397" s="67">
        <v>0</v>
      </c>
      <c r="P397" s="67">
        <v>0</v>
      </c>
      <c r="Q397" s="63">
        <f t="shared" si="426"/>
        <v>-0.40526315789473683</v>
      </c>
      <c r="R397" s="68">
        <f t="shared" si="375"/>
        <v>8.1052631578947363</v>
      </c>
      <c r="S397" s="69">
        <f t="shared" si="345"/>
        <v>100488.07024930744</v>
      </c>
      <c r="T397" s="68">
        <f t="shared" si="428"/>
        <v>0</v>
      </c>
      <c r="U397" s="66">
        <f t="shared" si="429"/>
        <v>-126.56501274986221</v>
      </c>
      <c r="V397" s="68">
        <f t="shared" si="430"/>
        <v>650.05134743519079</v>
      </c>
      <c r="W397" s="66">
        <f t="shared" si="431"/>
        <v>156303.50971913114</v>
      </c>
    </row>
    <row r="398" spans="2:23" outlineLevel="1">
      <c r="G398" s="12">
        <f t="shared" si="380"/>
        <v>51.673972602739724</v>
      </c>
      <c r="H398" s="4">
        <v>298</v>
      </c>
      <c r="I398" s="4">
        <f t="shared" si="398"/>
        <v>25</v>
      </c>
      <c r="J398" s="30">
        <f t="shared" si="354"/>
        <v>49766</v>
      </c>
      <c r="K398" s="62">
        <f>+IF(OR(H398&gt;60,$C$21="nein"),IF($C$19="monatlich",$C$20,IF($C$19="quartalsweise",OR(MONTH(J398)={1,4,7,10})*$C$20,IF($C$19="jährlich",(MONTH(J398)=7)*$C$20))),IF($C$19="monatlich",$C$22,IF($C$19="quartalsweise",OR(MONTH(J398)={1,4,7,10})*$C$22,IF($C$19="jährlich",(MONTH(J398)=7)*$C$22))))</f>
        <v>900</v>
      </c>
      <c r="L398" s="66">
        <f t="shared" si="424"/>
        <v>0</v>
      </c>
      <c r="M398" s="62">
        <f t="shared" si="425"/>
        <v>154</v>
      </c>
      <c r="N398" s="67">
        <f>+IF(AND($C$19="monatlich",K398&lt;$C$20),$C$20-K398,IF(AND($C$19="quartalsweise",OR(MONTH(J398)={1,4,7,10}),K398&lt;$C$20),$C$20-K398,IF(AND($C$19="jährlich",MONTH(J398)=7,K398&lt;$C$20),$C$20-K398,0)))</f>
        <v>0</v>
      </c>
      <c r="O398" s="67">
        <v>0</v>
      </c>
      <c r="P398" s="67">
        <v>0</v>
      </c>
      <c r="Q398" s="63">
        <f t="shared" si="426"/>
        <v>-7.7</v>
      </c>
      <c r="R398" s="68">
        <f t="shared" si="375"/>
        <v>1054</v>
      </c>
      <c r="S398" s="69">
        <f t="shared" ref="S398:S461" si="432">+IF(EXACT(J398,J397),S397,SUM(S397,R398))</f>
        <v>101542.07024930744</v>
      </c>
      <c r="T398" s="68">
        <f t="shared" si="428"/>
        <v>0</v>
      </c>
      <c r="U398" s="66">
        <f t="shared" si="429"/>
        <v>-126.99660164679405</v>
      </c>
      <c r="V398" s="68">
        <f t="shared" si="430"/>
        <v>652.26462382971306</v>
      </c>
      <c r="W398" s="66">
        <f t="shared" si="431"/>
        <v>157875.07774131405</v>
      </c>
    </row>
    <row r="399" spans="2:23" outlineLevel="1">
      <c r="G399" s="12">
        <f t="shared" si="380"/>
        <v>51.756164383561647</v>
      </c>
      <c r="H399" s="4">
        <v>299</v>
      </c>
      <c r="I399" s="4">
        <f t="shared" si="398"/>
        <v>25</v>
      </c>
      <c r="J399" s="30">
        <f t="shared" si="354"/>
        <v>49796</v>
      </c>
      <c r="K399" s="62">
        <f>+IF(OR(H399&gt;60,$C$21="nein"),IF($C$19="monatlich",$C$20,IF($C$19="quartalsweise",OR(MONTH(J399)={1,4,7,10})*$C$20,IF($C$19="jährlich",(MONTH(J399)=7)*$C$20))),IF($C$19="monatlich",$C$22,IF($C$19="quartalsweise",OR(MONTH(J399)={1,4,7,10})*$C$22,IF($C$19="jährlich",(MONTH(J399)=7)*$C$22))))</f>
        <v>0</v>
      </c>
      <c r="L399" s="66">
        <f t="shared" si="424"/>
        <v>0</v>
      </c>
      <c r="M399" s="62">
        <f t="shared" si="425"/>
        <v>0</v>
      </c>
      <c r="N399" s="67">
        <f>+IF(AND($C$19="monatlich",K399&lt;$C$20),$C$20-K399,IF(AND($C$19="quartalsweise",OR(MONTH(J399)={1,4,7,10}),K399&lt;$C$20),$C$20-K399,IF(AND($C$19="jährlich",MONTH(J399)=7,K399&lt;$C$20),$C$20-K399,0)))</f>
        <v>0</v>
      </c>
      <c r="O399" s="67">
        <v>0</v>
      </c>
      <c r="P399" s="67">
        <v>0</v>
      </c>
      <c r="Q399" s="63">
        <f t="shared" si="426"/>
        <v>0</v>
      </c>
      <c r="R399" s="68">
        <f t="shared" si="375"/>
        <v>0</v>
      </c>
      <c r="S399" s="69">
        <f t="shared" si="432"/>
        <v>101542.07024930744</v>
      </c>
      <c r="T399" s="68">
        <f t="shared" si="428"/>
        <v>0</v>
      </c>
      <c r="U399" s="66">
        <f t="shared" si="429"/>
        <v>-128.27350066481765</v>
      </c>
      <c r="V399" s="68">
        <f t="shared" si="430"/>
        <v>658.81282392214189</v>
      </c>
      <c r="W399" s="66">
        <f t="shared" si="431"/>
        <v>158405.61706457136</v>
      </c>
    </row>
    <row r="400" spans="2:23" outlineLevel="1">
      <c r="G400" s="13">
        <f t="shared" si="380"/>
        <v>51.841095890410962</v>
      </c>
      <c r="H400" s="6">
        <v>300</v>
      </c>
      <c r="I400" s="6">
        <f t="shared" si="398"/>
        <v>25</v>
      </c>
      <c r="J400" s="31">
        <f t="shared" si="354"/>
        <v>49827</v>
      </c>
      <c r="K400" s="62">
        <f>+IF(OR(H400&gt;60,$C$21="nein"),IF($C$19="monatlich",$C$20,IF($C$19="quartalsweise",OR(MONTH(J400)={1,4,7,10})*$C$20,IF($C$19="jährlich",(MONTH(J400)=7)*$C$20))),IF($C$19="monatlich",$C$22,IF($C$19="quartalsweise",OR(MONTH(J400)={1,4,7,10})*$C$22,IF($C$19="jährlich",(MONTH(J400)=7)*$C$22))))</f>
        <v>0</v>
      </c>
      <c r="L400" s="70">
        <f t="shared" si="424"/>
        <v>0</v>
      </c>
      <c r="M400" s="62">
        <f t="shared" si="425"/>
        <v>0</v>
      </c>
      <c r="N400" s="71">
        <f>+IF(AND($C$19="monatlich",K400&lt;$C$20),$C$20-K400,IF(AND($C$19="quartalsweise",OR(MONTH(J400)={1,4,7,10}),K400&lt;$C$20),$C$20-K400,IF(AND($C$19="jährlich",MONTH(J400)=7,K400&lt;$C$20),$C$20-K400,0)))</f>
        <v>0</v>
      </c>
      <c r="O400" s="71">
        <v>0</v>
      </c>
      <c r="P400" s="71">
        <v>0</v>
      </c>
      <c r="Q400" s="63">
        <f t="shared" si="426"/>
        <v>0</v>
      </c>
      <c r="R400" s="72">
        <f t="shared" si="375"/>
        <v>0</v>
      </c>
      <c r="S400" s="73">
        <f t="shared" si="432"/>
        <v>101542.07024930744</v>
      </c>
      <c r="T400" s="72">
        <f t="shared" si="428"/>
        <v>0</v>
      </c>
      <c r="U400" s="70">
        <f t="shared" si="429"/>
        <v>-128.70456386496423</v>
      </c>
      <c r="V400" s="72">
        <f t="shared" si="430"/>
        <v>661.02340443571393</v>
      </c>
      <c r="W400" s="70">
        <f t="shared" si="431"/>
        <v>158937.93590514211</v>
      </c>
    </row>
    <row r="401" spans="2:23" s="5" customFormat="1" ht="15">
      <c r="B401" s="17"/>
      <c r="G401" s="115">
        <f t="shared" si="380"/>
        <v>51.841095890410962</v>
      </c>
      <c r="H401" s="116" t="str">
        <f>H389&amp;" - "&amp;H400</f>
        <v>289 - 300</v>
      </c>
      <c r="I401" s="117">
        <f t="shared" si="398"/>
        <v>25</v>
      </c>
      <c r="J401" s="118">
        <f t="shared" ref="J401" si="433">+J400</f>
        <v>49827</v>
      </c>
      <c r="K401" s="119">
        <f t="shared" ref="K401:L401" si="434">SUM(K389:K400)</f>
        <v>3600</v>
      </c>
      <c r="L401" s="120">
        <f t="shared" si="434"/>
        <v>0</v>
      </c>
      <c r="M401" s="119">
        <f t="shared" ref="M401" si="435">SUM(M389:M400)</f>
        <v>154</v>
      </c>
      <c r="N401" s="121">
        <f t="shared" si="402"/>
        <v>8.1052631578947363</v>
      </c>
      <c r="O401" s="121">
        <f t="shared" ref="O401" si="436">SUM(O389:O400)</f>
        <v>0</v>
      </c>
      <c r="P401" s="121">
        <f t="shared" ref="P401" si="437">SUM(P389:P400)</f>
        <v>0</v>
      </c>
      <c r="Q401" s="120">
        <f t="shared" si="420"/>
        <v>-8.1052631578947363</v>
      </c>
      <c r="R401" s="119">
        <f t="shared" ref="R401" si="438">SUM(R389:R400)</f>
        <v>3762.1052631578946</v>
      </c>
      <c r="S401" s="122">
        <f t="shared" si="432"/>
        <v>101542.07024930744</v>
      </c>
      <c r="T401" s="119">
        <f t="shared" ref="T401:V401" si="439">SUM(T389:T400)</f>
        <v>-15.4</v>
      </c>
      <c r="U401" s="120">
        <f t="shared" si="439"/>
        <v>-1499.3114365714453</v>
      </c>
      <c r="V401" s="119">
        <f t="shared" si="439"/>
        <v>7700.7765978022826</v>
      </c>
      <c r="W401" s="123">
        <f t="shared" ref="W401" si="440">+W400</f>
        <v>158937.93590514211</v>
      </c>
    </row>
    <row r="402" spans="2:23" outlineLevel="1">
      <c r="G402" s="11">
        <f t="shared" si="380"/>
        <v>51.923287671232877</v>
      </c>
      <c r="H402" s="2">
        <v>301</v>
      </c>
      <c r="I402" s="2">
        <f t="shared" si="398"/>
        <v>26</v>
      </c>
      <c r="J402" s="29">
        <f t="shared" ref="J402:J465" si="441">+DATE(YEAR(J401),MONTH(J401)+1,1)</f>
        <v>49857</v>
      </c>
      <c r="K402" s="62">
        <f>+IF(OR(H402&gt;60,$C$21="nein"),IF($C$19="monatlich",$C$20,IF($C$19="quartalsweise",OR(MONTH(J402)={1,4,7,10})*$C$20,IF($C$19="jährlich",(MONTH(J402)=7)*$C$20))),IF($C$19="monatlich",$C$22,IF($C$19="quartalsweise",OR(MONTH(J402)={1,4,7,10})*$C$22,IF($C$19="jährlich",(MONTH(J402)=7)*$C$22))))</f>
        <v>900</v>
      </c>
      <c r="L402" s="63">
        <f t="shared" ref="L402:L413" si="442">-IF(H402&gt;60,0,IF($C$19="monatlich",$C$52,IF(AND($C$19="quartalsweise",K402&gt;0),$C$52,IF(AND($C$19="jährlich",K402&gt;0),$C$51,0))))</f>
        <v>0</v>
      </c>
      <c r="M402" s="62">
        <f t="shared" ref="M402:M413" si="443">+IF(MONTH(J402)=4,$C$25,0)</f>
        <v>0</v>
      </c>
      <c r="N402" s="64">
        <f>+IF(AND($C$19="monatlich",K402&lt;$C$20),$C$20-K402,IF(AND($C$19="quartalsweise",OR(MONTH(J402)={1,4,7,10}),K402&lt;$C$20),$C$20-K402,IF(AND($C$19="jährlich",MONTH(J402)=7,K402&lt;$C$20),$C$20-K402,0)))</f>
        <v>0</v>
      </c>
      <c r="O402" s="64">
        <v>0</v>
      </c>
      <c r="P402" s="64">
        <v>0</v>
      </c>
      <c r="Q402" s="63">
        <f t="shared" ref="Q402:Q413" si="444">-SUM(M402:P402)*$C$47/100</f>
        <v>0</v>
      </c>
      <c r="R402" s="62">
        <f t="shared" ref="R402" si="445">+SUM(K402,M402:P402)</f>
        <v>900</v>
      </c>
      <c r="S402" s="65">
        <f t="shared" si="432"/>
        <v>102442.07024930744</v>
      </c>
      <c r="T402" s="62">
        <f t="shared" ref="T402:T413" si="446">-IF(MONTH(J402)=12,$C$55,0)</f>
        <v>0</v>
      </c>
      <c r="U402" s="63">
        <f t="shared" ref="U402:U413" si="447">-W401*($D$43/100/12)</f>
        <v>-129.13707292292796</v>
      </c>
      <c r="V402" s="62">
        <f t="shared" ref="V402:V413" si="448">+(1+(IF($C$71="pauschal",$C$72/100/12,VLOOKUP(I401,$J$5:$L$44,3,FALSE)/100/12)*W401))</f>
        <v>663.24139960475873</v>
      </c>
      <c r="W402" s="63">
        <f t="shared" ref="W402:W413" si="449">+SUM(W401,R402,L402,Q402,T402:V402)</f>
        <v>160372.04023182395</v>
      </c>
    </row>
    <row r="403" spans="2:23" outlineLevel="1">
      <c r="G403" s="12">
        <f t="shared" si="380"/>
        <v>52.008219178082193</v>
      </c>
      <c r="H403" s="4">
        <v>302</v>
      </c>
      <c r="I403" s="4">
        <f t="shared" si="398"/>
        <v>26</v>
      </c>
      <c r="J403" s="30">
        <f t="shared" si="441"/>
        <v>49888</v>
      </c>
      <c r="K403" s="62">
        <f>+IF(OR(H403&gt;60,$C$21="nein"),IF($C$19="monatlich",$C$20,IF($C$19="quartalsweise",OR(MONTH(J403)={1,4,7,10})*$C$20,IF($C$19="jährlich",(MONTH(J403)=7)*$C$20))),IF($C$19="monatlich",$C$22,IF($C$19="quartalsweise",OR(MONTH(J403)={1,4,7,10})*$C$22,IF($C$19="jährlich",(MONTH(J403)=7)*$C$22))))</f>
        <v>0</v>
      </c>
      <c r="L403" s="66">
        <f t="shared" si="442"/>
        <v>0</v>
      </c>
      <c r="M403" s="62">
        <f t="shared" si="443"/>
        <v>0</v>
      </c>
      <c r="N403" s="67">
        <f>+IF(AND($C$19="monatlich",K403&lt;$C$20),$C$20-K403,IF(AND($C$19="quartalsweise",OR(MONTH(J403)={1,4,7,10}),K403&lt;$C$20),$C$20-K403,IF(AND($C$19="jährlich",MONTH(J403)=7,K403&lt;$C$20),$C$20-K403,0)))</f>
        <v>0</v>
      </c>
      <c r="O403" s="67">
        <v>0</v>
      </c>
      <c r="P403" s="67">
        <v>0</v>
      </c>
      <c r="Q403" s="63">
        <f t="shared" si="444"/>
        <v>0</v>
      </c>
      <c r="R403" s="68">
        <f t="shared" si="375"/>
        <v>0</v>
      </c>
      <c r="S403" s="69">
        <f t="shared" si="432"/>
        <v>102442.07024930744</v>
      </c>
      <c r="T403" s="68">
        <f t="shared" si="446"/>
        <v>0</v>
      </c>
      <c r="U403" s="66">
        <f t="shared" si="447"/>
        <v>-130.30228268835697</v>
      </c>
      <c r="V403" s="68">
        <f t="shared" si="448"/>
        <v>669.21683429926645</v>
      </c>
      <c r="W403" s="66">
        <f t="shared" si="449"/>
        <v>160910.95478343486</v>
      </c>
    </row>
    <row r="404" spans="2:23" outlineLevel="1">
      <c r="G404" s="12">
        <f t="shared" si="380"/>
        <v>52.093150684931508</v>
      </c>
      <c r="H404" s="4">
        <v>303</v>
      </c>
      <c r="I404" s="4">
        <f t="shared" si="398"/>
        <v>26</v>
      </c>
      <c r="J404" s="30">
        <f t="shared" si="441"/>
        <v>49919</v>
      </c>
      <c r="K404" s="62">
        <f>+IF(OR(H404&gt;60,$C$21="nein"),IF($C$19="monatlich",$C$20,IF($C$19="quartalsweise",OR(MONTH(J404)={1,4,7,10})*$C$20,IF($C$19="jährlich",(MONTH(J404)=7)*$C$20))),IF($C$19="monatlich",$C$22,IF($C$19="quartalsweise",OR(MONTH(J404)={1,4,7,10})*$C$22,IF($C$19="jährlich",(MONTH(J404)=7)*$C$22))))</f>
        <v>0</v>
      </c>
      <c r="L404" s="66">
        <f t="shared" si="442"/>
        <v>0</v>
      </c>
      <c r="M404" s="62">
        <f t="shared" si="443"/>
        <v>0</v>
      </c>
      <c r="N404" s="67">
        <f>+IF(AND($C$19="monatlich",K404&lt;$C$20),$C$20-K404,IF(AND($C$19="quartalsweise",OR(MONTH(J404)={1,4,7,10}),K404&lt;$C$20),$C$20-K404,IF(AND($C$19="jährlich",MONTH(J404)=7,K404&lt;$C$20),$C$20-K404,0)))</f>
        <v>0</v>
      </c>
      <c r="O404" s="67">
        <v>0</v>
      </c>
      <c r="P404" s="67">
        <v>0</v>
      </c>
      <c r="Q404" s="63">
        <f t="shared" si="444"/>
        <v>0</v>
      </c>
      <c r="R404" s="68">
        <f t="shared" si="375"/>
        <v>0</v>
      </c>
      <c r="S404" s="69">
        <f t="shared" si="432"/>
        <v>102442.07024930744</v>
      </c>
      <c r="T404" s="68">
        <f t="shared" si="446"/>
        <v>0</v>
      </c>
      <c r="U404" s="66">
        <f t="shared" si="447"/>
        <v>-130.74015076154083</v>
      </c>
      <c r="V404" s="68">
        <f t="shared" si="448"/>
        <v>671.46231159764523</v>
      </c>
      <c r="W404" s="66">
        <f t="shared" si="449"/>
        <v>161451.67694427099</v>
      </c>
    </row>
    <row r="405" spans="2:23" outlineLevel="1">
      <c r="G405" s="12">
        <f t="shared" si="380"/>
        <v>52.175342465753424</v>
      </c>
      <c r="H405" s="4">
        <v>304</v>
      </c>
      <c r="I405" s="4">
        <f t="shared" si="398"/>
        <v>26</v>
      </c>
      <c r="J405" s="30">
        <f t="shared" si="441"/>
        <v>49949</v>
      </c>
      <c r="K405" s="62">
        <f>+IF(OR(H405&gt;60,$C$21="nein"),IF($C$19="monatlich",$C$20,IF($C$19="quartalsweise",OR(MONTH(J405)={1,4,7,10})*$C$20,IF($C$19="jährlich",(MONTH(J405)=7)*$C$20))),IF($C$19="monatlich",$C$22,IF($C$19="quartalsweise",OR(MONTH(J405)={1,4,7,10})*$C$22,IF($C$19="jährlich",(MONTH(J405)=7)*$C$22))))</f>
        <v>900</v>
      </c>
      <c r="L405" s="66">
        <f t="shared" si="442"/>
        <v>0</v>
      </c>
      <c r="M405" s="62">
        <f t="shared" si="443"/>
        <v>0</v>
      </c>
      <c r="N405" s="67">
        <f>+IF(AND($C$19="monatlich",K405&lt;$C$20),$C$20-K405,IF(AND($C$19="quartalsweise",OR(MONTH(J405)={1,4,7,10}),K405&lt;$C$20),$C$20-K405,IF(AND($C$19="jährlich",MONTH(J405)=7,K405&lt;$C$20),$C$20-K405,0)))</f>
        <v>0</v>
      </c>
      <c r="O405" s="67">
        <v>0</v>
      </c>
      <c r="P405" s="67">
        <v>0</v>
      </c>
      <c r="Q405" s="63">
        <f t="shared" si="444"/>
        <v>0</v>
      </c>
      <c r="R405" s="68">
        <f t="shared" si="375"/>
        <v>900</v>
      </c>
      <c r="S405" s="69">
        <f t="shared" si="432"/>
        <v>103342.07024930744</v>
      </c>
      <c r="T405" s="68">
        <f t="shared" si="446"/>
        <v>0</v>
      </c>
      <c r="U405" s="66">
        <f t="shared" si="447"/>
        <v>-131.17948751722017</v>
      </c>
      <c r="V405" s="68">
        <f t="shared" si="448"/>
        <v>673.71532060112918</v>
      </c>
      <c r="W405" s="66">
        <f t="shared" si="449"/>
        <v>162894.2127773549</v>
      </c>
    </row>
    <row r="406" spans="2:23" outlineLevel="1">
      <c r="G406" s="12">
        <f t="shared" si="380"/>
        <v>52.260273972602739</v>
      </c>
      <c r="H406" s="4">
        <v>305</v>
      </c>
      <c r="I406" s="4">
        <f t="shared" si="398"/>
        <v>26</v>
      </c>
      <c r="J406" s="30">
        <f t="shared" si="441"/>
        <v>49980</v>
      </c>
      <c r="K406" s="62">
        <f>+IF(OR(H406&gt;60,$C$21="nein"),IF($C$19="monatlich",$C$20,IF($C$19="quartalsweise",OR(MONTH(J406)={1,4,7,10})*$C$20,IF($C$19="jährlich",(MONTH(J406)=7)*$C$20))),IF($C$19="monatlich",$C$22,IF($C$19="quartalsweise",OR(MONTH(J406)={1,4,7,10})*$C$22,IF($C$19="jährlich",(MONTH(J406)=7)*$C$22))))</f>
        <v>0</v>
      </c>
      <c r="L406" s="66">
        <f t="shared" si="442"/>
        <v>0</v>
      </c>
      <c r="M406" s="62">
        <f t="shared" si="443"/>
        <v>0</v>
      </c>
      <c r="N406" s="67">
        <f>+IF(AND($C$19="monatlich",K406&lt;$C$20),$C$20-K406,IF(AND($C$19="quartalsweise",OR(MONTH(J406)={1,4,7,10}),K406&lt;$C$20),$C$20-K406,IF(AND($C$19="jährlich",MONTH(J406)=7,K406&lt;$C$20),$C$20-K406,0)))</f>
        <v>0</v>
      </c>
      <c r="O406" s="67">
        <v>0</v>
      </c>
      <c r="P406" s="67">
        <v>0</v>
      </c>
      <c r="Q406" s="63">
        <f t="shared" si="444"/>
        <v>0</v>
      </c>
      <c r="R406" s="68">
        <f t="shared" si="375"/>
        <v>0</v>
      </c>
      <c r="S406" s="69">
        <f t="shared" si="432"/>
        <v>103342.07024930744</v>
      </c>
      <c r="T406" s="68">
        <f t="shared" si="446"/>
        <v>0</v>
      </c>
      <c r="U406" s="66">
        <f t="shared" si="447"/>
        <v>-132.35154788160085</v>
      </c>
      <c r="V406" s="68">
        <f t="shared" si="448"/>
        <v>679.72588657231211</v>
      </c>
      <c r="W406" s="66">
        <f t="shared" si="449"/>
        <v>163441.58711604559</v>
      </c>
    </row>
    <row r="407" spans="2:23" outlineLevel="1">
      <c r="G407" s="12">
        <f t="shared" si="380"/>
        <v>52.342465753424655</v>
      </c>
      <c r="H407" s="4">
        <v>306</v>
      </c>
      <c r="I407" s="4">
        <f t="shared" ref="I407:I436" si="450">+I394+1</f>
        <v>26</v>
      </c>
      <c r="J407" s="30">
        <f t="shared" si="441"/>
        <v>50010</v>
      </c>
      <c r="K407" s="62">
        <f>+IF(OR(H407&gt;60,$C$21="nein"),IF($C$19="monatlich",$C$20,IF($C$19="quartalsweise",OR(MONTH(J407)={1,4,7,10})*$C$20,IF($C$19="jährlich",(MONTH(J407)=7)*$C$20))),IF($C$19="monatlich",$C$22,IF($C$19="quartalsweise",OR(MONTH(J407)={1,4,7,10})*$C$22,IF($C$19="jährlich",(MONTH(J407)=7)*$C$22))))</f>
        <v>0</v>
      </c>
      <c r="L407" s="66">
        <f t="shared" si="442"/>
        <v>0</v>
      </c>
      <c r="M407" s="62">
        <f t="shared" si="443"/>
        <v>0</v>
      </c>
      <c r="N407" s="67">
        <f>+IF(AND($C$19="monatlich",K407&lt;$C$20),$C$20-K407,IF(AND($C$19="quartalsweise",OR(MONTH(J407)={1,4,7,10}),K407&lt;$C$20),$C$20-K407,IF(AND($C$19="jährlich",MONTH(J407)=7,K407&lt;$C$20),$C$20-K407,0)))</f>
        <v>0</v>
      </c>
      <c r="O407" s="67">
        <v>0</v>
      </c>
      <c r="P407" s="67">
        <v>0</v>
      </c>
      <c r="Q407" s="63">
        <f t="shared" si="444"/>
        <v>0</v>
      </c>
      <c r="R407" s="68">
        <f t="shared" si="375"/>
        <v>0</v>
      </c>
      <c r="S407" s="69">
        <f t="shared" si="432"/>
        <v>103342.07024930744</v>
      </c>
      <c r="T407" s="68">
        <f t="shared" si="446"/>
        <v>-15.4</v>
      </c>
      <c r="U407" s="66">
        <f t="shared" si="447"/>
        <v>-132.79628953178704</v>
      </c>
      <c r="V407" s="68">
        <f t="shared" si="448"/>
        <v>682.00661298352327</v>
      </c>
      <c r="W407" s="66">
        <f t="shared" si="449"/>
        <v>163975.39743949735</v>
      </c>
    </row>
    <row r="408" spans="2:23" outlineLevel="1">
      <c r="G408" s="12">
        <f t="shared" si="380"/>
        <v>52.42739726027397</v>
      </c>
      <c r="H408" s="4">
        <v>307</v>
      </c>
      <c r="I408" s="4">
        <f t="shared" si="450"/>
        <v>26</v>
      </c>
      <c r="J408" s="30">
        <f t="shared" si="441"/>
        <v>50041</v>
      </c>
      <c r="K408" s="62">
        <f>+IF(OR(H408&gt;60,$C$21="nein"),IF($C$19="monatlich",$C$20,IF($C$19="quartalsweise",OR(MONTH(J408)={1,4,7,10})*$C$20,IF($C$19="jährlich",(MONTH(J408)=7)*$C$20))),IF($C$19="monatlich",$C$22,IF($C$19="quartalsweise",OR(MONTH(J408)={1,4,7,10})*$C$22,IF($C$19="jährlich",(MONTH(J408)=7)*$C$22))))</f>
        <v>900</v>
      </c>
      <c r="L408" s="66">
        <f t="shared" si="442"/>
        <v>0</v>
      </c>
      <c r="M408" s="62">
        <f t="shared" si="443"/>
        <v>0</v>
      </c>
      <c r="N408" s="67">
        <f>+IF(AND($C$19="monatlich",K408&lt;$C$20),$C$20-K408,IF(AND($C$19="quartalsweise",OR(MONTH(J408)={1,4,7,10}),K408&lt;$C$20),$C$20-K408,IF(AND($C$19="jährlich",MONTH(J408)=7,K408&lt;$C$20),$C$20-K408,0)))</f>
        <v>0</v>
      </c>
      <c r="O408" s="67">
        <v>0</v>
      </c>
      <c r="P408" s="67">
        <v>0</v>
      </c>
      <c r="Q408" s="63">
        <f t="shared" si="444"/>
        <v>0</v>
      </c>
      <c r="R408" s="68">
        <f t="shared" si="375"/>
        <v>900</v>
      </c>
      <c r="S408" s="69">
        <f t="shared" si="432"/>
        <v>104242.07024930744</v>
      </c>
      <c r="T408" s="68">
        <f t="shared" si="446"/>
        <v>0</v>
      </c>
      <c r="U408" s="66">
        <f t="shared" si="447"/>
        <v>-133.23001041959159</v>
      </c>
      <c r="V408" s="68">
        <f t="shared" si="448"/>
        <v>684.23082266457232</v>
      </c>
      <c r="W408" s="66">
        <f t="shared" si="449"/>
        <v>165426.39825174233</v>
      </c>
    </row>
    <row r="409" spans="2:23" outlineLevel="1">
      <c r="G409" s="12">
        <f t="shared" si="380"/>
        <v>52.512328767123286</v>
      </c>
      <c r="H409" s="4">
        <v>308</v>
      </c>
      <c r="I409" s="4">
        <f t="shared" si="450"/>
        <v>26</v>
      </c>
      <c r="J409" s="30">
        <f t="shared" si="441"/>
        <v>50072</v>
      </c>
      <c r="K409" s="62">
        <f>+IF(OR(H409&gt;60,$C$21="nein"),IF($C$19="monatlich",$C$20,IF($C$19="quartalsweise",OR(MONTH(J409)={1,4,7,10})*$C$20,IF($C$19="jährlich",(MONTH(J409)=7)*$C$20))),IF($C$19="monatlich",$C$22,IF($C$19="quartalsweise",OR(MONTH(J409)={1,4,7,10})*$C$22,IF($C$19="jährlich",(MONTH(J409)=7)*$C$22))))</f>
        <v>0</v>
      </c>
      <c r="L409" s="66">
        <f t="shared" si="442"/>
        <v>0</v>
      </c>
      <c r="M409" s="62">
        <f t="shared" si="443"/>
        <v>0</v>
      </c>
      <c r="N409" s="67">
        <f>+IF(AND($C$19="monatlich",K409&lt;$C$20),$C$20-K409,IF(AND($C$19="quartalsweise",OR(MONTH(J409)={1,4,7,10}),K409&lt;$C$20),$C$20-K409,IF(AND($C$19="jährlich",MONTH(J409)=7,K409&lt;$C$20),$C$20-K409,0)))</f>
        <v>0</v>
      </c>
      <c r="O409" s="67">
        <v>0</v>
      </c>
      <c r="P409" s="67">
        <v>0</v>
      </c>
      <c r="Q409" s="63">
        <f t="shared" si="444"/>
        <v>0</v>
      </c>
      <c r="R409" s="68">
        <f t="shared" si="375"/>
        <v>0</v>
      </c>
      <c r="S409" s="69">
        <f t="shared" si="432"/>
        <v>104242.07024930744</v>
      </c>
      <c r="T409" s="68">
        <f t="shared" si="446"/>
        <v>0</v>
      </c>
      <c r="U409" s="66">
        <f t="shared" si="447"/>
        <v>-134.40894857954063</v>
      </c>
      <c r="V409" s="68">
        <f t="shared" si="448"/>
        <v>690.27665938225971</v>
      </c>
      <c r="W409" s="66">
        <f t="shared" si="449"/>
        <v>165982.26596254503</v>
      </c>
    </row>
    <row r="410" spans="2:23" outlineLevel="1">
      <c r="G410" s="12">
        <f t="shared" si="380"/>
        <v>52.589041095890408</v>
      </c>
      <c r="H410" s="4">
        <v>309</v>
      </c>
      <c r="I410" s="4">
        <f t="shared" si="450"/>
        <v>26</v>
      </c>
      <c r="J410" s="30">
        <f t="shared" si="441"/>
        <v>50100</v>
      </c>
      <c r="K410" s="62">
        <f>+IF(OR(H410&gt;60,$C$21="nein"),IF($C$19="monatlich",$C$20,IF($C$19="quartalsweise",OR(MONTH(J410)={1,4,7,10})*$C$20,IF($C$19="jährlich",(MONTH(J410)=7)*$C$20))),IF($C$19="monatlich",$C$22,IF($C$19="quartalsweise",OR(MONTH(J410)={1,4,7,10})*$C$22,IF($C$19="jährlich",(MONTH(J410)=7)*$C$22))))</f>
        <v>0</v>
      </c>
      <c r="L410" s="66">
        <f t="shared" si="442"/>
        <v>0</v>
      </c>
      <c r="M410" s="62">
        <f t="shared" si="443"/>
        <v>0</v>
      </c>
      <c r="N410" s="67">
        <f>+IF(AND($C$19="monatlich",K410&lt;$C$20),$C$20-K410,IF(AND($C$19="quartalsweise",OR(MONTH(J410)={1,4,7,10}),K410&lt;$C$20),$C$20-K410,IF(AND($C$19="jährlich",MONTH(J410)=7,K410&lt;$C$20),$C$20-K410,0)))-$C$67/100*SUM(Q392:Q400,Q402:Q404)-$C$66/100*SUM(L392:L400,L402:L404)</f>
        <v>8.1052631578947363</v>
      </c>
      <c r="O410" s="67">
        <v>0</v>
      </c>
      <c r="P410" s="67">
        <v>0</v>
      </c>
      <c r="Q410" s="63">
        <f t="shared" si="444"/>
        <v>-0.40526315789473683</v>
      </c>
      <c r="R410" s="68">
        <f t="shared" si="375"/>
        <v>8.1052631578947363</v>
      </c>
      <c r="S410" s="69">
        <f t="shared" si="432"/>
        <v>104250.17551246533</v>
      </c>
      <c r="T410" s="68">
        <f t="shared" si="446"/>
        <v>0</v>
      </c>
      <c r="U410" s="66">
        <f t="shared" si="447"/>
        <v>-134.86059109456784</v>
      </c>
      <c r="V410" s="68">
        <f t="shared" si="448"/>
        <v>692.5927748439376</v>
      </c>
      <c r="W410" s="66">
        <f t="shared" si="449"/>
        <v>166547.69814629442</v>
      </c>
    </row>
    <row r="411" spans="2:23" outlineLevel="1">
      <c r="G411" s="12">
        <f t="shared" si="380"/>
        <v>52.673972602739724</v>
      </c>
      <c r="H411" s="4">
        <v>310</v>
      </c>
      <c r="I411" s="4">
        <f t="shared" si="450"/>
        <v>26</v>
      </c>
      <c r="J411" s="30">
        <f t="shared" si="441"/>
        <v>50131</v>
      </c>
      <c r="K411" s="62">
        <f>+IF(OR(H411&gt;60,$C$21="nein"),IF($C$19="monatlich",$C$20,IF($C$19="quartalsweise",OR(MONTH(J411)={1,4,7,10})*$C$20,IF($C$19="jährlich",(MONTH(J411)=7)*$C$20))),IF($C$19="monatlich",$C$22,IF($C$19="quartalsweise",OR(MONTH(J411)={1,4,7,10})*$C$22,IF($C$19="jährlich",(MONTH(J411)=7)*$C$22))))</f>
        <v>900</v>
      </c>
      <c r="L411" s="66">
        <f t="shared" si="442"/>
        <v>0</v>
      </c>
      <c r="M411" s="62">
        <f t="shared" si="443"/>
        <v>154</v>
      </c>
      <c r="N411" s="67">
        <f>+IF(AND($C$19="monatlich",K411&lt;$C$20),$C$20-K411,IF(AND($C$19="quartalsweise",OR(MONTH(J411)={1,4,7,10}),K411&lt;$C$20),$C$20-K411,IF(AND($C$19="jährlich",MONTH(J411)=7,K411&lt;$C$20),$C$20-K411,0)))</f>
        <v>0</v>
      </c>
      <c r="O411" s="67">
        <v>0</v>
      </c>
      <c r="P411" s="67">
        <v>0</v>
      </c>
      <c r="Q411" s="63">
        <f t="shared" si="444"/>
        <v>-7.7</v>
      </c>
      <c r="R411" s="68">
        <f t="shared" si="375"/>
        <v>1054</v>
      </c>
      <c r="S411" s="69">
        <f t="shared" si="432"/>
        <v>105304.17551246533</v>
      </c>
      <c r="T411" s="68">
        <f t="shared" si="446"/>
        <v>0</v>
      </c>
      <c r="U411" s="66">
        <f t="shared" si="447"/>
        <v>-135.32000474386422</v>
      </c>
      <c r="V411" s="68">
        <f t="shared" si="448"/>
        <v>694.94874227622677</v>
      </c>
      <c r="W411" s="66">
        <f t="shared" si="449"/>
        <v>168153.62688382677</v>
      </c>
    </row>
    <row r="412" spans="2:23" outlineLevel="1">
      <c r="G412" s="12">
        <f t="shared" si="380"/>
        <v>52.756164383561647</v>
      </c>
      <c r="H412" s="4">
        <v>311</v>
      </c>
      <c r="I412" s="4">
        <f t="shared" si="450"/>
        <v>26</v>
      </c>
      <c r="J412" s="30">
        <f t="shared" si="441"/>
        <v>50161</v>
      </c>
      <c r="K412" s="62">
        <f>+IF(OR(H412&gt;60,$C$21="nein"),IF($C$19="monatlich",$C$20,IF($C$19="quartalsweise",OR(MONTH(J412)={1,4,7,10})*$C$20,IF($C$19="jährlich",(MONTH(J412)=7)*$C$20))),IF($C$19="monatlich",$C$22,IF($C$19="quartalsweise",OR(MONTH(J412)={1,4,7,10})*$C$22,IF($C$19="jährlich",(MONTH(J412)=7)*$C$22))))</f>
        <v>0</v>
      </c>
      <c r="L412" s="66">
        <f t="shared" si="442"/>
        <v>0</v>
      </c>
      <c r="M412" s="62">
        <f t="shared" si="443"/>
        <v>0</v>
      </c>
      <c r="N412" s="67">
        <f>+IF(AND($C$19="monatlich",K412&lt;$C$20),$C$20-K412,IF(AND($C$19="quartalsweise",OR(MONTH(J412)={1,4,7,10}),K412&lt;$C$20),$C$20-K412,IF(AND($C$19="jährlich",MONTH(J412)=7,K412&lt;$C$20),$C$20-K412,0)))</f>
        <v>0</v>
      </c>
      <c r="O412" s="67">
        <v>0</v>
      </c>
      <c r="P412" s="67">
        <v>0</v>
      </c>
      <c r="Q412" s="63">
        <f t="shared" si="444"/>
        <v>0</v>
      </c>
      <c r="R412" s="68">
        <f t="shared" si="375"/>
        <v>0</v>
      </c>
      <c r="S412" s="69">
        <f t="shared" si="432"/>
        <v>105304.17551246533</v>
      </c>
      <c r="T412" s="68">
        <f t="shared" si="446"/>
        <v>0</v>
      </c>
      <c r="U412" s="66">
        <f t="shared" si="447"/>
        <v>-136.62482184310926</v>
      </c>
      <c r="V412" s="68">
        <f t="shared" si="448"/>
        <v>701.64011201594485</v>
      </c>
      <c r="W412" s="66">
        <f t="shared" si="449"/>
        <v>168718.6421739996</v>
      </c>
    </row>
    <row r="413" spans="2:23" outlineLevel="1">
      <c r="G413" s="13">
        <f t="shared" si="380"/>
        <v>52.841095890410962</v>
      </c>
      <c r="H413" s="6">
        <v>312</v>
      </c>
      <c r="I413" s="6">
        <f t="shared" si="450"/>
        <v>26</v>
      </c>
      <c r="J413" s="31">
        <f t="shared" si="441"/>
        <v>50192</v>
      </c>
      <c r="K413" s="62">
        <f>+IF(OR(H413&gt;60,$C$21="nein"),IF($C$19="monatlich",$C$20,IF($C$19="quartalsweise",OR(MONTH(J413)={1,4,7,10})*$C$20,IF($C$19="jährlich",(MONTH(J413)=7)*$C$20))),IF($C$19="monatlich",$C$22,IF($C$19="quartalsweise",OR(MONTH(J413)={1,4,7,10})*$C$22,IF($C$19="jährlich",(MONTH(J413)=7)*$C$22))))</f>
        <v>0</v>
      </c>
      <c r="L413" s="70">
        <f t="shared" si="442"/>
        <v>0</v>
      </c>
      <c r="M413" s="62">
        <f t="shared" si="443"/>
        <v>0</v>
      </c>
      <c r="N413" s="71">
        <f>+IF(AND($C$19="monatlich",K413&lt;$C$20),$C$20-K413,IF(AND($C$19="quartalsweise",OR(MONTH(J413)={1,4,7,10}),K413&lt;$C$20),$C$20-K413,IF(AND($C$19="jährlich",MONTH(J413)=7,K413&lt;$C$20),$C$20-K413,0)))</f>
        <v>0</v>
      </c>
      <c r="O413" s="71">
        <v>0</v>
      </c>
      <c r="P413" s="71">
        <v>0</v>
      </c>
      <c r="Q413" s="63">
        <f t="shared" si="444"/>
        <v>0</v>
      </c>
      <c r="R413" s="72">
        <f t="shared" si="375"/>
        <v>0</v>
      </c>
      <c r="S413" s="73">
        <f t="shared" si="432"/>
        <v>105304.17551246533</v>
      </c>
      <c r="T413" s="72">
        <f t="shared" si="446"/>
        <v>0</v>
      </c>
      <c r="U413" s="70">
        <f t="shared" si="447"/>
        <v>-137.08389676637466</v>
      </c>
      <c r="V413" s="72">
        <f t="shared" si="448"/>
        <v>703.99434239166499</v>
      </c>
      <c r="W413" s="70">
        <f t="shared" si="449"/>
        <v>169285.55261962488</v>
      </c>
    </row>
    <row r="414" spans="2:23" s="5" customFormat="1" ht="15">
      <c r="B414" s="17"/>
      <c r="G414" s="115">
        <f t="shared" si="380"/>
        <v>52.841095890410962</v>
      </c>
      <c r="H414" s="116" t="str">
        <f>H402&amp;" - "&amp;H413</f>
        <v>301 - 312</v>
      </c>
      <c r="I414" s="117">
        <f t="shared" si="450"/>
        <v>26</v>
      </c>
      <c r="J414" s="118">
        <f t="shared" ref="J414" si="451">+J413</f>
        <v>50192</v>
      </c>
      <c r="K414" s="119">
        <f t="shared" ref="K414:L414" si="452">SUM(K402:K413)</f>
        <v>3600</v>
      </c>
      <c r="L414" s="120">
        <f t="shared" si="452"/>
        <v>0</v>
      </c>
      <c r="M414" s="119">
        <f t="shared" ref="M414" si="453">SUM(M402:M413)</f>
        <v>154</v>
      </c>
      <c r="N414" s="121">
        <f t="shared" si="402"/>
        <v>8.1052631578947363</v>
      </c>
      <c r="O414" s="121">
        <f t="shared" ref="O414" si="454">SUM(O402:O413)</f>
        <v>0</v>
      </c>
      <c r="P414" s="121">
        <f t="shared" ref="P414:Q427" si="455">SUM(P402:P413)</f>
        <v>0</v>
      </c>
      <c r="Q414" s="120">
        <f t="shared" si="455"/>
        <v>-8.1052631578947363</v>
      </c>
      <c r="R414" s="119">
        <f t="shared" ref="R414" si="456">SUM(R402:R413)</f>
        <v>3762.1052631578946</v>
      </c>
      <c r="S414" s="122">
        <f t="shared" si="432"/>
        <v>105304.17551246533</v>
      </c>
      <c r="T414" s="119">
        <f t="shared" ref="T414:V414" si="457">SUM(T402:T413)</f>
        <v>-15.4</v>
      </c>
      <c r="U414" s="120">
        <f t="shared" si="457"/>
        <v>-1598.0351047504819</v>
      </c>
      <c r="V414" s="119">
        <f t="shared" si="457"/>
        <v>8207.0518192332402</v>
      </c>
      <c r="W414" s="123">
        <f t="shared" ref="W414" si="458">+W413</f>
        <v>169285.55261962488</v>
      </c>
    </row>
    <row r="415" spans="2:23" outlineLevel="1">
      <c r="G415" s="11">
        <f t="shared" si="380"/>
        <v>52.923287671232877</v>
      </c>
      <c r="H415" s="2">
        <v>313</v>
      </c>
      <c r="I415" s="2">
        <f t="shared" si="450"/>
        <v>27</v>
      </c>
      <c r="J415" s="29">
        <f t="shared" si="441"/>
        <v>50222</v>
      </c>
      <c r="K415" s="62">
        <f>+IF(OR(H415&gt;60,$C$21="nein"),IF($C$19="monatlich",$C$20,IF($C$19="quartalsweise",OR(MONTH(J415)={1,4,7,10})*$C$20,IF($C$19="jährlich",(MONTH(J415)=7)*$C$20))),IF($C$19="monatlich",$C$22,IF($C$19="quartalsweise",OR(MONTH(J415)={1,4,7,10})*$C$22,IF($C$19="jährlich",(MONTH(J415)=7)*$C$22))))</f>
        <v>900</v>
      </c>
      <c r="L415" s="63">
        <f t="shared" ref="L415:L426" si="459">-IF(H415&gt;60,0,IF($C$19="monatlich",$C$52,IF(AND($C$19="quartalsweise",K415&gt;0),$C$52,IF(AND($C$19="jährlich",K415&gt;0),$C$51,0))))</f>
        <v>0</v>
      </c>
      <c r="M415" s="62">
        <f t="shared" ref="M415:M426" si="460">+IF(MONTH(J415)=4,$C$25,0)</f>
        <v>0</v>
      </c>
      <c r="N415" s="64">
        <f>+IF(AND($C$19="monatlich",K415&lt;$C$20),$C$20-K415,IF(AND($C$19="quartalsweise",OR(MONTH(J415)={1,4,7,10}),K415&lt;$C$20),$C$20-K415,IF(AND($C$19="jährlich",MONTH(J415)=7,K415&lt;$C$20),$C$20-K415,0)))</f>
        <v>0</v>
      </c>
      <c r="O415" s="64">
        <v>0</v>
      </c>
      <c r="P415" s="64">
        <v>0</v>
      </c>
      <c r="Q415" s="63">
        <f t="shared" ref="Q415:Q426" si="461">-SUM(M415:P415)*$C$47/100</f>
        <v>0</v>
      </c>
      <c r="R415" s="62">
        <f t="shared" ref="R415:R478" si="462">+SUM(K415,M415:P415)</f>
        <v>900</v>
      </c>
      <c r="S415" s="65">
        <f t="shared" si="432"/>
        <v>106204.17551246533</v>
      </c>
      <c r="T415" s="62">
        <f t="shared" ref="T415:T426" si="463">-IF(MONTH(J415)=12,$C$55,0)</f>
        <v>0</v>
      </c>
      <c r="U415" s="63">
        <f t="shared" ref="U415:U426" si="464">-W414*($D$43/100/12)</f>
        <v>-137.54451150344522</v>
      </c>
      <c r="V415" s="62">
        <f t="shared" ref="V415:V426" si="465">+(1+(IF($C$71="pauschal",$C$72/100/12,VLOOKUP(I414,$J$5:$L$44,3,FALSE)/100/12)*W414))</f>
        <v>706.35646924843695</v>
      </c>
      <c r="W415" s="63">
        <f t="shared" ref="W415:W426" si="466">+SUM(W414,R415,L415,Q415,T415:V415)</f>
        <v>170754.36457736988</v>
      </c>
    </row>
    <row r="416" spans="2:23" outlineLevel="1">
      <c r="G416" s="12">
        <f t="shared" si="380"/>
        <v>53.008219178082193</v>
      </c>
      <c r="H416" s="4">
        <v>314</v>
      </c>
      <c r="I416" s="4">
        <f t="shared" si="450"/>
        <v>27</v>
      </c>
      <c r="J416" s="30">
        <f t="shared" si="441"/>
        <v>50253</v>
      </c>
      <c r="K416" s="62">
        <f>+IF(OR(H416&gt;60,$C$21="nein"),IF($C$19="monatlich",$C$20,IF($C$19="quartalsweise",OR(MONTH(J416)={1,4,7,10})*$C$20,IF($C$19="jährlich",(MONTH(J416)=7)*$C$20))),IF($C$19="monatlich",$C$22,IF($C$19="quartalsweise",OR(MONTH(J416)={1,4,7,10})*$C$22,IF($C$19="jährlich",(MONTH(J416)=7)*$C$22))))</f>
        <v>0</v>
      </c>
      <c r="L416" s="66">
        <f t="shared" si="459"/>
        <v>0</v>
      </c>
      <c r="M416" s="62">
        <f t="shared" si="460"/>
        <v>0</v>
      </c>
      <c r="N416" s="67">
        <f>+IF(AND($C$19="monatlich",K416&lt;$C$20),$C$20-K416,IF(AND($C$19="quartalsweise",OR(MONTH(J416)={1,4,7,10}),K416&lt;$C$20),$C$20-K416,IF(AND($C$19="jährlich",MONTH(J416)=7,K416&lt;$C$20),$C$20-K416,0)))</f>
        <v>0</v>
      </c>
      <c r="O416" s="67">
        <v>0</v>
      </c>
      <c r="P416" s="67">
        <v>0</v>
      </c>
      <c r="Q416" s="63">
        <f t="shared" si="461"/>
        <v>0</v>
      </c>
      <c r="R416" s="68">
        <f t="shared" si="462"/>
        <v>0</v>
      </c>
      <c r="S416" s="69">
        <f t="shared" si="432"/>
        <v>106204.17551246533</v>
      </c>
      <c r="T416" s="68">
        <f t="shared" si="463"/>
        <v>0</v>
      </c>
      <c r="U416" s="66">
        <f t="shared" si="464"/>
        <v>-138.73792121911302</v>
      </c>
      <c r="V416" s="68">
        <f t="shared" si="465"/>
        <v>712.47651907237446</v>
      </c>
      <c r="W416" s="66">
        <f t="shared" si="466"/>
        <v>171328.10317522314</v>
      </c>
    </row>
    <row r="417" spans="2:23" outlineLevel="1">
      <c r="G417" s="12">
        <f t="shared" si="380"/>
        <v>53.093150684931508</v>
      </c>
      <c r="H417" s="4">
        <v>315</v>
      </c>
      <c r="I417" s="4">
        <f t="shared" si="450"/>
        <v>27</v>
      </c>
      <c r="J417" s="30">
        <f t="shared" si="441"/>
        <v>50284</v>
      </c>
      <c r="K417" s="62">
        <f>+IF(OR(H417&gt;60,$C$21="nein"),IF($C$19="monatlich",$C$20,IF($C$19="quartalsweise",OR(MONTH(J417)={1,4,7,10})*$C$20,IF($C$19="jährlich",(MONTH(J417)=7)*$C$20))),IF($C$19="monatlich",$C$22,IF($C$19="quartalsweise",OR(MONTH(J417)={1,4,7,10})*$C$22,IF($C$19="jährlich",(MONTH(J417)=7)*$C$22))))</f>
        <v>0</v>
      </c>
      <c r="L417" s="66">
        <f t="shared" si="459"/>
        <v>0</v>
      </c>
      <c r="M417" s="62">
        <f t="shared" si="460"/>
        <v>0</v>
      </c>
      <c r="N417" s="67">
        <f>+IF(AND($C$19="monatlich",K417&lt;$C$20),$C$20-K417,IF(AND($C$19="quartalsweise",OR(MONTH(J417)={1,4,7,10}),K417&lt;$C$20),$C$20-K417,IF(AND($C$19="jährlich",MONTH(J417)=7,K417&lt;$C$20),$C$20-K417,0)))</f>
        <v>0</v>
      </c>
      <c r="O417" s="67">
        <v>0</v>
      </c>
      <c r="P417" s="67">
        <v>0</v>
      </c>
      <c r="Q417" s="63">
        <f t="shared" si="461"/>
        <v>0</v>
      </c>
      <c r="R417" s="68">
        <f t="shared" si="462"/>
        <v>0</v>
      </c>
      <c r="S417" s="69">
        <f t="shared" si="432"/>
        <v>106204.17551246533</v>
      </c>
      <c r="T417" s="68">
        <f t="shared" si="463"/>
        <v>0</v>
      </c>
      <c r="U417" s="66">
        <f t="shared" si="464"/>
        <v>-139.20408382986878</v>
      </c>
      <c r="V417" s="68">
        <f t="shared" si="465"/>
        <v>714.86709656342975</v>
      </c>
      <c r="W417" s="66">
        <f t="shared" si="466"/>
        <v>171903.7661879567</v>
      </c>
    </row>
    <row r="418" spans="2:23" outlineLevel="1">
      <c r="G418" s="12">
        <f t="shared" si="380"/>
        <v>53.175342465753424</v>
      </c>
      <c r="H418" s="4">
        <v>316</v>
      </c>
      <c r="I418" s="4">
        <f t="shared" si="450"/>
        <v>27</v>
      </c>
      <c r="J418" s="30">
        <f t="shared" si="441"/>
        <v>50314</v>
      </c>
      <c r="K418" s="62">
        <f>+IF(OR(H418&gt;60,$C$21="nein"),IF($C$19="monatlich",$C$20,IF($C$19="quartalsweise",OR(MONTH(J418)={1,4,7,10})*$C$20,IF($C$19="jährlich",(MONTH(J418)=7)*$C$20))),IF($C$19="monatlich",$C$22,IF($C$19="quartalsweise",OR(MONTH(J418)={1,4,7,10})*$C$22,IF($C$19="jährlich",(MONTH(J418)=7)*$C$22))))</f>
        <v>900</v>
      </c>
      <c r="L418" s="66">
        <f t="shared" si="459"/>
        <v>0</v>
      </c>
      <c r="M418" s="62">
        <f t="shared" si="460"/>
        <v>0</v>
      </c>
      <c r="N418" s="67">
        <f>+IF(AND($C$19="monatlich",K418&lt;$C$20),$C$20-K418,IF(AND($C$19="quartalsweise",OR(MONTH(J418)={1,4,7,10}),K418&lt;$C$20),$C$20-K418,IF(AND($C$19="jährlich",MONTH(J418)=7,K418&lt;$C$20),$C$20-K418,0)))</f>
        <v>0</v>
      </c>
      <c r="O418" s="67">
        <v>0</v>
      </c>
      <c r="P418" s="67">
        <v>0</v>
      </c>
      <c r="Q418" s="63">
        <f t="shared" si="461"/>
        <v>0</v>
      </c>
      <c r="R418" s="68">
        <f t="shared" si="462"/>
        <v>900</v>
      </c>
      <c r="S418" s="69">
        <f t="shared" si="432"/>
        <v>107104.17551246533</v>
      </c>
      <c r="T418" s="68">
        <f t="shared" si="463"/>
        <v>0</v>
      </c>
      <c r="U418" s="66">
        <f t="shared" si="464"/>
        <v>-139.67181002771483</v>
      </c>
      <c r="V418" s="68">
        <f t="shared" si="465"/>
        <v>717.26569244981954</v>
      </c>
      <c r="W418" s="66">
        <f t="shared" si="466"/>
        <v>173381.36007037881</v>
      </c>
    </row>
    <row r="419" spans="2:23" outlineLevel="1">
      <c r="G419" s="12">
        <f t="shared" si="380"/>
        <v>53.260273972602739</v>
      </c>
      <c r="H419" s="4">
        <v>317</v>
      </c>
      <c r="I419" s="4">
        <f t="shared" si="450"/>
        <v>27</v>
      </c>
      <c r="J419" s="30">
        <f t="shared" si="441"/>
        <v>50345</v>
      </c>
      <c r="K419" s="62">
        <f>+IF(OR(H419&gt;60,$C$21="nein"),IF($C$19="monatlich",$C$20,IF($C$19="quartalsweise",OR(MONTH(J419)={1,4,7,10})*$C$20,IF($C$19="jährlich",(MONTH(J419)=7)*$C$20))),IF($C$19="monatlich",$C$22,IF($C$19="quartalsweise",OR(MONTH(J419)={1,4,7,10})*$C$22,IF($C$19="jährlich",(MONTH(J419)=7)*$C$22))))</f>
        <v>0</v>
      </c>
      <c r="L419" s="66">
        <f t="shared" si="459"/>
        <v>0</v>
      </c>
      <c r="M419" s="62">
        <f t="shared" si="460"/>
        <v>0</v>
      </c>
      <c r="N419" s="67">
        <f>+IF(AND($C$19="monatlich",K419&lt;$C$20),$C$20-K419,IF(AND($C$19="quartalsweise",OR(MONTH(J419)={1,4,7,10}),K419&lt;$C$20),$C$20-K419,IF(AND($C$19="jährlich",MONTH(J419)=7,K419&lt;$C$20),$C$20-K419,0)))</f>
        <v>0</v>
      </c>
      <c r="O419" s="67">
        <v>0</v>
      </c>
      <c r="P419" s="67">
        <v>0</v>
      </c>
      <c r="Q419" s="63">
        <f t="shared" si="461"/>
        <v>0</v>
      </c>
      <c r="R419" s="68">
        <f t="shared" si="462"/>
        <v>0</v>
      </c>
      <c r="S419" s="69">
        <f t="shared" si="432"/>
        <v>107104.17551246533</v>
      </c>
      <c r="T419" s="68">
        <f t="shared" si="463"/>
        <v>0</v>
      </c>
      <c r="U419" s="66">
        <f t="shared" si="464"/>
        <v>-140.87235505718277</v>
      </c>
      <c r="V419" s="68">
        <f t="shared" si="465"/>
        <v>723.42233362657839</v>
      </c>
      <c r="W419" s="66">
        <f t="shared" si="466"/>
        <v>173963.91004894819</v>
      </c>
    </row>
    <row r="420" spans="2:23" outlineLevel="1">
      <c r="G420" s="12">
        <f t="shared" si="380"/>
        <v>53.342465753424655</v>
      </c>
      <c r="H420" s="4">
        <v>318</v>
      </c>
      <c r="I420" s="4">
        <f t="shared" si="450"/>
        <v>27</v>
      </c>
      <c r="J420" s="30">
        <f t="shared" si="441"/>
        <v>50375</v>
      </c>
      <c r="K420" s="62">
        <f>+IF(OR(H420&gt;60,$C$21="nein"),IF($C$19="monatlich",$C$20,IF($C$19="quartalsweise",OR(MONTH(J420)={1,4,7,10})*$C$20,IF($C$19="jährlich",(MONTH(J420)=7)*$C$20))),IF($C$19="monatlich",$C$22,IF($C$19="quartalsweise",OR(MONTH(J420)={1,4,7,10})*$C$22,IF($C$19="jährlich",(MONTH(J420)=7)*$C$22))))</f>
        <v>0</v>
      </c>
      <c r="L420" s="66">
        <f t="shared" si="459"/>
        <v>0</v>
      </c>
      <c r="M420" s="62">
        <f t="shared" si="460"/>
        <v>0</v>
      </c>
      <c r="N420" s="67">
        <f>+IF(AND($C$19="monatlich",K420&lt;$C$20),$C$20-K420,IF(AND($C$19="quartalsweise",OR(MONTH(J420)={1,4,7,10}),K420&lt;$C$20),$C$20-K420,IF(AND($C$19="jährlich",MONTH(J420)=7,K420&lt;$C$20),$C$20-K420,0)))</f>
        <v>0</v>
      </c>
      <c r="O420" s="67">
        <v>0</v>
      </c>
      <c r="P420" s="67">
        <v>0</v>
      </c>
      <c r="Q420" s="63">
        <f t="shared" si="461"/>
        <v>0</v>
      </c>
      <c r="R420" s="68">
        <f t="shared" si="462"/>
        <v>0</v>
      </c>
      <c r="S420" s="69">
        <f t="shared" si="432"/>
        <v>107104.17551246533</v>
      </c>
      <c r="T420" s="68">
        <f t="shared" si="463"/>
        <v>-15.4</v>
      </c>
      <c r="U420" s="66">
        <f t="shared" si="464"/>
        <v>-141.34567691477039</v>
      </c>
      <c r="V420" s="68">
        <f t="shared" si="465"/>
        <v>725.84962520395084</v>
      </c>
      <c r="W420" s="66">
        <f t="shared" si="466"/>
        <v>174533.0139972374</v>
      </c>
    </row>
    <row r="421" spans="2:23" outlineLevel="1">
      <c r="G421" s="12">
        <f t="shared" si="380"/>
        <v>53.42739726027397</v>
      </c>
      <c r="H421" s="4">
        <v>319</v>
      </c>
      <c r="I421" s="4">
        <f t="shared" si="450"/>
        <v>27</v>
      </c>
      <c r="J421" s="30">
        <f t="shared" si="441"/>
        <v>50406</v>
      </c>
      <c r="K421" s="62">
        <f>+IF(OR(H421&gt;60,$C$21="nein"),IF($C$19="monatlich",$C$20,IF($C$19="quartalsweise",OR(MONTH(J421)={1,4,7,10})*$C$20,IF($C$19="jährlich",(MONTH(J421)=7)*$C$20))),IF($C$19="monatlich",$C$22,IF($C$19="quartalsweise",OR(MONTH(J421)={1,4,7,10})*$C$22,IF($C$19="jährlich",(MONTH(J421)=7)*$C$22))))</f>
        <v>900</v>
      </c>
      <c r="L421" s="66">
        <f t="shared" si="459"/>
        <v>0</v>
      </c>
      <c r="M421" s="62">
        <f t="shared" si="460"/>
        <v>0</v>
      </c>
      <c r="N421" s="67">
        <f>+IF(AND($C$19="monatlich",K421&lt;$C$20),$C$20-K421,IF(AND($C$19="quartalsweise",OR(MONTH(J421)={1,4,7,10}),K421&lt;$C$20),$C$20-K421,IF(AND($C$19="jährlich",MONTH(J421)=7,K421&lt;$C$20),$C$20-K421,0)))</f>
        <v>0</v>
      </c>
      <c r="O421" s="67">
        <v>0</v>
      </c>
      <c r="P421" s="67">
        <v>0</v>
      </c>
      <c r="Q421" s="63">
        <f t="shared" si="461"/>
        <v>0</v>
      </c>
      <c r="R421" s="68">
        <f t="shared" si="462"/>
        <v>900</v>
      </c>
      <c r="S421" s="69">
        <f t="shared" si="432"/>
        <v>108004.17551246533</v>
      </c>
      <c r="T421" s="68">
        <f t="shared" si="463"/>
        <v>0</v>
      </c>
      <c r="U421" s="66">
        <f t="shared" si="464"/>
        <v>-141.80807387275539</v>
      </c>
      <c r="V421" s="68">
        <f t="shared" si="465"/>
        <v>728.22089165515581</v>
      </c>
      <c r="W421" s="66">
        <f t="shared" si="466"/>
        <v>176019.4268150198</v>
      </c>
    </row>
    <row r="422" spans="2:23" outlineLevel="1">
      <c r="G422" s="12">
        <f t="shared" si="380"/>
        <v>53.512328767123286</v>
      </c>
      <c r="H422" s="4">
        <v>320</v>
      </c>
      <c r="I422" s="4">
        <f t="shared" si="450"/>
        <v>27</v>
      </c>
      <c r="J422" s="30">
        <f t="shared" si="441"/>
        <v>50437</v>
      </c>
      <c r="K422" s="62">
        <f>+IF(OR(H422&gt;60,$C$21="nein"),IF($C$19="monatlich",$C$20,IF($C$19="quartalsweise",OR(MONTH(J422)={1,4,7,10})*$C$20,IF($C$19="jährlich",(MONTH(J422)=7)*$C$20))),IF($C$19="monatlich",$C$22,IF($C$19="quartalsweise",OR(MONTH(J422)={1,4,7,10})*$C$22,IF($C$19="jährlich",(MONTH(J422)=7)*$C$22))))</f>
        <v>0</v>
      </c>
      <c r="L422" s="66">
        <f t="shared" si="459"/>
        <v>0</v>
      </c>
      <c r="M422" s="62">
        <f t="shared" si="460"/>
        <v>0</v>
      </c>
      <c r="N422" s="67">
        <f>+IF(AND($C$19="monatlich",K422&lt;$C$20),$C$20-K422,IF(AND($C$19="quartalsweise",OR(MONTH(J422)={1,4,7,10}),K422&lt;$C$20),$C$20-K422,IF(AND($C$19="jährlich",MONTH(J422)=7,K422&lt;$C$20),$C$20-K422,0)))</f>
        <v>0</v>
      </c>
      <c r="O422" s="67">
        <v>0</v>
      </c>
      <c r="P422" s="67">
        <v>0</v>
      </c>
      <c r="Q422" s="63">
        <f t="shared" si="461"/>
        <v>0</v>
      </c>
      <c r="R422" s="68">
        <f t="shared" si="462"/>
        <v>0</v>
      </c>
      <c r="S422" s="69">
        <f t="shared" si="432"/>
        <v>108004.17551246533</v>
      </c>
      <c r="T422" s="68">
        <f t="shared" si="463"/>
        <v>0</v>
      </c>
      <c r="U422" s="66">
        <f t="shared" si="464"/>
        <v>-143.01578428720359</v>
      </c>
      <c r="V422" s="68">
        <f t="shared" si="465"/>
        <v>734.41427839591586</v>
      </c>
      <c r="W422" s="66">
        <f t="shared" si="466"/>
        <v>176610.8253091285</v>
      </c>
    </row>
    <row r="423" spans="2:23" outlineLevel="1">
      <c r="G423" s="12">
        <f t="shared" si="380"/>
        <v>53.589041095890408</v>
      </c>
      <c r="H423" s="4">
        <v>321</v>
      </c>
      <c r="I423" s="4">
        <f t="shared" si="450"/>
        <v>27</v>
      </c>
      <c r="J423" s="30">
        <f t="shared" si="441"/>
        <v>50465</v>
      </c>
      <c r="K423" s="62">
        <f>+IF(OR(H423&gt;60,$C$21="nein"),IF($C$19="monatlich",$C$20,IF($C$19="quartalsweise",OR(MONTH(J423)={1,4,7,10})*$C$20,IF($C$19="jährlich",(MONTH(J423)=7)*$C$20))),IF($C$19="monatlich",$C$22,IF($C$19="quartalsweise",OR(MONTH(J423)={1,4,7,10})*$C$22,IF($C$19="jährlich",(MONTH(J423)=7)*$C$22))))</f>
        <v>0</v>
      </c>
      <c r="L423" s="66">
        <f t="shared" si="459"/>
        <v>0</v>
      </c>
      <c r="M423" s="62">
        <f t="shared" si="460"/>
        <v>0</v>
      </c>
      <c r="N423" s="67">
        <f>+IF(AND($C$19="monatlich",K423&lt;$C$20),$C$20-K423,IF(AND($C$19="quartalsweise",OR(MONTH(J423)={1,4,7,10}),K423&lt;$C$20),$C$20-K423,IF(AND($C$19="jährlich",MONTH(J423)=7,K423&lt;$C$20),$C$20-K423,0)))-$C$67/100*SUM(Q405:Q413,Q415:Q417)-$C$66/100*SUM(L405:L413,L415:L417)</f>
        <v>8.1052631578947363</v>
      </c>
      <c r="O423" s="67">
        <v>0</v>
      </c>
      <c r="P423" s="67">
        <v>0</v>
      </c>
      <c r="Q423" s="63">
        <f t="shared" si="461"/>
        <v>-0.40526315789473683</v>
      </c>
      <c r="R423" s="68">
        <f t="shared" si="462"/>
        <v>8.1052631578947363</v>
      </c>
      <c r="S423" s="69">
        <f t="shared" si="432"/>
        <v>108012.28077562322</v>
      </c>
      <c r="T423" s="68">
        <f t="shared" si="463"/>
        <v>0</v>
      </c>
      <c r="U423" s="66">
        <f t="shared" si="464"/>
        <v>-143.49629556366691</v>
      </c>
      <c r="V423" s="68">
        <f t="shared" si="465"/>
        <v>736.8784387880354</v>
      </c>
      <c r="W423" s="66">
        <f t="shared" si="466"/>
        <v>177211.90745235287</v>
      </c>
    </row>
    <row r="424" spans="2:23" outlineLevel="1">
      <c r="G424" s="12">
        <f t="shared" ref="G424:G493" si="467">+(J424-DATE(1984,8,11))/365</f>
        <v>53.673972602739724</v>
      </c>
      <c r="H424" s="4">
        <v>322</v>
      </c>
      <c r="I424" s="4">
        <f t="shared" si="450"/>
        <v>27</v>
      </c>
      <c r="J424" s="30">
        <f t="shared" si="441"/>
        <v>50496</v>
      </c>
      <c r="K424" s="62">
        <f>+IF(OR(H424&gt;60,$C$21="nein"),IF($C$19="monatlich",$C$20,IF($C$19="quartalsweise",OR(MONTH(J424)={1,4,7,10})*$C$20,IF($C$19="jährlich",(MONTH(J424)=7)*$C$20))),IF($C$19="monatlich",$C$22,IF($C$19="quartalsweise",OR(MONTH(J424)={1,4,7,10})*$C$22,IF($C$19="jährlich",(MONTH(J424)=7)*$C$22))))</f>
        <v>900</v>
      </c>
      <c r="L424" s="66">
        <f t="shared" si="459"/>
        <v>0</v>
      </c>
      <c r="M424" s="62">
        <f t="shared" si="460"/>
        <v>154</v>
      </c>
      <c r="N424" s="67">
        <f>+IF(AND($C$19="monatlich",K424&lt;$C$20),$C$20-K424,IF(AND($C$19="quartalsweise",OR(MONTH(J424)={1,4,7,10}),K424&lt;$C$20),$C$20-K424,IF(AND($C$19="jährlich",MONTH(J424)=7,K424&lt;$C$20),$C$20-K424,0)))</f>
        <v>0</v>
      </c>
      <c r="O424" s="67">
        <v>0</v>
      </c>
      <c r="P424" s="67">
        <v>0</v>
      </c>
      <c r="Q424" s="63">
        <f t="shared" si="461"/>
        <v>-7.7</v>
      </c>
      <c r="R424" s="68">
        <f t="shared" si="462"/>
        <v>1054</v>
      </c>
      <c r="S424" s="69">
        <f t="shared" si="432"/>
        <v>109066.28077562322</v>
      </c>
      <c r="T424" s="68">
        <f t="shared" si="463"/>
        <v>0</v>
      </c>
      <c r="U424" s="66">
        <f t="shared" si="464"/>
        <v>-143.98467480503669</v>
      </c>
      <c r="V424" s="68">
        <f t="shared" si="465"/>
        <v>739.38294771813696</v>
      </c>
      <c r="W424" s="66">
        <f t="shared" si="466"/>
        <v>178853.60572526595</v>
      </c>
    </row>
    <row r="425" spans="2:23" outlineLevel="1">
      <c r="G425" s="12">
        <f t="shared" si="467"/>
        <v>53.756164383561647</v>
      </c>
      <c r="H425" s="4">
        <v>323</v>
      </c>
      <c r="I425" s="4">
        <f t="shared" si="450"/>
        <v>27</v>
      </c>
      <c r="J425" s="30">
        <f t="shared" si="441"/>
        <v>50526</v>
      </c>
      <c r="K425" s="62">
        <f>+IF(OR(H425&gt;60,$C$21="nein"),IF($C$19="monatlich",$C$20,IF($C$19="quartalsweise",OR(MONTH(J425)={1,4,7,10})*$C$20,IF($C$19="jährlich",(MONTH(J425)=7)*$C$20))),IF($C$19="monatlich",$C$22,IF($C$19="quartalsweise",OR(MONTH(J425)={1,4,7,10})*$C$22,IF($C$19="jährlich",(MONTH(J425)=7)*$C$22))))</f>
        <v>0</v>
      </c>
      <c r="L425" s="66">
        <f t="shared" si="459"/>
        <v>0</v>
      </c>
      <c r="M425" s="62">
        <f t="shared" si="460"/>
        <v>0</v>
      </c>
      <c r="N425" s="67">
        <f>+IF(AND($C$19="monatlich",K425&lt;$C$20),$C$20-K425,IF(AND($C$19="quartalsweise",OR(MONTH(J425)={1,4,7,10}),K425&lt;$C$20),$C$20-K425,IF(AND($C$19="jährlich",MONTH(J425)=7,K425&lt;$C$20),$C$20-K425,0)))</f>
        <v>0</v>
      </c>
      <c r="O425" s="67">
        <v>0</v>
      </c>
      <c r="P425" s="67">
        <v>0</v>
      </c>
      <c r="Q425" s="63">
        <f t="shared" si="461"/>
        <v>0</v>
      </c>
      <c r="R425" s="68">
        <f t="shared" si="462"/>
        <v>0</v>
      </c>
      <c r="S425" s="69">
        <f t="shared" si="432"/>
        <v>109066.28077562322</v>
      </c>
      <c r="T425" s="68">
        <f t="shared" si="463"/>
        <v>0</v>
      </c>
      <c r="U425" s="66">
        <f t="shared" si="464"/>
        <v>-145.31855465177858</v>
      </c>
      <c r="V425" s="68">
        <f t="shared" si="465"/>
        <v>746.22335718860813</v>
      </c>
      <c r="W425" s="66">
        <f t="shared" si="466"/>
        <v>179454.51052780278</v>
      </c>
    </row>
    <row r="426" spans="2:23" outlineLevel="1">
      <c r="G426" s="13">
        <f t="shared" si="467"/>
        <v>53.841095890410962</v>
      </c>
      <c r="H426" s="6">
        <v>324</v>
      </c>
      <c r="I426" s="6">
        <f t="shared" si="450"/>
        <v>27</v>
      </c>
      <c r="J426" s="31">
        <f t="shared" si="441"/>
        <v>50557</v>
      </c>
      <c r="K426" s="62">
        <f>+IF(OR(H426&gt;60,$C$21="nein"),IF($C$19="monatlich",$C$20,IF($C$19="quartalsweise",OR(MONTH(J426)={1,4,7,10})*$C$20,IF($C$19="jährlich",(MONTH(J426)=7)*$C$20))),IF($C$19="monatlich",$C$22,IF($C$19="quartalsweise",OR(MONTH(J426)={1,4,7,10})*$C$22,IF($C$19="jährlich",(MONTH(J426)=7)*$C$22))))</f>
        <v>0</v>
      </c>
      <c r="L426" s="70">
        <f t="shared" si="459"/>
        <v>0</v>
      </c>
      <c r="M426" s="62">
        <f t="shared" si="460"/>
        <v>0</v>
      </c>
      <c r="N426" s="71">
        <f>+IF(AND($C$19="monatlich",K426&lt;$C$20),$C$20-K426,IF(AND($C$19="quartalsweise",OR(MONTH(J426)={1,4,7,10}),K426&lt;$C$20),$C$20-K426,IF(AND($C$19="jährlich",MONTH(J426)=7,K426&lt;$C$20),$C$20-K426,0)))</f>
        <v>0</v>
      </c>
      <c r="O426" s="71">
        <v>0</v>
      </c>
      <c r="P426" s="71">
        <v>0</v>
      </c>
      <c r="Q426" s="63">
        <f t="shared" si="461"/>
        <v>0</v>
      </c>
      <c r="R426" s="72">
        <f t="shared" si="462"/>
        <v>0</v>
      </c>
      <c r="S426" s="73">
        <f t="shared" si="432"/>
        <v>109066.28077562322</v>
      </c>
      <c r="T426" s="72">
        <f t="shared" si="463"/>
        <v>0</v>
      </c>
      <c r="U426" s="70">
        <f t="shared" si="464"/>
        <v>-145.80678980383976</v>
      </c>
      <c r="V426" s="72">
        <f t="shared" si="465"/>
        <v>748.7271271991782</v>
      </c>
      <c r="W426" s="70">
        <f t="shared" si="466"/>
        <v>180057.43086519811</v>
      </c>
    </row>
    <row r="427" spans="2:23" s="5" customFormat="1" ht="15">
      <c r="B427" s="17"/>
      <c r="G427" s="115">
        <f t="shared" si="467"/>
        <v>53.841095890410962</v>
      </c>
      <c r="H427" s="116" t="str">
        <f>H415&amp;" - "&amp;H426</f>
        <v>313 - 324</v>
      </c>
      <c r="I427" s="117">
        <f t="shared" si="450"/>
        <v>27</v>
      </c>
      <c r="J427" s="118">
        <f t="shared" ref="J427" si="468">+J426</f>
        <v>50557</v>
      </c>
      <c r="K427" s="119">
        <f t="shared" ref="K427:L427" si="469">SUM(K415:K426)</f>
        <v>3600</v>
      </c>
      <c r="L427" s="120">
        <f t="shared" si="469"/>
        <v>0</v>
      </c>
      <c r="M427" s="119">
        <f t="shared" ref="M427" si="470">SUM(M415:M426)</f>
        <v>154</v>
      </c>
      <c r="N427" s="121">
        <f t="shared" si="402"/>
        <v>8.1052631578947363</v>
      </c>
      <c r="O427" s="121">
        <f t="shared" ref="O427" si="471">SUM(O415:O426)</f>
        <v>0</v>
      </c>
      <c r="P427" s="121">
        <f t="shared" ref="P427" si="472">SUM(P415:P426)</f>
        <v>0</v>
      </c>
      <c r="Q427" s="120">
        <f t="shared" si="455"/>
        <v>-8.1052631578947363</v>
      </c>
      <c r="R427" s="119">
        <f t="shared" ref="R427" si="473">SUM(R415:R426)</f>
        <v>3762.1052631578946</v>
      </c>
      <c r="S427" s="122">
        <f t="shared" si="432"/>
        <v>109066.28077562322</v>
      </c>
      <c r="T427" s="119">
        <f t="shared" ref="T427:V427" si="474">SUM(T415:T426)</f>
        <v>-15.4</v>
      </c>
      <c r="U427" s="120">
        <f t="shared" si="474"/>
        <v>-1700.8065315363763</v>
      </c>
      <c r="V427" s="119">
        <f t="shared" si="474"/>
        <v>8734.0847771096196</v>
      </c>
      <c r="W427" s="123">
        <f t="shared" ref="W427" si="475">+W426</f>
        <v>180057.43086519811</v>
      </c>
    </row>
    <row r="428" spans="2:23" outlineLevel="1">
      <c r="G428" s="11">
        <f t="shared" si="467"/>
        <v>53.923287671232877</v>
      </c>
      <c r="H428" s="2">
        <v>325</v>
      </c>
      <c r="I428" s="2">
        <f t="shared" si="450"/>
        <v>28</v>
      </c>
      <c r="J428" s="29">
        <f t="shared" si="441"/>
        <v>50587</v>
      </c>
      <c r="K428" s="62">
        <f>+IF(OR(H428&gt;60,$C$21="nein"),IF($C$19="monatlich",$C$20,IF($C$19="quartalsweise",OR(MONTH(J428)={1,4,7,10})*$C$20,IF($C$19="jährlich",(MONTH(J428)=7)*$C$20))),IF($C$19="monatlich",$C$22,IF($C$19="quartalsweise",OR(MONTH(J428)={1,4,7,10})*$C$22,IF($C$19="jährlich",(MONTH(J428)=7)*$C$22))))</f>
        <v>900</v>
      </c>
      <c r="L428" s="63">
        <f t="shared" ref="L428:L439" si="476">-IF(H428&gt;60,0,IF($C$19="monatlich",$C$52,IF(AND($C$19="quartalsweise",K428&gt;0),$C$52,IF(AND($C$19="jährlich",K428&gt;0),$C$51,0))))</f>
        <v>0</v>
      </c>
      <c r="M428" s="62">
        <f t="shared" ref="M428:M439" si="477">+IF(MONTH(J428)=4,$C$25,0)</f>
        <v>0</v>
      </c>
      <c r="N428" s="64">
        <f>+IF(AND($C$19="monatlich",K428&lt;$C$20),$C$20-K428,IF(AND($C$19="quartalsweise",OR(MONTH(J428)={1,4,7,10}),K428&lt;$C$20),$C$20-K428,IF(AND($C$19="jährlich",MONTH(J428)=7,K428&lt;$C$20),$C$20-K428,0)))</f>
        <v>0</v>
      </c>
      <c r="O428" s="64">
        <v>0</v>
      </c>
      <c r="P428" s="64">
        <v>0</v>
      </c>
      <c r="Q428" s="63">
        <f t="shared" ref="Q428:Q439" si="478">-SUM(M428:P428)*$C$47/100</f>
        <v>0</v>
      </c>
      <c r="R428" s="62">
        <f t="shared" ref="R428" si="479">+SUM(K428,M428:P428)</f>
        <v>900</v>
      </c>
      <c r="S428" s="65">
        <f t="shared" si="432"/>
        <v>109966.28077562322</v>
      </c>
      <c r="T428" s="62">
        <f t="shared" ref="T428:T439" si="480">-IF(MONTH(J428)=12,$C$55,0)</f>
        <v>0</v>
      </c>
      <c r="U428" s="63">
        <f t="shared" ref="U428:U439" si="481">-W427*($D$43/100/12)</f>
        <v>-146.29666257797345</v>
      </c>
      <c r="V428" s="62">
        <f t="shared" ref="V428:V439" si="482">+(1+(IF($C$71="pauschal",$C$72/100/12,VLOOKUP(I427,$J$5:$L$44,3,FALSE)/100/12)*W427))</f>
        <v>751.23929527165876</v>
      </c>
      <c r="W428" s="63">
        <f t="shared" ref="W428:W439" si="483">+SUM(W427,R428,L428,Q428,T428:V428)</f>
        <v>181562.37349789179</v>
      </c>
    </row>
    <row r="429" spans="2:23" outlineLevel="1">
      <c r="G429" s="12">
        <f t="shared" si="467"/>
        <v>54.008219178082193</v>
      </c>
      <c r="H429" s="4">
        <v>326</v>
      </c>
      <c r="I429" s="4">
        <f t="shared" si="450"/>
        <v>28</v>
      </c>
      <c r="J429" s="30">
        <f t="shared" si="441"/>
        <v>50618</v>
      </c>
      <c r="K429" s="62">
        <f>+IF(OR(H429&gt;60,$C$21="nein"),IF($C$19="monatlich",$C$20,IF($C$19="quartalsweise",OR(MONTH(J429)={1,4,7,10})*$C$20,IF($C$19="jährlich",(MONTH(J429)=7)*$C$20))),IF($C$19="monatlich",$C$22,IF($C$19="quartalsweise",OR(MONTH(J429)={1,4,7,10})*$C$22,IF($C$19="jährlich",(MONTH(J429)=7)*$C$22))))</f>
        <v>0</v>
      </c>
      <c r="L429" s="66">
        <f t="shared" si="476"/>
        <v>0</v>
      </c>
      <c r="M429" s="62">
        <f t="shared" si="477"/>
        <v>0</v>
      </c>
      <c r="N429" s="67">
        <f>+IF(AND($C$19="monatlich",K429&lt;$C$20),$C$20-K429,IF(AND($C$19="quartalsweise",OR(MONTH(J429)={1,4,7,10}),K429&lt;$C$20),$C$20-K429,IF(AND($C$19="jährlich",MONTH(J429)=7,K429&lt;$C$20),$C$20-K429,0)))</f>
        <v>0</v>
      </c>
      <c r="O429" s="67">
        <v>0</v>
      </c>
      <c r="P429" s="67">
        <v>0</v>
      </c>
      <c r="Q429" s="63">
        <f t="shared" si="478"/>
        <v>0</v>
      </c>
      <c r="R429" s="68">
        <f t="shared" si="462"/>
        <v>0</v>
      </c>
      <c r="S429" s="69">
        <f t="shared" si="432"/>
        <v>109966.28077562322</v>
      </c>
      <c r="T429" s="68">
        <f t="shared" si="480"/>
        <v>0</v>
      </c>
      <c r="U429" s="66">
        <f t="shared" si="481"/>
        <v>-147.51942846703707</v>
      </c>
      <c r="V429" s="68">
        <f t="shared" si="482"/>
        <v>757.50988957454911</v>
      </c>
      <c r="W429" s="66">
        <f t="shared" si="483"/>
        <v>182172.36395899931</v>
      </c>
    </row>
    <row r="430" spans="2:23" outlineLevel="1">
      <c r="G430" s="12">
        <f t="shared" si="467"/>
        <v>54.093150684931508</v>
      </c>
      <c r="H430" s="4">
        <v>327</v>
      </c>
      <c r="I430" s="4">
        <f t="shared" si="450"/>
        <v>28</v>
      </c>
      <c r="J430" s="30">
        <f t="shared" si="441"/>
        <v>50649</v>
      </c>
      <c r="K430" s="62">
        <f>+IF(OR(H430&gt;60,$C$21="nein"),IF($C$19="monatlich",$C$20,IF($C$19="quartalsweise",OR(MONTH(J430)={1,4,7,10})*$C$20,IF($C$19="jährlich",(MONTH(J430)=7)*$C$20))),IF($C$19="monatlich",$C$22,IF($C$19="quartalsweise",OR(MONTH(J430)={1,4,7,10})*$C$22,IF($C$19="jährlich",(MONTH(J430)=7)*$C$22))))</f>
        <v>0</v>
      </c>
      <c r="L430" s="66">
        <f t="shared" si="476"/>
        <v>0</v>
      </c>
      <c r="M430" s="62">
        <f t="shared" si="477"/>
        <v>0</v>
      </c>
      <c r="N430" s="67">
        <f>+IF(AND($C$19="monatlich",K430&lt;$C$20),$C$20-K430,IF(AND($C$19="quartalsweise",OR(MONTH(J430)={1,4,7,10}),K430&lt;$C$20),$C$20-K430,IF(AND($C$19="jährlich",MONTH(J430)=7,K430&lt;$C$20),$C$20-K430,0)))</f>
        <v>0</v>
      </c>
      <c r="O430" s="67">
        <v>0</v>
      </c>
      <c r="P430" s="67">
        <v>0</v>
      </c>
      <c r="Q430" s="63">
        <f t="shared" si="478"/>
        <v>0</v>
      </c>
      <c r="R430" s="68">
        <f t="shared" si="462"/>
        <v>0</v>
      </c>
      <c r="S430" s="69">
        <f t="shared" si="432"/>
        <v>109966.28077562322</v>
      </c>
      <c r="T430" s="68">
        <f t="shared" si="480"/>
        <v>0</v>
      </c>
      <c r="U430" s="66">
        <f t="shared" si="481"/>
        <v>-148.01504571668693</v>
      </c>
      <c r="V430" s="68">
        <f t="shared" si="482"/>
        <v>760.05151649583047</v>
      </c>
      <c r="W430" s="66">
        <f t="shared" si="483"/>
        <v>182784.40042977844</v>
      </c>
    </row>
    <row r="431" spans="2:23" outlineLevel="1">
      <c r="G431" s="12">
        <f t="shared" si="467"/>
        <v>54.175342465753424</v>
      </c>
      <c r="H431" s="4">
        <v>328</v>
      </c>
      <c r="I431" s="4">
        <f t="shared" si="450"/>
        <v>28</v>
      </c>
      <c r="J431" s="30">
        <f t="shared" si="441"/>
        <v>50679</v>
      </c>
      <c r="K431" s="62">
        <f>+IF(OR(H431&gt;60,$C$21="nein"),IF($C$19="monatlich",$C$20,IF($C$19="quartalsweise",OR(MONTH(J431)={1,4,7,10})*$C$20,IF($C$19="jährlich",(MONTH(J431)=7)*$C$20))),IF($C$19="monatlich",$C$22,IF($C$19="quartalsweise",OR(MONTH(J431)={1,4,7,10})*$C$22,IF($C$19="jährlich",(MONTH(J431)=7)*$C$22))))</f>
        <v>900</v>
      </c>
      <c r="L431" s="66">
        <f t="shared" si="476"/>
        <v>0</v>
      </c>
      <c r="M431" s="62">
        <f t="shared" si="477"/>
        <v>0</v>
      </c>
      <c r="N431" s="67">
        <f>+IF(AND($C$19="monatlich",K431&lt;$C$20),$C$20-K431,IF(AND($C$19="quartalsweise",OR(MONTH(J431)={1,4,7,10}),K431&lt;$C$20),$C$20-K431,IF(AND($C$19="jährlich",MONTH(J431)=7,K431&lt;$C$20),$C$20-K431,0)))</f>
        <v>0</v>
      </c>
      <c r="O431" s="67">
        <v>0</v>
      </c>
      <c r="P431" s="67">
        <v>0</v>
      </c>
      <c r="Q431" s="63">
        <f t="shared" si="478"/>
        <v>0</v>
      </c>
      <c r="R431" s="68">
        <f t="shared" si="462"/>
        <v>900</v>
      </c>
      <c r="S431" s="69">
        <f t="shared" si="432"/>
        <v>110866.28077562322</v>
      </c>
      <c r="T431" s="68">
        <f t="shared" si="480"/>
        <v>0</v>
      </c>
      <c r="U431" s="66">
        <f t="shared" si="481"/>
        <v>-148.51232534919498</v>
      </c>
      <c r="V431" s="68">
        <f t="shared" si="482"/>
        <v>762.60166845741014</v>
      </c>
      <c r="W431" s="66">
        <f t="shared" si="483"/>
        <v>184298.48977288665</v>
      </c>
    </row>
    <row r="432" spans="2:23" outlineLevel="1">
      <c r="G432" s="12">
        <f t="shared" si="467"/>
        <v>54.260273972602739</v>
      </c>
      <c r="H432" s="4">
        <v>329</v>
      </c>
      <c r="I432" s="4">
        <f t="shared" si="450"/>
        <v>28</v>
      </c>
      <c r="J432" s="30">
        <f t="shared" si="441"/>
        <v>50710</v>
      </c>
      <c r="K432" s="62">
        <f>+IF(OR(H432&gt;60,$C$21="nein"),IF($C$19="monatlich",$C$20,IF($C$19="quartalsweise",OR(MONTH(J432)={1,4,7,10})*$C$20,IF($C$19="jährlich",(MONTH(J432)=7)*$C$20))),IF($C$19="monatlich",$C$22,IF($C$19="quartalsweise",OR(MONTH(J432)={1,4,7,10})*$C$22,IF($C$19="jährlich",(MONTH(J432)=7)*$C$22))))</f>
        <v>0</v>
      </c>
      <c r="L432" s="66">
        <f t="shared" si="476"/>
        <v>0</v>
      </c>
      <c r="M432" s="62">
        <f t="shared" si="477"/>
        <v>0</v>
      </c>
      <c r="N432" s="67">
        <f>+IF(AND($C$19="monatlich",K432&lt;$C$20),$C$20-K432,IF(AND($C$19="quartalsweise",OR(MONTH(J432)={1,4,7,10}),K432&lt;$C$20),$C$20-K432,IF(AND($C$19="jährlich",MONTH(J432)=7,K432&lt;$C$20),$C$20-K432,0)))</f>
        <v>0</v>
      </c>
      <c r="O432" s="67">
        <v>0</v>
      </c>
      <c r="P432" s="67">
        <v>0</v>
      </c>
      <c r="Q432" s="63">
        <f t="shared" si="478"/>
        <v>0</v>
      </c>
      <c r="R432" s="68">
        <f t="shared" si="462"/>
        <v>0</v>
      </c>
      <c r="S432" s="69">
        <f t="shared" si="432"/>
        <v>110866.28077562322</v>
      </c>
      <c r="T432" s="68">
        <f t="shared" si="480"/>
        <v>0</v>
      </c>
      <c r="U432" s="66">
        <f t="shared" si="481"/>
        <v>-149.74252294047039</v>
      </c>
      <c r="V432" s="68">
        <f t="shared" si="482"/>
        <v>768.91037405369434</v>
      </c>
      <c r="W432" s="66">
        <f t="shared" si="483"/>
        <v>184917.65762399987</v>
      </c>
    </row>
    <row r="433" spans="2:23" outlineLevel="1">
      <c r="G433" s="12">
        <f t="shared" si="467"/>
        <v>54.342465753424655</v>
      </c>
      <c r="H433" s="4">
        <v>330</v>
      </c>
      <c r="I433" s="4">
        <f t="shared" si="450"/>
        <v>28</v>
      </c>
      <c r="J433" s="30">
        <f t="shared" si="441"/>
        <v>50740</v>
      </c>
      <c r="K433" s="62">
        <f>+IF(OR(H433&gt;60,$C$21="nein"),IF($C$19="monatlich",$C$20,IF($C$19="quartalsweise",OR(MONTH(J433)={1,4,7,10})*$C$20,IF($C$19="jährlich",(MONTH(J433)=7)*$C$20))),IF($C$19="monatlich",$C$22,IF($C$19="quartalsweise",OR(MONTH(J433)={1,4,7,10})*$C$22,IF($C$19="jährlich",(MONTH(J433)=7)*$C$22))))</f>
        <v>0</v>
      </c>
      <c r="L433" s="66">
        <f t="shared" si="476"/>
        <v>0</v>
      </c>
      <c r="M433" s="62">
        <f t="shared" si="477"/>
        <v>0</v>
      </c>
      <c r="N433" s="67">
        <f>+IF(AND($C$19="monatlich",K433&lt;$C$20),$C$20-K433,IF(AND($C$19="quartalsweise",OR(MONTH(J433)={1,4,7,10}),K433&lt;$C$20),$C$20-K433,IF(AND($C$19="jährlich",MONTH(J433)=7,K433&lt;$C$20),$C$20-K433,0)))</f>
        <v>0</v>
      </c>
      <c r="O433" s="67">
        <v>0</v>
      </c>
      <c r="P433" s="67">
        <v>0</v>
      </c>
      <c r="Q433" s="63">
        <f t="shared" si="478"/>
        <v>0</v>
      </c>
      <c r="R433" s="68">
        <f t="shared" si="462"/>
        <v>0</v>
      </c>
      <c r="S433" s="69">
        <f t="shared" si="432"/>
        <v>110866.28077562322</v>
      </c>
      <c r="T433" s="68">
        <f t="shared" si="480"/>
        <v>-15.4</v>
      </c>
      <c r="U433" s="66">
        <f t="shared" si="481"/>
        <v>-150.24559681949989</v>
      </c>
      <c r="V433" s="68">
        <f t="shared" si="482"/>
        <v>771.49024009999948</v>
      </c>
      <c r="W433" s="66">
        <f t="shared" si="483"/>
        <v>185523.50226728036</v>
      </c>
    </row>
    <row r="434" spans="2:23" outlineLevel="1">
      <c r="G434" s="12">
        <f t="shared" si="467"/>
        <v>54.42739726027397</v>
      </c>
      <c r="H434" s="4">
        <v>331</v>
      </c>
      <c r="I434" s="4">
        <f t="shared" si="450"/>
        <v>28</v>
      </c>
      <c r="J434" s="30">
        <f t="shared" si="441"/>
        <v>50771</v>
      </c>
      <c r="K434" s="62">
        <f>+IF(OR(H434&gt;60,$C$21="nein"),IF($C$19="monatlich",$C$20,IF($C$19="quartalsweise",OR(MONTH(J434)={1,4,7,10})*$C$20,IF($C$19="jährlich",(MONTH(J434)=7)*$C$20))),IF($C$19="monatlich",$C$22,IF($C$19="quartalsweise",OR(MONTH(J434)={1,4,7,10})*$C$22,IF($C$19="jährlich",(MONTH(J434)=7)*$C$22))))</f>
        <v>900</v>
      </c>
      <c r="L434" s="66">
        <f t="shared" si="476"/>
        <v>0</v>
      </c>
      <c r="M434" s="62">
        <f t="shared" si="477"/>
        <v>0</v>
      </c>
      <c r="N434" s="67">
        <f>+IF(AND($C$19="monatlich",K434&lt;$C$20),$C$20-K434,IF(AND($C$19="quartalsweise",OR(MONTH(J434)={1,4,7,10}),K434&lt;$C$20),$C$20-K434,IF(AND($C$19="jährlich",MONTH(J434)=7,K434&lt;$C$20),$C$20-K434,0)))</f>
        <v>0</v>
      </c>
      <c r="O434" s="67">
        <v>0</v>
      </c>
      <c r="P434" s="67">
        <v>0</v>
      </c>
      <c r="Q434" s="63">
        <f t="shared" si="478"/>
        <v>0</v>
      </c>
      <c r="R434" s="68">
        <f t="shared" si="462"/>
        <v>900</v>
      </c>
      <c r="S434" s="69">
        <f t="shared" si="432"/>
        <v>111766.28077562322</v>
      </c>
      <c r="T434" s="68">
        <f t="shared" si="480"/>
        <v>0</v>
      </c>
      <c r="U434" s="66">
        <f t="shared" si="481"/>
        <v>-150.73784559216529</v>
      </c>
      <c r="V434" s="68">
        <f t="shared" si="482"/>
        <v>774.01459278033485</v>
      </c>
      <c r="W434" s="66">
        <f t="shared" si="483"/>
        <v>187046.77901446851</v>
      </c>
    </row>
    <row r="435" spans="2:23" outlineLevel="1">
      <c r="G435" s="12">
        <f t="shared" si="467"/>
        <v>54.512328767123286</v>
      </c>
      <c r="H435" s="4">
        <v>332</v>
      </c>
      <c r="I435" s="4">
        <f t="shared" si="450"/>
        <v>28</v>
      </c>
      <c r="J435" s="30">
        <f t="shared" si="441"/>
        <v>50802</v>
      </c>
      <c r="K435" s="62">
        <f>+IF(OR(H435&gt;60,$C$21="nein"),IF($C$19="monatlich",$C$20,IF($C$19="quartalsweise",OR(MONTH(J435)={1,4,7,10})*$C$20,IF($C$19="jährlich",(MONTH(J435)=7)*$C$20))),IF($C$19="monatlich",$C$22,IF($C$19="quartalsweise",OR(MONTH(J435)={1,4,7,10})*$C$22,IF($C$19="jährlich",(MONTH(J435)=7)*$C$22))))</f>
        <v>0</v>
      </c>
      <c r="L435" s="66">
        <f t="shared" si="476"/>
        <v>0</v>
      </c>
      <c r="M435" s="62">
        <f t="shared" si="477"/>
        <v>0</v>
      </c>
      <c r="N435" s="67">
        <f>+IF(AND($C$19="monatlich",K435&lt;$C$20),$C$20-K435,IF(AND($C$19="quartalsweise",OR(MONTH(J435)={1,4,7,10}),K435&lt;$C$20),$C$20-K435,IF(AND($C$19="jährlich",MONTH(J435)=7,K435&lt;$C$20),$C$20-K435,0)))</f>
        <v>0</v>
      </c>
      <c r="O435" s="67">
        <v>0</v>
      </c>
      <c r="P435" s="67">
        <v>0</v>
      </c>
      <c r="Q435" s="63">
        <f t="shared" si="478"/>
        <v>0</v>
      </c>
      <c r="R435" s="68">
        <f t="shared" si="462"/>
        <v>0</v>
      </c>
      <c r="S435" s="69">
        <f t="shared" si="432"/>
        <v>111766.28077562322</v>
      </c>
      <c r="T435" s="68">
        <f t="shared" si="480"/>
        <v>0</v>
      </c>
      <c r="U435" s="66">
        <f t="shared" si="481"/>
        <v>-151.97550794925567</v>
      </c>
      <c r="V435" s="68">
        <f t="shared" si="482"/>
        <v>780.36157922695213</v>
      </c>
      <c r="W435" s="66">
        <f t="shared" si="483"/>
        <v>187675.16508574621</v>
      </c>
    </row>
    <row r="436" spans="2:23" outlineLevel="1">
      <c r="G436" s="12">
        <f t="shared" si="467"/>
        <v>54.589041095890408</v>
      </c>
      <c r="H436" s="4">
        <v>333</v>
      </c>
      <c r="I436" s="4">
        <f t="shared" si="450"/>
        <v>28</v>
      </c>
      <c r="J436" s="30">
        <f t="shared" si="441"/>
        <v>50830</v>
      </c>
      <c r="K436" s="62">
        <f>+IF(OR(H436&gt;60,$C$21="nein"),IF($C$19="monatlich",$C$20,IF($C$19="quartalsweise",OR(MONTH(J436)={1,4,7,10})*$C$20,IF($C$19="jährlich",(MONTH(J436)=7)*$C$20))),IF($C$19="monatlich",$C$22,IF($C$19="quartalsweise",OR(MONTH(J436)={1,4,7,10})*$C$22,IF($C$19="jährlich",(MONTH(J436)=7)*$C$22))))</f>
        <v>0</v>
      </c>
      <c r="L436" s="66">
        <f t="shared" si="476"/>
        <v>0</v>
      </c>
      <c r="M436" s="62">
        <f t="shared" si="477"/>
        <v>0</v>
      </c>
      <c r="N436" s="67">
        <f>+IF(AND($C$19="monatlich",K436&lt;$C$20),$C$20-K436,IF(AND($C$19="quartalsweise",OR(MONTH(J436)={1,4,7,10}),K436&lt;$C$20),$C$20-K436,IF(AND($C$19="jährlich",MONTH(J436)=7,K436&lt;$C$20),$C$20-K436,0)))-$C$67/100*SUM(Q418:Q426,Q428:Q430)-$C$66/100*SUM(L418:L426,L428:L430)</f>
        <v>8.1052631578947363</v>
      </c>
      <c r="O436" s="67">
        <v>0</v>
      </c>
      <c r="P436" s="67">
        <v>0</v>
      </c>
      <c r="Q436" s="63">
        <f t="shared" si="478"/>
        <v>-0.40526315789473683</v>
      </c>
      <c r="R436" s="68">
        <f t="shared" si="462"/>
        <v>8.1052631578947363</v>
      </c>
      <c r="S436" s="69">
        <f t="shared" si="432"/>
        <v>111774.38603878111</v>
      </c>
      <c r="T436" s="68">
        <f t="shared" si="480"/>
        <v>0</v>
      </c>
      <c r="U436" s="66">
        <f t="shared" si="481"/>
        <v>-152.48607163216877</v>
      </c>
      <c r="V436" s="68">
        <f t="shared" si="482"/>
        <v>782.97985452394255</v>
      </c>
      <c r="W436" s="66">
        <f t="shared" si="483"/>
        <v>188313.358868638</v>
      </c>
    </row>
    <row r="437" spans="2:23" outlineLevel="1">
      <c r="G437" s="12">
        <f t="shared" si="467"/>
        <v>54.673972602739724</v>
      </c>
      <c r="H437" s="4">
        <v>334</v>
      </c>
      <c r="I437" s="4">
        <f t="shared" ref="I437:I439" si="484">+I424+1</f>
        <v>28</v>
      </c>
      <c r="J437" s="30">
        <f t="shared" si="441"/>
        <v>50861</v>
      </c>
      <c r="K437" s="62">
        <f>+IF(OR(H437&gt;60,$C$21="nein"),IF($C$19="monatlich",$C$20,IF($C$19="quartalsweise",OR(MONTH(J437)={1,4,7,10})*$C$20,IF($C$19="jährlich",(MONTH(J437)=7)*$C$20))),IF($C$19="monatlich",$C$22,IF($C$19="quartalsweise",OR(MONTH(J437)={1,4,7,10})*$C$22,IF($C$19="jährlich",(MONTH(J437)=7)*$C$22))))</f>
        <v>900</v>
      </c>
      <c r="L437" s="66">
        <f t="shared" si="476"/>
        <v>0</v>
      </c>
      <c r="M437" s="62">
        <f t="shared" si="477"/>
        <v>154</v>
      </c>
      <c r="N437" s="67">
        <f>+IF(AND($C$19="monatlich",K437&lt;$C$20),$C$20-K437,IF(AND($C$19="quartalsweise",OR(MONTH(J437)={1,4,7,10}),K437&lt;$C$20),$C$20-K437,IF(AND($C$19="jährlich",MONTH(J437)=7,K437&lt;$C$20),$C$20-K437,0)))</f>
        <v>0</v>
      </c>
      <c r="O437" s="67">
        <v>0</v>
      </c>
      <c r="P437" s="67">
        <v>0</v>
      </c>
      <c r="Q437" s="63">
        <f t="shared" si="478"/>
        <v>-7.7</v>
      </c>
      <c r="R437" s="68">
        <f t="shared" si="462"/>
        <v>1054</v>
      </c>
      <c r="S437" s="69">
        <f t="shared" si="432"/>
        <v>112828.38603878111</v>
      </c>
      <c r="T437" s="68">
        <f t="shared" si="480"/>
        <v>0</v>
      </c>
      <c r="U437" s="66">
        <f t="shared" si="481"/>
        <v>-153.00460408076836</v>
      </c>
      <c r="V437" s="68">
        <f t="shared" si="482"/>
        <v>785.63899528599165</v>
      </c>
      <c r="W437" s="66">
        <f t="shared" si="483"/>
        <v>189992.29325984319</v>
      </c>
    </row>
    <row r="438" spans="2:23" outlineLevel="1">
      <c r="G438" s="12">
        <f t="shared" si="467"/>
        <v>54.756164383561647</v>
      </c>
      <c r="H438" s="4">
        <v>335</v>
      </c>
      <c r="I438" s="4">
        <f t="shared" si="484"/>
        <v>28</v>
      </c>
      <c r="J438" s="30">
        <f t="shared" si="441"/>
        <v>50891</v>
      </c>
      <c r="K438" s="62">
        <f>+IF(OR(H438&gt;60,$C$21="nein"),IF($C$19="monatlich",$C$20,IF($C$19="quartalsweise",OR(MONTH(J438)={1,4,7,10})*$C$20,IF($C$19="jährlich",(MONTH(J438)=7)*$C$20))),IF($C$19="monatlich",$C$22,IF($C$19="quartalsweise",OR(MONTH(J438)={1,4,7,10})*$C$22,IF($C$19="jährlich",(MONTH(J438)=7)*$C$22))))</f>
        <v>0</v>
      </c>
      <c r="L438" s="66">
        <f t="shared" si="476"/>
        <v>0</v>
      </c>
      <c r="M438" s="62">
        <f t="shared" si="477"/>
        <v>0</v>
      </c>
      <c r="N438" s="67">
        <f>+IF(AND($C$19="monatlich",K438&lt;$C$20),$C$20-K438,IF(AND($C$19="quartalsweise",OR(MONTH(J438)={1,4,7,10}),K438&lt;$C$20),$C$20-K438,IF(AND($C$19="jährlich",MONTH(J438)=7,K438&lt;$C$20),$C$20-K438,0)))</f>
        <v>0</v>
      </c>
      <c r="O438" s="67">
        <v>0</v>
      </c>
      <c r="P438" s="67">
        <v>0</v>
      </c>
      <c r="Q438" s="63">
        <f t="shared" si="478"/>
        <v>0</v>
      </c>
      <c r="R438" s="68">
        <f t="shared" si="462"/>
        <v>0</v>
      </c>
      <c r="S438" s="69">
        <f t="shared" si="432"/>
        <v>112828.38603878111</v>
      </c>
      <c r="T438" s="68">
        <f t="shared" si="480"/>
        <v>0</v>
      </c>
      <c r="U438" s="66">
        <f t="shared" si="481"/>
        <v>-154.3687382736226</v>
      </c>
      <c r="V438" s="68">
        <f t="shared" si="482"/>
        <v>792.63455524934659</v>
      </c>
      <c r="W438" s="66">
        <f t="shared" si="483"/>
        <v>190630.55907681893</v>
      </c>
    </row>
    <row r="439" spans="2:23" outlineLevel="1">
      <c r="G439" s="13">
        <f t="shared" si="467"/>
        <v>54.841095890410962</v>
      </c>
      <c r="H439" s="6">
        <v>336</v>
      </c>
      <c r="I439" s="6">
        <f t="shared" si="484"/>
        <v>28</v>
      </c>
      <c r="J439" s="31">
        <f t="shared" si="441"/>
        <v>50922</v>
      </c>
      <c r="K439" s="62">
        <f>+IF(OR(H439&gt;60,$C$21="nein"),IF($C$19="monatlich",$C$20,IF($C$19="quartalsweise",OR(MONTH(J439)={1,4,7,10})*$C$20,IF($C$19="jährlich",(MONTH(J439)=7)*$C$20))),IF($C$19="monatlich",$C$22,IF($C$19="quartalsweise",OR(MONTH(J439)={1,4,7,10})*$C$22,IF($C$19="jährlich",(MONTH(J439)=7)*$C$22))))</f>
        <v>0</v>
      </c>
      <c r="L439" s="70">
        <f t="shared" si="476"/>
        <v>0</v>
      </c>
      <c r="M439" s="62">
        <f t="shared" si="477"/>
        <v>0</v>
      </c>
      <c r="N439" s="71">
        <f>+IF(AND($C$19="monatlich",K439&lt;$C$20),$C$20-K439,IF(AND($C$19="quartalsweise",OR(MONTH(J439)={1,4,7,10}),K439&lt;$C$20),$C$20-K439,IF(AND($C$19="jährlich",MONTH(J439)=7,K439&lt;$C$20),$C$20-K439,0)))</f>
        <v>0</v>
      </c>
      <c r="O439" s="71">
        <v>0</v>
      </c>
      <c r="P439" s="71">
        <v>0</v>
      </c>
      <c r="Q439" s="63">
        <f t="shared" si="478"/>
        <v>0</v>
      </c>
      <c r="R439" s="72">
        <f t="shared" si="462"/>
        <v>0</v>
      </c>
      <c r="S439" s="73">
        <f t="shared" si="432"/>
        <v>112828.38603878111</v>
      </c>
      <c r="T439" s="72">
        <f t="shared" si="480"/>
        <v>0</v>
      </c>
      <c r="U439" s="70">
        <f t="shared" si="481"/>
        <v>-154.88732924991538</v>
      </c>
      <c r="V439" s="72">
        <f t="shared" si="482"/>
        <v>795.29399615341219</v>
      </c>
      <c r="W439" s="70">
        <f t="shared" si="483"/>
        <v>191270.96574372242</v>
      </c>
    </row>
    <row r="440" spans="2:23" s="5" customFormat="1" ht="15">
      <c r="B440" s="17"/>
      <c r="G440" s="115">
        <f t="shared" si="467"/>
        <v>54.841095890410962</v>
      </c>
      <c r="H440" s="116" t="str">
        <f>H428&amp;" - "&amp;H439</f>
        <v>325 - 336</v>
      </c>
      <c r="I440" s="117">
        <f t="shared" ref="I440:I471" si="485">+I427+1</f>
        <v>28</v>
      </c>
      <c r="J440" s="118">
        <f t="shared" ref="J440" si="486">+J439</f>
        <v>50922</v>
      </c>
      <c r="K440" s="119">
        <f t="shared" ref="K440:L440" si="487">SUM(K428:K439)</f>
        <v>3600</v>
      </c>
      <c r="L440" s="120">
        <f t="shared" si="487"/>
        <v>0</v>
      </c>
      <c r="M440" s="119">
        <f t="shared" ref="M440" si="488">SUM(M428:M439)</f>
        <v>154</v>
      </c>
      <c r="N440" s="121">
        <f t="shared" ref="N440:N492" si="489">SUM(N428:N439)</f>
        <v>8.1052631578947363</v>
      </c>
      <c r="O440" s="121">
        <f t="shared" ref="O440" si="490">SUM(O428:O439)</f>
        <v>0</v>
      </c>
      <c r="P440" s="121">
        <f t="shared" ref="P440:Q453" si="491">SUM(P428:P439)</f>
        <v>0</v>
      </c>
      <c r="Q440" s="120">
        <f t="shared" si="491"/>
        <v>-8.1052631578947363</v>
      </c>
      <c r="R440" s="119">
        <f t="shared" ref="R440" si="492">SUM(R428:R439)</f>
        <v>3762.1052631578946</v>
      </c>
      <c r="S440" s="122">
        <f t="shared" si="432"/>
        <v>112828.38603878111</v>
      </c>
      <c r="T440" s="119">
        <f t="shared" ref="T440:V440" si="493">SUM(T428:T439)</f>
        <v>-15.4</v>
      </c>
      <c r="U440" s="120">
        <f t="shared" si="493"/>
        <v>-1807.7916786487588</v>
      </c>
      <c r="V440" s="119">
        <f t="shared" si="493"/>
        <v>9282.7265571731223</v>
      </c>
      <c r="W440" s="123">
        <f t="shared" ref="W440" si="494">+W439</f>
        <v>191270.96574372242</v>
      </c>
    </row>
    <row r="441" spans="2:23" outlineLevel="1">
      <c r="G441" s="11">
        <f t="shared" si="467"/>
        <v>54.923287671232877</v>
      </c>
      <c r="H441" s="2">
        <v>337</v>
      </c>
      <c r="I441" s="2">
        <f t="shared" si="485"/>
        <v>29</v>
      </c>
      <c r="J441" s="29">
        <f t="shared" si="441"/>
        <v>50952</v>
      </c>
      <c r="K441" s="62">
        <f>+IF(OR(H441&gt;60,$C$21="nein"),IF($C$19="monatlich",$C$20,IF($C$19="quartalsweise",OR(MONTH(J441)={1,4,7,10})*$C$20,IF($C$19="jährlich",(MONTH(J441)=7)*$C$20))),IF($C$19="monatlich",$C$22,IF($C$19="quartalsweise",OR(MONTH(J441)={1,4,7,10})*$C$22,IF($C$19="jährlich",(MONTH(J441)=7)*$C$22))))</f>
        <v>900</v>
      </c>
      <c r="L441" s="63">
        <f t="shared" ref="L441:L452" si="495">-IF(H441&gt;60,0,IF($C$19="monatlich",$C$52,IF(AND($C$19="quartalsweise",K441&gt;0),$C$52,IF(AND($C$19="jährlich",K441&gt;0),$C$51,0))))</f>
        <v>0</v>
      </c>
      <c r="M441" s="62">
        <f t="shared" ref="M441:M452" si="496">+IF(MONTH(J441)=4,$C$25,0)</f>
        <v>0</v>
      </c>
      <c r="N441" s="64">
        <f>+IF(AND($C$19="monatlich",K441&lt;$C$20),$C$20-K441,IF(AND($C$19="quartalsweise",OR(MONTH(J441)={1,4,7,10}),K441&lt;$C$20),$C$20-K441,IF(AND($C$19="jährlich",MONTH(J441)=7,K441&lt;$C$20),$C$20-K441,0)))</f>
        <v>0</v>
      </c>
      <c r="O441" s="64">
        <v>0</v>
      </c>
      <c r="P441" s="64">
        <v>0</v>
      </c>
      <c r="Q441" s="63">
        <f t="shared" ref="Q441:Q452" si="497">-SUM(M441:P441)*$C$47/100</f>
        <v>0</v>
      </c>
      <c r="R441" s="62">
        <f t="shared" ref="R441" si="498">+SUM(K441,M441:P441)</f>
        <v>900</v>
      </c>
      <c r="S441" s="65">
        <f t="shared" si="432"/>
        <v>113728.38603878111</v>
      </c>
      <c r="T441" s="62">
        <f t="shared" ref="T441:T452" si="499">-IF(MONTH(J441)=12,$C$55,0)</f>
        <v>0</v>
      </c>
      <c r="U441" s="63">
        <f t="shared" ref="U441:U452" si="500">-W440*($D$43/100/12)</f>
        <v>-155.40765966677446</v>
      </c>
      <c r="V441" s="62">
        <f t="shared" ref="V441:V452" si="501">+(1+(IF($C$71="pauschal",$C$72/100/12,VLOOKUP(I440,$J$5:$L$44,3,FALSE)/100/12)*W440))</f>
        <v>797.96235726551004</v>
      </c>
      <c r="W441" s="63">
        <f t="shared" ref="W441:W452" si="502">+SUM(W440,R441,L441,Q441,T441:V441)</f>
        <v>192813.52044132113</v>
      </c>
    </row>
    <row r="442" spans="2:23" outlineLevel="1">
      <c r="G442" s="12">
        <f t="shared" si="467"/>
        <v>55.008219178082193</v>
      </c>
      <c r="H442" s="4">
        <v>338</v>
      </c>
      <c r="I442" s="4">
        <f t="shared" si="485"/>
        <v>29</v>
      </c>
      <c r="J442" s="30">
        <f t="shared" si="441"/>
        <v>50983</v>
      </c>
      <c r="K442" s="62">
        <f>+IF(OR(H442&gt;60,$C$21="nein"),IF($C$19="monatlich",$C$20,IF($C$19="quartalsweise",OR(MONTH(J442)={1,4,7,10})*$C$20,IF($C$19="jährlich",(MONTH(J442)=7)*$C$20))),IF($C$19="monatlich",$C$22,IF($C$19="quartalsweise",OR(MONTH(J442)={1,4,7,10})*$C$22,IF($C$19="jährlich",(MONTH(J442)=7)*$C$22))))</f>
        <v>0</v>
      </c>
      <c r="L442" s="66">
        <f t="shared" si="495"/>
        <v>0</v>
      </c>
      <c r="M442" s="62">
        <f t="shared" si="496"/>
        <v>0</v>
      </c>
      <c r="N442" s="67">
        <f>+IF(AND($C$19="monatlich",K442&lt;$C$20),$C$20-K442,IF(AND($C$19="quartalsweise",OR(MONTH(J442)={1,4,7,10}),K442&lt;$C$20),$C$20-K442,IF(AND($C$19="jährlich",MONTH(J442)=7,K442&lt;$C$20),$C$20-K442,0)))</f>
        <v>0</v>
      </c>
      <c r="O442" s="67">
        <v>0</v>
      </c>
      <c r="P442" s="67">
        <v>0</v>
      </c>
      <c r="Q442" s="63">
        <f t="shared" si="497"/>
        <v>0</v>
      </c>
      <c r="R442" s="68">
        <f t="shared" si="462"/>
        <v>0</v>
      </c>
      <c r="S442" s="69">
        <f t="shared" si="432"/>
        <v>113728.38603878111</v>
      </c>
      <c r="T442" s="68">
        <f t="shared" si="499"/>
        <v>0</v>
      </c>
      <c r="U442" s="66">
        <f t="shared" si="500"/>
        <v>-156.66098535857341</v>
      </c>
      <c r="V442" s="68">
        <f t="shared" si="501"/>
        <v>804.38966850550469</v>
      </c>
      <c r="W442" s="66">
        <f t="shared" si="502"/>
        <v>193461.24912446804</v>
      </c>
    </row>
    <row r="443" spans="2:23" outlineLevel="1">
      <c r="G443" s="12">
        <f t="shared" si="467"/>
        <v>55.093150684931508</v>
      </c>
      <c r="H443" s="4">
        <v>339</v>
      </c>
      <c r="I443" s="4">
        <f t="shared" si="485"/>
        <v>29</v>
      </c>
      <c r="J443" s="30">
        <f t="shared" si="441"/>
        <v>51014</v>
      </c>
      <c r="K443" s="62">
        <f>+IF(OR(H443&gt;60,$C$21="nein"),IF($C$19="monatlich",$C$20,IF($C$19="quartalsweise",OR(MONTH(J443)={1,4,7,10})*$C$20,IF($C$19="jährlich",(MONTH(J443)=7)*$C$20))),IF($C$19="monatlich",$C$22,IF($C$19="quartalsweise",OR(MONTH(J443)={1,4,7,10})*$C$22,IF($C$19="jährlich",(MONTH(J443)=7)*$C$22))))</f>
        <v>0</v>
      </c>
      <c r="L443" s="66">
        <f t="shared" si="495"/>
        <v>0</v>
      </c>
      <c r="M443" s="62">
        <f t="shared" si="496"/>
        <v>0</v>
      </c>
      <c r="N443" s="67">
        <f>+IF(AND($C$19="monatlich",K443&lt;$C$20),$C$20-K443,IF(AND($C$19="quartalsweise",OR(MONTH(J443)={1,4,7,10}),K443&lt;$C$20),$C$20-K443,IF(AND($C$19="jährlich",MONTH(J443)=7,K443&lt;$C$20),$C$20-K443,0)))</f>
        <v>0</v>
      </c>
      <c r="O443" s="67">
        <v>0</v>
      </c>
      <c r="P443" s="67">
        <v>0</v>
      </c>
      <c r="Q443" s="63">
        <f t="shared" si="497"/>
        <v>0</v>
      </c>
      <c r="R443" s="68">
        <f t="shared" si="462"/>
        <v>0</v>
      </c>
      <c r="S443" s="69">
        <f t="shared" si="432"/>
        <v>113728.38603878111</v>
      </c>
      <c r="T443" s="68">
        <f t="shared" si="499"/>
        <v>0</v>
      </c>
      <c r="U443" s="66">
        <f t="shared" si="500"/>
        <v>-157.18726491363029</v>
      </c>
      <c r="V443" s="68">
        <f t="shared" si="501"/>
        <v>807.08853801861687</v>
      </c>
      <c r="W443" s="66">
        <f t="shared" si="502"/>
        <v>194111.15039757302</v>
      </c>
    </row>
    <row r="444" spans="2:23" outlineLevel="1">
      <c r="G444" s="12">
        <f t="shared" si="467"/>
        <v>55.175342465753424</v>
      </c>
      <c r="H444" s="4">
        <v>340</v>
      </c>
      <c r="I444" s="4">
        <f t="shared" si="485"/>
        <v>29</v>
      </c>
      <c r="J444" s="30">
        <f t="shared" si="441"/>
        <v>51044</v>
      </c>
      <c r="K444" s="62">
        <f>+IF(OR(H444&gt;60,$C$21="nein"),IF($C$19="monatlich",$C$20,IF($C$19="quartalsweise",OR(MONTH(J444)={1,4,7,10})*$C$20,IF($C$19="jährlich",(MONTH(J444)=7)*$C$20))),IF($C$19="monatlich",$C$22,IF($C$19="quartalsweise",OR(MONTH(J444)={1,4,7,10})*$C$22,IF($C$19="jährlich",(MONTH(J444)=7)*$C$22))))</f>
        <v>900</v>
      </c>
      <c r="L444" s="66">
        <f t="shared" si="495"/>
        <v>0</v>
      </c>
      <c r="M444" s="62">
        <f t="shared" si="496"/>
        <v>0</v>
      </c>
      <c r="N444" s="67">
        <f>+IF(AND($C$19="monatlich",K444&lt;$C$20),$C$20-K444,IF(AND($C$19="quartalsweise",OR(MONTH(J444)={1,4,7,10}),K444&lt;$C$20),$C$20-K444,IF(AND($C$19="jährlich",MONTH(J444)=7,K444&lt;$C$20),$C$20-K444,0)))</f>
        <v>0</v>
      </c>
      <c r="O444" s="67">
        <v>0</v>
      </c>
      <c r="P444" s="67">
        <v>0</v>
      </c>
      <c r="Q444" s="63">
        <f t="shared" si="497"/>
        <v>0</v>
      </c>
      <c r="R444" s="68">
        <f t="shared" si="462"/>
        <v>900</v>
      </c>
      <c r="S444" s="69">
        <f t="shared" si="432"/>
        <v>114628.38603878111</v>
      </c>
      <c r="T444" s="68">
        <f t="shared" si="499"/>
        <v>0</v>
      </c>
      <c r="U444" s="66">
        <f t="shared" si="500"/>
        <v>-157.71530969802808</v>
      </c>
      <c r="V444" s="68">
        <f t="shared" si="501"/>
        <v>809.79645998988758</v>
      </c>
      <c r="W444" s="66">
        <f t="shared" si="502"/>
        <v>195663.23154786488</v>
      </c>
    </row>
    <row r="445" spans="2:23" outlineLevel="1">
      <c r="G445" s="12">
        <f t="shared" si="467"/>
        <v>55.260273972602739</v>
      </c>
      <c r="H445" s="4">
        <v>341</v>
      </c>
      <c r="I445" s="4">
        <f t="shared" si="485"/>
        <v>29</v>
      </c>
      <c r="J445" s="30">
        <f t="shared" si="441"/>
        <v>51075</v>
      </c>
      <c r="K445" s="62">
        <f>+IF(OR(H445&gt;60,$C$21="nein"),IF($C$19="monatlich",$C$20,IF($C$19="quartalsweise",OR(MONTH(J445)={1,4,7,10})*$C$20,IF($C$19="jährlich",(MONTH(J445)=7)*$C$20))),IF($C$19="monatlich",$C$22,IF($C$19="quartalsweise",OR(MONTH(J445)={1,4,7,10})*$C$22,IF($C$19="jährlich",(MONTH(J445)=7)*$C$22))))</f>
        <v>0</v>
      </c>
      <c r="L445" s="66">
        <f t="shared" si="495"/>
        <v>0</v>
      </c>
      <c r="M445" s="62">
        <f t="shared" si="496"/>
        <v>0</v>
      </c>
      <c r="N445" s="67">
        <f>+IF(AND($C$19="monatlich",K445&lt;$C$20),$C$20-K445,IF(AND($C$19="quartalsweise",OR(MONTH(J445)={1,4,7,10}),K445&lt;$C$20),$C$20-K445,IF(AND($C$19="jährlich",MONTH(J445)=7,K445&lt;$C$20),$C$20-K445,0)))</f>
        <v>0</v>
      </c>
      <c r="O445" s="67">
        <v>0</v>
      </c>
      <c r="P445" s="67">
        <v>0</v>
      </c>
      <c r="Q445" s="63">
        <f t="shared" si="497"/>
        <v>0</v>
      </c>
      <c r="R445" s="68">
        <f t="shared" si="462"/>
        <v>0</v>
      </c>
      <c r="S445" s="69">
        <f t="shared" si="432"/>
        <v>114628.38603878111</v>
      </c>
      <c r="T445" s="68">
        <f t="shared" si="499"/>
        <v>0</v>
      </c>
      <c r="U445" s="66">
        <f t="shared" si="500"/>
        <v>-158.97637563264021</v>
      </c>
      <c r="V445" s="68">
        <f t="shared" si="501"/>
        <v>816.26346478277037</v>
      </c>
      <c r="W445" s="66">
        <f t="shared" si="502"/>
        <v>196320.51863701502</v>
      </c>
    </row>
    <row r="446" spans="2:23" outlineLevel="1">
      <c r="G446" s="12">
        <f t="shared" si="467"/>
        <v>55.342465753424655</v>
      </c>
      <c r="H446" s="4">
        <v>342</v>
      </c>
      <c r="I446" s="4">
        <f t="shared" si="485"/>
        <v>29</v>
      </c>
      <c r="J446" s="30">
        <f t="shared" si="441"/>
        <v>51105</v>
      </c>
      <c r="K446" s="62">
        <f>+IF(OR(H446&gt;60,$C$21="nein"),IF($C$19="monatlich",$C$20,IF($C$19="quartalsweise",OR(MONTH(J446)={1,4,7,10})*$C$20,IF($C$19="jährlich",(MONTH(J446)=7)*$C$20))),IF($C$19="monatlich",$C$22,IF($C$19="quartalsweise",OR(MONTH(J446)={1,4,7,10})*$C$22,IF($C$19="jährlich",(MONTH(J446)=7)*$C$22))))</f>
        <v>0</v>
      </c>
      <c r="L446" s="66">
        <f t="shared" si="495"/>
        <v>0</v>
      </c>
      <c r="M446" s="62">
        <f t="shared" si="496"/>
        <v>0</v>
      </c>
      <c r="N446" s="67">
        <f>+IF(AND($C$19="monatlich",K446&lt;$C$20),$C$20-K446,IF(AND($C$19="quartalsweise",OR(MONTH(J446)={1,4,7,10}),K446&lt;$C$20),$C$20-K446,IF(AND($C$19="jährlich",MONTH(J446)=7,K446&lt;$C$20),$C$20-K446,0)))</f>
        <v>0</v>
      </c>
      <c r="O446" s="67">
        <v>0</v>
      </c>
      <c r="P446" s="67">
        <v>0</v>
      </c>
      <c r="Q446" s="63">
        <f t="shared" si="497"/>
        <v>0</v>
      </c>
      <c r="R446" s="68">
        <f t="shared" si="462"/>
        <v>0</v>
      </c>
      <c r="S446" s="69">
        <f t="shared" si="432"/>
        <v>114628.38603878111</v>
      </c>
      <c r="T446" s="68">
        <f t="shared" si="499"/>
        <v>-15.4</v>
      </c>
      <c r="U446" s="66">
        <f t="shared" si="500"/>
        <v>-159.5104213925747</v>
      </c>
      <c r="V446" s="68">
        <f t="shared" si="501"/>
        <v>819.00216098756255</v>
      </c>
      <c r="W446" s="66">
        <f t="shared" si="502"/>
        <v>196964.61037661001</v>
      </c>
    </row>
    <row r="447" spans="2:23" outlineLevel="1">
      <c r="G447" s="12">
        <f t="shared" si="467"/>
        <v>55.42739726027397</v>
      </c>
      <c r="H447" s="4">
        <v>343</v>
      </c>
      <c r="I447" s="4">
        <f t="shared" si="485"/>
        <v>29</v>
      </c>
      <c r="J447" s="30">
        <f t="shared" si="441"/>
        <v>51136</v>
      </c>
      <c r="K447" s="62">
        <f>+IF(OR(H447&gt;60,$C$21="nein"),IF($C$19="monatlich",$C$20,IF($C$19="quartalsweise",OR(MONTH(J447)={1,4,7,10})*$C$20,IF($C$19="jährlich",(MONTH(J447)=7)*$C$20))),IF($C$19="monatlich",$C$22,IF($C$19="quartalsweise",OR(MONTH(J447)={1,4,7,10})*$C$22,IF($C$19="jährlich",(MONTH(J447)=7)*$C$22))))</f>
        <v>900</v>
      </c>
      <c r="L447" s="66">
        <f t="shared" si="495"/>
        <v>0</v>
      </c>
      <c r="M447" s="62">
        <f t="shared" si="496"/>
        <v>0</v>
      </c>
      <c r="N447" s="67">
        <f>+IF(AND($C$19="monatlich",K447&lt;$C$20),$C$20-K447,IF(AND($C$19="quartalsweise",OR(MONTH(J447)={1,4,7,10}),K447&lt;$C$20),$C$20-K447,IF(AND($C$19="jährlich",MONTH(J447)=7,K447&lt;$C$20),$C$20-K447,0)))</f>
        <v>0</v>
      </c>
      <c r="O447" s="67">
        <v>0</v>
      </c>
      <c r="P447" s="67">
        <v>0</v>
      </c>
      <c r="Q447" s="63">
        <f t="shared" si="497"/>
        <v>0</v>
      </c>
      <c r="R447" s="68">
        <f t="shared" si="462"/>
        <v>900</v>
      </c>
      <c r="S447" s="69">
        <f t="shared" si="432"/>
        <v>115528.38603878111</v>
      </c>
      <c r="T447" s="68">
        <f t="shared" si="499"/>
        <v>0</v>
      </c>
      <c r="U447" s="66">
        <f t="shared" si="500"/>
        <v>-160.03374593099562</v>
      </c>
      <c r="V447" s="68">
        <f t="shared" si="501"/>
        <v>821.6858765692084</v>
      </c>
      <c r="W447" s="66">
        <f t="shared" si="502"/>
        <v>198526.26250724823</v>
      </c>
    </row>
    <row r="448" spans="2:23" outlineLevel="1">
      <c r="G448" s="12">
        <f t="shared" si="467"/>
        <v>55.512328767123286</v>
      </c>
      <c r="H448" s="4">
        <v>344</v>
      </c>
      <c r="I448" s="4">
        <f t="shared" si="485"/>
        <v>29</v>
      </c>
      <c r="J448" s="30">
        <f t="shared" si="441"/>
        <v>51167</v>
      </c>
      <c r="K448" s="62">
        <f>+IF(OR(H448&gt;60,$C$21="nein"),IF($C$19="monatlich",$C$20,IF($C$19="quartalsweise",OR(MONTH(J448)={1,4,7,10})*$C$20,IF($C$19="jährlich",(MONTH(J448)=7)*$C$20))),IF($C$19="monatlich",$C$22,IF($C$19="quartalsweise",OR(MONTH(J448)={1,4,7,10})*$C$22,IF($C$19="jährlich",(MONTH(J448)=7)*$C$22))))</f>
        <v>0</v>
      </c>
      <c r="L448" s="66">
        <f t="shared" si="495"/>
        <v>0</v>
      </c>
      <c r="M448" s="62">
        <f t="shared" si="496"/>
        <v>0</v>
      </c>
      <c r="N448" s="67">
        <f>+IF(AND($C$19="monatlich",K448&lt;$C$20),$C$20-K448,IF(AND($C$19="quartalsweise",OR(MONTH(J448)={1,4,7,10}),K448&lt;$C$20),$C$20-K448,IF(AND($C$19="jährlich",MONTH(J448)=7,K448&lt;$C$20),$C$20-K448,0)))</f>
        <v>0</v>
      </c>
      <c r="O448" s="67">
        <v>0</v>
      </c>
      <c r="P448" s="67">
        <v>0</v>
      </c>
      <c r="Q448" s="63">
        <f t="shared" si="497"/>
        <v>0</v>
      </c>
      <c r="R448" s="68">
        <f t="shared" si="462"/>
        <v>0</v>
      </c>
      <c r="S448" s="69">
        <f t="shared" si="432"/>
        <v>115528.38603878111</v>
      </c>
      <c r="T448" s="68">
        <f t="shared" si="499"/>
        <v>0</v>
      </c>
      <c r="U448" s="66">
        <f t="shared" si="500"/>
        <v>-161.30258828713917</v>
      </c>
      <c r="V448" s="68">
        <f t="shared" si="501"/>
        <v>828.19276044686762</v>
      </c>
      <c r="W448" s="66">
        <f t="shared" si="502"/>
        <v>199193.15267940797</v>
      </c>
    </row>
    <row r="449" spans="2:23" outlineLevel="1">
      <c r="G449" s="12">
        <f t="shared" si="467"/>
        <v>55.591780821917808</v>
      </c>
      <c r="H449" s="4">
        <v>345</v>
      </c>
      <c r="I449" s="4">
        <f t="shared" si="485"/>
        <v>29</v>
      </c>
      <c r="J449" s="30">
        <f t="shared" si="441"/>
        <v>51196</v>
      </c>
      <c r="K449" s="62">
        <f>+IF(OR(H449&gt;60,$C$21="nein"),IF($C$19="monatlich",$C$20,IF($C$19="quartalsweise",OR(MONTH(J449)={1,4,7,10})*$C$20,IF($C$19="jährlich",(MONTH(J449)=7)*$C$20))),IF($C$19="monatlich",$C$22,IF($C$19="quartalsweise",OR(MONTH(J449)={1,4,7,10})*$C$22,IF($C$19="jährlich",(MONTH(J449)=7)*$C$22))))</f>
        <v>0</v>
      </c>
      <c r="L449" s="66">
        <f t="shared" si="495"/>
        <v>0</v>
      </c>
      <c r="M449" s="62">
        <f t="shared" si="496"/>
        <v>0</v>
      </c>
      <c r="N449" s="67">
        <f>+IF(AND($C$19="monatlich",K449&lt;$C$20),$C$20-K449,IF(AND($C$19="quartalsweise",OR(MONTH(J449)={1,4,7,10}),K449&lt;$C$20),$C$20-K449,IF(AND($C$19="jährlich",MONTH(J449)=7,K449&lt;$C$20),$C$20-K449,0)))-$C$67/100*SUM(Q431:Q439,Q441:Q443)-$C$66/100*SUM(L431:L439,L441:L443)</f>
        <v>8.1052631578947363</v>
      </c>
      <c r="O449" s="67">
        <v>0</v>
      </c>
      <c r="P449" s="67">
        <v>0</v>
      </c>
      <c r="Q449" s="63">
        <f t="shared" si="497"/>
        <v>-0.40526315789473683</v>
      </c>
      <c r="R449" s="68">
        <f t="shared" si="462"/>
        <v>8.1052631578947363</v>
      </c>
      <c r="S449" s="69">
        <f t="shared" si="432"/>
        <v>115536.49130193901</v>
      </c>
      <c r="T449" s="68">
        <f t="shared" si="499"/>
        <v>0</v>
      </c>
      <c r="U449" s="66">
        <f t="shared" si="500"/>
        <v>-161.84443655201898</v>
      </c>
      <c r="V449" s="68">
        <f t="shared" si="501"/>
        <v>830.97146949753323</v>
      </c>
      <c r="W449" s="66">
        <f t="shared" si="502"/>
        <v>199869.9797123535</v>
      </c>
    </row>
    <row r="450" spans="2:23" outlineLevel="1">
      <c r="G450" s="12">
        <f t="shared" si="467"/>
        <v>55.676712328767124</v>
      </c>
      <c r="H450" s="4">
        <v>346</v>
      </c>
      <c r="I450" s="4">
        <f t="shared" si="485"/>
        <v>29</v>
      </c>
      <c r="J450" s="30">
        <f t="shared" si="441"/>
        <v>51227</v>
      </c>
      <c r="K450" s="62">
        <f>+IF(OR(H450&gt;60,$C$21="nein"),IF($C$19="monatlich",$C$20,IF($C$19="quartalsweise",OR(MONTH(J450)={1,4,7,10})*$C$20,IF($C$19="jährlich",(MONTH(J450)=7)*$C$20))),IF($C$19="monatlich",$C$22,IF($C$19="quartalsweise",OR(MONTH(J450)={1,4,7,10})*$C$22,IF($C$19="jährlich",(MONTH(J450)=7)*$C$22))))</f>
        <v>900</v>
      </c>
      <c r="L450" s="66">
        <f t="shared" si="495"/>
        <v>0</v>
      </c>
      <c r="M450" s="62">
        <f t="shared" si="496"/>
        <v>154</v>
      </c>
      <c r="N450" s="67">
        <f>+IF(AND($C$19="monatlich",K450&lt;$C$20),$C$20-K450,IF(AND($C$19="quartalsweise",OR(MONTH(J450)={1,4,7,10}),K450&lt;$C$20),$C$20-K450,IF(AND($C$19="jährlich",MONTH(J450)=7,K450&lt;$C$20),$C$20-K450,0)))</f>
        <v>0</v>
      </c>
      <c r="O450" s="67">
        <v>0</v>
      </c>
      <c r="P450" s="67">
        <v>0</v>
      </c>
      <c r="Q450" s="63">
        <f t="shared" si="497"/>
        <v>-7.7</v>
      </c>
      <c r="R450" s="68">
        <f t="shared" si="462"/>
        <v>1054</v>
      </c>
      <c r="S450" s="69">
        <f t="shared" si="432"/>
        <v>116590.49130193901</v>
      </c>
      <c r="T450" s="68">
        <f t="shared" si="499"/>
        <v>0</v>
      </c>
      <c r="U450" s="66">
        <f t="shared" si="500"/>
        <v>-162.39435851628721</v>
      </c>
      <c r="V450" s="68">
        <f t="shared" si="501"/>
        <v>833.79158213480616</v>
      </c>
      <c r="W450" s="66">
        <f t="shared" si="502"/>
        <v>201587.67693597201</v>
      </c>
    </row>
    <row r="451" spans="2:23" outlineLevel="1">
      <c r="G451" s="12">
        <f t="shared" si="467"/>
        <v>55.758904109589039</v>
      </c>
      <c r="H451" s="4">
        <v>347</v>
      </c>
      <c r="I451" s="4">
        <f t="shared" si="485"/>
        <v>29</v>
      </c>
      <c r="J451" s="30">
        <f t="shared" si="441"/>
        <v>51257</v>
      </c>
      <c r="K451" s="62">
        <f>+IF(OR(H451&gt;60,$C$21="nein"),IF($C$19="monatlich",$C$20,IF($C$19="quartalsweise",OR(MONTH(J451)={1,4,7,10})*$C$20,IF($C$19="jährlich",(MONTH(J451)=7)*$C$20))),IF($C$19="monatlich",$C$22,IF($C$19="quartalsweise",OR(MONTH(J451)={1,4,7,10})*$C$22,IF($C$19="jährlich",(MONTH(J451)=7)*$C$22))))</f>
        <v>0</v>
      </c>
      <c r="L451" s="66">
        <f t="shared" si="495"/>
        <v>0</v>
      </c>
      <c r="M451" s="62">
        <f t="shared" si="496"/>
        <v>0</v>
      </c>
      <c r="N451" s="67">
        <f>+IF(AND($C$19="monatlich",K451&lt;$C$20),$C$20-K451,IF(AND($C$19="quartalsweise",OR(MONTH(J451)={1,4,7,10}),K451&lt;$C$20),$C$20-K451,IF(AND($C$19="jährlich",MONTH(J451)=7,K451&lt;$C$20),$C$20-K451,0)))</f>
        <v>0</v>
      </c>
      <c r="O451" s="67">
        <v>0</v>
      </c>
      <c r="P451" s="67">
        <v>0</v>
      </c>
      <c r="Q451" s="63">
        <f t="shared" si="497"/>
        <v>0</v>
      </c>
      <c r="R451" s="68">
        <f t="shared" si="462"/>
        <v>0</v>
      </c>
      <c r="S451" s="69">
        <f t="shared" si="432"/>
        <v>116590.49130193901</v>
      </c>
      <c r="T451" s="68">
        <f t="shared" si="499"/>
        <v>0</v>
      </c>
      <c r="U451" s="66">
        <f t="shared" si="500"/>
        <v>-163.78998751047726</v>
      </c>
      <c r="V451" s="68">
        <f t="shared" si="501"/>
        <v>840.94865389988331</v>
      </c>
      <c r="W451" s="66">
        <f t="shared" si="502"/>
        <v>202264.83560236142</v>
      </c>
    </row>
    <row r="452" spans="2:23" outlineLevel="1">
      <c r="G452" s="13">
        <f t="shared" si="467"/>
        <v>55.843835616438355</v>
      </c>
      <c r="H452" s="6">
        <v>348</v>
      </c>
      <c r="I452" s="6">
        <f t="shared" si="485"/>
        <v>29</v>
      </c>
      <c r="J452" s="31">
        <f t="shared" si="441"/>
        <v>51288</v>
      </c>
      <c r="K452" s="62">
        <f>+IF(OR(H452&gt;60,$C$21="nein"),IF($C$19="monatlich",$C$20,IF($C$19="quartalsweise",OR(MONTH(J452)={1,4,7,10})*$C$20,IF($C$19="jährlich",(MONTH(J452)=7)*$C$20))),IF($C$19="monatlich",$C$22,IF($C$19="quartalsweise",OR(MONTH(J452)={1,4,7,10})*$C$22,IF($C$19="jährlich",(MONTH(J452)=7)*$C$22))))</f>
        <v>0</v>
      </c>
      <c r="L452" s="70">
        <f t="shared" si="495"/>
        <v>0</v>
      </c>
      <c r="M452" s="62">
        <f t="shared" si="496"/>
        <v>0</v>
      </c>
      <c r="N452" s="71">
        <f>+IF(AND($C$19="monatlich",K452&lt;$C$20),$C$20-K452,IF(AND($C$19="quartalsweise",OR(MONTH(J452)={1,4,7,10}),K452&lt;$C$20),$C$20-K452,IF(AND($C$19="jährlich",MONTH(J452)=7,K452&lt;$C$20),$C$20-K452,0)))</f>
        <v>0</v>
      </c>
      <c r="O452" s="71">
        <v>0</v>
      </c>
      <c r="P452" s="71">
        <v>0</v>
      </c>
      <c r="Q452" s="63">
        <f t="shared" si="497"/>
        <v>0</v>
      </c>
      <c r="R452" s="72">
        <f t="shared" si="462"/>
        <v>0</v>
      </c>
      <c r="S452" s="73">
        <f t="shared" si="432"/>
        <v>116590.49130193901</v>
      </c>
      <c r="T452" s="72">
        <f t="shared" si="499"/>
        <v>0</v>
      </c>
      <c r="U452" s="70">
        <f t="shared" si="500"/>
        <v>-164.34017892691864</v>
      </c>
      <c r="V452" s="72">
        <f t="shared" si="501"/>
        <v>843.77014834317254</v>
      </c>
      <c r="W452" s="70">
        <f t="shared" si="502"/>
        <v>202944.26557177768</v>
      </c>
    </row>
    <row r="453" spans="2:23" s="5" customFormat="1" ht="15">
      <c r="B453" s="17"/>
      <c r="G453" s="115">
        <f t="shared" si="467"/>
        <v>55.843835616438355</v>
      </c>
      <c r="H453" s="116" t="str">
        <f>H441&amp;" - "&amp;H452</f>
        <v>337 - 348</v>
      </c>
      <c r="I453" s="117">
        <f t="shared" si="485"/>
        <v>29</v>
      </c>
      <c r="J453" s="118">
        <f t="shared" ref="J453" si="503">+J452</f>
        <v>51288</v>
      </c>
      <c r="K453" s="119">
        <f t="shared" ref="K453:L453" si="504">SUM(K441:K452)</f>
        <v>3600</v>
      </c>
      <c r="L453" s="120">
        <f t="shared" si="504"/>
        <v>0</v>
      </c>
      <c r="M453" s="119">
        <f t="shared" ref="M453" si="505">SUM(M441:M452)</f>
        <v>154</v>
      </c>
      <c r="N453" s="121">
        <f t="shared" si="489"/>
        <v>8.1052631578947363</v>
      </c>
      <c r="O453" s="121">
        <f t="shared" ref="O453" si="506">SUM(O441:O452)</f>
        <v>0</v>
      </c>
      <c r="P453" s="121">
        <f t="shared" ref="P453" si="507">SUM(P441:P452)</f>
        <v>0</v>
      </c>
      <c r="Q453" s="120">
        <f t="shared" si="491"/>
        <v>-8.1052631578947363</v>
      </c>
      <c r="R453" s="119">
        <f t="shared" ref="R453" si="508">SUM(R441:R452)</f>
        <v>3762.1052631578946</v>
      </c>
      <c r="S453" s="122">
        <f t="shared" si="432"/>
        <v>116590.49130193901</v>
      </c>
      <c r="T453" s="119">
        <f t="shared" ref="T453:V453" si="509">SUM(T441:T452)</f>
        <v>-15.4</v>
      </c>
      <c r="U453" s="120">
        <f t="shared" si="509"/>
        <v>-1919.1633123860579</v>
      </c>
      <c r="V453" s="119">
        <f t="shared" si="509"/>
        <v>9853.8631404413227</v>
      </c>
      <c r="W453" s="123">
        <f t="shared" ref="W453" si="510">+W452</f>
        <v>202944.26557177768</v>
      </c>
    </row>
    <row r="454" spans="2:23" outlineLevel="1">
      <c r="G454" s="11">
        <f t="shared" si="467"/>
        <v>55.926027397260277</v>
      </c>
      <c r="H454" s="2">
        <v>349</v>
      </c>
      <c r="I454" s="2">
        <f t="shared" si="485"/>
        <v>30</v>
      </c>
      <c r="J454" s="29">
        <f t="shared" si="441"/>
        <v>51318</v>
      </c>
      <c r="K454" s="62">
        <f>+IF(OR(H454&gt;60,$C$21="nein"),IF($C$19="monatlich",$C$20,IF($C$19="quartalsweise",OR(MONTH(J454)={1,4,7,10})*$C$20,IF($C$19="jährlich",(MONTH(J454)=7)*$C$20))),IF($C$19="monatlich",$C$22,IF($C$19="quartalsweise",OR(MONTH(J454)={1,4,7,10})*$C$22,IF($C$19="jährlich",(MONTH(J454)=7)*$C$22))))</f>
        <v>900</v>
      </c>
      <c r="L454" s="63">
        <f t="shared" ref="L454:L465" si="511">-IF(H454&gt;60,0,IF($C$19="monatlich",$C$52,IF(AND($C$19="quartalsweise",K454&gt;0),$C$52,IF(AND($C$19="jährlich",K454&gt;0),$C$51,0))))</f>
        <v>0</v>
      </c>
      <c r="M454" s="62">
        <f t="shared" ref="M454:M465" si="512">+IF(MONTH(J454)=4,$C$25,0)</f>
        <v>0</v>
      </c>
      <c r="N454" s="64">
        <f>+IF(AND($C$19="monatlich",K454&lt;$C$20),$C$20-K454,IF(AND($C$19="quartalsweise",OR(MONTH(J454)={1,4,7,10}),K454&lt;$C$20),$C$20-K454,IF(AND($C$19="jährlich",MONTH(J454)=7,K454&lt;$C$20),$C$20-K454,0)))</f>
        <v>0</v>
      </c>
      <c r="O454" s="64">
        <v>0</v>
      </c>
      <c r="P454" s="64">
        <v>0</v>
      </c>
      <c r="Q454" s="63">
        <f t="shared" ref="Q454:Q465" si="513">-SUM(M454:P454)*$C$47/100</f>
        <v>0</v>
      </c>
      <c r="R454" s="62">
        <f t="shared" ref="R454" si="514">+SUM(K454,M454:P454)</f>
        <v>900</v>
      </c>
      <c r="S454" s="65">
        <f t="shared" si="432"/>
        <v>117490.49130193901</v>
      </c>
      <c r="T454" s="62">
        <f t="shared" ref="T454:T465" si="515">-IF(MONTH(J454)=12,$C$55,0)</f>
        <v>0</v>
      </c>
      <c r="U454" s="63">
        <f t="shared" ref="U454:U465" si="516">-W453*($D$43/100/12)</f>
        <v>-164.89221577706937</v>
      </c>
      <c r="V454" s="62">
        <f t="shared" ref="V454:V465" si="517">+(1+(IF($C$71="pauschal",$C$72/100/12,VLOOKUP(I453,$J$5:$L$44,3,FALSE)/100/12)*W453))</f>
        <v>846.60110654907362</v>
      </c>
      <c r="W454" s="63">
        <f t="shared" ref="W454:W465" si="518">+SUM(W453,R454,L454,Q454,T454:V454)</f>
        <v>204525.97446254967</v>
      </c>
    </row>
    <row r="455" spans="2:23" outlineLevel="1">
      <c r="G455" s="12">
        <f t="shared" si="467"/>
        <v>56.010958904109586</v>
      </c>
      <c r="H455" s="4">
        <v>350</v>
      </c>
      <c r="I455" s="4">
        <f t="shared" si="485"/>
        <v>30</v>
      </c>
      <c r="J455" s="30">
        <f t="shared" si="441"/>
        <v>51349</v>
      </c>
      <c r="K455" s="62">
        <f>+IF(OR(H455&gt;60,$C$21="nein"),IF($C$19="monatlich",$C$20,IF($C$19="quartalsweise",OR(MONTH(J455)={1,4,7,10})*$C$20,IF($C$19="jährlich",(MONTH(J455)=7)*$C$20))),IF($C$19="monatlich",$C$22,IF($C$19="quartalsweise",OR(MONTH(J455)={1,4,7,10})*$C$22,IF($C$19="jährlich",(MONTH(J455)=7)*$C$22))))</f>
        <v>0</v>
      </c>
      <c r="L455" s="66">
        <f t="shared" si="511"/>
        <v>0</v>
      </c>
      <c r="M455" s="62">
        <f t="shared" si="512"/>
        <v>0</v>
      </c>
      <c r="N455" s="67">
        <f>+IF(AND($C$19="monatlich",K455&lt;$C$20),$C$20-K455,IF(AND($C$19="quartalsweise",OR(MONTH(J455)={1,4,7,10}),K455&lt;$C$20),$C$20-K455,IF(AND($C$19="jährlich",MONTH(J455)=7,K455&lt;$C$20),$C$20-K455,0)))</f>
        <v>0</v>
      </c>
      <c r="O455" s="67">
        <v>0</v>
      </c>
      <c r="P455" s="67">
        <v>0</v>
      </c>
      <c r="Q455" s="63">
        <f t="shared" si="513"/>
        <v>0</v>
      </c>
      <c r="R455" s="68">
        <f t="shared" si="462"/>
        <v>0</v>
      </c>
      <c r="S455" s="69">
        <f t="shared" si="432"/>
        <v>117490.49130193901</v>
      </c>
      <c r="T455" s="68">
        <f t="shared" si="515"/>
        <v>0</v>
      </c>
      <c r="U455" s="66">
        <f t="shared" si="516"/>
        <v>-166.17735425082159</v>
      </c>
      <c r="V455" s="68">
        <f t="shared" si="517"/>
        <v>853.19156026062365</v>
      </c>
      <c r="W455" s="66">
        <f t="shared" si="518"/>
        <v>205212.98866855947</v>
      </c>
    </row>
    <row r="456" spans="2:23" outlineLevel="1">
      <c r="G456" s="12">
        <f t="shared" si="467"/>
        <v>56.095890410958901</v>
      </c>
      <c r="H456" s="4">
        <v>351</v>
      </c>
      <c r="I456" s="4">
        <f t="shared" si="485"/>
        <v>30</v>
      </c>
      <c r="J456" s="30">
        <f t="shared" si="441"/>
        <v>51380</v>
      </c>
      <c r="K456" s="62">
        <f>+IF(OR(H456&gt;60,$C$21="nein"),IF($C$19="monatlich",$C$20,IF($C$19="quartalsweise",OR(MONTH(J456)={1,4,7,10})*$C$20,IF($C$19="jährlich",(MONTH(J456)=7)*$C$20))),IF($C$19="monatlich",$C$22,IF($C$19="quartalsweise",OR(MONTH(J456)={1,4,7,10})*$C$22,IF($C$19="jährlich",(MONTH(J456)=7)*$C$22))))</f>
        <v>0</v>
      </c>
      <c r="L456" s="66">
        <f t="shared" si="511"/>
        <v>0</v>
      </c>
      <c r="M456" s="62">
        <f t="shared" si="512"/>
        <v>0</v>
      </c>
      <c r="N456" s="67">
        <f>+IF(AND($C$19="monatlich",K456&lt;$C$20),$C$20-K456,IF(AND($C$19="quartalsweise",OR(MONTH(J456)={1,4,7,10}),K456&lt;$C$20),$C$20-K456,IF(AND($C$19="jährlich",MONTH(J456)=7,K456&lt;$C$20),$C$20-K456,0)))</f>
        <v>0</v>
      </c>
      <c r="O456" s="67">
        <v>0</v>
      </c>
      <c r="P456" s="67">
        <v>0</v>
      </c>
      <c r="Q456" s="63">
        <f t="shared" si="513"/>
        <v>0</v>
      </c>
      <c r="R456" s="68">
        <f t="shared" si="462"/>
        <v>0</v>
      </c>
      <c r="S456" s="69">
        <f t="shared" si="432"/>
        <v>117490.49130193901</v>
      </c>
      <c r="T456" s="68">
        <f t="shared" si="515"/>
        <v>0</v>
      </c>
      <c r="U456" s="66">
        <f t="shared" si="516"/>
        <v>-166.73555329320456</v>
      </c>
      <c r="V456" s="68">
        <f t="shared" si="517"/>
        <v>856.05411945233107</v>
      </c>
      <c r="W456" s="66">
        <f t="shared" si="518"/>
        <v>205902.30723471861</v>
      </c>
    </row>
    <row r="457" spans="2:23" outlineLevel="1">
      <c r="G457" s="12">
        <f t="shared" si="467"/>
        <v>56.178082191780824</v>
      </c>
      <c r="H457" s="4">
        <v>352</v>
      </c>
      <c r="I457" s="4">
        <f t="shared" si="485"/>
        <v>30</v>
      </c>
      <c r="J457" s="30">
        <f t="shared" si="441"/>
        <v>51410</v>
      </c>
      <c r="K457" s="62">
        <f>+IF(OR(H457&gt;60,$C$21="nein"),IF($C$19="monatlich",$C$20,IF($C$19="quartalsweise",OR(MONTH(J457)={1,4,7,10})*$C$20,IF($C$19="jährlich",(MONTH(J457)=7)*$C$20))),IF($C$19="monatlich",$C$22,IF($C$19="quartalsweise",OR(MONTH(J457)={1,4,7,10})*$C$22,IF($C$19="jährlich",(MONTH(J457)=7)*$C$22))))</f>
        <v>900</v>
      </c>
      <c r="L457" s="66">
        <f t="shared" si="511"/>
        <v>0</v>
      </c>
      <c r="M457" s="62">
        <f t="shared" si="512"/>
        <v>0</v>
      </c>
      <c r="N457" s="67">
        <f>+IF(AND($C$19="monatlich",K457&lt;$C$20),$C$20-K457,IF(AND($C$19="quartalsweise",OR(MONTH(J457)={1,4,7,10}),K457&lt;$C$20),$C$20-K457,IF(AND($C$19="jährlich",MONTH(J457)=7,K457&lt;$C$20),$C$20-K457,0)))</f>
        <v>0</v>
      </c>
      <c r="O457" s="67">
        <v>0</v>
      </c>
      <c r="P457" s="67">
        <v>0</v>
      </c>
      <c r="Q457" s="63">
        <f t="shared" si="513"/>
        <v>0</v>
      </c>
      <c r="R457" s="68">
        <f t="shared" si="462"/>
        <v>900</v>
      </c>
      <c r="S457" s="69">
        <f t="shared" si="432"/>
        <v>118390.49130193901</v>
      </c>
      <c r="T457" s="68">
        <f t="shared" si="515"/>
        <v>0</v>
      </c>
      <c r="U457" s="66">
        <f t="shared" si="516"/>
        <v>-167.29562462820886</v>
      </c>
      <c r="V457" s="68">
        <f t="shared" si="517"/>
        <v>858.92628014466084</v>
      </c>
      <c r="W457" s="66">
        <f t="shared" si="518"/>
        <v>207493.93789023507</v>
      </c>
    </row>
    <row r="458" spans="2:23" outlineLevel="1">
      <c r="G458" s="12">
        <f t="shared" si="467"/>
        <v>56.263013698630139</v>
      </c>
      <c r="H458" s="4">
        <v>353</v>
      </c>
      <c r="I458" s="4">
        <f t="shared" si="485"/>
        <v>30</v>
      </c>
      <c r="J458" s="30">
        <f t="shared" si="441"/>
        <v>51441</v>
      </c>
      <c r="K458" s="62">
        <f>+IF(OR(H458&gt;60,$C$21="nein"),IF($C$19="monatlich",$C$20,IF($C$19="quartalsweise",OR(MONTH(J458)={1,4,7,10})*$C$20,IF($C$19="jährlich",(MONTH(J458)=7)*$C$20))),IF($C$19="monatlich",$C$22,IF($C$19="quartalsweise",OR(MONTH(J458)={1,4,7,10})*$C$22,IF($C$19="jährlich",(MONTH(J458)=7)*$C$22))))</f>
        <v>0</v>
      </c>
      <c r="L458" s="66">
        <f t="shared" si="511"/>
        <v>0</v>
      </c>
      <c r="M458" s="62">
        <f t="shared" si="512"/>
        <v>0</v>
      </c>
      <c r="N458" s="67">
        <f>+IF(AND($C$19="monatlich",K458&lt;$C$20),$C$20-K458,IF(AND($C$19="quartalsweise",OR(MONTH(J458)={1,4,7,10}),K458&lt;$C$20),$C$20-K458,IF(AND($C$19="jährlich",MONTH(J458)=7,K458&lt;$C$20),$C$20-K458,0)))</f>
        <v>0</v>
      </c>
      <c r="O458" s="67">
        <v>0</v>
      </c>
      <c r="P458" s="67">
        <v>0</v>
      </c>
      <c r="Q458" s="63">
        <f t="shared" si="513"/>
        <v>0</v>
      </c>
      <c r="R458" s="68">
        <f t="shared" si="462"/>
        <v>0</v>
      </c>
      <c r="S458" s="69">
        <f t="shared" si="432"/>
        <v>118390.49130193901</v>
      </c>
      <c r="T458" s="68">
        <f t="shared" si="515"/>
        <v>0</v>
      </c>
      <c r="U458" s="66">
        <f t="shared" si="516"/>
        <v>-168.588824535816</v>
      </c>
      <c r="V458" s="68">
        <f t="shared" si="517"/>
        <v>865.55807454264607</v>
      </c>
      <c r="W458" s="66">
        <f t="shared" si="518"/>
        <v>208190.90714024191</v>
      </c>
    </row>
    <row r="459" spans="2:23" outlineLevel="1">
      <c r="G459" s="12">
        <f t="shared" si="467"/>
        <v>56.345205479452055</v>
      </c>
      <c r="H459" s="4">
        <v>354</v>
      </c>
      <c r="I459" s="4">
        <f t="shared" si="485"/>
        <v>30</v>
      </c>
      <c r="J459" s="30">
        <f t="shared" si="441"/>
        <v>51471</v>
      </c>
      <c r="K459" s="62">
        <f>+IF(OR(H459&gt;60,$C$21="nein"),IF($C$19="monatlich",$C$20,IF($C$19="quartalsweise",OR(MONTH(J459)={1,4,7,10})*$C$20,IF($C$19="jährlich",(MONTH(J459)=7)*$C$20))),IF($C$19="monatlich",$C$22,IF($C$19="quartalsweise",OR(MONTH(J459)={1,4,7,10})*$C$22,IF($C$19="jährlich",(MONTH(J459)=7)*$C$22))))</f>
        <v>0</v>
      </c>
      <c r="L459" s="66">
        <f t="shared" si="511"/>
        <v>0</v>
      </c>
      <c r="M459" s="62">
        <f t="shared" si="512"/>
        <v>0</v>
      </c>
      <c r="N459" s="67">
        <f>+IF(AND($C$19="monatlich",K459&lt;$C$20),$C$20-K459,IF(AND($C$19="quartalsweise",OR(MONTH(J459)={1,4,7,10}),K459&lt;$C$20),$C$20-K459,IF(AND($C$19="jährlich",MONTH(J459)=7,K459&lt;$C$20),$C$20-K459,0)))</f>
        <v>0</v>
      </c>
      <c r="O459" s="67">
        <v>0</v>
      </c>
      <c r="P459" s="67">
        <v>0</v>
      </c>
      <c r="Q459" s="63">
        <f t="shared" si="513"/>
        <v>0</v>
      </c>
      <c r="R459" s="68">
        <f t="shared" si="462"/>
        <v>0</v>
      </c>
      <c r="S459" s="69">
        <f t="shared" si="432"/>
        <v>118390.49130193901</v>
      </c>
      <c r="T459" s="68">
        <f t="shared" si="515"/>
        <v>-15.4</v>
      </c>
      <c r="U459" s="66">
        <f t="shared" si="516"/>
        <v>-169.15511205144654</v>
      </c>
      <c r="V459" s="68">
        <f t="shared" si="517"/>
        <v>868.46211308434124</v>
      </c>
      <c r="W459" s="66">
        <f t="shared" si="518"/>
        <v>208874.81414127481</v>
      </c>
    </row>
    <row r="460" spans="2:23" outlineLevel="1">
      <c r="G460" s="12">
        <f t="shared" si="467"/>
        <v>56.43013698630137</v>
      </c>
      <c r="H460" s="4">
        <v>355</v>
      </c>
      <c r="I460" s="4">
        <f t="shared" si="485"/>
        <v>30</v>
      </c>
      <c r="J460" s="30">
        <f t="shared" si="441"/>
        <v>51502</v>
      </c>
      <c r="K460" s="62">
        <f>+IF(OR(H460&gt;60,$C$21="nein"),IF($C$19="monatlich",$C$20,IF($C$19="quartalsweise",OR(MONTH(J460)={1,4,7,10})*$C$20,IF($C$19="jährlich",(MONTH(J460)=7)*$C$20))),IF($C$19="monatlich",$C$22,IF($C$19="quartalsweise",OR(MONTH(J460)={1,4,7,10})*$C$22,IF($C$19="jährlich",(MONTH(J460)=7)*$C$22))))</f>
        <v>900</v>
      </c>
      <c r="L460" s="66">
        <f t="shared" si="511"/>
        <v>0</v>
      </c>
      <c r="M460" s="62">
        <f t="shared" si="512"/>
        <v>0</v>
      </c>
      <c r="N460" s="67">
        <f>+IF(AND($C$19="monatlich",K460&lt;$C$20),$C$20-K460,IF(AND($C$19="quartalsweise",OR(MONTH(J460)={1,4,7,10}),K460&lt;$C$20),$C$20-K460,IF(AND($C$19="jährlich",MONTH(J460)=7,K460&lt;$C$20),$C$20-K460,0)))</f>
        <v>0</v>
      </c>
      <c r="O460" s="67">
        <v>0</v>
      </c>
      <c r="P460" s="67">
        <v>0</v>
      </c>
      <c r="Q460" s="63">
        <f t="shared" si="513"/>
        <v>0</v>
      </c>
      <c r="R460" s="68">
        <f t="shared" si="462"/>
        <v>900</v>
      </c>
      <c r="S460" s="69">
        <f t="shared" si="432"/>
        <v>119290.49130193901</v>
      </c>
      <c r="T460" s="68">
        <f t="shared" si="515"/>
        <v>0</v>
      </c>
      <c r="U460" s="66">
        <f t="shared" si="516"/>
        <v>-169.71078648978576</v>
      </c>
      <c r="V460" s="68">
        <f t="shared" si="517"/>
        <v>871.311725588645</v>
      </c>
      <c r="W460" s="66">
        <f t="shared" si="518"/>
        <v>210476.41508037364</v>
      </c>
    </row>
    <row r="461" spans="2:23" outlineLevel="1">
      <c r="G461" s="12">
        <f t="shared" si="467"/>
        <v>56.515068493150686</v>
      </c>
      <c r="H461" s="4">
        <v>356</v>
      </c>
      <c r="I461" s="4">
        <f t="shared" si="485"/>
        <v>30</v>
      </c>
      <c r="J461" s="30">
        <f t="shared" si="441"/>
        <v>51533</v>
      </c>
      <c r="K461" s="62">
        <f>+IF(OR(H461&gt;60,$C$21="nein"),IF($C$19="monatlich",$C$20,IF($C$19="quartalsweise",OR(MONTH(J461)={1,4,7,10})*$C$20,IF($C$19="jährlich",(MONTH(J461)=7)*$C$20))),IF($C$19="monatlich",$C$22,IF($C$19="quartalsweise",OR(MONTH(J461)={1,4,7,10})*$C$22,IF($C$19="jährlich",(MONTH(J461)=7)*$C$22))))</f>
        <v>0</v>
      </c>
      <c r="L461" s="66">
        <f t="shared" si="511"/>
        <v>0</v>
      </c>
      <c r="M461" s="62">
        <f t="shared" si="512"/>
        <v>0</v>
      </c>
      <c r="N461" s="67">
        <f>+IF(AND($C$19="monatlich",K461&lt;$C$20),$C$20-K461,IF(AND($C$19="quartalsweise",OR(MONTH(J461)={1,4,7,10}),K461&lt;$C$20),$C$20-K461,IF(AND($C$19="jährlich",MONTH(J461)=7,K461&lt;$C$20),$C$20-K461,0)))</f>
        <v>0</v>
      </c>
      <c r="O461" s="67">
        <v>0</v>
      </c>
      <c r="P461" s="67">
        <v>0</v>
      </c>
      <c r="Q461" s="63">
        <f t="shared" si="513"/>
        <v>0</v>
      </c>
      <c r="R461" s="68">
        <f t="shared" si="462"/>
        <v>0</v>
      </c>
      <c r="S461" s="69">
        <f t="shared" si="432"/>
        <v>119290.49130193901</v>
      </c>
      <c r="T461" s="68">
        <f t="shared" si="515"/>
        <v>0</v>
      </c>
      <c r="U461" s="66">
        <f t="shared" si="516"/>
        <v>-171.01208725280358</v>
      </c>
      <c r="V461" s="68">
        <f t="shared" si="517"/>
        <v>877.98506283489019</v>
      </c>
      <c r="W461" s="66">
        <f t="shared" si="518"/>
        <v>211183.38805595573</v>
      </c>
    </row>
    <row r="462" spans="2:23" outlineLevel="1">
      <c r="G462" s="12">
        <f t="shared" si="467"/>
        <v>56.591780821917808</v>
      </c>
      <c r="H462" s="4">
        <v>357</v>
      </c>
      <c r="I462" s="4">
        <f t="shared" si="485"/>
        <v>30</v>
      </c>
      <c r="J462" s="30">
        <f t="shared" si="441"/>
        <v>51561</v>
      </c>
      <c r="K462" s="62">
        <f>+IF(OR(H462&gt;60,$C$21="nein"),IF($C$19="monatlich",$C$20,IF($C$19="quartalsweise",OR(MONTH(J462)={1,4,7,10})*$C$20,IF($C$19="jährlich",(MONTH(J462)=7)*$C$20))),IF($C$19="monatlich",$C$22,IF($C$19="quartalsweise",OR(MONTH(J462)={1,4,7,10})*$C$22,IF($C$19="jährlich",(MONTH(J462)=7)*$C$22))))</f>
        <v>0</v>
      </c>
      <c r="L462" s="66">
        <f t="shared" si="511"/>
        <v>0</v>
      </c>
      <c r="M462" s="62">
        <f t="shared" si="512"/>
        <v>0</v>
      </c>
      <c r="N462" s="67">
        <f>+IF(AND($C$19="monatlich",K462&lt;$C$20),$C$20-K462,IF(AND($C$19="quartalsweise",OR(MONTH(J462)={1,4,7,10}),K462&lt;$C$20),$C$20-K462,IF(AND($C$19="jährlich",MONTH(J462)=7,K462&lt;$C$20),$C$20-K462,0)))-$C$67/100*SUM(Q444:Q452,Q454:Q456)-$C$66/100*SUM(L444:L452,L454:L456)</f>
        <v>8.1052631578947363</v>
      </c>
      <c r="O462" s="67">
        <v>0</v>
      </c>
      <c r="P462" s="67">
        <v>0</v>
      </c>
      <c r="Q462" s="63">
        <f t="shared" si="513"/>
        <v>-0.40526315789473683</v>
      </c>
      <c r="R462" s="68">
        <f t="shared" si="462"/>
        <v>8.1052631578947363</v>
      </c>
      <c r="S462" s="69">
        <f t="shared" ref="S462:S525" si="519">+IF(EXACT(J462,J461),S461,SUM(S461,R462))</f>
        <v>119298.5965650969</v>
      </c>
      <c r="T462" s="68">
        <f t="shared" si="515"/>
        <v>0</v>
      </c>
      <c r="U462" s="66">
        <f t="shared" si="516"/>
        <v>-171.58650279546401</v>
      </c>
      <c r="V462" s="68">
        <f t="shared" si="517"/>
        <v>880.93078356648221</v>
      </c>
      <c r="W462" s="66">
        <f t="shared" si="518"/>
        <v>211900.43233672678</v>
      </c>
    </row>
    <row r="463" spans="2:23" outlineLevel="1">
      <c r="G463" s="12">
        <f t="shared" si="467"/>
        <v>56.676712328767124</v>
      </c>
      <c r="H463" s="4">
        <v>358</v>
      </c>
      <c r="I463" s="4">
        <f t="shared" si="485"/>
        <v>30</v>
      </c>
      <c r="J463" s="30">
        <f t="shared" si="441"/>
        <v>51592</v>
      </c>
      <c r="K463" s="62">
        <f>+IF(OR(H463&gt;60,$C$21="nein"),IF($C$19="monatlich",$C$20,IF($C$19="quartalsweise",OR(MONTH(J463)={1,4,7,10})*$C$20,IF($C$19="jährlich",(MONTH(J463)=7)*$C$20))),IF($C$19="monatlich",$C$22,IF($C$19="quartalsweise",OR(MONTH(J463)={1,4,7,10})*$C$22,IF($C$19="jährlich",(MONTH(J463)=7)*$C$22))))</f>
        <v>900</v>
      </c>
      <c r="L463" s="66">
        <f t="shared" si="511"/>
        <v>0</v>
      </c>
      <c r="M463" s="62">
        <f t="shared" si="512"/>
        <v>154</v>
      </c>
      <c r="N463" s="67">
        <f>+IF(AND($C$19="monatlich",K463&lt;$C$20),$C$20-K463,IF(AND($C$19="quartalsweise",OR(MONTH(J463)={1,4,7,10}),K463&lt;$C$20),$C$20-K463,IF(AND($C$19="jährlich",MONTH(J463)=7,K463&lt;$C$20),$C$20-K463,0)))</f>
        <v>0</v>
      </c>
      <c r="O463" s="67">
        <v>0</v>
      </c>
      <c r="P463" s="67">
        <v>0</v>
      </c>
      <c r="Q463" s="63">
        <f t="shared" si="513"/>
        <v>-7.7</v>
      </c>
      <c r="R463" s="68">
        <f t="shared" si="462"/>
        <v>1054</v>
      </c>
      <c r="S463" s="69">
        <f t="shared" si="519"/>
        <v>120352.5965650969</v>
      </c>
      <c r="T463" s="68">
        <f t="shared" si="515"/>
        <v>0</v>
      </c>
      <c r="U463" s="66">
        <f t="shared" si="516"/>
        <v>-172.16910127359051</v>
      </c>
      <c r="V463" s="68">
        <f t="shared" si="517"/>
        <v>883.91846806969488</v>
      </c>
      <c r="W463" s="66">
        <f t="shared" si="518"/>
        <v>213658.48170352288</v>
      </c>
    </row>
    <row r="464" spans="2:23" outlineLevel="1">
      <c r="G464" s="12">
        <f t="shared" si="467"/>
        <v>56.758904109589039</v>
      </c>
      <c r="H464" s="4">
        <v>359</v>
      </c>
      <c r="I464" s="4">
        <f t="shared" si="485"/>
        <v>30</v>
      </c>
      <c r="J464" s="30">
        <f t="shared" si="441"/>
        <v>51622</v>
      </c>
      <c r="K464" s="62">
        <f>+IF(OR(H464&gt;60,$C$21="nein"),IF($C$19="monatlich",$C$20,IF($C$19="quartalsweise",OR(MONTH(J464)={1,4,7,10})*$C$20,IF($C$19="jährlich",(MONTH(J464)=7)*$C$20))),IF($C$19="monatlich",$C$22,IF($C$19="quartalsweise",OR(MONTH(J464)={1,4,7,10})*$C$22,IF($C$19="jährlich",(MONTH(J464)=7)*$C$22))))</f>
        <v>0</v>
      </c>
      <c r="L464" s="66">
        <f t="shared" si="511"/>
        <v>0</v>
      </c>
      <c r="M464" s="62">
        <f t="shared" si="512"/>
        <v>0</v>
      </c>
      <c r="N464" s="67">
        <f>+IF(AND($C$19="monatlich",K464&lt;$C$20),$C$20-K464,IF(AND($C$19="quartalsweise",OR(MONTH(J464)={1,4,7,10}),K464&lt;$C$20),$C$20-K464,IF(AND($C$19="jährlich",MONTH(J464)=7,K464&lt;$C$20),$C$20-K464,0)))</f>
        <v>0</v>
      </c>
      <c r="O464" s="67">
        <v>0</v>
      </c>
      <c r="P464" s="67">
        <v>0</v>
      </c>
      <c r="Q464" s="63">
        <f t="shared" si="513"/>
        <v>0</v>
      </c>
      <c r="R464" s="68">
        <f t="shared" si="462"/>
        <v>0</v>
      </c>
      <c r="S464" s="69">
        <f t="shared" si="519"/>
        <v>120352.5965650969</v>
      </c>
      <c r="T464" s="68">
        <f t="shared" si="515"/>
        <v>0</v>
      </c>
      <c r="U464" s="66">
        <f t="shared" si="516"/>
        <v>-173.59751638411234</v>
      </c>
      <c r="V464" s="68">
        <f t="shared" si="517"/>
        <v>891.24367376467865</v>
      </c>
      <c r="W464" s="66">
        <f t="shared" si="518"/>
        <v>214376.12786090345</v>
      </c>
    </row>
    <row r="465" spans="2:23" outlineLevel="1">
      <c r="G465" s="13">
        <f t="shared" si="467"/>
        <v>56.843835616438355</v>
      </c>
      <c r="H465" s="6">
        <v>360</v>
      </c>
      <c r="I465" s="6">
        <f t="shared" si="485"/>
        <v>30</v>
      </c>
      <c r="J465" s="31">
        <f t="shared" si="441"/>
        <v>51653</v>
      </c>
      <c r="K465" s="62">
        <f>+IF(OR(H465&gt;60,$C$21="nein"),IF($C$19="monatlich",$C$20,IF($C$19="quartalsweise",OR(MONTH(J465)={1,4,7,10})*$C$20,IF($C$19="jährlich",(MONTH(J465)=7)*$C$20))),IF($C$19="monatlich",$C$22,IF($C$19="quartalsweise",OR(MONTH(J465)={1,4,7,10})*$C$22,IF($C$19="jährlich",(MONTH(J465)=7)*$C$22))))</f>
        <v>0</v>
      </c>
      <c r="L465" s="70">
        <f t="shared" si="511"/>
        <v>0</v>
      </c>
      <c r="M465" s="62">
        <f t="shared" si="512"/>
        <v>0</v>
      </c>
      <c r="N465" s="71">
        <f>+IF(AND($C$19="monatlich",K465&lt;$C$20),$C$20-K465,IF(AND($C$19="quartalsweise",OR(MONTH(J465)={1,4,7,10}),K465&lt;$C$20),$C$20-K465,IF(AND($C$19="jährlich",MONTH(J465)=7,K465&lt;$C$20),$C$20-K465,0)))</f>
        <v>0</v>
      </c>
      <c r="O465" s="71">
        <v>0</v>
      </c>
      <c r="P465" s="71">
        <v>0</v>
      </c>
      <c r="Q465" s="63">
        <f t="shared" si="513"/>
        <v>0</v>
      </c>
      <c r="R465" s="72">
        <f t="shared" si="462"/>
        <v>0</v>
      </c>
      <c r="S465" s="73">
        <f t="shared" si="519"/>
        <v>120352.5965650969</v>
      </c>
      <c r="T465" s="72">
        <f t="shared" si="515"/>
        <v>0</v>
      </c>
      <c r="U465" s="70">
        <f t="shared" si="516"/>
        <v>-174.18060388698404</v>
      </c>
      <c r="V465" s="72">
        <f t="shared" si="517"/>
        <v>894.23386608709768</v>
      </c>
      <c r="W465" s="70">
        <f t="shared" si="518"/>
        <v>215096.18112310357</v>
      </c>
    </row>
    <row r="466" spans="2:23" s="5" customFormat="1" ht="15">
      <c r="B466" s="17"/>
      <c r="G466" s="115">
        <f t="shared" si="467"/>
        <v>56.843835616438355</v>
      </c>
      <c r="H466" s="116" t="str">
        <f>H454&amp;" - "&amp;H465</f>
        <v>349 - 360</v>
      </c>
      <c r="I466" s="117">
        <f t="shared" si="485"/>
        <v>30</v>
      </c>
      <c r="J466" s="118">
        <f t="shared" ref="J466" si="520">+J465</f>
        <v>51653</v>
      </c>
      <c r="K466" s="119">
        <f t="shared" ref="K466:L466" si="521">SUM(K454:K465)</f>
        <v>3600</v>
      </c>
      <c r="L466" s="120">
        <f t="shared" si="521"/>
        <v>0</v>
      </c>
      <c r="M466" s="119">
        <f t="shared" ref="M466" si="522">SUM(M454:M465)</f>
        <v>154</v>
      </c>
      <c r="N466" s="121">
        <f t="shared" si="489"/>
        <v>8.1052631578947363</v>
      </c>
      <c r="O466" s="121">
        <f t="shared" ref="O466" si="523">SUM(O454:O465)</f>
        <v>0</v>
      </c>
      <c r="P466" s="121">
        <f t="shared" ref="P466:Q479" si="524">SUM(P454:P465)</f>
        <v>0</v>
      </c>
      <c r="Q466" s="120">
        <f t="shared" si="524"/>
        <v>-8.1052631578947363</v>
      </c>
      <c r="R466" s="119">
        <f t="shared" ref="R466" si="525">SUM(R454:R465)</f>
        <v>3762.1052631578946</v>
      </c>
      <c r="S466" s="122">
        <f t="shared" si="519"/>
        <v>120352.5965650969</v>
      </c>
      <c r="T466" s="119">
        <f t="shared" ref="T466:V466" si="526">SUM(T454:T465)</f>
        <v>-15.4</v>
      </c>
      <c r="U466" s="120">
        <f t="shared" si="526"/>
        <v>-2035.1012826193073</v>
      </c>
      <c r="V466" s="119">
        <f t="shared" si="526"/>
        <v>10448.416833945164</v>
      </c>
      <c r="W466" s="123">
        <f t="shared" ref="W466" si="527">+W465</f>
        <v>215096.18112310357</v>
      </c>
    </row>
    <row r="467" spans="2:23" outlineLevel="1">
      <c r="G467" s="11">
        <f t="shared" si="467"/>
        <v>56.926027397260277</v>
      </c>
      <c r="H467" s="2">
        <v>361</v>
      </c>
      <c r="I467" s="2">
        <f t="shared" si="485"/>
        <v>31</v>
      </c>
      <c r="J467" s="29">
        <f t="shared" ref="J467:J530" si="528">+DATE(YEAR(J466),MONTH(J466)+1,1)</f>
        <v>51683</v>
      </c>
      <c r="K467" s="62">
        <f>+IF(OR(H467&gt;60,$C$21="nein"),IF($C$19="monatlich",$C$20,IF($C$19="quartalsweise",OR(MONTH(J467)={1,4,7,10})*$C$20,IF($C$19="jährlich",(MONTH(J467)=7)*$C$20))),IF($C$19="monatlich",$C$22,IF($C$19="quartalsweise",OR(MONTH(J467)={1,4,7,10})*$C$22,IF($C$19="jährlich",(MONTH(J467)=7)*$C$22))))</f>
        <v>900</v>
      </c>
      <c r="L467" s="63">
        <f t="shared" ref="L467:L478" si="529">-IF(H467&gt;60,0,IF($C$19="monatlich",$C$52,IF(AND($C$19="quartalsweise",K467&gt;0),$C$52,IF(AND($C$19="jährlich",K467&gt;0),$C$51,0))))</f>
        <v>0</v>
      </c>
      <c r="M467" s="62">
        <f t="shared" ref="M467:M478" si="530">+IF(MONTH(J467)=4,$C$25,0)</f>
        <v>0</v>
      </c>
      <c r="N467" s="64">
        <f>+IF(AND($C$19="monatlich",K467&lt;$C$20),$C$20-K467,IF(AND($C$19="quartalsweise",OR(MONTH(J467)={1,4,7,10}),K467&lt;$C$20),$C$20-K467,IF(AND($C$19="jährlich",MONTH(J467)=7,K467&lt;$C$20),$C$20-K467,0)))</f>
        <v>0</v>
      </c>
      <c r="O467" s="64">
        <v>0</v>
      </c>
      <c r="P467" s="64">
        <v>0</v>
      </c>
      <c r="Q467" s="63">
        <f t="shared" ref="Q467:Q478" si="531">-SUM(M467:P467)*$C$47/100</f>
        <v>0</v>
      </c>
      <c r="R467" s="62">
        <f t="shared" ref="R467" si="532">+SUM(K467,M467:P467)</f>
        <v>900</v>
      </c>
      <c r="S467" s="65">
        <f t="shared" si="519"/>
        <v>121252.5965650969</v>
      </c>
      <c r="T467" s="62">
        <f t="shared" ref="T467:T478" si="533">-IF(MONTH(J467)=12,$C$55,0)</f>
        <v>0</v>
      </c>
      <c r="U467" s="63">
        <f t="shared" ref="U467:U478" si="534">-W466*($D$43/100/12)</f>
        <v>-174.76564716252165</v>
      </c>
      <c r="V467" s="62">
        <f t="shared" ref="V467:V478" si="535">+(1+(IF($C$71="pauschal",$C$72/100/12,VLOOKUP(I466,$J$5:$L$44,3,FALSE)/100/12)*W466))</f>
        <v>897.23408801293147</v>
      </c>
      <c r="W467" s="63">
        <f t="shared" ref="W467:W478" si="536">+SUM(W466,R467,L467,Q467,T467:V467)</f>
        <v>216718.64956395398</v>
      </c>
    </row>
    <row r="468" spans="2:23" outlineLevel="1">
      <c r="G468" s="12">
        <f t="shared" si="467"/>
        <v>57.010958904109586</v>
      </c>
      <c r="H468" s="4">
        <v>362</v>
      </c>
      <c r="I468" s="4">
        <f t="shared" si="485"/>
        <v>31</v>
      </c>
      <c r="J468" s="30">
        <f t="shared" si="528"/>
        <v>51714</v>
      </c>
      <c r="K468" s="62">
        <f>+IF(OR(H468&gt;60,$C$21="nein"),IF($C$19="monatlich",$C$20,IF($C$19="quartalsweise",OR(MONTH(J468)={1,4,7,10})*$C$20,IF($C$19="jährlich",(MONTH(J468)=7)*$C$20))),IF($C$19="monatlich",$C$22,IF($C$19="quartalsweise",OR(MONTH(J468)={1,4,7,10})*$C$22,IF($C$19="jährlich",(MONTH(J468)=7)*$C$22))))</f>
        <v>0</v>
      </c>
      <c r="L468" s="66">
        <f t="shared" si="529"/>
        <v>0</v>
      </c>
      <c r="M468" s="62">
        <f t="shared" si="530"/>
        <v>0</v>
      </c>
      <c r="N468" s="67">
        <f>+IF(AND($C$19="monatlich",K468&lt;$C$20),$C$20-K468,IF(AND($C$19="quartalsweise",OR(MONTH(J468)={1,4,7,10}),K468&lt;$C$20),$C$20-K468,IF(AND($C$19="jährlich",MONTH(J468)=7,K468&lt;$C$20),$C$20-K468,0)))</f>
        <v>0</v>
      </c>
      <c r="O468" s="67">
        <v>0</v>
      </c>
      <c r="P468" s="67">
        <v>0</v>
      </c>
      <c r="Q468" s="63">
        <f t="shared" si="531"/>
        <v>0</v>
      </c>
      <c r="R468" s="68">
        <f t="shared" si="462"/>
        <v>0</v>
      </c>
      <c r="S468" s="69">
        <f t="shared" si="519"/>
        <v>121252.5965650969</v>
      </c>
      <c r="T468" s="68">
        <f t="shared" si="533"/>
        <v>0</v>
      </c>
      <c r="U468" s="66">
        <f t="shared" si="534"/>
        <v>-176.0839027707126</v>
      </c>
      <c r="V468" s="68">
        <f t="shared" si="535"/>
        <v>903.99437318314153</v>
      </c>
      <c r="W468" s="66">
        <f t="shared" si="536"/>
        <v>217446.56003436641</v>
      </c>
    </row>
    <row r="469" spans="2:23" outlineLevel="1">
      <c r="G469" s="12">
        <f t="shared" si="467"/>
        <v>57.095890410958901</v>
      </c>
      <c r="H469" s="4">
        <v>363</v>
      </c>
      <c r="I469" s="4">
        <f t="shared" si="485"/>
        <v>31</v>
      </c>
      <c r="J469" s="30">
        <f t="shared" si="528"/>
        <v>51745</v>
      </c>
      <c r="K469" s="62">
        <f>+IF(OR(H469&gt;60,$C$21="nein"),IF($C$19="monatlich",$C$20,IF($C$19="quartalsweise",OR(MONTH(J469)={1,4,7,10})*$C$20,IF($C$19="jährlich",(MONTH(J469)=7)*$C$20))),IF($C$19="monatlich",$C$22,IF($C$19="quartalsweise",OR(MONTH(J469)={1,4,7,10})*$C$22,IF($C$19="jährlich",(MONTH(J469)=7)*$C$22))))</f>
        <v>0</v>
      </c>
      <c r="L469" s="66">
        <f t="shared" si="529"/>
        <v>0</v>
      </c>
      <c r="M469" s="62">
        <f t="shared" si="530"/>
        <v>0</v>
      </c>
      <c r="N469" s="67">
        <f>+IF(AND($C$19="monatlich",K469&lt;$C$20),$C$20-K469,IF(AND($C$19="quartalsweise",OR(MONTH(J469)={1,4,7,10}),K469&lt;$C$20),$C$20-K469,IF(AND($C$19="jährlich",MONTH(J469)=7,K469&lt;$C$20),$C$20-K469,0)))</f>
        <v>0</v>
      </c>
      <c r="O469" s="67">
        <v>0</v>
      </c>
      <c r="P469" s="67">
        <v>0</v>
      </c>
      <c r="Q469" s="63">
        <f t="shared" si="531"/>
        <v>0</v>
      </c>
      <c r="R469" s="68">
        <f t="shared" si="462"/>
        <v>0</v>
      </c>
      <c r="S469" s="69">
        <f t="shared" si="519"/>
        <v>121252.5965650969</v>
      </c>
      <c r="T469" s="68">
        <f t="shared" si="533"/>
        <v>0</v>
      </c>
      <c r="U469" s="66">
        <f t="shared" si="534"/>
        <v>-176.67533002792271</v>
      </c>
      <c r="V469" s="68">
        <f t="shared" si="535"/>
        <v>907.02733347652668</v>
      </c>
      <c r="W469" s="66">
        <f t="shared" si="536"/>
        <v>218176.91203781503</v>
      </c>
    </row>
    <row r="470" spans="2:23" outlineLevel="1">
      <c r="G470" s="12">
        <f t="shared" si="467"/>
        <v>57.178082191780824</v>
      </c>
      <c r="H470" s="4">
        <v>364</v>
      </c>
      <c r="I470" s="4">
        <f t="shared" si="485"/>
        <v>31</v>
      </c>
      <c r="J470" s="30">
        <f t="shared" si="528"/>
        <v>51775</v>
      </c>
      <c r="K470" s="62">
        <f>+IF(OR(H470&gt;60,$C$21="nein"),IF($C$19="monatlich",$C$20,IF($C$19="quartalsweise",OR(MONTH(J470)={1,4,7,10})*$C$20,IF($C$19="jährlich",(MONTH(J470)=7)*$C$20))),IF($C$19="monatlich",$C$22,IF($C$19="quartalsweise",OR(MONTH(J470)={1,4,7,10})*$C$22,IF($C$19="jährlich",(MONTH(J470)=7)*$C$22))))</f>
        <v>900</v>
      </c>
      <c r="L470" s="66">
        <f t="shared" si="529"/>
        <v>0</v>
      </c>
      <c r="M470" s="62">
        <f t="shared" si="530"/>
        <v>0</v>
      </c>
      <c r="N470" s="67">
        <f>+IF(AND($C$19="monatlich",K470&lt;$C$20),$C$20-K470,IF(AND($C$19="quartalsweise",OR(MONTH(J470)={1,4,7,10}),K470&lt;$C$20),$C$20-K470,IF(AND($C$19="jährlich",MONTH(J470)=7,K470&lt;$C$20),$C$20-K470,0)))</f>
        <v>0</v>
      </c>
      <c r="O470" s="67">
        <v>0</v>
      </c>
      <c r="P470" s="67">
        <v>0</v>
      </c>
      <c r="Q470" s="63">
        <f t="shared" si="531"/>
        <v>0</v>
      </c>
      <c r="R470" s="68">
        <f t="shared" si="462"/>
        <v>900</v>
      </c>
      <c r="S470" s="69">
        <f t="shared" si="519"/>
        <v>122152.5965650969</v>
      </c>
      <c r="T470" s="68">
        <f t="shared" si="533"/>
        <v>0</v>
      </c>
      <c r="U470" s="66">
        <f t="shared" si="534"/>
        <v>-177.2687410307247</v>
      </c>
      <c r="V470" s="68">
        <f t="shared" si="535"/>
        <v>910.07046682422924</v>
      </c>
      <c r="W470" s="66">
        <f t="shared" si="536"/>
        <v>219809.71376360854</v>
      </c>
    </row>
    <row r="471" spans="2:23" outlineLevel="1">
      <c r="G471" s="12">
        <f t="shared" si="467"/>
        <v>57.263013698630139</v>
      </c>
      <c r="H471" s="4">
        <v>365</v>
      </c>
      <c r="I471" s="4">
        <f t="shared" si="485"/>
        <v>31</v>
      </c>
      <c r="J471" s="30">
        <f t="shared" si="528"/>
        <v>51806</v>
      </c>
      <c r="K471" s="62">
        <f>+IF(OR(H471&gt;60,$C$21="nein"),IF($C$19="monatlich",$C$20,IF($C$19="quartalsweise",OR(MONTH(J471)={1,4,7,10})*$C$20,IF($C$19="jährlich",(MONTH(J471)=7)*$C$20))),IF($C$19="monatlich",$C$22,IF($C$19="quartalsweise",OR(MONTH(J471)={1,4,7,10})*$C$22,IF($C$19="jährlich",(MONTH(J471)=7)*$C$22))))</f>
        <v>0</v>
      </c>
      <c r="L471" s="66">
        <f t="shared" si="529"/>
        <v>0</v>
      </c>
      <c r="M471" s="62">
        <f t="shared" si="530"/>
        <v>0</v>
      </c>
      <c r="N471" s="67">
        <f>+IF(AND($C$19="monatlich",K471&lt;$C$20),$C$20-K471,IF(AND($C$19="quartalsweise",OR(MONTH(J471)={1,4,7,10}),K471&lt;$C$20),$C$20-K471,IF(AND($C$19="jährlich",MONTH(J471)=7,K471&lt;$C$20),$C$20-K471,0)))</f>
        <v>0</v>
      </c>
      <c r="O471" s="67">
        <v>0</v>
      </c>
      <c r="P471" s="67">
        <v>0</v>
      </c>
      <c r="Q471" s="63">
        <f t="shared" si="531"/>
        <v>0</v>
      </c>
      <c r="R471" s="68">
        <f t="shared" si="462"/>
        <v>0</v>
      </c>
      <c r="S471" s="69">
        <f t="shared" si="519"/>
        <v>122152.5965650969</v>
      </c>
      <c r="T471" s="68">
        <f t="shared" si="533"/>
        <v>0</v>
      </c>
      <c r="U471" s="66">
        <f t="shared" si="534"/>
        <v>-178.59539243293193</v>
      </c>
      <c r="V471" s="68">
        <f t="shared" si="535"/>
        <v>916.87380734836893</v>
      </c>
      <c r="W471" s="66">
        <f t="shared" si="536"/>
        <v>220547.99217852397</v>
      </c>
    </row>
    <row r="472" spans="2:23" outlineLevel="1">
      <c r="G472" s="12">
        <f t="shared" si="467"/>
        <v>57.345205479452055</v>
      </c>
      <c r="H472" s="4">
        <v>366</v>
      </c>
      <c r="I472" s="4">
        <f t="shared" ref="I472:I503" si="537">+I459+1</f>
        <v>31</v>
      </c>
      <c r="J472" s="30">
        <f t="shared" si="528"/>
        <v>51836</v>
      </c>
      <c r="K472" s="62">
        <f>+IF(OR(H472&gt;60,$C$21="nein"),IF($C$19="monatlich",$C$20,IF($C$19="quartalsweise",OR(MONTH(J472)={1,4,7,10})*$C$20,IF($C$19="jährlich",(MONTH(J472)=7)*$C$20))),IF($C$19="monatlich",$C$22,IF($C$19="quartalsweise",OR(MONTH(J472)={1,4,7,10})*$C$22,IF($C$19="jährlich",(MONTH(J472)=7)*$C$22))))</f>
        <v>0</v>
      </c>
      <c r="L472" s="66">
        <f t="shared" si="529"/>
        <v>0</v>
      </c>
      <c r="M472" s="62">
        <f t="shared" si="530"/>
        <v>0</v>
      </c>
      <c r="N472" s="67">
        <f>+IF(AND($C$19="monatlich",K472&lt;$C$20),$C$20-K472,IF(AND($C$19="quartalsweise",OR(MONTH(J472)={1,4,7,10}),K472&lt;$C$20),$C$20-K472,IF(AND($C$19="jährlich",MONTH(J472)=7,K472&lt;$C$20),$C$20-K472,0)))</f>
        <v>0</v>
      </c>
      <c r="O472" s="67">
        <v>0</v>
      </c>
      <c r="P472" s="67">
        <v>0</v>
      </c>
      <c r="Q472" s="63">
        <f t="shared" si="531"/>
        <v>0</v>
      </c>
      <c r="R472" s="68">
        <f t="shared" si="462"/>
        <v>0</v>
      </c>
      <c r="S472" s="69">
        <f t="shared" si="519"/>
        <v>122152.5965650969</v>
      </c>
      <c r="T472" s="68">
        <f t="shared" si="533"/>
        <v>-15.4</v>
      </c>
      <c r="U472" s="66">
        <f t="shared" si="534"/>
        <v>-179.19524364505071</v>
      </c>
      <c r="V472" s="68">
        <f t="shared" si="535"/>
        <v>919.94996741051648</v>
      </c>
      <c r="W472" s="66">
        <f t="shared" si="536"/>
        <v>221273.34690228943</v>
      </c>
    </row>
    <row r="473" spans="2:23" outlineLevel="1">
      <c r="G473" s="12">
        <f t="shared" si="467"/>
        <v>57.43013698630137</v>
      </c>
      <c r="H473" s="4">
        <v>367</v>
      </c>
      <c r="I473" s="4">
        <f t="shared" si="537"/>
        <v>31</v>
      </c>
      <c r="J473" s="30">
        <f t="shared" si="528"/>
        <v>51867</v>
      </c>
      <c r="K473" s="62">
        <f>+IF(OR(H473&gt;60,$C$21="nein"),IF($C$19="monatlich",$C$20,IF($C$19="quartalsweise",OR(MONTH(J473)={1,4,7,10})*$C$20,IF($C$19="jährlich",(MONTH(J473)=7)*$C$20))),IF($C$19="monatlich",$C$22,IF($C$19="quartalsweise",OR(MONTH(J473)={1,4,7,10})*$C$22,IF($C$19="jährlich",(MONTH(J473)=7)*$C$22))))</f>
        <v>900</v>
      </c>
      <c r="L473" s="66">
        <f t="shared" si="529"/>
        <v>0</v>
      </c>
      <c r="M473" s="62">
        <f t="shared" si="530"/>
        <v>0</v>
      </c>
      <c r="N473" s="67">
        <f>+IF(AND($C$19="monatlich",K473&lt;$C$20),$C$20-K473,IF(AND($C$19="quartalsweise",OR(MONTH(J473)={1,4,7,10}),K473&lt;$C$20),$C$20-K473,IF(AND($C$19="jährlich",MONTH(J473)=7,K473&lt;$C$20),$C$20-K473,0)))</f>
        <v>0</v>
      </c>
      <c r="O473" s="67">
        <v>0</v>
      </c>
      <c r="P473" s="67">
        <v>0</v>
      </c>
      <c r="Q473" s="63">
        <f t="shared" si="531"/>
        <v>0</v>
      </c>
      <c r="R473" s="68">
        <f t="shared" si="462"/>
        <v>900</v>
      </c>
      <c r="S473" s="69">
        <f t="shared" si="519"/>
        <v>123052.5965650969</v>
      </c>
      <c r="T473" s="68">
        <f t="shared" si="533"/>
        <v>0</v>
      </c>
      <c r="U473" s="66">
        <f t="shared" si="534"/>
        <v>-179.78459435811016</v>
      </c>
      <c r="V473" s="68">
        <f t="shared" si="535"/>
        <v>922.97227875953922</v>
      </c>
      <c r="W473" s="66">
        <f t="shared" si="536"/>
        <v>222916.53458669086</v>
      </c>
    </row>
    <row r="474" spans="2:23" outlineLevel="1">
      <c r="G474" s="12">
        <f t="shared" si="467"/>
        <v>57.515068493150686</v>
      </c>
      <c r="H474" s="4">
        <v>368</v>
      </c>
      <c r="I474" s="4">
        <f t="shared" si="537"/>
        <v>31</v>
      </c>
      <c r="J474" s="30">
        <f t="shared" si="528"/>
        <v>51898</v>
      </c>
      <c r="K474" s="62">
        <f>+IF(OR(H474&gt;60,$C$21="nein"),IF($C$19="monatlich",$C$20,IF($C$19="quartalsweise",OR(MONTH(J474)={1,4,7,10})*$C$20,IF($C$19="jährlich",(MONTH(J474)=7)*$C$20))),IF($C$19="monatlich",$C$22,IF($C$19="quartalsweise",OR(MONTH(J474)={1,4,7,10})*$C$22,IF($C$19="jährlich",(MONTH(J474)=7)*$C$22))))</f>
        <v>0</v>
      </c>
      <c r="L474" s="66">
        <f t="shared" si="529"/>
        <v>0</v>
      </c>
      <c r="M474" s="62">
        <f t="shared" si="530"/>
        <v>0</v>
      </c>
      <c r="N474" s="67">
        <f>+IF(AND($C$19="monatlich",K474&lt;$C$20),$C$20-K474,IF(AND($C$19="quartalsweise",OR(MONTH(J474)={1,4,7,10}),K474&lt;$C$20),$C$20-K474,IF(AND($C$19="jährlich",MONTH(J474)=7,K474&lt;$C$20),$C$20-K474,0)))</f>
        <v>0</v>
      </c>
      <c r="O474" s="67">
        <v>0</v>
      </c>
      <c r="P474" s="67">
        <v>0</v>
      </c>
      <c r="Q474" s="63">
        <f t="shared" si="531"/>
        <v>0</v>
      </c>
      <c r="R474" s="68">
        <f t="shared" si="462"/>
        <v>0</v>
      </c>
      <c r="S474" s="69">
        <f t="shared" si="519"/>
        <v>123052.5965650969</v>
      </c>
      <c r="T474" s="68">
        <f t="shared" si="533"/>
        <v>0</v>
      </c>
      <c r="U474" s="66">
        <f t="shared" si="534"/>
        <v>-181.11968435168632</v>
      </c>
      <c r="V474" s="68">
        <f t="shared" si="535"/>
        <v>929.81889411121188</v>
      </c>
      <c r="W474" s="66">
        <f t="shared" si="536"/>
        <v>223665.23379645037</v>
      </c>
    </row>
    <row r="475" spans="2:23" outlineLevel="1">
      <c r="G475" s="12">
        <f t="shared" si="467"/>
        <v>57.591780821917808</v>
      </c>
      <c r="H475" s="4">
        <v>369</v>
      </c>
      <c r="I475" s="4">
        <f t="shared" si="537"/>
        <v>31</v>
      </c>
      <c r="J475" s="30">
        <f t="shared" si="528"/>
        <v>51926</v>
      </c>
      <c r="K475" s="62">
        <f>+IF(OR(H475&gt;60,$C$21="nein"),IF($C$19="monatlich",$C$20,IF($C$19="quartalsweise",OR(MONTH(J475)={1,4,7,10})*$C$20,IF($C$19="jährlich",(MONTH(J475)=7)*$C$20))),IF($C$19="monatlich",$C$22,IF($C$19="quartalsweise",OR(MONTH(J475)={1,4,7,10})*$C$22,IF($C$19="jährlich",(MONTH(J475)=7)*$C$22))))</f>
        <v>0</v>
      </c>
      <c r="L475" s="66">
        <f t="shared" si="529"/>
        <v>0</v>
      </c>
      <c r="M475" s="62">
        <f t="shared" si="530"/>
        <v>0</v>
      </c>
      <c r="N475" s="67">
        <f>+IF(AND($C$19="monatlich",K475&lt;$C$20),$C$20-K475,IF(AND($C$19="quartalsweise",OR(MONTH(J475)={1,4,7,10}),K475&lt;$C$20),$C$20-K475,IF(AND($C$19="jährlich",MONTH(J475)=7,K475&lt;$C$20),$C$20-K475,0)))-$C$67/100*SUM(Q457:Q465,Q467:Q469)-$C$66/100*SUM(L457:L465,L467:L469)</f>
        <v>8.1052631578947363</v>
      </c>
      <c r="O475" s="67">
        <v>0</v>
      </c>
      <c r="P475" s="67">
        <v>0</v>
      </c>
      <c r="Q475" s="63">
        <f t="shared" si="531"/>
        <v>-0.40526315789473683</v>
      </c>
      <c r="R475" s="68">
        <f t="shared" si="462"/>
        <v>8.1052631578947363</v>
      </c>
      <c r="S475" s="69">
        <f t="shared" si="519"/>
        <v>123060.70182825479</v>
      </c>
      <c r="T475" s="68">
        <f t="shared" si="533"/>
        <v>0</v>
      </c>
      <c r="U475" s="66">
        <f t="shared" si="534"/>
        <v>-181.72800245961591</v>
      </c>
      <c r="V475" s="68">
        <f t="shared" si="535"/>
        <v>932.93847415187656</v>
      </c>
      <c r="W475" s="66">
        <f t="shared" si="536"/>
        <v>224424.14426814264</v>
      </c>
    </row>
    <row r="476" spans="2:23" outlineLevel="1">
      <c r="G476" s="12">
        <f t="shared" si="467"/>
        <v>57.676712328767124</v>
      </c>
      <c r="H476" s="4">
        <v>370</v>
      </c>
      <c r="I476" s="4">
        <f t="shared" si="537"/>
        <v>31</v>
      </c>
      <c r="J476" s="30">
        <f t="shared" si="528"/>
        <v>51957</v>
      </c>
      <c r="K476" s="62">
        <f>+IF(OR(H476&gt;60,$C$21="nein"),IF($C$19="monatlich",$C$20,IF($C$19="quartalsweise",OR(MONTH(J476)={1,4,7,10})*$C$20,IF($C$19="jährlich",(MONTH(J476)=7)*$C$20))),IF($C$19="monatlich",$C$22,IF($C$19="quartalsweise",OR(MONTH(J476)={1,4,7,10})*$C$22,IF($C$19="jährlich",(MONTH(J476)=7)*$C$22))))</f>
        <v>900</v>
      </c>
      <c r="L476" s="66">
        <f t="shared" si="529"/>
        <v>0</v>
      </c>
      <c r="M476" s="62">
        <f t="shared" si="530"/>
        <v>154</v>
      </c>
      <c r="N476" s="67">
        <f>+IF(AND($C$19="monatlich",K476&lt;$C$20),$C$20-K476,IF(AND($C$19="quartalsweise",OR(MONTH(J476)={1,4,7,10}),K476&lt;$C$20),$C$20-K476,IF(AND($C$19="jährlich",MONTH(J476)=7,K476&lt;$C$20),$C$20-K476,0)))</f>
        <v>0</v>
      </c>
      <c r="O476" s="67">
        <v>0</v>
      </c>
      <c r="P476" s="67">
        <v>0</v>
      </c>
      <c r="Q476" s="63">
        <f t="shared" si="531"/>
        <v>-7.7</v>
      </c>
      <c r="R476" s="68">
        <f t="shared" si="462"/>
        <v>1054</v>
      </c>
      <c r="S476" s="69">
        <f t="shared" si="519"/>
        <v>124114.70182825479</v>
      </c>
      <c r="T476" s="68">
        <f t="shared" si="533"/>
        <v>0</v>
      </c>
      <c r="U476" s="66">
        <f t="shared" si="534"/>
        <v>-182.34461721786587</v>
      </c>
      <c r="V476" s="68">
        <f t="shared" si="535"/>
        <v>936.10060111726102</v>
      </c>
      <c r="W476" s="66">
        <f t="shared" si="536"/>
        <v>226224.20025204204</v>
      </c>
    </row>
    <row r="477" spans="2:23" outlineLevel="1">
      <c r="G477" s="12">
        <f t="shared" si="467"/>
        <v>57.758904109589039</v>
      </c>
      <c r="H477" s="4">
        <v>371</v>
      </c>
      <c r="I477" s="4">
        <f t="shared" si="537"/>
        <v>31</v>
      </c>
      <c r="J477" s="30">
        <f t="shared" si="528"/>
        <v>51987</v>
      </c>
      <c r="K477" s="62">
        <f>+IF(OR(H477&gt;60,$C$21="nein"),IF($C$19="monatlich",$C$20,IF($C$19="quartalsweise",OR(MONTH(J477)={1,4,7,10})*$C$20,IF($C$19="jährlich",(MONTH(J477)=7)*$C$20))),IF($C$19="monatlich",$C$22,IF($C$19="quartalsweise",OR(MONTH(J477)={1,4,7,10})*$C$22,IF($C$19="jährlich",(MONTH(J477)=7)*$C$22))))</f>
        <v>0</v>
      </c>
      <c r="L477" s="66">
        <f t="shared" si="529"/>
        <v>0</v>
      </c>
      <c r="M477" s="62">
        <f t="shared" si="530"/>
        <v>0</v>
      </c>
      <c r="N477" s="67">
        <f>+IF(AND($C$19="monatlich",K477&lt;$C$20),$C$20-K477,IF(AND($C$19="quartalsweise",OR(MONTH(J477)={1,4,7,10}),K477&lt;$C$20),$C$20-K477,IF(AND($C$19="jährlich",MONTH(J477)=7,K477&lt;$C$20),$C$20-K477,0)))</f>
        <v>0</v>
      </c>
      <c r="O477" s="67">
        <v>0</v>
      </c>
      <c r="P477" s="67">
        <v>0</v>
      </c>
      <c r="Q477" s="63">
        <f t="shared" si="531"/>
        <v>0</v>
      </c>
      <c r="R477" s="68">
        <f t="shared" si="462"/>
        <v>0</v>
      </c>
      <c r="S477" s="69">
        <f t="shared" si="519"/>
        <v>124114.70182825479</v>
      </c>
      <c r="T477" s="68">
        <f t="shared" si="533"/>
        <v>0</v>
      </c>
      <c r="U477" s="66">
        <f t="shared" si="534"/>
        <v>-183.80716270478413</v>
      </c>
      <c r="V477" s="68">
        <f t="shared" si="535"/>
        <v>943.60083438350841</v>
      </c>
      <c r="W477" s="66">
        <f t="shared" si="536"/>
        <v>226983.99392372076</v>
      </c>
    </row>
    <row r="478" spans="2:23" outlineLevel="1">
      <c r="G478" s="13">
        <f t="shared" si="467"/>
        <v>57.843835616438355</v>
      </c>
      <c r="H478" s="6">
        <v>372</v>
      </c>
      <c r="I478" s="6">
        <f t="shared" si="537"/>
        <v>31</v>
      </c>
      <c r="J478" s="31">
        <f t="shared" si="528"/>
        <v>52018</v>
      </c>
      <c r="K478" s="62">
        <f>+IF(OR(H478&gt;60,$C$21="nein"),IF($C$19="monatlich",$C$20,IF($C$19="quartalsweise",OR(MONTH(J478)={1,4,7,10})*$C$20,IF($C$19="jährlich",(MONTH(J478)=7)*$C$20))),IF($C$19="monatlich",$C$22,IF($C$19="quartalsweise",OR(MONTH(J478)={1,4,7,10})*$C$22,IF($C$19="jährlich",(MONTH(J478)=7)*$C$22))))</f>
        <v>0</v>
      </c>
      <c r="L478" s="70">
        <f t="shared" si="529"/>
        <v>0</v>
      </c>
      <c r="M478" s="62">
        <f t="shared" si="530"/>
        <v>0</v>
      </c>
      <c r="N478" s="71">
        <f>+IF(AND($C$19="monatlich",K478&lt;$C$20),$C$20-K478,IF(AND($C$19="quartalsweise",OR(MONTH(J478)={1,4,7,10}),K478&lt;$C$20),$C$20-K478,IF(AND($C$19="jährlich",MONTH(J478)=7,K478&lt;$C$20),$C$20-K478,0)))</f>
        <v>0</v>
      </c>
      <c r="O478" s="71">
        <v>0</v>
      </c>
      <c r="P478" s="71">
        <v>0</v>
      </c>
      <c r="Q478" s="63">
        <f t="shared" si="531"/>
        <v>0</v>
      </c>
      <c r="R478" s="72">
        <f t="shared" si="462"/>
        <v>0</v>
      </c>
      <c r="S478" s="73">
        <f t="shared" si="519"/>
        <v>124114.70182825479</v>
      </c>
      <c r="T478" s="72">
        <f t="shared" si="533"/>
        <v>0</v>
      </c>
      <c r="U478" s="70">
        <f t="shared" si="534"/>
        <v>-184.4244950630231</v>
      </c>
      <c r="V478" s="72">
        <f t="shared" si="535"/>
        <v>946.76664134883652</v>
      </c>
      <c r="W478" s="70">
        <f t="shared" si="536"/>
        <v>227746.33607000657</v>
      </c>
    </row>
    <row r="479" spans="2:23" s="5" customFormat="1" ht="15">
      <c r="B479" s="17"/>
      <c r="G479" s="115">
        <f t="shared" si="467"/>
        <v>57.843835616438355</v>
      </c>
      <c r="H479" s="116" t="str">
        <f>H467&amp;" - "&amp;H478</f>
        <v>361 - 372</v>
      </c>
      <c r="I479" s="117">
        <f t="shared" si="537"/>
        <v>31</v>
      </c>
      <c r="J479" s="118">
        <f t="shared" ref="J479" si="538">+J478</f>
        <v>52018</v>
      </c>
      <c r="K479" s="119">
        <f t="shared" ref="K479:L479" si="539">SUM(K467:K478)</f>
        <v>3600</v>
      </c>
      <c r="L479" s="120">
        <f t="shared" si="539"/>
        <v>0</v>
      </c>
      <c r="M479" s="119">
        <f t="shared" ref="M479" si="540">SUM(M467:M478)</f>
        <v>154</v>
      </c>
      <c r="N479" s="121">
        <f t="shared" si="489"/>
        <v>8.1052631578947363</v>
      </c>
      <c r="O479" s="121">
        <f t="shared" ref="O479" si="541">SUM(O467:O478)</f>
        <v>0</v>
      </c>
      <c r="P479" s="121">
        <f t="shared" ref="P479" si="542">SUM(P467:P478)</f>
        <v>0</v>
      </c>
      <c r="Q479" s="120">
        <f t="shared" si="524"/>
        <v>-8.1052631578947363</v>
      </c>
      <c r="R479" s="119">
        <f t="shared" ref="R479" si="543">SUM(R467:R478)</f>
        <v>3762.1052631578946</v>
      </c>
      <c r="S479" s="122">
        <f t="shared" si="519"/>
        <v>124114.70182825479</v>
      </c>
      <c r="T479" s="119">
        <f t="shared" ref="T479:V479" si="544">SUM(T467:T478)</f>
        <v>-15.4</v>
      </c>
      <c r="U479" s="120">
        <f t="shared" si="544"/>
        <v>-2155.7928132249494</v>
      </c>
      <c r="V479" s="119">
        <f t="shared" si="544"/>
        <v>11067.34776012795</v>
      </c>
      <c r="W479" s="123">
        <f t="shared" ref="W479" si="545">+W478</f>
        <v>227746.33607000657</v>
      </c>
    </row>
    <row r="480" spans="2:23" outlineLevel="1">
      <c r="G480" s="11">
        <f t="shared" si="467"/>
        <v>57.926027397260277</v>
      </c>
      <c r="H480" s="2">
        <v>373</v>
      </c>
      <c r="I480" s="2">
        <f t="shared" si="537"/>
        <v>32</v>
      </c>
      <c r="J480" s="29">
        <f t="shared" si="528"/>
        <v>52048</v>
      </c>
      <c r="K480" s="62">
        <f>+IF(OR(H480&gt;60,$C$21="nein"),IF($C$19="monatlich",$C$20,IF($C$19="quartalsweise",OR(MONTH(J480)={1,4,7,10})*$C$20,IF($C$19="jährlich",(MONTH(J480)=7)*$C$20))),IF($C$19="monatlich",$C$22,IF($C$19="quartalsweise",OR(MONTH(J480)={1,4,7,10})*$C$22,IF($C$19="jährlich",(MONTH(J480)=7)*$C$22))))</f>
        <v>900</v>
      </c>
      <c r="L480" s="63">
        <f t="shared" ref="L480:L491" si="546">-IF(H480&gt;60,0,IF($C$19="monatlich",$C$52,IF(AND($C$19="quartalsweise",K480&gt;0),$C$52,IF(AND($C$19="jährlich",K480&gt;0),$C$51,0))))</f>
        <v>0</v>
      </c>
      <c r="M480" s="62">
        <f t="shared" ref="M480:M491" si="547">+IF(MONTH(J480)=4,$C$25,0)</f>
        <v>0</v>
      </c>
      <c r="N480" s="64">
        <f>+IF(AND($C$19="monatlich",K480&lt;$C$20),$C$20-K480,IF(AND($C$19="quartalsweise",OR(MONTH(J480)={1,4,7,10}),K480&lt;$C$20),$C$20-K480,IF(AND($C$19="jährlich",MONTH(J480)=7,K480&lt;$C$20),$C$20-K480,0)))</f>
        <v>0</v>
      </c>
      <c r="O480" s="64">
        <v>0</v>
      </c>
      <c r="P480" s="64">
        <v>0</v>
      </c>
      <c r="Q480" s="63">
        <f t="shared" ref="Q480:Q491" si="548">-SUM(M480:P480)*$C$47/100</f>
        <v>0</v>
      </c>
      <c r="R480" s="62">
        <f t="shared" ref="R480:R543" si="549">+SUM(K480,M480:P480)</f>
        <v>900</v>
      </c>
      <c r="S480" s="65">
        <f t="shared" si="519"/>
        <v>125014.70182825479</v>
      </c>
      <c r="T480" s="62">
        <f t="shared" ref="T480:T491" si="550">-IF(MONTH(J480)=12,$C$55,0)</f>
        <v>0</v>
      </c>
      <c r="U480" s="63">
        <f t="shared" ref="U480:U491" si="551">-W479*($D$43/100/12)</f>
        <v>-185.04389805688032</v>
      </c>
      <c r="V480" s="62">
        <f t="shared" ref="V480:V491" si="552">+(1+(IF($C$71="pauschal",$C$72/100/12,VLOOKUP(I479,$J$5:$L$44,3,FALSE)/100/12)*W479))</f>
        <v>949.94306695836065</v>
      </c>
      <c r="W480" s="63">
        <f t="shared" ref="W480:W491" si="553">+SUM(W479,R480,L480,Q480,T480:V480)</f>
        <v>229411.23523890806</v>
      </c>
    </row>
    <row r="481" spans="2:23" outlineLevel="1">
      <c r="G481" s="12">
        <f t="shared" si="467"/>
        <v>58.010958904109586</v>
      </c>
      <c r="H481" s="4">
        <v>374</v>
      </c>
      <c r="I481" s="4">
        <f t="shared" si="537"/>
        <v>32</v>
      </c>
      <c r="J481" s="30">
        <f t="shared" si="528"/>
        <v>52079</v>
      </c>
      <c r="K481" s="62">
        <f>+IF(OR(H481&gt;60,$C$21="nein"),IF($C$19="monatlich",$C$20,IF($C$19="quartalsweise",OR(MONTH(J481)={1,4,7,10})*$C$20,IF($C$19="jährlich",(MONTH(J481)=7)*$C$20))),IF($C$19="monatlich",$C$22,IF($C$19="quartalsweise",OR(MONTH(J481)={1,4,7,10})*$C$22,IF($C$19="jährlich",(MONTH(J481)=7)*$C$22))))</f>
        <v>0</v>
      </c>
      <c r="L481" s="66">
        <f t="shared" si="546"/>
        <v>0</v>
      </c>
      <c r="M481" s="62">
        <f t="shared" si="547"/>
        <v>0</v>
      </c>
      <c r="N481" s="67">
        <f>+IF(AND($C$19="monatlich",K481&lt;$C$20),$C$20-K481,IF(AND($C$19="quartalsweise",OR(MONTH(J481)={1,4,7,10}),K481&lt;$C$20),$C$20-K481,IF(AND($C$19="jährlich",MONTH(J481)=7,K481&lt;$C$20),$C$20-K481,0)))</f>
        <v>0</v>
      </c>
      <c r="O481" s="67">
        <v>0</v>
      </c>
      <c r="P481" s="67">
        <v>0</v>
      </c>
      <c r="Q481" s="63">
        <f t="shared" si="548"/>
        <v>0</v>
      </c>
      <c r="R481" s="68">
        <f t="shared" si="549"/>
        <v>0</v>
      </c>
      <c r="S481" s="69">
        <f t="shared" si="519"/>
        <v>125014.70182825479</v>
      </c>
      <c r="T481" s="68">
        <f t="shared" si="550"/>
        <v>0</v>
      </c>
      <c r="U481" s="66">
        <f t="shared" si="551"/>
        <v>-186.3966286316128</v>
      </c>
      <c r="V481" s="68">
        <f t="shared" si="552"/>
        <v>956.88014682878361</v>
      </c>
      <c r="W481" s="66">
        <f t="shared" si="553"/>
        <v>230181.71875710523</v>
      </c>
    </row>
    <row r="482" spans="2:23" outlineLevel="1">
      <c r="G482" s="12">
        <f t="shared" si="467"/>
        <v>58.095890410958901</v>
      </c>
      <c r="H482" s="4">
        <v>375</v>
      </c>
      <c r="I482" s="4">
        <f t="shared" si="537"/>
        <v>32</v>
      </c>
      <c r="J482" s="30">
        <f t="shared" si="528"/>
        <v>52110</v>
      </c>
      <c r="K482" s="62">
        <f>+IF(OR(H482&gt;60,$C$21="nein"),IF($C$19="monatlich",$C$20,IF($C$19="quartalsweise",OR(MONTH(J482)={1,4,7,10})*$C$20,IF($C$19="jährlich",(MONTH(J482)=7)*$C$20))),IF($C$19="monatlich",$C$22,IF($C$19="quartalsweise",OR(MONTH(J482)={1,4,7,10})*$C$22,IF($C$19="jährlich",(MONTH(J482)=7)*$C$22))))</f>
        <v>0</v>
      </c>
      <c r="L482" s="66">
        <f t="shared" si="546"/>
        <v>0</v>
      </c>
      <c r="M482" s="62">
        <f t="shared" si="547"/>
        <v>0</v>
      </c>
      <c r="N482" s="67">
        <f>+IF(AND($C$19="monatlich",K482&lt;$C$20),$C$20-K482,IF(AND($C$19="quartalsweise",OR(MONTH(J482)={1,4,7,10}),K482&lt;$C$20),$C$20-K482,IF(AND($C$19="jährlich",MONTH(J482)=7,K482&lt;$C$20),$C$20-K482,0)))</f>
        <v>0</v>
      </c>
      <c r="O482" s="67">
        <v>0</v>
      </c>
      <c r="P482" s="67">
        <v>0</v>
      </c>
      <c r="Q482" s="63">
        <f t="shared" si="548"/>
        <v>0</v>
      </c>
      <c r="R482" s="68">
        <f t="shared" si="549"/>
        <v>0</v>
      </c>
      <c r="S482" s="69">
        <f t="shared" si="519"/>
        <v>125014.70182825479</v>
      </c>
      <c r="T482" s="68">
        <f t="shared" si="550"/>
        <v>0</v>
      </c>
      <c r="U482" s="66">
        <f t="shared" si="551"/>
        <v>-187.02264649014799</v>
      </c>
      <c r="V482" s="68">
        <f t="shared" si="552"/>
        <v>960.09049482127182</v>
      </c>
      <c r="W482" s="66">
        <f t="shared" si="553"/>
        <v>230954.78660543638</v>
      </c>
    </row>
    <row r="483" spans="2:23" outlineLevel="1">
      <c r="G483" s="12">
        <f t="shared" si="467"/>
        <v>58.178082191780824</v>
      </c>
      <c r="H483" s="4">
        <v>376</v>
      </c>
      <c r="I483" s="4">
        <f t="shared" si="537"/>
        <v>32</v>
      </c>
      <c r="J483" s="30">
        <f t="shared" si="528"/>
        <v>52140</v>
      </c>
      <c r="K483" s="62">
        <f>+IF(OR(H483&gt;60,$C$21="nein"),IF($C$19="monatlich",$C$20,IF($C$19="quartalsweise",OR(MONTH(J483)={1,4,7,10})*$C$20,IF($C$19="jährlich",(MONTH(J483)=7)*$C$20))),IF($C$19="monatlich",$C$22,IF($C$19="quartalsweise",OR(MONTH(J483)={1,4,7,10})*$C$22,IF($C$19="jährlich",(MONTH(J483)=7)*$C$22))))</f>
        <v>900</v>
      </c>
      <c r="L483" s="66">
        <f t="shared" si="546"/>
        <v>0</v>
      </c>
      <c r="M483" s="62">
        <f t="shared" si="547"/>
        <v>0</v>
      </c>
      <c r="N483" s="67">
        <f>+IF(AND($C$19="monatlich",K483&lt;$C$20),$C$20-K483,IF(AND($C$19="quartalsweise",OR(MONTH(J483)={1,4,7,10}),K483&lt;$C$20),$C$20-K483,IF(AND($C$19="jährlich",MONTH(J483)=7,K483&lt;$C$20),$C$20-K483,0)))</f>
        <v>0</v>
      </c>
      <c r="O483" s="67">
        <v>0</v>
      </c>
      <c r="P483" s="67">
        <v>0</v>
      </c>
      <c r="Q483" s="63">
        <f t="shared" si="548"/>
        <v>0</v>
      </c>
      <c r="R483" s="68">
        <f t="shared" si="549"/>
        <v>900</v>
      </c>
      <c r="S483" s="69">
        <f t="shared" si="519"/>
        <v>125914.70182825479</v>
      </c>
      <c r="T483" s="68">
        <f t="shared" si="550"/>
        <v>0</v>
      </c>
      <c r="U483" s="66">
        <f t="shared" si="551"/>
        <v>-187.65076411691706</v>
      </c>
      <c r="V483" s="68">
        <f t="shared" si="552"/>
        <v>963.3116108559849</v>
      </c>
      <c r="W483" s="66">
        <f t="shared" si="553"/>
        <v>232630.44745217543</v>
      </c>
    </row>
    <row r="484" spans="2:23" outlineLevel="1">
      <c r="G484" s="12">
        <f t="shared" si="467"/>
        <v>58.263013698630139</v>
      </c>
      <c r="H484" s="4">
        <v>377</v>
      </c>
      <c r="I484" s="4">
        <f t="shared" si="537"/>
        <v>32</v>
      </c>
      <c r="J484" s="30">
        <f t="shared" si="528"/>
        <v>52171</v>
      </c>
      <c r="K484" s="62">
        <f>+IF(OR(H484&gt;60,$C$21="nein"),IF($C$19="monatlich",$C$20,IF($C$19="quartalsweise",OR(MONTH(J484)={1,4,7,10})*$C$20,IF($C$19="jährlich",(MONTH(J484)=7)*$C$20))),IF($C$19="monatlich",$C$22,IF($C$19="quartalsweise",OR(MONTH(J484)={1,4,7,10})*$C$22,IF($C$19="jährlich",(MONTH(J484)=7)*$C$22))))</f>
        <v>0</v>
      </c>
      <c r="L484" s="66">
        <f t="shared" si="546"/>
        <v>0</v>
      </c>
      <c r="M484" s="62">
        <f t="shared" si="547"/>
        <v>0</v>
      </c>
      <c r="N484" s="67">
        <f>+IF(AND($C$19="monatlich",K484&lt;$C$20),$C$20-K484,IF(AND($C$19="quartalsweise",OR(MONTH(J484)={1,4,7,10}),K484&lt;$C$20),$C$20-K484,IF(AND($C$19="jährlich",MONTH(J484)=7,K484&lt;$C$20),$C$20-K484,0)))</f>
        <v>0</v>
      </c>
      <c r="O484" s="67">
        <v>0</v>
      </c>
      <c r="P484" s="67">
        <v>0</v>
      </c>
      <c r="Q484" s="63">
        <f t="shared" si="548"/>
        <v>0</v>
      </c>
      <c r="R484" s="68">
        <f t="shared" si="549"/>
        <v>0</v>
      </c>
      <c r="S484" s="69">
        <f t="shared" si="519"/>
        <v>125914.70182825479</v>
      </c>
      <c r="T484" s="68">
        <f t="shared" si="550"/>
        <v>0</v>
      </c>
      <c r="U484" s="66">
        <f t="shared" si="551"/>
        <v>-189.01223855489252</v>
      </c>
      <c r="V484" s="68">
        <f t="shared" si="552"/>
        <v>970.29353105073096</v>
      </c>
      <c r="W484" s="66">
        <f t="shared" si="553"/>
        <v>233411.72874467127</v>
      </c>
    </row>
    <row r="485" spans="2:23" outlineLevel="1">
      <c r="G485" s="12">
        <f t="shared" si="467"/>
        <v>58.345205479452055</v>
      </c>
      <c r="H485" s="4">
        <v>378</v>
      </c>
      <c r="I485" s="4">
        <f t="shared" si="537"/>
        <v>32</v>
      </c>
      <c r="J485" s="30">
        <f t="shared" si="528"/>
        <v>52201</v>
      </c>
      <c r="K485" s="62">
        <f>+IF(OR(H485&gt;60,$C$21="nein"),IF($C$19="monatlich",$C$20,IF($C$19="quartalsweise",OR(MONTH(J485)={1,4,7,10})*$C$20,IF($C$19="jährlich",(MONTH(J485)=7)*$C$20))),IF($C$19="monatlich",$C$22,IF($C$19="quartalsweise",OR(MONTH(J485)={1,4,7,10})*$C$22,IF($C$19="jährlich",(MONTH(J485)=7)*$C$22))))</f>
        <v>0</v>
      </c>
      <c r="L485" s="66">
        <f t="shared" si="546"/>
        <v>0</v>
      </c>
      <c r="M485" s="62">
        <f t="shared" si="547"/>
        <v>0</v>
      </c>
      <c r="N485" s="67">
        <f>+IF(AND($C$19="monatlich",K485&lt;$C$20),$C$20-K485,IF(AND($C$19="quartalsweise",OR(MONTH(J485)={1,4,7,10}),K485&lt;$C$20),$C$20-K485,IF(AND($C$19="jährlich",MONTH(J485)=7,K485&lt;$C$20),$C$20-K485,0)))</f>
        <v>0</v>
      </c>
      <c r="O485" s="67">
        <v>0</v>
      </c>
      <c r="P485" s="67">
        <v>0</v>
      </c>
      <c r="Q485" s="63">
        <f t="shared" si="548"/>
        <v>0</v>
      </c>
      <c r="R485" s="68">
        <f t="shared" si="549"/>
        <v>0</v>
      </c>
      <c r="S485" s="69">
        <f t="shared" si="519"/>
        <v>125914.70182825479</v>
      </c>
      <c r="T485" s="68">
        <f t="shared" si="550"/>
        <v>-15.4</v>
      </c>
      <c r="U485" s="66">
        <f t="shared" si="551"/>
        <v>-189.64702960504539</v>
      </c>
      <c r="V485" s="68">
        <f t="shared" si="552"/>
        <v>973.54886976946364</v>
      </c>
      <c r="W485" s="66">
        <f t="shared" si="553"/>
        <v>234180.23058483569</v>
      </c>
    </row>
    <row r="486" spans="2:23" outlineLevel="1">
      <c r="G486" s="12">
        <f t="shared" si="467"/>
        <v>58.43013698630137</v>
      </c>
      <c r="H486" s="4">
        <v>379</v>
      </c>
      <c r="I486" s="4">
        <f t="shared" si="537"/>
        <v>32</v>
      </c>
      <c r="J486" s="30">
        <f t="shared" si="528"/>
        <v>52232</v>
      </c>
      <c r="K486" s="62">
        <f>+IF(OR(H486&gt;60,$C$21="nein"),IF($C$19="monatlich",$C$20,IF($C$19="quartalsweise",OR(MONTH(J486)={1,4,7,10})*$C$20,IF($C$19="jährlich",(MONTH(J486)=7)*$C$20))),IF($C$19="monatlich",$C$22,IF($C$19="quartalsweise",OR(MONTH(J486)={1,4,7,10})*$C$22,IF($C$19="jährlich",(MONTH(J486)=7)*$C$22))))</f>
        <v>900</v>
      </c>
      <c r="L486" s="66">
        <f t="shared" si="546"/>
        <v>0</v>
      </c>
      <c r="M486" s="62">
        <f t="shared" si="547"/>
        <v>0</v>
      </c>
      <c r="N486" s="67">
        <f>+IF(AND($C$19="monatlich",K486&lt;$C$20),$C$20-K486,IF(AND($C$19="quartalsweise",OR(MONTH(J486)={1,4,7,10}),K486&lt;$C$20),$C$20-K486,IF(AND($C$19="jährlich",MONTH(J486)=7,K486&lt;$C$20),$C$20-K486,0)))</f>
        <v>0</v>
      </c>
      <c r="O486" s="67">
        <v>0</v>
      </c>
      <c r="P486" s="67">
        <v>0</v>
      </c>
      <c r="Q486" s="63">
        <f t="shared" si="548"/>
        <v>0</v>
      </c>
      <c r="R486" s="68">
        <f t="shared" si="549"/>
        <v>900</v>
      </c>
      <c r="S486" s="69">
        <f t="shared" si="519"/>
        <v>126814.70182825479</v>
      </c>
      <c r="T486" s="68">
        <f t="shared" si="550"/>
        <v>0</v>
      </c>
      <c r="U486" s="66">
        <f t="shared" si="551"/>
        <v>-190.27143735017899</v>
      </c>
      <c r="V486" s="68">
        <f t="shared" si="552"/>
        <v>976.75096077014871</v>
      </c>
      <c r="W486" s="66">
        <f t="shared" si="553"/>
        <v>235866.71010825568</v>
      </c>
    </row>
    <row r="487" spans="2:23" outlineLevel="1">
      <c r="G487" s="12">
        <f t="shared" si="467"/>
        <v>58.515068493150686</v>
      </c>
      <c r="H487" s="4">
        <v>380</v>
      </c>
      <c r="I487" s="4">
        <f t="shared" si="537"/>
        <v>32</v>
      </c>
      <c r="J487" s="30">
        <f t="shared" si="528"/>
        <v>52263</v>
      </c>
      <c r="K487" s="62">
        <f>+IF(OR(H487&gt;60,$C$21="nein"),IF($C$19="monatlich",$C$20,IF($C$19="quartalsweise",OR(MONTH(J487)={1,4,7,10})*$C$20,IF($C$19="jährlich",(MONTH(J487)=7)*$C$20))),IF($C$19="monatlich",$C$22,IF($C$19="quartalsweise",OR(MONTH(J487)={1,4,7,10})*$C$22,IF($C$19="jährlich",(MONTH(J487)=7)*$C$22))))</f>
        <v>0</v>
      </c>
      <c r="L487" s="66">
        <f t="shared" si="546"/>
        <v>0</v>
      </c>
      <c r="M487" s="62">
        <f t="shared" si="547"/>
        <v>0</v>
      </c>
      <c r="N487" s="67">
        <f>+IF(AND($C$19="monatlich",K487&lt;$C$20),$C$20-K487,IF(AND($C$19="quartalsweise",OR(MONTH(J487)={1,4,7,10}),K487&lt;$C$20),$C$20-K487,IF(AND($C$19="jährlich",MONTH(J487)=7,K487&lt;$C$20),$C$20-K487,0)))</f>
        <v>0</v>
      </c>
      <c r="O487" s="67">
        <v>0</v>
      </c>
      <c r="P487" s="67">
        <v>0</v>
      </c>
      <c r="Q487" s="63">
        <f t="shared" si="548"/>
        <v>0</v>
      </c>
      <c r="R487" s="68">
        <f t="shared" si="549"/>
        <v>0</v>
      </c>
      <c r="S487" s="69">
        <f t="shared" si="519"/>
        <v>126814.70182825479</v>
      </c>
      <c r="T487" s="68">
        <f t="shared" si="550"/>
        <v>0</v>
      </c>
      <c r="U487" s="66">
        <f t="shared" si="551"/>
        <v>-191.64170196295774</v>
      </c>
      <c r="V487" s="68">
        <f t="shared" si="552"/>
        <v>983.77795878439861</v>
      </c>
      <c r="W487" s="66">
        <f t="shared" si="553"/>
        <v>236658.84636507713</v>
      </c>
    </row>
    <row r="488" spans="2:23" outlineLevel="1">
      <c r="G488" s="12">
        <f t="shared" si="467"/>
        <v>58.591780821917808</v>
      </c>
      <c r="H488" s="4">
        <v>381</v>
      </c>
      <c r="I488" s="4">
        <f t="shared" si="537"/>
        <v>32</v>
      </c>
      <c r="J488" s="30">
        <f t="shared" si="528"/>
        <v>52291</v>
      </c>
      <c r="K488" s="62">
        <f>+IF(OR(H488&gt;60,$C$21="nein"),IF($C$19="monatlich",$C$20,IF($C$19="quartalsweise",OR(MONTH(J488)={1,4,7,10})*$C$20,IF($C$19="jährlich",(MONTH(J488)=7)*$C$20))),IF($C$19="monatlich",$C$22,IF($C$19="quartalsweise",OR(MONTH(J488)={1,4,7,10})*$C$22,IF($C$19="jährlich",(MONTH(J488)=7)*$C$22))))</f>
        <v>0</v>
      </c>
      <c r="L488" s="66">
        <f t="shared" si="546"/>
        <v>0</v>
      </c>
      <c r="M488" s="62">
        <f t="shared" si="547"/>
        <v>0</v>
      </c>
      <c r="N488" s="67">
        <f>+IF(AND($C$19="monatlich",K488&lt;$C$20),$C$20-K488,IF(AND($C$19="quartalsweise",OR(MONTH(J488)={1,4,7,10}),K488&lt;$C$20),$C$20-K488,IF(AND($C$19="jährlich",MONTH(J488)=7,K488&lt;$C$20),$C$20-K488,0)))-$C$67/100*SUM(Q470:Q478,Q480:Q482)-$C$66/100*SUM(L470:L478,L480:L482)</f>
        <v>8.1052631578947363</v>
      </c>
      <c r="O488" s="67">
        <v>0</v>
      </c>
      <c r="P488" s="67">
        <v>0</v>
      </c>
      <c r="Q488" s="63">
        <f t="shared" si="548"/>
        <v>-0.40526315789473683</v>
      </c>
      <c r="R488" s="68">
        <f t="shared" si="549"/>
        <v>8.1052631578947363</v>
      </c>
      <c r="S488" s="69">
        <f t="shared" si="519"/>
        <v>126822.80709141269</v>
      </c>
      <c r="T488" s="68">
        <f t="shared" si="550"/>
        <v>0</v>
      </c>
      <c r="U488" s="66">
        <f t="shared" si="551"/>
        <v>-192.28531267162515</v>
      </c>
      <c r="V488" s="68">
        <f t="shared" si="552"/>
        <v>987.07852652115469</v>
      </c>
      <c r="W488" s="66">
        <f t="shared" si="553"/>
        <v>237461.33957892668</v>
      </c>
    </row>
    <row r="489" spans="2:23" outlineLevel="1">
      <c r="G489" s="12">
        <f t="shared" si="467"/>
        <v>58.676712328767124</v>
      </c>
      <c r="H489" s="4">
        <v>382</v>
      </c>
      <c r="I489" s="4">
        <f t="shared" si="537"/>
        <v>32</v>
      </c>
      <c r="J489" s="30">
        <f t="shared" si="528"/>
        <v>52322</v>
      </c>
      <c r="K489" s="62">
        <f>+IF(OR(H489&gt;60,$C$21="nein"),IF($C$19="monatlich",$C$20,IF($C$19="quartalsweise",OR(MONTH(J489)={1,4,7,10})*$C$20,IF($C$19="jährlich",(MONTH(J489)=7)*$C$20))),IF($C$19="monatlich",$C$22,IF($C$19="quartalsweise",OR(MONTH(J489)={1,4,7,10})*$C$22,IF($C$19="jährlich",(MONTH(J489)=7)*$C$22))))</f>
        <v>900</v>
      </c>
      <c r="L489" s="66">
        <f t="shared" si="546"/>
        <v>0</v>
      </c>
      <c r="M489" s="62">
        <f t="shared" si="547"/>
        <v>154</v>
      </c>
      <c r="N489" s="67">
        <f>+IF(AND($C$19="monatlich",K489&lt;$C$20),$C$20-K489,IF(AND($C$19="quartalsweise",OR(MONTH(J489)={1,4,7,10}),K489&lt;$C$20),$C$20-K489,IF(AND($C$19="jährlich",MONTH(J489)=7,K489&lt;$C$20),$C$20-K489,0)))</f>
        <v>0</v>
      </c>
      <c r="O489" s="67">
        <v>0</v>
      </c>
      <c r="P489" s="67">
        <v>0</v>
      </c>
      <c r="Q489" s="63">
        <f t="shared" si="548"/>
        <v>-7.7</v>
      </c>
      <c r="R489" s="68">
        <f t="shared" si="549"/>
        <v>1054</v>
      </c>
      <c r="S489" s="69">
        <f t="shared" si="519"/>
        <v>127876.80709141269</v>
      </c>
      <c r="T489" s="68">
        <f t="shared" si="550"/>
        <v>0</v>
      </c>
      <c r="U489" s="66">
        <f t="shared" si="551"/>
        <v>-192.93733840787792</v>
      </c>
      <c r="V489" s="68">
        <f t="shared" si="552"/>
        <v>990.42224824552784</v>
      </c>
      <c r="W489" s="66">
        <f t="shared" si="553"/>
        <v>239305.12448876433</v>
      </c>
    </row>
    <row r="490" spans="2:23" outlineLevel="1">
      <c r="G490" s="12">
        <f t="shared" si="467"/>
        <v>58.758904109589039</v>
      </c>
      <c r="H490" s="4">
        <v>383</v>
      </c>
      <c r="I490" s="4">
        <f t="shared" si="537"/>
        <v>32</v>
      </c>
      <c r="J490" s="30">
        <f t="shared" si="528"/>
        <v>52352</v>
      </c>
      <c r="K490" s="62">
        <f>+IF(OR(H490&gt;60,$C$21="nein"),IF($C$19="monatlich",$C$20,IF($C$19="quartalsweise",OR(MONTH(J490)={1,4,7,10})*$C$20,IF($C$19="jährlich",(MONTH(J490)=7)*$C$20))),IF($C$19="monatlich",$C$22,IF($C$19="quartalsweise",OR(MONTH(J490)={1,4,7,10})*$C$22,IF($C$19="jährlich",(MONTH(J490)=7)*$C$22))))</f>
        <v>0</v>
      </c>
      <c r="L490" s="66">
        <f t="shared" si="546"/>
        <v>0</v>
      </c>
      <c r="M490" s="62">
        <f t="shared" si="547"/>
        <v>0</v>
      </c>
      <c r="N490" s="67">
        <f>+IF(AND($C$19="monatlich",K490&lt;$C$20),$C$20-K490,IF(AND($C$19="quartalsweise",OR(MONTH(J490)={1,4,7,10}),K490&lt;$C$20),$C$20-K490,IF(AND($C$19="jährlich",MONTH(J490)=7,K490&lt;$C$20),$C$20-K490,0)))</f>
        <v>0</v>
      </c>
      <c r="O490" s="67">
        <v>0</v>
      </c>
      <c r="P490" s="67">
        <v>0</v>
      </c>
      <c r="Q490" s="63">
        <f t="shared" si="548"/>
        <v>0</v>
      </c>
      <c r="R490" s="68">
        <f t="shared" si="549"/>
        <v>0</v>
      </c>
      <c r="S490" s="69">
        <f t="shared" si="519"/>
        <v>127876.80709141269</v>
      </c>
      <c r="T490" s="68">
        <f t="shared" si="550"/>
        <v>0</v>
      </c>
      <c r="U490" s="66">
        <f t="shared" si="551"/>
        <v>-194.43541364712101</v>
      </c>
      <c r="V490" s="68">
        <f t="shared" si="552"/>
        <v>998.10468536985138</v>
      </c>
      <c r="W490" s="66">
        <f t="shared" si="553"/>
        <v>240108.79376048705</v>
      </c>
    </row>
    <row r="491" spans="2:23" outlineLevel="1">
      <c r="G491" s="13">
        <f t="shared" si="467"/>
        <v>58.843835616438355</v>
      </c>
      <c r="H491" s="6">
        <v>384</v>
      </c>
      <c r="I491" s="6">
        <f t="shared" si="537"/>
        <v>32</v>
      </c>
      <c r="J491" s="31">
        <f t="shared" si="528"/>
        <v>52383</v>
      </c>
      <c r="K491" s="62">
        <f>+IF(OR(H491&gt;60,$C$21="nein"),IF($C$19="monatlich",$C$20,IF($C$19="quartalsweise",OR(MONTH(J491)={1,4,7,10})*$C$20,IF($C$19="jährlich",(MONTH(J491)=7)*$C$20))),IF($C$19="monatlich",$C$22,IF($C$19="quartalsweise",OR(MONTH(J491)={1,4,7,10})*$C$22,IF($C$19="jährlich",(MONTH(J491)=7)*$C$22))))</f>
        <v>0</v>
      </c>
      <c r="L491" s="70">
        <f t="shared" si="546"/>
        <v>0</v>
      </c>
      <c r="M491" s="62">
        <f t="shared" si="547"/>
        <v>0</v>
      </c>
      <c r="N491" s="71">
        <f>+IF(AND($C$19="monatlich",K491&lt;$C$20),$C$20-K491,IF(AND($C$19="quartalsweise",OR(MONTH(J491)={1,4,7,10}),K491&lt;$C$20),$C$20-K491,IF(AND($C$19="jährlich",MONTH(J491)=7,K491&lt;$C$20),$C$20-K491,0)))</f>
        <v>0</v>
      </c>
      <c r="O491" s="71">
        <v>0</v>
      </c>
      <c r="P491" s="71">
        <v>0</v>
      </c>
      <c r="Q491" s="63">
        <f t="shared" si="548"/>
        <v>0</v>
      </c>
      <c r="R491" s="72">
        <f t="shared" si="549"/>
        <v>0</v>
      </c>
      <c r="S491" s="73">
        <f t="shared" si="519"/>
        <v>127876.80709141269</v>
      </c>
      <c r="T491" s="72">
        <f t="shared" si="550"/>
        <v>0</v>
      </c>
      <c r="U491" s="70">
        <f t="shared" si="551"/>
        <v>-195.08839493039571</v>
      </c>
      <c r="V491" s="72">
        <f t="shared" si="552"/>
        <v>1001.4533073353628</v>
      </c>
      <c r="W491" s="70">
        <f t="shared" si="553"/>
        <v>240915.15867289202</v>
      </c>
    </row>
    <row r="492" spans="2:23" s="5" customFormat="1" ht="15">
      <c r="B492" s="17"/>
      <c r="G492" s="115">
        <f t="shared" si="467"/>
        <v>58.843835616438355</v>
      </c>
      <c r="H492" s="116" t="str">
        <f>H480&amp;" - "&amp;H491</f>
        <v>373 - 384</v>
      </c>
      <c r="I492" s="117">
        <f t="shared" si="537"/>
        <v>32</v>
      </c>
      <c r="J492" s="118">
        <f t="shared" ref="J492" si="554">+J491</f>
        <v>52383</v>
      </c>
      <c r="K492" s="119">
        <f t="shared" ref="K492:L492" si="555">SUM(K480:K491)</f>
        <v>3600</v>
      </c>
      <c r="L492" s="120">
        <f t="shared" si="555"/>
        <v>0</v>
      </c>
      <c r="M492" s="119">
        <f t="shared" ref="M492" si="556">SUM(M480:M491)</f>
        <v>154</v>
      </c>
      <c r="N492" s="121">
        <f t="shared" si="489"/>
        <v>8.1052631578947363</v>
      </c>
      <c r="O492" s="121">
        <f t="shared" ref="O492" si="557">SUM(O480:O491)</f>
        <v>0</v>
      </c>
      <c r="P492" s="121">
        <f t="shared" ref="P492:Q505" si="558">SUM(P480:P491)</f>
        <v>0</v>
      </c>
      <c r="Q492" s="120">
        <f t="shared" si="558"/>
        <v>-8.1052631578947363</v>
      </c>
      <c r="R492" s="119">
        <f t="shared" ref="R492" si="559">SUM(R480:R491)</f>
        <v>3762.1052631578946</v>
      </c>
      <c r="S492" s="122">
        <f t="shared" si="519"/>
        <v>127876.80709141269</v>
      </c>
      <c r="T492" s="119">
        <f t="shared" ref="T492:V492" si="560">SUM(T480:T491)</f>
        <v>-15.4</v>
      </c>
      <c r="U492" s="120">
        <f t="shared" si="560"/>
        <v>-2281.4328044256526</v>
      </c>
      <c r="V492" s="119">
        <f t="shared" si="560"/>
        <v>11711.65540731104</v>
      </c>
      <c r="W492" s="123">
        <f t="shared" ref="W492" si="561">+W491</f>
        <v>240915.15867289202</v>
      </c>
    </row>
    <row r="493" spans="2:23" outlineLevel="1">
      <c r="G493" s="11">
        <f t="shared" si="467"/>
        <v>58.926027397260277</v>
      </c>
      <c r="H493" s="2">
        <v>385</v>
      </c>
      <c r="I493" s="2">
        <f t="shared" si="537"/>
        <v>33</v>
      </c>
      <c r="J493" s="29">
        <f t="shared" si="528"/>
        <v>52413</v>
      </c>
      <c r="K493" s="62">
        <f>+IF(OR(H493&gt;60,$C$21="nein"),IF($C$19="monatlich",$C$20,IF($C$19="quartalsweise",OR(MONTH(J493)={1,4,7,10})*$C$20,IF($C$19="jährlich",(MONTH(J493)=7)*$C$20))),IF($C$19="monatlich",$C$22,IF($C$19="quartalsweise",OR(MONTH(J493)={1,4,7,10})*$C$22,IF($C$19="jährlich",(MONTH(J493)=7)*$C$22))))</f>
        <v>900</v>
      </c>
      <c r="L493" s="63">
        <f t="shared" ref="L493:L504" si="562">-IF(H493&gt;60,0,IF($C$19="monatlich",$C$52,IF(AND($C$19="quartalsweise",K493&gt;0),$C$52,IF(AND($C$19="jährlich",K493&gt;0),$C$51,0))))</f>
        <v>0</v>
      </c>
      <c r="M493" s="62">
        <f t="shared" ref="M493:M504" si="563">+IF(MONTH(J493)=4,$C$25,0)</f>
        <v>0</v>
      </c>
      <c r="N493" s="64">
        <f>+IF(AND($C$19="monatlich",K493&lt;$C$20),$C$20-K493,IF(AND($C$19="quartalsweise",OR(MONTH(J493)={1,4,7,10}),K493&lt;$C$20),$C$20-K493,IF(AND($C$19="jährlich",MONTH(J493)=7,K493&lt;$C$20),$C$20-K493,0)))</f>
        <v>0</v>
      </c>
      <c r="O493" s="64">
        <v>0</v>
      </c>
      <c r="P493" s="64">
        <v>0</v>
      </c>
      <c r="Q493" s="63">
        <f t="shared" ref="Q493:Q504" si="564">-SUM(M493:P493)*$C$47/100</f>
        <v>0</v>
      </c>
      <c r="R493" s="62">
        <f t="shared" ref="R493" si="565">+SUM(K493,M493:P493)</f>
        <v>900</v>
      </c>
      <c r="S493" s="65">
        <f t="shared" si="519"/>
        <v>128776.80709141269</v>
      </c>
      <c r="T493" s="62">
        <f t="shared" ref="T493:T504" si="566">-IF(MONTH(J493)=12,$C$55,0)</f>
        <v>0</v>
      </c>
      <c r="U493" s="63">
        <f t="shared" ref="U493:U504" si="567">-W492*($D$43/100/12)</f>
        <v>-195.74356642172475</v>
      </c>
      <c r="V493" s="62">
        <f t="shared" ref="V493:V504" si="568">+(1+(IF($C$71="pauschal",$C$72/100/12,VLOOKUP(I492,$J$5:$L$44,3,FALSE)/100/12)*W492))</f>
        <v>1004.8131611370501</v>
      </c>
      <c r="W493" s="63">
        <f t="shared" ref="W493:W504" si="569">+SUM(W492,R493,L493,Q493,T493:V493)</f>
        <v>242624.22826760734</v>
      </c>
    </row>
    <row r="494" spans="2:23" outlineLevel="1">
      <c r="G494" s="12">
        <f t="shared" ref="G494:G562" si="570">+(J494-DATE(1984,8,11))/365</f>
        <v>59.010958904109586</v>
      </c>
      <c r="H494" s="4">
        <v>386</v>
      </c>
      <c r="I494" s="4">
        <f t="shared" si="537"/>
        <v>33</v>
      </c>
      <c r="J494" s="30">
        <f t="shared" si="528"/>
        <v>52444</v>
      </c>
      <c r="K494" s="62">
        <f>+IF(OR(H494&gt;60,$C$21="nein"),IF($C$19="monatlich",$C$20,IF($C$19="quartalsweise",OR(MONTH(J494)={1,4,7,10})*$C$20,IF($C$19="jährlich",(MONTH(J494)=7)*$C$20))),IF($C$19="monatlich",$C$22,IF($C$19="quartalsweise",OR(MONTH(J494)={1,4,7,10})*$C$22,IF($C$19="jährlich",(MONTH(J494)=7)*$C$22))))</f>
        <v>0</v>
      </c>
      <c r="L494" s="66">
        <f t="shared" si="562"/>
        <v>0</v>
      </c>
      <c r="M494" s="62">
        <f t="shared" si="563"/>
        <v>0</v>
      </c>
      <c r="N494" s="67">
        <f>+IF(AND($C$19="monatlich",K494&lt;$C$20),$C$20-K494,IF(AND($C$19="quartalsweise",OR(MONTH(J494)={1,4,7,10}),K494&lt;$C$20),$C$20-K494,IF(AND($C$19="jährlich",MONTH(J494)=7,K494&lt;$C$20),$C$20-K494,0)))</f>
        <v>0</v>
      </c>
      <c r="O494" s="67">
        <v>0</v>
      </c>
      <c r="P494" s="67">
        <v>0</v>
      </c>
      <c r="Q494" s="63">
        <f t="shared" si="564"/>
        <v>0</v>
      </c>
      <c r="R494" s="68">
        <f t="shared" si="549"/>
        <v>0</v>
      </c>
      <c r="S494" s="69">
        <f t="shared" si="519"/>
        <v>128776.80709141269</v>
      </c>
      <c r="T494" s="68">
        <f t="shared" si="566"/>
        <v>0</v>
      </c>
      <c r="U494" s="66">
        <f t="shared" si="567"/>
        <v>-197.13218546743096</v>
      </c>
      <c r="V494" s="68">
        <f t="shared" si="568"/>
        <v>1011.9342844483639</v>
      </c>
      <c r="W494" s="66">
        <f t="shared" si="569"/>
        <v>243439.03036658827</v>
      </c>
    </row>
    <row r="495" spans="2:23" outlineLevel="1">
      <c r="G495" s="12">
        <f t="shared" si="570"/>
        <v>59.095890410958901</v>
      </c>
      <c r="H495" s="4">
        <v>387</v>
      </c>
      <c r="I495" s="4">
        <f t="shared" si="537"/>
        <v>33</v>
      </c>
      <c r="J495" s="30">
        <f t="shared" si="528"/>
        <v>52475</v>
      </c>
      <c r="K495" s="62">
        <f>+IF(OR(H495&gt;60,$C$21="nein"),IF($C$19="monatlich",$C$20,IF($C$19="quartalsweise",OR(MONTH(J495)={1,4,7,10})*$C$20,IF($C$19="jährlich",(MONTH(J495)=7)*$C$20))),IF($C$19="monatlich",$C$22,IF($C$19="quartalsweise",OR(MONTH(J495)={1,4,7,10})*$C$22,IF($C$19="jährlich",(MONTH(J495)=7)*$C$22))))</f>
        <v>0</v>
      </c>
      <c r="L495" s="66">
        <f t="shared" si="562"/>
        <v>0</v>
      </c>
      <c r="M495" s="62">
        <f t="shared" si="563"/>
        <v>0</v>
      </c>
      <c r="N495" s="67">
        <f>+IF(AND($C$19="monatlich",K495&lt;$C$20),$C$20-K495,IF(AND($C$19="quartalsweise",OR(MONTH(J495)={1,4,7,10}),K495&lt;$C$20),$C$20-K495,IF(AND($C$19="jährlich",MONTH(J495)=7,K495&lt;$C$20),$C$20-K495,0)))</f>
        <v>0</v>
      </c>
      <c r="O495" s="67">
        <v>0</v>
      </c>
      <c r="P495" s="67">
        <v>0</v>
      </c>
      <c r="Q495" s="63">
        <f t="shared" si="564"/>
        <v>0</v>
      </c>
      <c r="R495" s="68">
        <f t="shared" si="549"/>
        <v>0</v>
      </c>
      <c r="S495" s="69">
        <f t="shared" si="519"/>
        <v>128776.80709141269</v>
      </c>
      <c r="T495" s="68">
        <f t="shared" si="566"/>
        <v>0</v>
      </c>
      <c r="U495" s="66">
        <f t="shared" si="567"/>
        <v>-197.79421217285295</v>
      </c>
      <c r="V495" s="68">
        <f t="shared" si="568"/>
        <v>1015.3292931941178</v>
      </c>
      <c r="W495" s="66">
        <f t="shared" si="569"/>
        <v>244256.56544760952</v>
      </c>
    </row>
    <row r="496" spans="2:23" outlineLevel="1">
      <c r="G496" s="12">
        <f t="shared" si="570"/>
        <v>59.178082191780824</v>
      </c>
      <c r="H496" s="4">
        <v>388</v>
      </c>
      <c r="I496" s="4">
        <f t="shared" si="537"/>
        <v>33</v>
      </c>
      <c r="J496" s="30">
        <f t="shared" si="528"/>
        <v>52505</v>
      </c>
      <c r="K496" s="62">
        <f>+IF(OR(H496&gt;60,$C$21="nein"),IF($C$19="monatlich",$C$20,IF($C$19="quartalsweise",OR(MONTH(J496)={1,4,7,10})*$C$20,IF($C$19="jährlich",(MONTH(J496)=7)*$C$20))),IF($C$19="monatlich",$C$22,IF($C$19="quartalsweise",OR(MONTH(J496)={1,4,7,10})*$C$22,IF($C$19="jährlich",(MONTH(J496)=7)*$C$22))))</f>
        <v>900</v>
      </c>
      <c r="L496" s="66">
        <f t="shared" si="562"/>
        <v>0</v>
      </c>
      <c r="M496" s="62">
        <f t="shared" si="563"/>
        <v>0</v>
      </c>
      <c r="N496" s="67">
        <f>+IF(AND($C$19="monatlich",K496&lt;$C$20),$C$20-K496,IF(AND($C$19="quartalsweise",OR(MONTH(J496)={1,4,7,10}),K496&lt;$C$20),$C$20-K496,IF(AND($C$19="jährlich",MONTH(J496)=7,K496&lt;$C$20),$C$20-K496,0)))</f>
        <v>0</v>
      </c>
      <c r="O496" s="67">
        <v>0</v>
      </c>
      <c r="P496" s="67">
        <v>0</v>
      </c>
      <c r="Q496" s="63">
        <f t="shared" si="564"/>
        <v>0</v>
      </c>
      <c r="R496" s="68">
        <f t="shared" si="549"/>
        <v>900</v>
      </c>
      <c r="S496" s="69">
        <f t="shared" si="519"/>
        <v>129676.80709141269</v>
      </c>
      <c r="T496" s="68">
        <f t="shared" si="566"/>
        <v>0</v>
      </c>
      <c r="U496" s="66">
        <f t="shared" si="567"/>
        <v>-198.45845942618274</v>
      </c>
      <c r="V496" s="68">
        <f t="shared" si="568"/>
        <v>1018.7356893650397</v>
      </c>
      <c r="W496" s="66">
        <f t="shared" si="569"/>
        <v>245976.84267754838</v>
      </c>
    </row>
    <row r="497" spans="2:23" outlineLevel="1">
      <c r="G497" s="12">
        <f t="shared" si="570"/>
        <v>59.263013698630139</v>
      </c>
      <c r="H497" s="4">
        <v>389</v>
      </c>
      <c r="I497" s="4">
        <f t="shared" si="537"/>
        <v>33</v>
      </c>
      <c r="J497" s="30">
        <f t="shared" si="528"/>
        <v>52536</v>
      </c>
      <c r="K497" s="62">
        <f>+IF(OR(H497&gt;60,$C$21="nein"),IF($C$19="monatlich",$C$20,IF($C$19="quartalsweise",OR(MONTH(J497)={1,4,7,10})*$C$20,IF($C$19="jährlich",(MONTH(J497)=7)*$C$20))),IF($C$19="monatlich",$C$22,IF($C$19="quartalsweise",OR(MONTH(J497)={1,4,7,10})*$C$22,IF($C$19="jährlich",(MONTH(J497)=7)*$C$22))))</f>
        <v>0</v>
      </c>
      <c r="L497" s="66">
        <f t="shared" si="562"/>
        <v>0</v>
      </c>
      <c r="M497" s="62">
        <f t="shared" si="563"/>
        <v>0</v>
      </c>
      <c r="N497" s="67">
        <f>+IF(AND($C$19="monatlich",K497&lt;$C$20),$C$20-K497,IF(AND($C$19="quartalsweise",OR(MONTH(J497)={1,4,7,10}),K497&lt;$C$20),$C$20-K497,IF(AND($C$19="jährlich",MONTH(J497)=7,K497&lt;$C$20),$C$20-K497,0)))</f>
        <v>0</v>
      </c>
      <c r="O497" s="67">
        <v>0</v>
      </c>
      <c r="P497" s="67">
        <v>0</v>
      </c>
      <c r="Q497" s="63">
        <f t="shared" si="564"/>
        <v>0</v>
      </c>
      <c r="R497" s="68">
        <f t="shared" si="549"/>
        <v>0</v>
      </c>
      <c r="S497" s="69">
        <f t="shared" si="519"/>
        <v>129676.80709141269</v>
      </c>
      <c r="T497" s="68">
        <f t="shared" si="566"/>
        <v>0</v>
      </c>
      <c r="U497" s="66">
        <f t="shared" si="567"/>
        <v>-199.85618467550805</v>
      </c>
      <c r="V497" s="68">
        <f t="shared" si="568"/>
        <v>1025.9035111564515</v>
      </c>
      <c r="W497" s="66">
        <f t="shared" si="569"/>
        <v>246802.89000402932</v>
      </c>
    </row>
    <row r="498" spans="2:23" outlineLevel="1">
      <c r="G498" s="12">
        <f t="shared" si="570"/>
        <v>59.345205479452055</v>
      </c>
      <c r="H498" s="4">
        <v>390</v>
      </c>
      <c r="I498" s="4">
        <f t="shared" si="537"/>
        <v>33</v>
      </c>
      <c r="J498" s="30">
        <f t="shared" si="528"/>
        <v>52566</v>
      </c>
      <c r="K498" s="62">
        <f>+IF(OR(H498&gt;60,$C$21="nein"),IF($C$19="monatlich",$C$20,IF($C$19="quartalsweise",OR(MONTH(J498)={1,4,7,10})*$C$20,IF($C$19="jährlich",(MONTH(J498)=7)*$C$20))),IF($C$19="monatlich",$C$22,IF($C$19="quartalsweise",OR(MONTH(J498)={1,4,7,10})*$C$22,IF($C$19="jährlich",(MONTH(J498)=7)*$C$22))))</f>
        <v>0</v>
      </c>
      <c r="L498" s="66">
        <f t="shared" si="562"/>
        <v>0</v>
      </c>
      <c r="M498" s="62">
        <f t="shared" si="563"/>
        <v>0</v>
      </c>
      <c r="N498" s="67">
        <f>+IF(AND($C$19="monatlich",K498&lt;$C$20),$C$20-K498,IF(AND($C$19="quartalsweise",OR(MONTH(J498)={1,4,7,10}),K498&lt;$C$20),$C$20-K498,IF(AND($C$19="jährlich",MONTH(J498)=7,K498&lt;$C$20),$C$20-K498,0)))</f>
        <v>0</v>
      </c>
      <c r="O498" s="67">
        <v>0</v>
      </c>
      <c r="P498" s="67">
        <v>0</v>
      </c>
      <c r="Q498" s="63">
        <f t="shared" si="564"/>
        <v>0</v>
      </c>
      <c r="R498" s="68">
        <f t="shared" si="549"/>
        <v>0</v>
      </c>
      <c r="S498" s="69">
        <f t="shared" si="519"/>
        <v>129676.80709141269</v>
      </c>
      <c r="T498" s="68">
        <f t="shared" si="566"/>
        <v>-15.4</v>
      </c>
      <c r="U498" s="66">
        <f t="shared" si="567"/>
        <v>-200.52734812827381</v>
      </c>
      <c r="V498" s="68">
        <f t="shared" si="568"/>
        <v>1029.3453750167889</v>
      </c>
      <c r="W498" s="66">
        <f t="shared" si="569"/>
        <v>247616.30803091786</v>
      </c>
    </row>
    <row r="499" spans="2:23" outlineLevel="1">
      <c r="G499" s="12">
        <f t="shared" si="570"/>
        <v>59.43013698630137</v>
      </c>
      <c r="H499" s="4">
        <v>391</v>
      </c>
      <c r="I499" s="4">
        <f t="shared" si="537"/>
        <v>33</v>
      </c>
      <c r="J499" s="30">
        <f t="shared" si="528"/>
        <v>52597</v>
      </c>
      <c r="K499" s="62">
        <f>+IF(OR(H499&gt;60,$C$21="nein"),IF($C$19="monatlich",$C$20,IF($C$19="quartalsweise",OR(MONTH(J499)={1,4,7,10})*$C$20,IF($C$19="jährlich",(MONTH(J499)=7)*$C$20))),IF($C$19="monatlich",$C$22,IF($C$19="quartalsweise",OR(MONTH(J499)={1,4,7,10})*$C$22,IF($C$19="jährlich",(MONTH(J499)=7)*$C$22))))</f>
        <v>900</v>
      </c>
      <c r="L499" s="66">
        <f t="shared" si="562"/>
        <v>0</v>
      </c>
      <c r="M499" s="62">
        <f t="shared" si="563"/>
        <v>0</v>
      </c>
      <c r="N499" s="67">
        <f>+IF(AND($C$19="monatlich",K499&lt;$C$20),$C$20-K499,IF(AND($C$19="quartalsweise",OR(MONTH(J499)={1,4,7,10}),K499&lt;$C$20),$C$20-K499,IF(AND($C$19="jährlich",MONTH(J499)=7,K499&lt;$C$20),$C$20-K499,0)))</f>
        <v>0</v>
      </c>
      <c r="O499" s="67">
        <v>0</v>
      </c>
      <c r="P499" s="67">
        <v>0</v>
      </c>
      <c r="Q499" s="63">
        <f t="shared" si="564"/>
        <v>0</v>
      </c>
      <c r="R499" s="68">
        <f t="shared" si="549"/>
        <v>900</v>
      </c>
      <c r="S499" s="69">
        <f t="shared" si="519"/>
        <v>130576.80709141269</v>
      </c>
      <c r="T499" s="68">
        <f t="shared" si="566"/>
        <v>0</v>
      </c>
      <c r="U499" s="66">
        <f t="shared" si="567"/>
        <v>-201.18825027512077</v>
      </c>
      <c r="V499" s="68">
        <f t="shared" si="568"/>
        <v>1032.7346167954911</v>
      </c>
      <c r="W499" s="66">
        <f t="shared" si="569"/>
        <v>249347.85439743823</v>
      </c>
    </row>
    <row r="500" spans="2:23" outlineLevel="1">
      <c r="G500" s="12">
        <f t="shared" si="570"/>
        <v>59.515068493150686</v>
      </c>
      <c r="H500" s="4">
        <v>392</v>
      </c>
      <c r="I500" s="4">
        <f t="shared" si="537"/>
        <v>33</v>
      </c>
      <c r="J500" s="30">
        <f t="shared" si="528"/>
        <v>52628</v>
      </c>
      <c r="K500" s="62">
        <f>+IF(OR(H500&gt;60,$C$21="nein"),IF($C$19="monatlich",$C$20,IF($C$19="quartalsweise",OR(MONTH(J500)={1,4,7,10})*$C$20,IF($C$19="jährlich",(MONTH(J500)=7)*$C$20))),IF($C$19="monatlich",$C$22,IF($C$19="quartalsweise",OR(MONTH(J500)={1,4,7,10})*$C$22,IF($C$19="jährlich",(MONTH(J500)=7)*$C$22))))</f>
        <v>0</v>
      </c>
      <c r="L500" s="66">
        <f t="shared" si="562"/>
        <v>0</v>
      </c>
      <c r="M500" s="62">
        <f t="shared" si="563"/>
        <v>0</v>
      </c>
      <c r="N500" s="67">
        <f>+IF(AND($C$19="monatlich",K500&lt;$C$20),$C$20-K500,IF(AND($C$19="quartalsweise",OR(MONTH(J500)={1,4,7,10}),K500&lt;$C$20),$C$20-K500,IF(AND($C$19="jährlich",MONTH(J500)=7,K500&lt;$C$20),$C$20-K500,0)))</f>
        <v>0</v>
      </c>
      <c r="O500" s="67">
        <v>0</v>
      </c>
      <c r="P500" s="67">
        <v>0</v>
      </c>
      <c r="Q500" s="63">
        <f t="shared" si="564"/>
        <v>0</v>
      </c>
      <c r="R500" s="68">
        <f t="shared" si="549"/>
        <v>0</v>
      </c>
      <c r="S500" s="69">
        <f t="shared" si="519"/>
        <v>130576.80709141269</v>
      </c>
      <c r="T500" s="68">
        <f t="shared" si="566"/>
        <v>0</v>
      </c>
      <c r="U500" s="66">
        <f t="shared" si="567"/>
        <v>-202.59513169791856</v>
      </c>
      <c r="V500" s="68">
        <f t="shared" si="568"/>
        <v>1039.9493933226593</v>
      </c>
      <c r="W500" s="66">
        <f t="shared" si="569"/>
        <v>250185.20865906298</v>
      </c>
    </row>
    <row r="501" spans="2:23" outlineLevel="1">
      <c r="G501" s="12">
        <f t="shared" si="570"/>
        <v>59.594520547945208</v>
      </c>
      <c r="H501" s="4">
        <v>393</v>
      </c>
      <c r="I501" s="4">
        <f t="shared" si="537"/>
        <v>33</v>
      </c>
      <c r="J501" s="30">
        <f t="shared" si="528"/>
        <v>52657</v>
      </c>
      <c r="K501" s="62">
        <f>+IF(OR(H501&gt;60,$C$21="nein"),IF($C$19="monatlich",$C$20,IF($C$19="quartalsweise",OR(MONTH(J501)={1,4,7,10})*$C$20,IF($C$19="jährlich",(MONTH(J501)=7)*$C$20))),IF($C$19="monatlich",$C$22,IF($C$19="quartalsweise",OR(MONTH(J501)={1,4,7,10})*$C$22,IF($C$19="jährlich",(MONTH(J501)=7)*$C$22))))</f>
        <v>0</v>
      </c>
      <c r="L501" s="66">
        <f t="shared" si="562"/>
        <v>0</v>
      </c>
      <c r="M501" s="62">
        <f t="shared" si="563"/>
        <v>0</v>
      </c>
      <c r="N501" s="67">
        <f>+IF(AND($C$19="monatlich",K501&lt;$C$20),$C$20-K501,IF(AND($C$19="quartalsweise",OR(MONTH(J501)={1,4,7,10}),K501&lt;$C$20),$C$20-K501,IF(AND($C$19="jährlich",MONTH(J501)=7,K501&lt;$C$20),$C$20-K501,0)))-$C$67/100*SUM(Q483:Q491,Q493:Q495)-$C$66/100*SUM(L483:L491,L493:L495)</f>
        <v>8.1052631578947363</v>
      </c>
      <c r="O501" s="67">
        <v>0</v>
      </c>
      <c r="P501" s="67">
        <v>0</v>
      </c>
      <c r="Q501" s="63">
        <f t="shared" si="564"/>
        <v>-0.40526315789473683</v>
      </c>
      <c r="R501" s="68">
        <f t="shared" si="549"/>
        <v>8.1052631578947363</v>
      </c>
      <c r="S501" s="69">
        <f t="shared" si="519"/>
        <v>130584.91235457058</v>
      </c>
      <c r="T501" s="68">
        <f t="shared" si="566"/>
        <v>0</v>
      </c>
      <c r="U501" s="66">
        <f t="shared" si="567"/>
        <v>-203.27548203548866</v>
      </c>
      <c r="V501" s="68">
        <f t="shared" si="568"/>
        <v>1043.4383694127623</v>
      </c>
      <c r="W501" s="66">
        <f t="shared" si="569"/>
        <v>251033.07154644027</v>
      </c>
    </row>
    <row r="502" spans="2:23" outlineLevel="1">
      <c r="G502" s="12">
        <f t="shared" si="570"/>
        <v>59.679452054794524</v>
      </c>
      <c r="H502" s="4">
        <v>394</v>
      </c>
      <c r="I502" s="4">
        <f t="shared" si="537"/>
        <v>33</v>
      </c>
      <c r="J502" s="30">
        <f t="shared" si="528"/>
        <v>52688</v>
      </c>
      <c r="K502" s="62">
        <f>+IF(OR(H502&gt;60,$C$21="nein"),IF($C$19="monatlich",$C$20,IF($C$19="quartalsweise",OR(MONTH(J502)={1,4,7,10})*$C$20,IF($C$19="jährlich",(MONTH(J502)=7)*$C$20))),IF($C$19="monatlich",$C$22,IF($C$19="quartalsweise",OR(MONTH(J502)={1,4,7,10})*$C$22,IF($C$19="jährlich",(MONTH(J502)=7)*$C$22))))</f>
        <v>900</v>
      </c>
      <c r="L502" s="66">
        <f t="shared" si="562"/>
        <v>0</v>
      </c>
      <c r="M502" s="62">
        <f t="shared" si="563"/>
        <v>154</v>
      </c>
      <c r="N502" s="67">
        <f>+IF(AND($C$19="monatlich",K502&lt;$C$20),$C$20-K502,IF(AND($C$19="quartalsweise",OR(MONTH(J502)={1,4,7,10}),K502&lt;$C$20),$C$20-K502,IF(AND($C$19="jährlich",MONTH(J502)=7,K502&lt;$C$20),$C$20-K502,0)))</f>
        <v>0</v>
      </c>
      <c r="O502" s="67">
        <v>0</v>
      </c>
      <c r="P502" s="67">
        <v>0</v>
      </c>
      <c r="Q502" s="63">
        <f t="shared" si="564"/>
        <v>-7.7</v>
      </c>
      <c r="R502" s="68">
        <f t="shared" si="549"/>
        <v>1054</v>
      </c>
      <c r="S502" s="69">
        <f t="shared" si="519"/>
        <v>131638.91235457058</v>
      </c>
      <c r="T502" s="68">
        <f t="shared" si="566"/>
        <v>0</v>
      </c>
      <c r="U502" s="66">
        <f t="shared" si="567"/>
        <v>-203.96437063148272</v>
      </c>
      <c r="V502" s="68">
        <f t="shared" si="568"/>
        <v>1046.9711314435012</v>
      </c>
      <c r="W502" s="66">
        <f t="shared" si="569"/>
        <v>252922.37830725228</v>
      </c>
    </row>
    <row r="503" spans="2:23" outlineLevel="1">
      <c r="G503" s="12">
        <f t="shared" si="570"/>
        <v>59.761643835616439</v>
      </c>
      <c r="H503" s="4">
        <v>395</v>
      </c>
      <c r="I503" s="4">
        <f t="shared" si="537"/>
        <v>33</v>
      </c>
      <c r="J503" s="30">
        <f t="shared" si="528"/>
        <v>52718</v>
      </c>
      <c r="K503" s="62">
        <f>+IF(OR(H503&gt;60,$C$21="nein"),IF($C$19="monatlich",$C$20,IF($C$19="quartalsweise",OR(MONTH(J503)={1,4,7,10})*$C$20,IF($C$19="jährlich",(MONTH(J503)=7)*$C$20))),IF($C$19="monatlich",$C$22,IF($C$19="quartalsweise",OR(MONTH(J503)={1,4,7,10})*$C$22,IF($C$19="jährlich",(MONTH(J503)=7)*$C$22))))</f>
        <v>0</v>
      </c>
      <c r="L503" s="66">
        <f t="shared" si="562"/>
        <v>0</v>
      </c>
      <c r="M503" s="62">
        <f t="shared" si="563"/>
        <v>0</v>
      </c>
      <c r="N503" s="67">
        <f>+IF(AND($C$19="monatlich",K503&lt;$C$20),$C$20-K503,IF(AND($C$19="quartalsweise",OR(MONTH(J503)={1,4,7,10}),K503&lt;$C$20),$C$20-K503,IF(AND($C$19="jährlich",MONTH(J503)=7,K503&lt;$C$20),$C$20-K503,0)))</f>
        <v>0</v>
      </c>
      <c r="O503" s="67">
        <v>0</v>
      </c>
      <c r="P503" s="67">
        <v>0</v>
      </c>
      <c r="Q503" s="63">
        <f t="shared" si="564"/>
        <v>0</v>
      </c>
      <c r="R503" s="68">
        <f t="shared" si="549"/>
        <v>0</v>
      </c>
      <c r="S503" s="69">
        <f t="shared" si="519"/>
        <v>131638.91235457058</v>
      </c>
      <c r="T503" s="68">
        <f t="shared" si="566"/>
        <v>0</v>
      </c>
      <c r="U503" s="66">
        <f t="shared" si="567"/>
        <v>-205.49943237464245</v>
      </c>
      <c r="V503" s="68">
        <f t="shared" si="568"/>
        <v>1054.8432429468844</v>
      </c>
      <c r="W503" s="66">
        <f t="shared" si="569"/>
        <v>253771.72211782454</v>
      </c>
    </row>
    <row r="504" spans="2:23" outlineLevel="1">
      <c r="G504" s="13">
        <f t="shared" si="570"/>
        <v>59.846575342465755</v>
      </c>
      <c r="H504" s="6">
        <v>396</v>
      </c>
      <c r="I504" s="6">
        <f t="shared" ref="I504:I518" si="571">+I491+1</f>
        <v>33</v>
      </c>
      <c r="J504" s="31">
        <f t="shared" si="528"/>
        <v>52749</v>
      </c>
      <c r="K504" s="62">
        <f>+IF(OR(H504&gt;60,$C$21="nein"),IF($C$19="monatlich",$C$20,IF($C$19="quartalsweise",OR(MONTH(J504)={1,4,7,10})*$C$20,IF($C$19="jährlich",(MONTH(J504)=7)*$C$20))),IF($C$19="monatlich",$C$22,IF($C$19="quartalsweise",OR(MONTH(J504)={1,4,7,10})*$C$22,IF($C$19="jährlich",(MONTH(J504)=7)*$C$22))))</f>
        <v>0</v>
      </c>
      <c r="L504" s="70">
        <f t="shared" si="562"/>
        <v>0</v>
      </c>
      <c r="M504" s="62">
        <f t="shared" si="563"/>
        <v>0</v>
      </c>
      <c r="N504" s="71">
        <f>+IF(AND($C$19="monatlich",K504&lt;$C$20),$C$20-K504,IF(AND($C$19="quartalsweise",OR(MONTH(J504)={1,4,7,10}),K504&lt;$C$20),$C$20-K504,IF(AND($C$19="jährlich",MONTH(J504)=7,K504&lt;$C$20),$C$20-K504,0)))</f>
        <v>0</v>
      </c>
      <c r="O504" s="71">
        <v>0</v>
      </c>
      <c r="P504" s="71">
        <v>0</v>
      </c>
      <c r="Q504" s="63">
        <f t="shared" si="564"/>
        <v>0</v>
      </c>
      <c r="R504" s="72">
        <f t="shared" si="549"/>
        <v>0</v>
      </c>
      <c r="S504" s="73">
        <f t="shared" si="519"/>
        <v>131638.91235457058</v>
      </c>
      <c r="T504" s="72">
        <f t="shared" si="566"/>
        <v>0</v>
      </c>
      <c r="U504" s="70">
        <f t="shared" si="567"/>
        <v>-206.18952422073244</v>
      </c>
      <c r="V504" s="72">
        <f t="shared" si="568"/>
        <v>1058.3821754909357</v>
      </c>
      <c r="W504" s="70">
        <f t="shared" si="569"/>
        <v>254623.91476909473</v>
      </c>
    </row>
    <row r="505" spans="2:23" s="5" customFormat="1" ht="15">
      <c r="B505" s="17"/>
      <c r="G505" s="115">
        <f t="shared" si="570"/>
        <v>59.846575342465755</v>
      </c>
      <c r="H505" s="116" t="str">
        <f>H493&amp;" - "&amp;H504</f>
        <v>385 - 396</v>
      </c>
      <c r="I505" s="117">
        <f t="shared" si="571"/>
        <v>33</v>
      </c>
      <c r="J505" s="118">
        <f t="shared" ref="J505" si="572">+J504</f>
        <v>52749</v>
      </c>
      <c r="K505" s="119">
        <f t="shared" ref="K505:L505" si="573">SUM(K493:K504)</f>
        <v>3600</v>
      </c>
      <c r="L505" s="120">
        <f t="shared" si="573"/>
        <v>0</v>
      </c>
      <c r="M505" s="119">
        <f t="shared" ref="M505" si="574">SUM(M493:M504)</f>
        <v>154</v>
      </c>
      <c r="N505" s="121">
        <f t="shared" ref="N505:N557" si="575">SUM(N493:N504)</f>
        <v>8.1052631578947363</v>
      </c>
      <c r="O505" s="121">
        <f t="shared" ref="O505" si="576">SUM(O493:O504)</f>
        <v>0</v>
      </c>
      <c r="P505" s="121">
        <f t="shared" ref="P505" si="577">SUM(P493:P504)</f>
        <v>0</v>
      </c>
      <c r="Q505" s="120">
        <f t="shared" si="558"/>
        <v>-8.1052631578947363</v>
      </c>
      <c r="R505" s="119">
        <f t="shared" ref="R505" si="578">SUM(R493:R504)</f>
        <v>3762.1052631578946</v>
      </c>
      <c r="S505" s="122">
        <f t="shared" si="519"/>
        <v>131638.91235457058</v>
      </c>
      <c r="T505" s="119">
        <f t="shared" ref="T505:V505" si="579">SUM(T493:T504)</f>
        <v>-15.4</v>
      </c>
      <c r="U505" s="120">
        <f t="shared" si="579"/>
        <v>-2412.224147527359</v>
      </c>
      <c r="V505" s="119">
        <f t="shared" si="579"/>
        <v>12382.380243730046</v>
      </c>
      <c r="W505" s="123">
        <f t="shared" ref="W505" si="580">+W504</f>
        <v>254623.91476909473</v>
      </c>
    </row>
    <row r="506" spans="2:23" outlineLevel="1">
      <c r="G506" s="11">
        <f t="shared" si="570"/>
        <v>59.92876712328767</v>
      </c>
      <c r="H506" s="2">
        <v>397</v>
      </c>
      <c r="I506" s="2">
        <f t="shared" si="571"/>
        <v>34</v>
      </c>
      <c r="J506" s="29">
        <f t="shared" si="528"/>
        <v>52779</v>
      </c>
      <c r="K506" s="62">
        <f>+IF(OR(H506&gt;60,$C$21="nein"),IF($C$19="monatlich",$C$20,IF($C$19="quartalsweise",OR(MONTH(J506)={1,4,7,10})*$C$20,IF($C$19="jährlich",(MONTH(J506)=7)*$C$20))),IF($C$19="monatlich",$C$22,IF($C$19="quartalsweise",OR(MONTH(J506)={1,4,7,10})*$C$22,IF($C$19="jährlich",(MONTH(J506)=7)*$C$22))))</f>
        <v>900</v>
      </c>
      <c r="L506" s="63">
        <f t="shared" ref="L506:L517" si="581">-IF(H506&gt;60,0,IF($C$19="monatlich",$C$52,IF(AND($C$19="quartalsweise",K506&gt;0),$C$52,IF(AND($C$19="jährlich",K506&gt;0),$C$51,0))))</f>
        <v>0</v>
      </c>
      <c r="M506" s="62">
        <f t="shared" ref="M506:M517" si="582">+IF(MONTH(J506)=4,$C$25,0)</f>
        <v>0</v>
      </c>
      <c r="N506" s="64">
        <f>+IF(AND($C$19="monatlich",K506&lt;$C$20),$C$20-K506,IF(AND($C$19="quartalsweise",OR(MONTH(J506)={1,4,7,10}),K506&lt;$C$20),$C$20-K506,IF(AND($C$19="jährlich",MONTH(J506)=7,K506&lt;$C$20),$C$20-K506,0)))</f>
        <v>0</v>
      </c>
      <c r="O506" s="64">
        <v>0</v>
      </c>
      <c r="P506" s="64">
        <v>0</v>
      </c>
      <c r="Q506" s="63">
        <f t="shared" ref="Q506:Q517" si="583">-SUM(M506:P506)*$C$47/100</f>
        <v>0</v>
      </c>
      <c r="R506" s="62">
        <f t="shared" ref="R506" si="584">+SUM(K506,M506:P506)</f>
        <v>900</v>
      </c>
      <c r="S506" s="65">
        <f t="shared" si="519"/>
        <v>132538.91235457058</v>
      </c>
      <c r="T506" s="62">
        <f t="shared" ref="T506:T517" si="585">-IF(MONTH(J506)=12,$C$55,0)</f>
        <v>0</v>
      </c>
      <c r="U506" s="63">
        <f t="shared" ref="U506:U517" si="586">-W505*($D$43/100/12)</f>
        <v>-206.88193074988945</v>
      </c>
      <c r="V506" s="62">
        <f t="shared" ref="V506:V517" si="587">+(1+(IF($C$71="pauschal",$C$72/100/12,VLOOKUP(I505,$J$5:$L$44,3,FALSE)/100/12)*W505))</f>
        <v>1061.9329782045613</v>
      </c>
      <c r="W506" s="63">
        <f t="shared" ref="W506:W517" si="588">+SUM(W505,R506,L506,Q506,T506:V506)</f>
        <v>256378.9658165494</v>
      </c>
    </row>
    <row r="507" spans="2:23" outlineLevel="1">
      <c r="G507" s="12">
        <f t="shared" si="570"/>
        <v>60.013698630136986</v>
      </c>
      <c r="H507" s="4">
        <v>398</v>
      </c>
      <c r="I507" s="4">
        <f t="shared" si="571"/>
        <v>34</v>
      </c>
      <c r="J507" s="30">
        <f t="shared" si="528"/>
        <v>52810</v>
      </c>
      <c r="K507" s="62">
        <f>+IF(OR(H507&gt;60,$C$21="nein"),IF($C$19="monatlich",$C$20,IF($C$19="quartalsweise",OR(MONTH(J507)={1,4,7,10})*$C$20,IF($C$19="jährlich",(MONTH(J507)=7)*$C$20))),IF($C$19="monatlich",$C$22,IF($C$19="quartalsweise",OR(MONTH(J507)={1,4,7,10})*$C$22,IF($C$19="jährlich",(MONTH(J507)=7)*$C$22))))</f>
        <v>0</v>
      </c>
      <c r="L507" s="66">
        <f t="shared" si="581"/>
        <v>0</v>
      </c>
      <c r="M507" s="62">
        <f t="shared" si="582"/>
        <v>0</v>
      </c>
      <c r="N507" s="67">
        <f>+IF(AND($C$19="monatlich",K507&lt;$C$20),$C$20-K507,IF(AND($C$19="quartalsweise",OR(MONTH(J507)={1,4,7,10}),K507&lt;$C$20),$C$20-K507,IF(AND($C$19="jährlich",MONTH(J507)=7,K507&lt;$C$20),$C$20-K507,0)))</f>
        <v>0</v>
      </c>
      <c r="O507" s="67">
        <v>0</v>
      </c>
      <c r="P507" s="67">
        <v>0</v>
      </c>
      <c r="Q507" s="63">
        <f t="shared" si="583"/>
        <v>0</v>
      </c>
      <c r="R507" s="68">
        <f t="shared" si="549"/>
        <v>0</v>
      </c>
      <c r="S507" s="69">
        <f t="shared" si="519"/>
        <v>132538.91235457058</v>
      </c>
      <c r="T507" s="68">
        <f t="shared" si="585"/>
        <v>0</v>
      </c>
      <c r="U507" s="66">
        <f t="shared" si="586"/>
        <v>-208.30790972594639</v>
      </c>
      <c r="V507" s="68">
        <f t="shared" si="587"/>
        <v>1069.2456909022892</v>
      </c>
      <c r="W507" s="66">
        <f t="shared" si="588"/>
        <v>257239.90359772576</v>
      </c>
    </row>
    <row r="508" spans="2:23" outlineLevel="1">
      <c r="G508" s="12">
        <f t="shared" si="570"/>
        <v>60.098630136986301</v>
      </c>
      <c r="H508" s="4">
        <v>399</v>
      </c>
      <c r="I508" s="4">
        <f t="shared" si="571"/>
        <v>34</v>
      </c>
      <c r="J508" s="30">
        <f t="shared" si="528"/>
        <v>52841</v>
      </c>
      <c r="K508" s="62">
        <f>+IF(OR(H508&gt;60,$C$21="nein"),IF($C$19="monatlich",$C$20,IF($C$19="quartalsweise",OR(MONTH(J508)={1,4,7,10})*$C$20,IF($C$19="jährlich",(MONTH(J508)=7)*$C$20))),IF($C$19="monatlich",$C$22,IF($C$19="quartalsweise",OR(MONTH(J508)={1,4,7,10})*$C$22,IF($C$19="jährlich",(MONTH(J508)=7)*$C$22))))</f>
        <v>0</v>
      </c>
      <c r="L508" s="66">
        <f t="shared" si="581"/>
        <v>0</v>
      </c>
      <c r="M508" s="62">
        <f t="shared" si="582"/>
        <v>0</v>
      </c>
      <c r="N508" s="67">
        <f>+IF(AND($C$19="monatlich",K508&lt;$C$20),$C$20-K508,IF(AND($C$19="quartalsweise",OR(MONTH(J508)={1,4,7,10}),K508&lt;$C$20),$C$20-K508,IF(AND($C$19="jährlich",MONTH(J508)=7,K508&lt;$C$20),$C$20-K508,0)))</f>
        <v>0</v>
      </c>
      <c r="O508" s="67">
        <v>0</v>
      </c>
      <c r="P508" s="67">
        <v>0</v>
      </c>
      <c r="Q508" s="63">
        <f t="shared" si="583"/>
        <v>0</v>
      </c>
      <c r="R508" s="68">
        <f t="shared" si="549"/>
        <v>0</v>
      </c>
      <c r="S508" s="69">
        <f t="shared" si="519"/>
        <v>132538.91235457058</v>
      </c>
      <c r="T508" s="68">
        <f t="shared" si="585"/>
        <v>0</v>
      </c>
      <c r="U508" s="66">
        <f t="shared" si="586"/>
        <v>-209.00742167315218</v>
      </c>
      <c r="V508" s="68">
        <f t="shared" si="587"/>
        <v>1072.8329316571906</v>
      </c>
      <c r="W508" s="66">
        <f t="shared" si="588"/>
        <v>258103.72910770978</v>
      </c>
    </row>
    <row r="509" spans="2:23" outlineLevel="1">
      <c r="G509" s="12">
        <f t="shared" si="570"/>
        <v>60.180821917808217</v>
      </c>
      <c r="H509" s="4">
        <v>400</v>
      </c>
      <c r="I509" s="4">
        <f t="shared" si="571"/>
        <v>34</v>
      </c>
      <c r="J509" s="30">
        <f t="shared" si="528"/>
        <v>52871</v>
      </c>
      <c r="K509" s="62">
        <f>+IF(OR(H509&gt;60,$C$21="nein"),IF($C$19="monatlich",$C$20,IF($C$19="quartalsweise",OR(MONTH(J509)={1,4,7,10})*$C$20,IF($C$19="jährlich",(MONTH(J509)=7)*$C$20))),IF($C$19="monatlich",$C$22,IF($C$19="quartalsweise",OR(MONTH(J509)={1,4,7,10})*$C$22,IF($C$19="jährlich",(MONTH(J509)=7)*$C$22))))</f>
        <v>900</v>
      </c>
      <c r="L509" s="66">
        <f t="shared" si="581"/>
        <v>0</v>
      </c>
      <c r="M509" s="62">
        <f t="shared" si="582"/>
        <v>0</v>
      </c>
      <c r="N509" s="67">
        <f>+IF(AND($C$19="monatlich",K509&lt;$C$20),$C$20-K509,IF(AND($C$19="quartalsweise",OR(MONTH(J509)={1,4,7,10}),K509&lt;$C$20),$C$20-K509,IF(AND($C$19="jährlich",MONTH(J509)=7,K509&lt;$C$20),$C$20-K509,0)))</f>
        <v>0</v>
      </c>
      <c r="O509" s="67">
        <v>0</v>
      </c>
      <c r="P509" s="67">
        <v>0</v>
      </c>
      <c r="Q509" s="63">
        <f t="shared" si="583"/>
        <v>0</v>
      </c>
      <c r="R509" s="68">
        <f t="shared" si="549"/>
        <v>900</v>
      </c>
      <c r="S509" s="69">
        <f t="shared" si="519"/>
        <v>133438.91235457058</v>
      </c>
      <c r="T509" s="68">
        <f t="shared" si="585"/>
        <v>0</v>
      </c>
      <c r="U509" s="66">
        <f t="shared" si="586"/>
        <v>-209.7092799000142</v>
      </c>
      <c r="V509" s="68">
        <f t="shared" si="587"/>
        <v>1076.4322046154573</v>
      </c>
      <c r="W509" s="66">
        <f t="shared" si="588"/>
        <v>259870.45203242524</v>
      </c>
    </row>
    <row r="510" spans="2:23" outlineLevel="1">
      <c r="G510" s="12">
        <f t="shared" si="570"/>
        <v>60.265753424657532</v>
      </c>
      <c r="H510" s="4">
        <v>401</v>
      </c>
      <c r="I510" s="4">
        <f t="shared" si="571"/>
        <v>34</v>
      </c>
      <c r="J510" s="30">
        <f t="shared" si="528"/>
        <v>52902</v>
      </c>
      <c r="K510" s="62">
        <f>+IF(OR(H510&gt;60,$C$21="nein"),IF($C$19="monatlich",$C$20,IF($C$19="quartalsweise",OR(MONTH(J510)={1,4,7,10})*$C$20,IF($C$19="jährlich",(MONTH(J510)=7)*$C$20))),IF($C$19="monatlich",$C$22,IF($C$19="quartalsweise",OR(MONTH(J510)={1,4,7,10})*$C$22,IF($C$19="jährlich",(MONTH(J510)=7)*$C$22))))</f>
        <v>0</v>
      </c>
      <c r="L510" s="66">
        <f t="shared" si="581"/>
        <v>0</v>
      </c>
      <c r="M510" s="62">
        <f t="shared" si="582"/>
        <v>0</v>
      </c>
      <c r="N510" s="67">
        <f>+IF(AND($C$19="monatlich",K510&lt;$C$20),$C$20-K510,IF(AND($C$19="quartalsweise",OR(MONTH(J510)={1,4,7,10}),K510&lt;$C$20),$C$20-K510,IF(AND($C$19="jährlich",MONTH(J510)=7,K510&lt;$C$20),$C$20-K510,0)))</f>
        <v>0</v>
      </c>
      <c r="O510" s="67">
        <v>0</v>
      </c>
      <c r="P510" s="67">
        <v>0</v>
      </c>
      <c r="Q510" s="63">
        <f t="shared" si="583"/>
        <v>0</v>
      </c>
      <c r="R510" s="68">
        <f t="shared" si="549"/>
        <v>0</v>
      </c>
      <c r="S510" s="69">
        <f t="shared" si="519"/>
        <v>133438.91235457058</v>
      </c>
      <c r="T510" s="68">
        <f t="shared" si="585"/>
        <v>0</v>
      </c>
      <c r="U510" s="66">
        <f t="shared" si="586"/>
        <v>-211.14474227634548</v>
      </c>
      <c r="V510" s="68">
        <f t="shared" si="587"/>
        <v>1083.7935501351051</v>
      </c>
      <c r="W510" s="66">
        <f t="shared" si="588"/>
        <v>260743.10084028399</v>
      </c>
    </row>
    <row r="511" spans="2:23" outlineLevel="1">
      <c r="G511" s="12">
        <f t="shared" si="570"/>
        <v>60.347945205479455</v>
      </c>
      <c r="H511" s="4">
        <v>402</v>
      </c>
      <c r="I511" s="4">
        <f t="shared" si="571"/>
        <v>34</v>
      </c>
      <c r="J511" s="30">
        <f t="shared" si="528"/>
        <v>52932</v>
      </c>
      <c r="K511" s="62">
        <f>+IF(OR(H511&gt;60,$C$21="nein"),IF($C$19="monatlich",$C$20,IF($C$19="quartalsweise",OR(MONTH(J511)={1,4,7,10})*$C$20,IF($C$19="jährlich",(MONTH(J511)=7)*$C$20))),IF($C$19="monatlich",$C$22,IF($C$19="quartalsweise",OR(MONTH(J511)={1,4,7,10})*$C$22,IF($C$19="jährlich",(MONTH(J511)=7)*$C$22))))</f>
        <v>0</v>
      </c>
      <c r="L511" s="66">
        <f t="shared" si="581"/>
        <v>0</v>
      </c>
      <c r="M511" s="62">
        <f t="shared" si="582"/>
        <v>0</v>
      </c>
      <c r="N511" s="67">
        <f>+IF(AND($C$19="monatlich",K511&lt;$C$20),$C$20-K511,IF(AND($C$19="quartalsweise",OR(MONTH(J511)={1,4,7,10}),K511&lt;$C$20),$C$20-K511,IF(AND($C$19="jährlich",MONTH(J511)=7,K511&lt;$C$20),$C$20-K511,0)))</f>
        <v>0</v>
      </c>
      <c r="O511" s="67">
        <v>0</v>
      </c>
      <c r="P511" s="67">
        <v>0</v>
      </c>
      <c r="Q511" s="63">
        <f t="shared" si="583"/>
        <v>0</v>
      </c>
      <c r="R511" s="68">
        <f t="shared" si="549"/>
        <v>0</v>
      </c>
      <c r="S511" s="69">
        <f t="shared" si="519"/>
        <v>133438.91235457058</v>
      </c>
      <c r="T511" s="68">
        <f t="shared" si="585"/>
        <v>-15.4</v>
      </c>
      <c r="U511" s="66">
        <f t="shared" si="586"/>
        <v>-211.85376943273073</v>
      </c>
      <c r="V511" s="68">
        <f t="shared" si="587"/>
        <v>1087.4295868345166</v>
      </c>
      <c r="W511" s="66">
        <f t="shared" si="588"/>
        <v>261603.27665768578</v>
      </c>
    </row>
    <row r="512" spans="2:23" outlineLevel="1">
      <c r="G512" s="12">
        <f t="shared" si="570"/>
        <v>60.43287671232877</v>
      </c>
      <c r="H512" s="4">
        <v>403</v>
      </c>
      <c r="I512" s="4">
        <f t="shared" si="571"/>
        <v>34</v>
      </c>
      <c r="J512" s="30">
        <f t="shared" si="528"/>
        <v>52963</v>
      </c>
      <c r="K512" s="62">
        <f>+IF(OR(H512&gt;60,$C$21="nein"),IF($C$19="monatlich",$C$20,IF($C$19="quartalsweise",OR(MONTH(J512)={1,4,7,10})*$C$20,IF($C$19="jährlich",(MONTH(J512)=7)*$C$20))),IF($C$19="monatlich",$C$22,IF($C$19="quartalsweise",OR(MONTH(J512)={1,4,7,10})*$C$22,IF($C$19="jährlich",(MONTH(J512)=7)*$C$22))))</f>
        <v>900</v>
      </c>
      <c r="L512" s="66">
        <f t="shared" si="581"/>
        <v>0</v>
      </c>
      <c r="M512" s="62">
        <f t="shared" si="582"/>
        <v>0</v>
      </c>
      <c r="N512" s="67">
        <f>+IF(AND($C$19="monatlich",K512&lt;$C$20),$C$20-K512,IF(AND($C$19="quartalsweise",OR(MONTH(J512)={1,4,7,10}),K512&lt;$C$20),$C$20-K512,IF(AND($C$19="jährlich",MONTH(J512)=7,K512&lt;$C$20),$C$20-K512,0)))</f>
        <v>0</v>
      </c>
      <c r="O512" s="67">
        <v>0</v>
      </c>
      <c r="P512" s="67">
        <v>0</v>
      </c>
      <c r="Q512" s="63">
        <f t="shared" si="583"/>
        <v>0</v>
      </c>
      <c r="R512" s="68">
        <f t="shared" si="549"/>
        <v>900</v>
      </c>
      <c r="S512" s="69">
        <f t="shared" si="519"/>
        <v>134338.91235457058</v>
      </c>
      <c r="T512" s="68">
        <f t="shared" si="585"/>
        <v>0</v>
      </c>
      <c r="U512" s="66">
        <f t="shared" si="586"/>
        <v>-212.55266228436969</v>
      </c>
      <c r="V512" s="68">
        <f t="shared" si="587"/>
        <v>1091.0136527403574</v>
      </c>
      <c r="W512" s="66">
        <f t="shared" si="588"/>
        <v>263381.73764814175</v>
      </c>
    </row>
    <row r="513" spans="2:23" outlineLevel="1">
      <c r="G513" s="12">
        <f t="shared" si="570"/>
        <v>60.517808219178079</v>
      </c>
      <c r="H513" s="4">
        <v>404</v>
      </c>
      <c r="I513" s="4">
        <f t="shared" si="571"/>
        <v>34</v>
      </c>
      <c r="J513" s="30">
        <f t="shared" si="528"/>
        <v>52994</v>
      </c>
      <c r="K513" s="62">
        <f>+IF(OR(H513&gt;60,$C$21="nein"),IF($C$19="monatlich",$C$20,IF($C$19="quartalsweise",OR(MONTH(J513)={1,4,7,10})*$C$20,IF($C$19="jährlich",(MONTH(J513)=7)*$C$20))),IF($C$19="monatlich",$C$22,IF($C$19="quartalsweise",OR(MONTH(J513)={1,4,7,10})*$C$22,IF($C$19="jährlich",(MONTH(J513)=7)*$C$22))))</f>
        <v>0</v>
      </c>
      <c r="L513" s="66">
        <f t="shared" si="581"/>
        <v>0</v>
      </c>
      <c r="M513" s="62">
        <f t="shared" si="582"/>
        <v>0</v>
      </c>
      <c r="N513" s="67">
        <f>+IF(AND($C$19="monatlich",K513&lt;$C$20),$C$20-K513,IF(AND($C$19="quartalsweise",OR(MONTH(J513)={1,4,7,10}),K513&lt;$C$20),$C$20-K513,IF(AND($C$19="jährlich",MONTH(J513)=7,K513&lt;$C$20),$C$20-K513,0)))</f>
        <v>0</v>
      </c>
      <c r="O513" s="67">
        <v>0</v>
      </c>
      <c r="P513" s="67">
        <v>0</v>
      </c>
      <c r="Q513" s="63">
        <f t="shared" si="583"/>
        <v>0</v>
      </c>
      <c r="R513" s="68">
        <f t="shared" si="549"/>
        <v>0</v>
      </c>
      <c r="S513" s="69">
        <f t="shared" si="519"/>
        <v>134338.91235457058</v>
      </c>
      <c r="T513" s="68">
        <f t="shared" si="585"/>
        <v>0</v>
      </c>
      <c r="U513" s="66">
        <f t="shared" si="586"/>
        <v>-213.99766183911515</v>
      </c>
      <c r="V513" s="68">
        <f t="shared" si="587"/>
        <v>1098.4239068672573</v>
      </c>
      <c r="W513" s="66">
        <f t="shared" si="588"/>
        <v>264266.1638931699</v>
      </c>
    </row>
    <row r="514" spans="2:23" outlineLevel="1">
      <c r="G514" s="12">
        <f t="shared" si="570"/>
        <v>60.594520547945208</v>
      </c>
      <c r="H514" s="4">
        <v>405</v>
      </c>
      <c r="I514" s="4">
        <f t="shared" si="571"/>
        <v>34</v>
      </c>
      <c r="J514" s="30">
        <f t="shared" si="528"/>
        <v>53022</v>
      </c>
      <c r="K514" s="62">
        <f>+IF(OR(H514&gt;60,$C$21="nein"),IF($C$19="monatlich",$C$20,IF($C$19="quartalsweise",OR(MONTH(J514)={1,4,7,10})*$C$20,IF($C$19="jährlich",(MONTH(J514)=7)*$C$20))),IF($C$19="monatlich",$C$22,IF($C$19="quartalsweise",OR(MONTH(J514)={1,4,7,10})*$C$22,IF($C$19="jährlich",(MONTH(J514)=7)*$C$22))))</f>
        <v>0</v>
      </c>
      <c r="L514" s="66">
        <f t="shared" si="581"/>
        <v>0</v>
      </c>
      <c r="M514" s="62">
        <f t="shared" si="582"/>
        <v>0</v>
      </c>
      <c r="N514" s="67">
        <f>+IF(AND($C$19="monatlich",K514&lt;$C$20),$C$20-K514,IF(AND($C$19="quartalsweise",OR(MONTH(J514)={1,4,7,10}),K514&lt;$C$20),$C$20-K514,IF(AND($C$19="jährlich",MONTH(J514)=7,K514&lt;$C$20),$C$20-K514,0)))-$C$67/100*SUM(Q496:Q504,Q506:Q508)-$C$66/100*SUM(L496:L504,L506:L508)</f>
        <v>8.1052631578947363</v>
      </c>
      <c r="O514" s="67">
        <v>0</v>
      </c>
      <c r="P514" s="67">
        <v>0</v>
      </c>
      <c r="Q514" s="63">
        <f t="shared" si="583"/>
        <v>-0.40526315789473683</v>
      </c>
      <c r="R514" s="68">
        <f t="shared" si="549"/>
        <v>8.1052631578947363</v>
      </c>
      <c r="S514" s="69">
        <f t="shared" si="519"/>
        <v>134347.01761772847</v>
      </c>
      <c r="T514" s="68">
        <f t="shared" si="585"/>
        <v>0</v>
      </c>
      <c r="U514" s="66">
        <f t="shared" si="586"/>
        <v>-214.71625816320054</v>
      </c>
      <c r="V514" s="68">
        <f t="shared" si="587"/>
        <v>1102.1090162215412</v>
      </c>
      <c r="W514" s="66">
        <f t="shared" si="588"/>
        <v>265161.25665122824</v>
      </c>
    </row>
    <row r="515" spans="2:23" outlineLevel="1">
      <c r="G515" s="12">
        <f t="shared" si="570"/>
        <v>60.679452054794524</v>
      </c>
      <c r="H515" s="4">
        <v>406</v>
      </c>
      <c r="I515" s="4">
        <f t="shared" si="571"/>
        <v>34</v>
      </c>
      <c r="J515" s="30">
        <f t="shared" si="528"/>
        <v>53053</v>
      </c>
      <c r="K515" s="62">
        <f>+IF(OR(H515&gt;60,$C$21="nein"),IF($C$19="monatlich",$C$20,IF($C$19="quartalsweise",OR(MONTH(J515)={1,4,7,10})*$C$20,IF($C$19="jährlich",(MONTH(J515)=7)*$C$20))),IF($C$19="monatlich",$C$22,IF($C$19="quartalsweise",OR(MONTH(J515)={1,4,7,10})*$C$22,IF($C$19="jährlich",(MONTH(J515)=7)*$C$22))))</f>
        <v>900</v>
      </c>
      <c r="L515" s="66">
        <f t="shared" si="581"/>
        <v>0</v>
      </c>
      <c r="M515" s="62">
        <f t="shared" si="582"/>
        <v>154</v>
      </c>
      <c r="N515" s="67">
        <f>+IF(AND($C$19="monatlich",K515&lt;$C$20),$C$20-K515,IF(AND($C$19="quartalsweise",OR(MONTH(J515)={1,4,7,10}),K515&lt;$C$20),$C$20-K515,IF(AND($C$19="jährlich",MONTH(J515)=7,K515&lt;$C$20),$C$20-K515,0)))</f>
        <v>0</v>
      </c>
      <c r="O515" s="67">
        <v>0</v>
      </c>
      <c r="P515" s="67">
        <v>0</v>
      </c>
      <c r="Q515" s="63">
        <f t="shared" si="583"/>
        <v>-7.7</v>
      </c>
      <c r="R515" s="68">
        <f t="shared" si="549"/>
        <v>1054</v>
      </c>
      <c r="S515" s="69">
        <f t="shared" si="519"/>
        <v>135401.01761772847</v>
      </c>
      <c r="T515" s="68">
        <f t="shared" si="585"/>
        <v>0</v>
      </c>
      <c r="U515" s="66">
        <f t="shared" si="586"/>
        <v>-215.44352102912293</v>
      </c>
      <c r="V515" s="68">
        <f t="shared" si="587"/>
        <v>1105.8385693801176</v>
      </c>
      <c r="W515" s="66">
        <f t="shared" si="588"/>
        <v>267097.95169957919</v>
      </c>
    </row>
    <row r="516" spans="2:23" outlineLevel="1">
      <c r="G516" s="12">
        <f t="shared" si="570"/>
        <v>60.761643835616439</v>
      </c>
      <c r="H516" s="4">
        <v>407</v>
      </c>
      <c r="I516" s="4">
        <f t="shared" si="571"/>
        <v>34</v>
      </c>
      <c r="J516" s="30">
        <f t="shared" si="528"/>
        <v>53083</v>
      </c>
      <c r="K516" s="62">
        <f>+IF(OR(H516&gt;60,$C$21="nein"),IF($C$19="monatlich",$C$20,IF($C$19="quartalsweise",OR(MONTH(J516)={1,4,7,10})*$C$20,IF($C$19="jährlich",(MONTH(J516)=7)*$C$20))),IF($C$19="monatlich",$C$22,IF($C$19="quartalsweise",OR(MONTH(J516)={1,4,7,10})*$C$22,IF($C$19="jährlich",(MONTH(J516)=7)*$C$22))))</f>
        <v>0</v>
      </c>
      <c r="L516" s="66">
        <f t="shared" si="581"/>
        <v>0</v>
      </c>
      <c r="M516" s="62">
        <f t="shared" si="582"/>
        <v>0</v>
      </c>
      <c r="N516" s="67">
        <f>+IF(AND($C$19="monatlich",K516&lt;$C$20),$C$20-K516,IF(AND($C$19="quartalsweise",OR(MONTH(J516)={1,4,7,10}),K516&lt;$C$20),$C$20-K516,IF(AND($C$19="jährlich",MONTH(J516)=7,K516&lt;$C$20),$C$20-K516,0)))</f>
        <v>0</v>
      </c>
      <c r="O516" s="67">
        <v>0</v>
      </c>
      <c r="P516" s="67">
        <v>0</v>
      </c>
      <c r="Q516" s="63">
        <f t="shared" si="583"/>
        <v>0</v>
      </c>
      <c r="R516" s="68">
        <f t="shared" si="549"/>
        <v>0</v>
      </c>
      <c r="S516" s="69">
        <f t="shared" si="519"/>
        <v>135401.01761772847</v>
      </c>
      <c r="T516" s="68">
        <f t="shared" si="585"/>
        <v>0</v>
      </c>
      <c r="U516" s="66">
        <f t="shared" si="586"/>
        <v>-217.01708575590808</v>
      </c>
      <c r="V516" s="68">
        <f t="shared" si="587"/>
        <v>1113.9081320815799</v>
      </c>
      <c r="W516" s="66">
        <f t="shared" si="588"/>
        <v>267994.84274590487</v>
      </c>
    </row>
    <row r="517" spans="2:23" outlineLevel="1">
      <c r="G517" s="13">
        <f t="shared" si="570"/>
        <v>60.846575342465755</v>
      </c>
      <c r="H517" s="6">
        <v>408</v>
      </c>
      <c r="I517" s="6">
        <f t="shared" si="571"/>
        <v>34</v>
      </c>
      <c r="J517" s="31">
        <f t="shared" si="528"/>
        <v>53114</v>
      </c>
      <c r="K517" s="62">
        <f>+IF(OR(H517&gt;60,$C$21="nein"),IF($C$19="monatlich",$C$20,IF($C$19="quartalsweise",OR(MONTH(J517)={1,4,7,10})*$C$20,IF($C$19="jährlich",(MONTH(J517)=7)*$C$20))),IF($C$19="monatlich",$C$22,IF($C$19="quartalsweise",OR(MONTH(J517)={1,4,7,10})*$C$22,IF($C$19="jährlich",(MONTH(J517)=7)*$C$22))))</f>
        <v>0</v>
      </c>
      <c r="L517" s="70">
        <f t="shared" si="581"/>
        <v>0</v>
      </c>
      <c r="M517" s="62">
        <f t="shared" si="582"/>
        <v>0</v>
      </c>
      <c r="N517" s="71">
        <f>+IF(AND($C$19="monatlich",K517&lt;$C$20),$C$20-K517,IF(AND($C$19="quartalsweise",OR(MONTH(J517)={1,4,7,10}),K517&lt;$C$20),$C$20-K517,IF(AND($C$19="jährlich",MONTH(J517)=7,K517&lt;$C$20),$C$20-K517,0)))</f>
        <v>0</v>
      </c>
      <c r="O517" s="71">
        <v>0</v>
      </c>
      <c r="P517" s="71">
        <v>0</v>
      </c>
      <c r="Q517" s="63">
        <f t="shared" si="583"/>
        <v>0</v>
      </c>
      <c r="R517" s="72">
        <f t="shared" si="549"/>
        <v>0</v>
      </c>
      <c r="S517" s="73">
        <f t="shared" si="519"/>
        <v>135401.01761772847</v>
      </c>
      <c r="T517" s="72">
        <f t="shared" si="585"/>
        <v>0</v>
      </c>
      <c r="U517" s="70">
        <f t="shared" si="586"/>
        <v>-217.7458097310477</v>
      </c>
      <c r="V517" s="72">
        <f t="shared" si="587"/>
        <v>1117.645178107937</v>
      </c>
      <c r="W517" s="70">
        <f t="shared" si="588"/>
        <v>268894.74211428175</v>
      </c>
    </row>
    <row r="518" spans="2:23" s="5" customFormat="1" ht="15">
      <c r="B518" s="17"/>
      <c r="G518" s="115">
        <f t="shared" si="570"/>
        <v>60.846575342465755</v>
      </c>
      <c r="H518" s="116" t="str">
        <f>H506&amp;" - "&amp;H517</f>
        <v>397 - 408</v>
      </c>
      <c r="I518" s="117">
        <f t="shared" si="571"/>
        <v>34</v>
      </c>
      <c r="J518" s="118">
        <f t="shared" ref="J518" si="589">+J517</f>
        <v>53114</v>
      </c>
      <c r="K518" s="119">
        <f t="shared" ref="K518:L518" si="590">SUM(K506:K517)</f>
        <v>3600</v>
      </c>
      <c r="L518" s="120">
        <f t="shared" si="590"/>
        <v>0</v>
      </c>
      <c r="M518" s="119">
        <f t="shared" ref="M518" si="591">SUM(M506:M517)</f>
        <v>154</v>
      </c>
      <c r="N518" s="121">
        <f t="shared" si="575"/>
        <v>8.1052631578947363</v>
      </c>
      <c r="O518" s="121">
        <f t="shared" ref="O518" si="592">SUM(O506:O517)</f>
        <v>0</v>
      </c>
      <c r="P518" s="121">
        <f t="shared" ref="P518:Q531" si="593">SUM(P506:P517)</f>
        <v>0</v>
      </c>
      <c r="Q518" s="120">
        <f t="shared" si="593"/>
        <v>-8.1052631578947363</v>
      </c>
      <c r="R518" s="119">
        <f t="shared" ref="R518" si="594">SUM(R506:R517)</f>
        <v>3762.1052631578946</v>
      </c>
      <c r="S518" s="122">
        <f t="shared" si="519"/>
        <v>135401.01761772847</v>
      </c>
      <c r="T518" s="119">
        <f t="shared" ref="T518:V518" si="595">SUM(T506:T517)</f>
        <v>-15.4</v>
      </c>
      <c r="U518" s="120">
        <f t="shared" si="595"/>
        <v>-2548.3780525608431</v>
      </c>
      <c r="V518" s="119">
        <f t="shared" si="595"/>
        <v>13080.605397747911</v>
      </c>
      <c r="W518" s="123">
        <f t="shared" ref="W518" si="596">+W517</f>
        <v>268894.74211428175</v>
      </c>
    </row>
    <row r="519" spans="2:23" outlineLevel="1">
      <c r="G519" s="11">
        <f t="shared" si="570"/>
        <v>60.92876712328767</v>
      </c>
      <c r="H519" s="2">
        <v>409</v>
      </c>
      <c r="I519" s="2">
        <f t="shared" ref="I519" si="597">+I506+1</f>
        <v>35</v>
      </c>
      <c r="J519" s="29">
        <f t="shared" si="528"/>
        <v>53144</v>
      </c>
      <c r="K519" s="62">
        <f>+IF(OR(H519&gt;60,$C$21="nein"),IF($C$19="monatlich",$C$20,IF($C$19="quartalsweise",OR(MONTH(J519)={1,4,7,10})*$C$20,IF($C$19="jährlich",(MONTH(J519)=7)*$C$20))),IF($C$19="monatlich",$C$22,IF($C$19="quartalsweise",OR(MONTH(J519)={1,4,7,10})*$C$22,IF($C$19="jährlich",(MONTH(J519)=7)*$C$22))))</f>
        <v>900</v>
      </c>
      <c r="L519" s="63">
        <f t="shared" ref="L519:L530" si="598">-IF(H519&gt;60,0,IF($C$19="monatlich",$C$52,IF(AND($C$19="quartalsweise",K519&gt;0),$C$52,IF(AND($C$19="jährlich",K519&gt;0),$C$51,0))))</f>
        <v>0</v>
      </c>
      <c r="M519" s="62">
        <f t="shared" ref="M519:M530" si="599">+IF(MONTH(J519)=4,$C$25,0)</f>
        <v>0</v>
      </c>
      <c r="N519" s="64">
        <f>+IF(AND($C$19="monatlich",K519&lt;$C$20),$C$20-K519,IF(AND($C$19="quartalsweise",OR(MONTH(J519)={1,4,7,10}),K519&lt;$C$20),$C$20-K519,IF(AND($C$19="jährlich",MONTH(J519)=7,K519&lt;$C$20),$C$20-K519,0)))</f>
        <v>0</v>
      </c>
      <c r="O519" s="64">
        <v>0</v>
      </c>
      <c r="P519" s="64">
        <v>0</v>
      </c>
      <c r="Q519" s="63">
        <f t="shared" ref="Q519:Q530" si="600">-SUM(M519:P519)*$C$47/100</f>
        <v>0</v>
      </c>
      <c r="R519" s="62">
        <f t="shared" ref="R519" si="601">+SUM(K519,M519:P519)</f>
        <v>900</v>
      </c>
      <c r="S519" s="65">
        <f t="shared" si="519"/>
        <v>136301.01761772847</v>
      </c>
      <c r="T519" s="62">
        <f t="shared" ref="T519:T530" si="602">-IF(MONTH(J519)=12,$C$55,0)</f>
        <v>0</v>
      </c>
      <c r="U519" s="63">
        <f t="shared" ref="U519:U530" si="603">-W518*($D$43/100/12)</f>
        <v>-218.47697796785391</v>
      </c>
      <c r="V519" s="62">
        <f t="shared" ref="V519:V530" si="604">+(1+(IF($C$71="pauschal",$C$72/100/12,VLOOKUP(I518,$J$5:$L$44,3,FALSE)/100/12)*W518))</f>
        <v>1121.3947588095073</v>
      </c>
      <c r="W519" s="63">
        <f t="shared" ref="W519:W530" si="605">+SUM(W518,R519,L519,Q519,T519:V519)</f>
        <v>270697.65989512345</v>
      </c>
    </row>
    <row r="520" spans="2:23" outlineLevel="1">
      <c r="G520" s="12">
        <f t="shared" si="570"/>
        <v>61.013698630136986</v>
      </c>
      <c r="H520" s="4">
        <v>410</v>
      </c>
      <c r="I520" s="4">
        <f t="shared" ref="I520:I551" si="606">+I507+1</f>
        <v>35</v>
      </c>
      <c r="J520" s="30">
        <f t="shared" si="528"/>
        <v>53175</v>
      </c>
      <c r="K520" s="62">
        <f>+IF(OR(H520&gt;60,$C$21="nein"),IF($C$19="monatlich",$C$20,IF($C$19="quartalsweise",OR(MONTH(J520)={1,4,7,10})*$C$20,IF($C$19="jährlich",(MONTH(J520)=7)*$C$20))),IF($C$19="monatlich",$C$22,IF($C$19="quartalsweise",OR(MONTH(J520)={1,4,7,10})*$C$22,IF($C$19="jährlich",(MONTH(J520)=7)*$C$22))))</f>
        <v>0</v>
      </c>
      <c r="L520" s="66">
        <f t="shared" si="598"/>
        <v>0</v>
      </c>
      <c r="M520" s="62">
        <f t="shared" si="599"/>
        <v>0</v>
      </c>
      <c r="N520" s="67">
        <f>+IF(AND($C$19="monatlich",K520&lt;$C$20),$C$20-K520,IF(AND($C$19="quartalsweise",OR(MONTH(J520)={1,4,7,10}),K520&lt;$C$20),$C$20-K520,IF(AND($C$19="jährlich",MONTH(J520)=7,K520&lt;$C$20),$C$20-K520,0)))</f>
        <v>0</v>
      </c>
      <c r="O520" s="67">
        <v>0</v>
      </c>
      <c r="P520" s="67">
        <v>0</v>
      </c>
      <c r="Q520" s="63">
        <f t="shared" si="600"/>
        <v>0</v>
      </c>
      <c r="R520" s="68">
        <f t="shared" si="549"/>
        <v>0</v>
      </c>
      <c r="S520" s="69">
        <f t="shared" si="519"/>
        <v>136301.01761772847</v>
      </c>
      <c r="T520" s="68">
        <f t="shared" si="602"/>
        <v>0</v>
      </c>
      <c r="U520" s="66">
        <f t="shared" si="603"/>
        <v>-219.94184866478778</v>
      </c>
      <c r="V520" s="68">
        <f t="shared" si="604"/>
        <v>1128.906916229681</v>
      </c>
      <c r="W520" s="66">
        <f t="shared" si="605"/>
        <v>271606.62496268837</v>
      </c>
    </row>
    <row r="521" spans="2:23" outlineLevel="1">
      <c r="G521" s="12">
        <f t="shared" si="570"/>
        <v>61.098630136986301</v>
      </c>
      <c r="H521" s="4">
        <v>411</v>
      </c>
      <c r="I521" s="4">
        <f t="shared" si="606"/>
        <v>35</v>
      </c>
      <c r="J521" s="30">
        <f t="shared" si="528"/>
        <v>53206</v>
      </c>
      <c r="K521" s="62">
        <f>+IF(OR(H521&gt;60,$C$21="nein"),IF($C$19="monatlich",$C$20,IF($C$19="quartalsweise",OR(MONTH(J521)={1,4,7,10})*$C$20,IF($C$19="jährlich",(MONTH(J521)=7)*$C$20))),IF($C$19="monatlich",$C$22,IF($C$19="quartalsweise",OR(MONTH(J521)={1,4,7,10})*$C$22,IF($C$19="jährlich",(MONTH(J521)=7)*$C$22))))</f>
        <v>0</v>
      </c>
      <c r="L521" s="66">
        <f t="shared" si="598"/>
        <v>0</v>
      </c>
      <c r="M521" s="62">
        <f t="shared" si="599"/>
        <v>0</v>
      </c>
      <c r="N521" s="67">
        <f>+IF(AND($C$19="monatlich",K521&lt;$C$20),$C$20-K521,IF(AND($C$19="quartalsweise",OR(MONTH(J521)={1,4,7,10}),K521&lt;$C$20),$C$20-K521,IF(AND($C$19="jährlich",MONTH(J521)=7,K521&lt;$C$20),$C$20-K521,0)))</f>
        <v>0</v>
      </c>
      <c r="O521" s="67">
        <v>0</v>
      </c>
      <c r="P521" s="67">
        <v>0</v>
      </c>
      <c r="Q521" s="63">
        <f t="shared" si="600"/>
        <v>0</v>
      </c>
      <c r="R521" s="68">
        <f t="shared" si="549"/>
        <v>0</v>
      </c>
      <c r="S521" s="69">
        <f t="shared" si="519"/>
        <v>136301.01761772847</v>
      </c>
      <c r="T521" s="68">
        <f t="shared" si="602"/>
        <v>0</v>
      </c>
      <c r="U521" s="66">
        <f t="shared" si="603"/>
        <v>-220.6803827821843</v>
      </c>
      <c r="V521" s="68">
        <f t="shared" si="604"/>
        <v>1132.6942706778682</v>
      </c>
      <c r="W521" s="66">
        <f t="shared" si="605"/>
        <v>272518.63885058404</v>
      </c>
    </row>
    <row r="522" spans="2:23" outlineLevel="1">
      <c r="G522" s="12">
        <f t="shared" si="570"/>
        <v>61.180821917808217</v>
      </c>
      <c r="H522" s="4">
        <v>412</v>
      </c>
      <c r="I522" s="4">
        <f t="shared" si="606"/>
        <v>35</v>
      </c>
      <c r="J522" s="30">
        <f t="shared" si="528"/>
        <v>53236</v>
      </c>
      <c r="K522" s="62">
        <f>+IF(OR(H522&gt;60,$C$21="nein"),IF($C$19="monatlich",$C$20,IF($C$19="quartalsweise",OR(MONTH(J522)={1,4,7,10})*$C$20,IF($C$19="jährlich",(MONTH(J522)=7)*$C$20))),IF($C$19="monatlich",$C$22,IF($C$19="quartalsweise",OR(MONTH(J522)={1,4,7,10})*$C$22,IF($C$19="jährlich",(MONTH(J522)=7)*$C$22))))</f>
        <v>900</v>
      </c>
      <c r="L522" s="66">
        <f t="shared" si="598"/>
        <v>0</v>
      </c>
      <c r="M522" s="62">
        <f t="shared" si="599"/>
        <v>0</v>
      </c>
      <c r="N522" s="67">
        <f>+IF(AND($C$19="monatlich",K522&lt;$C$20),$C$20-K522,IF(AND($C$19="quartalsweise",OR(MONTH(J522)={1,4,7,10}),K522&lt;$C$20),$C$20-K522,IF(AND($C$19="jährlich",MONTH(J522)=7,K522&lt;$C$20),$C$20-K522,0)))</f>
        <v>0</v>
      </c>
      <c r="O522" s="67">
        <v>0</v>
      </c>
      <c r="P522" s="67">
        <v>0</v>
      </c>
      <c r="Q522" s="63">
        <f t="shared" si="600"/>
        <v>0</v>
      </c>
      <c r="R522" s="68">
        <f t="shared" si="549"/>
        <v>900</v>
      </c>
      <c r="S522" s="69">
        <f t="shared" si="519"/>
        <v>137201.01761772847</v>
      </c>
      <c r="T522" s="68">
        <f t="shared" si="602"/>
        <v>0</v>
      </c>
      <c r="U522" s="66">
        <f t="shared" si="603"/>
        <v>-221.42139406609954</v>
      </c>
      <c r="V522" s="68">
        <f t="shared" si="604"/>
        <v>1136.4943285441002</v>
      </c>
      <c r="W522" s="66">
        <f t="shared" si="605"/>
        <v>274333.71178506204</v>
      </c>
    </row>
    <row r="523" spans="2:23" outlineLevel="1">
      <c r="G523" s="12">
        <f t="shared" si="570"/>
        <v>61.265753424657532</v>
      </c>
      <c r="H523" s="4">
        <v>413</v>
      </c>
      <c r="I523" s="4">
        <f t="shared" si="606"/>
        <v>35</v>
      </c>
      <c r="J523" s="30">
        <f t="shared" si="528"/>
        <v>53267</v>
      </c>
      <c r="K523" s="62">
        <f>+IF(OR(H523&gt;60,$C$21="nein"),IF($C$19="monatlich",$C$20,IF($C$19="quartalsweise",OR(MONTH(J523)={1,4,7,10})*$C$20,IF($C$19="jährlich",(MONTH(J523)=7)*$C$20))),IF($C$19="monatlich",$C$22,IF($C$19="quartalsweise",OR(MONTH(J523)={1,4,7,10})*$C$22,IF($C$19="jährlich",(MONTH(J523)=7)*$C$22))))</f>
        <v>0</v>
      </c>
      <c r="L523" s="66">
        <f t="shared" si="598"/>
        <v>0</v>
      </c>
      <c r="M523" s="62">
        <f t="shared" si="599"/>
        <v>0</v>
      </c>
      <c r="N523" s="67">
        <f>+IF(AND($C$19="monatlich",K523&lt;$C$20),$C$20-K523,IF(AND($C$19="quartalsweise",OR(MONTH(J523)={1,4,7,10}),K523&lt;$C$20),$C$20-K523,IF(AND($C$19="jährlich",MONTH(J523)=7,K523&lt;$C$20),$C$20-K523,0)))</f>
        <v>0</v>
      </c>
      <c r="O523" s="67">
        <v>0</v>
      </c>
      <c r="P523" s="67">
        <v>0</v>
      </c>
      <c r="Q523" s="63">
        <f t="shared" si="600"/>
        <v>0</v>
      </c>
      <c r="R523" s="68">
        <f t="shared" si="549"/>
        <v>0</v>
      </c>
      <c r="S523" s="69">
        <f t="shared" si="519"/>
        <v>137201.01761772847</v>
      </c>
      <c r="T523" s="68">
        <f t="shared" si="602"/>
        <v>0</v>
      </c>
      <c r="U523" s="66">
        <f t="shared" si="603"/>
        <v>-222.89614082536289</v>
      </c>
      <c r="V523" s="68">
        <f t="shared" si="604"/>
        <v>1144.0571324377586</v>
      </c>
      <c r="W523" s="66">
        <f t="shared" si="605"/>
        <v>275254.87277667446</v>
      </c>
    </row>
    <row r="524" spans="2:23" outlineLevel="1">
      <c r="G524" s="12">
        <f t="shared" si="570"/>
        <v>61.347945205479455</v>
      </c>
      <c r="H524" s="4">
        <v>414</v>
      </c>
      <c r="I524" s="4">
        <f t="shared" si="606"/>
        <v>35</v>
      </c>
      <c r="J524" s="30">
        <f t="shared" si="528"/>
        <v>53297</v>
      </c>
      <c r="K524" s="62">
        <f>+IF(OR(H524&gt;60,$C$21="nein"),IF($C$19="monatlich",$C$20,IF($C$19="quartalsweise",OR(MONTH(J524)={1,4,7,10})*$C$20,IF($C$19="jährlich",(MONTH(J524)=7)*$C$20))),IF($C$19="monatlich",$C$22,IF($C$19="quartalsweise",OR(MONTH(J524)={1,4,7,10})*$C$22,IF($C$19="jährlich",(MONTH(J524)=7)*$C$22))))</f>
        <v>0</v>
      </c>
      <c r="L524" s="66">
        <f t="shared" si="598"/>
        <v>0</v>
      </c>
      <c r="M524" s="62">
        <f t="shared" si="599"/>
        <v>0</v>
      </c>
      <c r="N524" s="67">
        <f>+IF(AND($C$19="monatlich",K524&lt;$C$20),$C$20-K524,IF(AND($C$19="quartalsweise",OR(MONTH(J524)={1,4,7,10}),K524&lt;$C$20),$C$20-K524,IF(AND($C$19="jährlich",MONTH(J524)=7,K524&lt;$C$20),$C$20-K524,0)))</f>
        <v>0</v>
      </c>
      <c r="O524" s="67">
        <v>0</v>
      </c>
      <c r="P524" s="67">
        <v>0</v>
      </c>
      <c r="Q524" s="63">
        <f t="shared" si="600"/>
        <v>0</v>
      </c>
      <c r="R524" s="68">
        <f t="shared" si="549"/>
        <v>0</v>
      </c>
      <c r="S524" s="69">
        <f t="shared" si="519"/>
        <v>137201.01761772847</v>
      </c>
      <c r="T524" s="68">
        <f t="shared" si="602"/>
        <v>-15.4</v>
      </c>
      <c r="U524" s="66">
        <f t="shared" si="603"/>
        <v>-223.64458413104799</v>
      </c>
      <c r="V524" s="68">
        <f t="shared" si="604"/>
        <v>1147.8953032361435</v>
      </c>
      <c r="W524" s="66">
        <f t="shared" si="605"/>
        <v>276163.72349577956</v>
      </c>
    </row>
    <row r="525" spans="2:23" outlineLevel="1">
      <c r="G525" s="12">
        <f t="shared" si="570"/>
        <v>61.43287671232877</v>
      </c>
      <c r="H525" s="4">
        <v>415</v>
      </c>
      <c r="I525" s="4">
        <f t="shared" si="606"/>
        <v>35</v>
      </c>
      <c r="J525" s="30">
        <f t="shared" si="528"/>
        <v>53328</v>
      </c>
      <c r="K525" s="62">
        <f>+IF(OR(H525&gt;60,$C$21="nein"),IF($C$19="monatlich",$C$20,IF($C$19="quartalsweise",OR(MONTH(J525)={1,4,7,10})*$C$20,IF($C$19="jährlich",(MONTH(J525)=7)*$C$20))),IF($C$19="monatlich",$C$22,IF($C$19="quartalsweise",OR(MONTH(J525)={1,4,7,10})*$C$22,IF($C$19="jährlich",(MONTH(J525)=7)*$C$22))))</f>
        <v>900</v>
      </c>
      <c r="L525" s="66">
        <f t="shared" si="598"/>
        <v>0</v>
      </c>
      <c r="M525" s="62">
        <f t="shared" si="599"/>
        <v>0</v>
      </c>
      <c r="N525" s="67">
        <f>+IF(AND($C$19="monatlich",K525&lt;$C$20),$C$20-K525,IF(AND($C$19="quartalsweise",OR(MONTH(J525)={1,4,7,10}),K525&lt;$C$20),$C$20-K525,IF(AND($C$19="jährlich",MONTH(J525)=7,K525&lt;$C$20),$C$20-K525,0)))</f>
        <v>0</v>
      </c>
      <c r="O525" s="67">
        <v>0</v>
      </c>
      <c r="P525" s="67">
        <v>0</v>
      </c>
      <c r="Q525" s="63">
        <f t="shared" si="600"/>
        <v>0</v>
      </c>
      <c r="R525" s="68">
        <f t="shared" si="549"/>
        <v>900</v>
      </c>
      <c r="S525" s="69">
        <f t="shared" si="519"/>
        <v>138101.01761772847</v>
      </c>
      <c r="T525" s="68">
        <f t="shared" si="602"/>
        <v>0</v>
      </c>
      <c r="U525" s="66">
        <f t="shared" si="603"/>
        <v>-224.38302534032087</v>
      </c>
      <c r="V525" s="68">
        <f t="shared" si="604"/>
        <v>1151.6821812324149</v>
      </c>
      <c r="W525" s="66">
        <f t="shared" si="605"/>
        <v>277991.02265167166</v>
      </c>
    </row>
    <row r="526" spans="2:23" outlineLevel="1">
      <c r="G526" s="12">
        <f t="shared" si="570"/>
        <v>61.517808219178079</v>
      </c>
      <c r="H526" s="4">
        <v>416</v>
      </c>
      <c r="I526" s="4">
        <f t="shared" si="606"/>
        <v>35</v>
      </c>
      <c r="J526" s="30">
        <f t="shared" si="528"/>
        <v>53359</v>
      </c>
      <c r="K526" s="62">
        <f>+IF(OR(H526&gt;60,$C$21="nein"),IF($C$19="monatlich",$C$20,IF($C$19="quartalsweise",OR(MONTH(J526)={1,4,7,10})*$C$20,IF($C$19="jährlich",(MONTH(J526)=7)*$C$20))),IF($C$19="monatlich",$C$22,IF($C$19="quartalsweise",OR(MONTH(J526)={1,4,7,10})*$C$22,IF($C$19="jährlich",(MONTH(J526)=7)*$C$22))))</f>
        <v>0</v>
      </c>
      <c r="L526" s="66">
        <f t="shared" si="598"/>
        <v>0</v>
      </c>
      <c r="M526" s="62">
        <f t="shared" si="599"/>
        <v>0</v>
      </c>
      <c r="N526" s="67">
        <f>+IF(AND($C$19="monatlich",K526&lt;$C$20),$C$20-K526,IF(AND($C$19="quartalsweise",OR(MONTH(J526)={1,4,7,10}),K526&lt;$C$20),$C$20-K526,IF(AND($C$19="jährlich",MONTH(J526)=7,K526&lt;$C$20),$C$20-K526,0)))</f>
        <v>0</v>
      </c>
      <c r="O526" s="67">
        <v>0</v>
      </c>
      <c r="P526" s="67">
        <v>0</v>
      </c>
      <c r="Q526" s="63">
        <f t="shared" si="600"/>
        <v>0</v>
      </c>
      <c r="R526" s="68">
        <f t="shared" si="549"/>
        <v>0</v>
      </c>
      <c r="S526" s="69">
        <f t="shared" ref="S526:S589" si="607">+IF(EXACT(J526,J525),S525,SUM(S525,R526))</f>
        <v>138101.01761772847</v>
      </c>
      <c r="T526" s="68">
        <f t="shared" si="602"/>
        <v>0</v>
      </c>
      <c r="U526" s="66">
        <f t="shared" si="603"/>
        <v>-225.86770590448322</v>
      </c>
      <c r="V526" s="68">
        <f t="shared" si="604"/>
        <v>1159.2959277152986</v>
      </c>
      <c r="W526" s="66">
        <f t="shared" si="605"/>
        <v>278924.45087348251</v>
      </c>
    </row>
    <row r="527" spans="2:23" outlineLevel="1">
      <c r="G527" s="12">
        <f t="shared" si="570"/>
        <v>61.594520547945208</v>
      </c>
      <c r="H527" s="4">
        <v>417</v>
      </c>
      <c r="I527" s="4">
        <f t="shared" si="606"/>
        <v>35</v>
      </c>
      <c r="J527" s="30">
        <f t="shared" si="528"/>
        <v>53387</v>
      </c>
      <c r="K527" s="62">
        <f>+IF(OR(H527&gt;60,$C$21="nein"),IF($C$19="monatlich",$C$20,IF($C$19="quartalsweise",OR(MONTH(J527)={1,4,7,10})*$C$20,IF($C$19="jährlich",(MONTH(J527)=7)*$C$20))),IF($C$19="monatlich",$C$22,IF($C$19="quartalsweise",OR(MONTH(J527)={1,4,7,10})*$C$22,IF($C$19="jährlich",(MONTH(J527)=7)*$C$22))))</f>
        <v>0</v>
      </c>
      <c r="L527" s="66">
        <f t="shared" si="598"/>
        <v>0</v>
      </c>
      <c r="M527" s="62">
        <f t="shared" si="599"/>
        <v>0</v>
      </c>
      <c r="N527" s="67">
        <f>+IF(AND($C$19="monatlich",K527&lt;$C$20),$C$20-K527,IF(AND($C$19="quartalsweise",OR(MONTH(J527)={1,4,7,10}),K527&lt;$C$20),$C$20-K527,IF(AND($C$19="jährlich",MONTH(J527)=7,K527&lt;$C$20),$C$20-K527,0)))-$C$67/100*SUM(Q509:Q517,Q519:Q521)-$C$66/100*SUM(L509:L517,L519:L521)</f>
        <v>8.1052631578947363</v>
      </c>
      <c r="O527" s="67">
        <v>0</v>
      </c>
      <c r="P527" s="67">
        <v>0</v>
      </c>
      <c r="Q527" s="63">
        <f t="shared" si="600"/>
        <v>-0.40526315789473683</v>
      </c>
      <c r="R527" s="68">
        <f t="shared" si="549"/>
        <v>8.1052631578947363</v>
      </c>
      <c r="S527" s="69">
        <f t="shared" si="607"/>
        <v>138109.12288088637</v>
      </c>
      <c r="T527" s="68">
        <f t="shared" si="602"/>
        <v>0</v>
      </c>
      <c r="U527" s="66">
        <f t="shared" si="603"/>
        <v>-226.62611633470453</v>
      </c>
      <c r="V527" s="68">
        <f t="shared" si="604"/>
        <v>1163.1852119728437</v>
      </c>
      <c r="W527" s="66">
        <f t="shared" si="605"/>
        <v>279868.70996912068</v>
      </c>
    </row>
    <row r="528" spans="2:23" outlineLevel="1">
      <c r="G528" s="12">
        <f t="shared" si="570"/>
        <v>61.679452054794524</v>
      </c>
      <c r="H528" s="4">
        <v>418</v>
      </c>
      <c r="I528" s="4">
        <f t="shared" si="606"/>
        <v>35</v>
      </c>
      <c r="J528" s="30">
        <f t="shared" si="528"/>
        <v>53418</v>
      </c>
      <c r="K528" s="62">
        <f>+IF(OR(H528&gt;60,$C$21="nein"),IF($C$19="monatlich",$C$20,IF($C$19="quartalsweise",OR(MONTH(J528)={1,4,7,10})*$C$20,IF($C$19="jährlich",(MONTH(J528)=7)*$C$20))),IF($C$19="monatlich",$C$22,IF($C$19="quartalsweise",OR(MONTH(J528)={1,4,7,10})*$C$22,IF($C$19="jährlich",(MONTH(J528)=7)*$C$22))))</f>
        <v>900</v>
      </c>
      <c r="L528" s="66">
        <f t="shared" si="598"/>
        <v>0</v>
      </c>
      <c r="M528" s="62">
        <f t="shared" si="599"/>
        <v>154</v>
      </c>
      <c r="N528" s="67">
        <f>+IF(AND($C$19="monatlich",K528&lt;$C$20),$C$20-K528,IF(AND($C$19="quartalsweise",OR(MONTH(J528)={1,4,7,10}),K528&lt;$C$20),$C$20-K528,IF(AND($C$19="jährlich",MONTH(J528)=7,K528&lt;$C$20),$C$20-K528,0)))</f>
        <v>0</v>
      </c>
      <c r="O528" s="67">
        <v>0</v>
      </c>
      <c r="P528" s="67">
        <v>0</v>
      </c>
      <c r="Q528" s="63">
        <f t="shared" si="600"/>
        <v>-7.7</v>
      </c>
      <c r="R528" s="68">
        <f t="shared" si="549"/>
        <v>1054</v>
      </c>
      <c r="S528" s="69">
        <f t="shared" si="607"/>
        <v>139163.12288088637</v>
      </c>
      <c r="T528" s="68">
        <f t="shared" si="602"/>
        <v>0</v>
      </c>
      <c r="U528" s="66">
        <f t="shared" si="603"/>
        <v>-227.39332684991055</v>
      </c>
      <c r="V528" s="68">
        <f t="shared" si="604"/>
        <v>1167.1196248713361</v>
      </c>
      <c r="W528" s="66">
        <f t="shared" si="605"/>
        <v>281854.73626714211</v>
      </c>
    </row>
    <row r="529" spans="2:23" outlineLevel="1">
      <c r="G529" s="12">
        <f t="shared" si="570"/>
        <v>61.761643835616439</v>
      </c>
      <c r="H529" s="4">
        <v>419</v>
      </c>
      <c r="I529" s="4">
        <f t="shared" si="606"/>
        <v>35</v>
      </c>
      <c r="J529" s="30">
        <f t="shared" si="528"/>
        <v>53448</v>
      </c>
      <c r="K529" s="62">
        <f>+IF(OR(H529&gt;60,$C$21="nein"),IF($C$19="monatlich",$C$20,IF($C$19="quartalsweise",OR(MONTH(J529)={1,4,7,10})*$C$20,IF($C$19="jährlich",(MONTH(J529)=7)*$C$20))),IF($C$19="monatlich",$C$22,IF($C$19="quartalsweise",OR(MONTH(J529)={1,4,7,10})*$C$22,IF($C$19="jährlich",(MONTH(J529)=7)*$C$22))))</f>
        <v>0</v>
      </c>
      <c r="L529" s="66">
        <f t="shared" si="598"/>
        <v>0</v>
      </c>
      <c r="M529" s="62">
        <f t="shared" si="599"/>
        <v>0</v>
      </c>
      <c r="N529" s="67">
        <f>+IF(AND($C$19="monatlich",K529&lt;$C$20),$C$20-K529,IF(AND($C$19="quartalsweise",OR(MONTH(J529)={1,4,7,10}),K529&lt;$C$20),$C$20-K529,IF(AND($C$19="jährlich",MONTH(J529)=7,K529&lt;$C$20),$C$20-K529,0)))</f>
        <v>0</v>
      </c>
      <c r="O529" s="67">
        <v>0</v>
      </c>
      <c r="P529" s="67">
        <v>0</v>
      </c>
      <c r="Q529" s="63">
        <f t="shared" si="600"/>
        <v>0</v>
      </c>
      <c r="R529" s="68">
        <f t="shared" si="549"/>
        <v>0</v>
      </c>
      <c r="S529" s="69">
        <f t="shared" si="607"/>
        <v>139163.12288088637</v>
      </c>
      <c r="T529" s="68">
        <f t="shared" si="602"/>
        <v>0</v>
      </c>
      <c r="U529" s="66">
        <f t="shared" si="603"/>
        <v>-229.00697321705294</v>
      </c>
      <c r="V529" s="68">
        <f t="shared" si="604"/>
        <v>1175.3947344464254</v>
      </c>
      <c r="W529" s="66">
        <f t="shared" si="605"/>
        <v>282801.12402837147</v>
      </c>
    </row>
    <row r="530" spans="2:23" outlineLevel="1">
      <c r="G530" s="13">
        <f t="shared" si="570"/>
        <v>61.846575342465755</v>
      </c>
      <c r="H530" s="6">
        <v>420</v>
      </c>
      <c r="I530" s="6">
        <f t="shared" si="606"/>
        <v>35</v>
      </c>
      <c r="J530" s="31">
        <f t="shared" si="528"/>
        <v>53479</v>
      </c>
      <c r="K530" s="62">
        <f>+IF(OR(H530&gt;60,$C$21="nein"),IF($C$19="monatlich",$C$20,IF($C$19="quartalsweise",OR(MONTH(J530)={1,4,7,10})*$C$20,IF($C$19="jährlich",(MONTH(J530)=7)*$C$20))),IF($C$19="monatlich",$C$22,IF($C$19="quartalsweise",OR(MONTH(J530)={1,4,7,10})*$C$22,IF($C$19="jährlich",(MONTH(J530)=7)*$C$22))))</f>
        <v>0</v>
      </c>
      <c r="L530" s="70">
        <f t="shared" si="598"/>
        <v>0</v>
      </c>
      <c r="M530" s="62">
        <f t="shared" si="599"/>
        <v>0</v>
      </c>
      <c r="N530" s="71">
        <f>+IF(AND($C$19="monatlich",K530&lt;$C$20),$C$20-K530,IF(AND($C$19="quartalsweise",OR(MONTH(J530)={1,4,7,10}),K530&lt;$C$20),$C$20-K530,IF(AND($C$19="jährlich",MONTH(J530)=7,K530&lt;$C$20),$C$20-K530,0)))</f>
        <v>0</v>
      </c>
      <c r="O530" s="71">
        <v>0</v>
      </c>
      <c r="P530" s="71">
        <v>0</v>
      </c>
      <c r="Q530" s="63">
        <f t="shared" si="600"/>
        <v>0</v>
      </c>
      <c r="R530" s="72">
        <f t="shared" si="549"/>
        <v>0</v>
      </c>
      <c r="S530" s="73">
        <f t="shared" si="607"/>
        <v>139163.12288088637</v>
      </c>
      <c r="T530" s="72">
        <f t="shared" si="602"/>
        <v>0</v>
      </c>
      <c r="U530" s="70">
        <f t="shared" si="603"/>
        <v>-229.7759132730518</v>
      </c>
      <c r="V530" s="72">
        <f t="shared" si="604"/>
        <v>1179.3380167848811</v>
      </c>
      <c r="W530" s="70">
        <f t="shared" si="605"/>
        <v>283750.6861318833</v>
      </c>
    </row>
    <row r="531" spans="2:23" s="5" customFormat="1" ht="15">
      <c r="B531" s="17"/>
      <c r="G531" s="115">
        <f t="shared" si="570"/>
        <v>61.846575342465755</v>
      </c>
      <c r="H531" s="116" t="str">
        <f>H519&amp;" - "&amp;H530</f>
        <v>409 - 420</v>
      </c>
      <c r="I531" s="117">
        <f t="shared" si="606"/>
        <v>35</v>
      </c>
      <c r="J531" s="118">
        <f t="shared" ref="J531" si="608">+J530</f>
        <v>53479</v>
      </c>
      <c r="K531" s="119">
        <f t="shared" ref="K531:L531" si="609">SUM(K519:K530)</f>
        <v>3600</v>
      </c>
      <c r="L531" s="120">
        <f t="shared" si="609"/>
        <v>0</v>
      </c>
      <c r="M531" s="119">
        <f t="shared" ref="M531" si="610">SUM(M519:M530)</f>
        <v>154</v>
      </c>
      <c r="N531" s="121">
        <f t="shared" si="575"/>
        <v>8.1052631578947363</v>
      </c>
      <c r="O531" s="121">
        <f t="shared" ref="O531" si="611">SUM(O519:O530)</f>
        <v>0</v>
      </c>
      <c r="P531" s="121">
        <f t="shared" ref="P531" si="612">SUM(P519:P530)</f>
        <v>0</v>
      </c>
      <c r="Q531" s="120">
        <f t="shared" si="593"/>
        <v>-8.1052631578947363</v>
      </c>
      <c r="R531" s="119">
        <f t="shared" ref="R531" si="613">SUM(R519:R530)</f>
        <v>3762.1052631578946</v>
      </c>
      <c r="S531" s="122">
        <f t="shared" si="607"/>
        <v>139163.12288088637</v>
      </c>
      <c r="T531" s="119">
        <f t="shared" ref="T531:V531" si="614">SUM(T519:T530)</f>
        <v>-15.4</v>
      </c>
      <c r="U531" s="120">
        <f t="shared" si="614"/>
        <v>-2690.1143893568601</v>
      </c>
      <c r="V531" s="119">
        <f t="shared" si="614"/>
        <v>13807.458406958258</v>
      </c>
      <c r="W531" s="123">
        <f t="shared" ref="W531" si="615">+W530</f>
        <v>283750.6861318833</v>
      </c>
    </row>
    <row r="532" spans="2:23" outlineLevel="1">
      <c r="G532" s="11">
        <f t="shared" si="570"/>
        <v>61.92876712328767</v>
      </c>
      <c r="H532" s="2">
        <v>421</v>
      </c>
      <c r="I532" s="2">
        <f t="shared" si="606"/>
        <v>36</v>
      </c>
      <c r="J532" s="29">
        <f t="shared" ref="J532:J595" si="616">+DATE(YEAR(J531),MONTH(J531)+1,1)</f>
        <v>53509</v>
      </c>
      <c r="K532" s="62">
        <f>+IF(OR(H532&gt;60,$C$21="nein"),IF($C$19="monatlich",$C$20,IF($C$19="quartalsweise",OR(MONTH(J532)={1,4,7,10})*$C$20,IF($C$19="jährlich",(MONTH(J532)=7)*$C$20))),IF($C$19="monatlich",$C$22,IF($C$19="quartalsweise",OR(MONTH(J532)={1,4,7,10})*$C$22,IF($C$19="jährlich",(MONTH(J532)=7)*$C$22))))</f>
        <v>900</v>
      </c>
      <c r="L532" s="63">
        <f t="shared" ref="L532:L543" si="617">-IF(H532&gt;60,0,IF($C$19="monatlich",$C$52,IF(AND($C$19="quartalsweise",K532&gt;0),$C$52,IF(AND($C$19="jährlich",K532&gt;0),$C$51,0))))</f>
        <v>0</v>
      </c>
      <c r="M532" s="62">
        <f t="shared" ref="M532:M543" si="618">+IF(MONTH(J532)=4,$C$25,0)</f>
        <v>0</v>
      </c>
      <c r="N532" s="64">
        <f>+IF(AND($C$19="monatlich",K532&lt;$C$20),$C$20-K532,IF(AND($C$19="quartalsweise",OR(MONTH(J532)={1,4,7,10}),K532&lt;$C$20),$C$20-K532,IF(AND($C$19="jährlich",MONTH(J532)=7,K532&lt;$C$20),$C$20-K532,0)))</f>
        <v>0</v>
      </c>
      <c r="O532" s="64">
        <v>0</v>
      </c>
      <c r="P532" s="64">
        <v>0</v>
      </c>
      <c r="Q532" s="63">
        <f t="shared" ref="Q532:Q543" si="619">-SUM(M532:P532)*$C$47/100</f>
        <v>0</v>
      </c>
      <c r="R532" s="62">
        <f t="shared" ref="R532" si="620">+SUM(K532,M532:P532)</f>
        <v>900</v>
      </c>
      <c r="S532" s="65">
        <f t="shared" si="607"/>
        <v>140063.12288088637</v>
      </c>
      <c r="T532" s="62">
        <f t="shared" ref="T532:T543" si="621">-IF(MONTH(J532)=12,$C$55,0)</f>
        <v>0</v>
      </c>
      <c r="U532" s="63">
        <f t="shared" ref="U532:U543" si="622">-W531*($D$43/100/12)</f>
        <v>-230.54743248215516</v>
      </c>
      <c r="V532" s="62">
        <f t="shared" ref="V532:V543" si="623">+(1+(IF($C$71="pauschal",$C$72/100/12,VLOOKUP(I531,$J$5:$L$44,3,FALSE)/100/12)*W531))</f>
        <v>1183.2945255495138</v>
      </c>
      <c r="W532" s="63">
        <f t="shared" ref="W532:W543" si="624">+SUM(W531,R532,L532,Q532,T532:V532)</f>
        <v>285603.43322495068</v>
      </c>
    </row>
    <row r="533" spans="2:23" outlineLevel="1">
      <c r="G533" s="12">
        <f t="shared" si="570"/>
        <v>62.013698630136986</v>
      </c>
      <c r="H533" s="4">
        <v>422</v>
      </c>
      <c r="I533" s="4">
        <f t="shared" si="606"/>
        <v>36</v>
      </c>
      <c r="J533" s="30">
        <f t="shared" si="616"/>
        <v>53540</v>
      </c>
      <c r="K533" s="62">
        <f>+IF(OR(H533&gt;60,$C$21="nein"),IF($C$19="monatlich",$C$20,IF($C$19="quartalsweise",OR(MONTH(J533)={1,4,7,10})*$C$20,IF($C$19="jährlich",(MONTH(J533)=7)*$C$20))),IF($C$19="monatlich",$C$22,IF($C$19="quartalsweise",OR(MONTH(J533)={1,4,7,10})*$C$22,IF($C$19="jährlich",(MONTH(J533)=7)*$C$22))))</f>
        <v>0</v>
      </c>
      <c r="L533" s="66">
        <f t="shared" si="617"/>
        <v>0</v>
      </c>
      <c r="M533" s="62">
        <f t="shared" si="618"/>
        <v>0</v>
      </c>
      <c r="N533" s="67">
        <f>+IF(AND($C$19="monatlich",K533&lt;$C$20),$C$20-K533,IF(AND($C$19="quartalsweise",OR(MONTH(J533)={1,4,7,10}),K533&lt;$C$20),$C$20-K533,IF(AND($C$19="jährlich",MONTH(J533)=7,K533&lt;$C$20),$C$20-K533,0)))</f>
        <v>0</v>
      </c>
      <c r="O533" s="67">
        <v>0</v>
      </c>
      <c r="P533" s="67">
        <v>0</v>
      </c>
      <c r="Q533" s="63">
        <f t="shared" si="619"/>
        <v>0</v>
      </c>
      <c r="R533" s="68">
        <f t="shared" si="549"/>
        <v>0</v>
      </c>
      <c r="S533" s="69">
        <f t="shared" si="607"/>
        <v>140063.12288088637</v>
      </c>
      <c r="T533" s="68">
        <f t="shared" si="621"/>
        <v>0</v>
      </c>
      <c r="U533" s="66">
        <f t="shared" si="622"/>
        <v>-232.05278949527241</v>
      </c>
      <c r="V533" s="68">
        <f t="shared" si="623"/>
        <v>1191.0143051039611</v>
      </c>
      <c r="W533" s="66">
        <f t="shared" si="624"/>
        <v>286562.39474055939</v>
      </c>
    </row>
    <row r="534" spans="2:23" outlineLevel="1">
      <c r="G534" s="12">
        <f t="shared" si="570"/>
        <v>62.098630136986301</v>
      </c>
      <c r="H534" s="4">
        <v>423</v>
      </c>
      <c r="I534" s="4">
        <f t="shared" si="606"/>
        <v>36</v>
      </c>
      <c r="J534" s="30">
        <f t="shared" si="616"/>
        <v>53571</v>
      </c>
      <c r="K534" s="62">
        <f>+IF(OR(H534&gt;60,$C$21="nein"),IF($C$19="monatlich",$C$20,IF($C$19="quartalsweise",OR(MONTH(J534)={1,4,7,10})*$C$20,IF($C$19="jährlich",(MONTH(J534)=7)*$C$20))),IF($C$19="monatlich",$C$22,IF($C$19="quartalsweise",OR(MONTH(J534)={1,4,7,10})*$C$22,IF($C$19="jährlich",(MONTH(J534)=7)*$C$22))))</f>
        <v>0</v>
      </c>
      <c r="L534" s="66">
        <f t="shared" si="617"/>
        <v>0</v>
      </c>
      <c r="M534" s="62">
        <f t="shared" si="618"/>
        <v>0</v>
      </c>
      <c r="N534" s="67">
        <f>+IF(AND($C$19="monatlich",K534&lt;$C$20),$C$20-K534,IF(AND($C$19="quartalsweise",OR(MONTH(J534)={1,4,7,10}),K534&lt;$C$20),$C$20-K534,IF(AND($C$19="jährlich",MONTH(J534)=7,K534&lt;$C$20),$C$20-K534,0)))</f>
        <v>0</v>
      </c>
      <c r="O534" s="67">
        <v>0</v>
      </c>
      <c r="P534" s="67">
        <v>0</v>
      </c>
      <c r="Q534" s="63">
        <f t="shared" si="619"/>
        <v>0</v>
      </c>
      <c r="R534" s="68">
        <f t="shared" si="549"/>
        <v>0</v>
      </c>
      <c r="S534" s="69">
        <f t="shared" si="607"/>
        <v>140063.12288088637</v>
      </c>
      <c r="T534" s="68">
        <f t="shared" si="621"/>
        <v>0</v>
      </c>
      <c r="U534" s="66">
        <f t="shared" si="622"/>
        <v>-232.8319457267045</v>
      </c>
      <c r="V534" s="68">
        <f t="shared" si="623"/>
        <v>1195.0099780856642</v>
      </c>
      <c r="W534" s="66">
        <f t="shared" si="624"/>
        <v>287524.57277291833</v>
      </c>
    </row>
    <row r="535" spans="2:23" outlineLevel="1">
      <c r="G535" s="12">
        <f t="shared" si="570"/>
        <v>62.180821917808217</v>
      </c>
      <c r="H535" s="4">
        <v>424</v>
      </c>
      <c r="I535" s="4">
        <f t="shared" si="606"/>
        <v>36</v>
      </c>
      <c r="J535" s="30">
        <f t="shared" si="616"/>
        <v>53601</v>
      </c>
      <c r="K535" s="62">
        <f>+IF(OR(H535&gt;60,$C$21="nein"),IF($C$19="monatlich",$C$20,IF($C$19="quartalsweise",OR(MONTH(J535)={1,4,7,10})*$C$20,IF($C$19="jährlich",(MONTH(J535)=7)*$C$20))),IF($C$19="monatlich",$C$22,IF($C$19="quartalsweise",OR(MONTH(J535)={1,4,7,10})*$C$22,IF($C$19="jährlich",(MONTH(J535)=7)*$C$22))))</f>
        <v>900</v>
      </c>
      <c r="L535" s="66">
        <f t="shared" si="617"/>
        <v>0</v>
      </c>
      <c r="M535" s="62">
        <f t="shared" si="618"/>
        <v>0</v>
      </c>
      <c r="N535" s="67">
        <f>+IF(AND($C$19="monatlich",K535&lt;$C$20),$C$20-K535,IF(AND($C$19="quartalsweise",OR(MONTH(J535)={1,4,7,10}),K535&lt;$C$20),$C$20-K535,IF(AND($C$19="jährlich",MONTH(J535)=7,K535&lt;$C$20),$C$20-K535,0)))</f>
        <v>0</v>
      </c>
      <c r="O535" s="67">
        <v>0</v>
      </c>
      <c r="P535" s="67">
        <v>0</v>
      </c>
      <c r="Q535" s="63">
        <f t="shared" si="619"/>
        <v>0</v>
      </c>
      <c r="R535" s="68">
        <f t="shared" si="549"/>
        <v>900</v>
      </c>
      <c r="S535" s="69">
        <f t="shared" si="607"/>
        <v>140963.12288088637</v>
      </c>
      <c r="T535" s="68">
        <f t="shared" si="621"/>
        <v>0</v>
      </c>
      <c r="U535" s="66">
        <f t="shared" si="622"/>
        <v>-233.61371537799613</v>
      </c>
      <c r="V535" s="68">
        <f t="shared" si="623"/>
        <v>1199.0190532204931</v>
      </c>
      <c r="W535" s="66">
        <f t="shared" si="624"/>
        <v>289389.97811076086</v>
      </c>
    </row>
    <row r="536" spans="2:23" outlineLevel="1">
      <c r="G536" s="12">
        <f t="shared" si="570"/>
        <v>62.265753424657532</v>
      </c>
      <c r="H536" s="4">
        <v>425</v>
      </c>
      <c r="I536" s="4">
        <f t="shared" si="606"/>
        <v>36</v>
      </c>
      <c r="J536" s="30">
        <f t="shared" si="616"/>
        <v>53632</v>
      </c>
      <c r="K536" s="62">
        <f>+IF(OR(H536&gt;60,$C$21="nein"),IF($C$19="monatlich",$C$20,IF($C$19="quartalsweise",OR(MONTH(J536)={1,4,7,10})*$C$20,IF($C$19="jährlich",(MONTH(J536)=7)*$C$20))),IF($C$19="monatlich",$C$22,IF($C$19="quartalsweise",OR(MONTH(J536)={1,4,7,10})*$C$22,IF($C$19="jährlich",(MONTH(J536)=7)*$C$22))))</f>
        <v>0</v>
      </c>
      <c r="L536" s="66">
        <f t="shared" si="617"/>
        <v>0</v>
      </c>
      <c r="M536" s="62">
        <f t="shared" si="618"/>
        <v>0</v>
      </c>
      <c r="N536" s="67">
        <f>+IF(AND($C$19="monatlich",K536&lt;$C$20),$C$20-K536,IF(AND($C$19="quartalsweise",OR(MONTH(J536)={1,4,7,10}),K536&lt;$C$20),$C$20-K536,IF(AND($C$19="jährlich",MONTH(J536)=7,K536&lt;$C$20),$C$20-K536,0)))</f>
        <v>0</v>
      </c>
      <c r="O536" s="67">
        <v>0</v>
      </c>
      <c r="P536" s="67">
        <v>0</v>
      </c>
      <c r="Q536" s="63">
        <f t="shared" si="619"/>
        <v>0</v>
      </c>
      <c r="R536" s="68">
        <f t="shared" si="549"/>
        <v>0</v>
      </c>
      <c r="S536" s="69">
        <f t="shared" si="607"/>
        <v>140963.12288088637</v>
      </c>
      <c r="T536" s="68">
        <f t="shared" si="621"/>
        <v>0</v>
      </c>
      <c r="U536" s="66">
        <f t="shared" si="622"/>
        <v>-235.12935721499318</v>
      </c>
      <c r="V536" s="68">
        <f t="shared" si="623"/>
        <v>1206.7915754615035</v>
      </c>
      <c r="W536" s="66">
        <f t="shared" si="624"/>
        <v>290361.64032900735</v>
      </c>
    </row>
    <row r="537" spans="2:23" outlineLevel="1">
      <c r="G537" s="12">
        <f t="shared" si="570"/>
        <v>62.347945205479455</v>
      </c>
      <c r="H537" s="4">
        <v>426</v>
      </c>
      <c r="I537" s="4">
        <f t="shared" si="606"/>
        <v>36</v>
      </c>
      <c r="J537" s="30">
        <f t="shared" si="616"/>
        <v>53662</v>
      </c>
      <c r="K537" s="62">
        <f>+IF(OR(H537&gt;60,$C$21="nein"),IF($C$19="monatlich",$C$20,IF($C$19="quartalsweise",OR(MONTH(J537)={1,4,7,10})*$C$20,IF($C$19="jährlich",(MONTH(J537)=7)*$C$20))),IF($C$19="monatlich",$C$22,IF($C$19="quartalsweise",OR(MONTH(J537)={1,4,7,10})*$C$22,IF($C$19="jährlich",(MONTH(J537)=7)*$C$22))))</f>
        <v>0</v>
      </c>
      <c r="L537" s="66">
        <f t="shared" si="617"/>
        <v>0</v>
      </c>
      <c r="M537" s="62">
        <f t="shared" si="618"/>
        <v>0</v>
      </c>
      <c r="N537" s="67">
        <f>+IF(AND($C$19="monatlich",K537&lt;$C$20),$C$20-K537,IF(AND($C$19="quartalsweise",OR(MONTH(J537)={1,4,7,10}),K537&lt;$C$20),$C$20-K537,IF(AND($C$19="jährlich",MONTH(J537)=7,K537&lt;$C$20),$C$20-K537,0)))</f>
        <v>0</v>
      </c>
      <c r="O537" s="67">
        <v>0</v>
      </c>
      <c r="P537" s="67">
        <v>0</v>
      </c>
      <c r="Q537" s="63">
        <f t="shared" si="619"/>
        <v>0</v>
      </c>
      <c r="R537" s="68">
        <f t="shared" si="549"/>
        <v>0</v>
      </c>
      <c r="S537" s="69">
        <f t="shared" si="607"/>
        <v>140963.12288088637</v>
      </c>
      <c r="T537" s="68">
        <f t="shared" si="621"/>
        <v>-15.4</v>
      </c>
      <c r="U537" s="66">
        <f t="shared" si="622"/>
        <v>-235.91883276731846</v>
      </c>
      <c r="V537" s="68">
        <f t="shared" si="623"/>
        <v>1210.8401680375307</v>
      </c>
      <c r="W537" s="66">
        <f t="shared" si="624"/>
        <v>291321.16166427749</v>
      </c>
    </row>
    <row r="538" spans="2:23" outlineLevel="1">
      <c r="G538" s="12">
        <f t="shared" si="570"/>
        <v>62.43287671232877</v>
      </c>
      <c r="H538" s="4">
        <v>427</v>
      </c>
      <c r="I538" s="4">
        <f t="shared" si="606"/>
        <v>36</v>
      </c>
      <c r="J538" s="30">
        <f t="shared" si="616"/>
        <v>53693</v>
      </c>
      <c r="K538" s="62">
        <f>+IF(OR(H538&gt;60,$C$21="nein"),IF($C$19="monatlich",$C$20,IF($C$19="quartalsweise",OR(MONTH(J538)={1,4,7,10})*$C$20,IF($C$19="jährlich",(MONTH(J538)=7)*$C$20))),IF($C$19="monatlich",$C$22,IF($C$19="quartalsweise",OR(MONTH(J538)={1,4,7,10})*$C$22,IF($C$19="jährlich",(MONTH(J538)=7)*$C$22))))</f>
        <v>900</v>
      </c>
      <c r="L538" s="66">
        <f t="shared" si="617"/>
        <v>0</v>
      </c>
      <c r="M538" s="62">
        <f t="shared" si="618"/>
        <v>0</v>
      </c>
      <c r="N538" s="67">
        <f>+IF(AND($C$19="monatlich",K538&lt;$C$20),$C$20-K538,IF(AND($C$19="quartalsweise",OR(MONTH(J538)={1,4,7,10}),K538&lt;$C$20),$C$20-K538,IF(AND($C$19="jährlich",MONTH(J538)=7,K538&lt;$C$20),$C$20-K538,0)))</f>
        <v>0</v>
      </c>
      <c r="O538" s="67">
        <v>0</v>
      </c>
      <c r="P538" s="67">
        <v>0</v>
      </c>
      <c r="Q538" s="63">
        <f t="shared" si="619"/>
        <v>0</v>
      </c>
      <c r="R538" s="68">
        <f t="shared" si="549"/>
        <v>900</v>
      </c>
      <c r="S538" s="69">
        <f t="shared" si="607"/>
        <v>141863.12288088637</v>
      </c>
      <c r="T538" s="68">
        <f t="shared" si="621"/>
        <v>0</v>
      </c>
      <c r="U538" s="66">
        <f t="shared" si="622"/>
        <v>-236.69844385222544</v>
      </c>
      <c r="V538" s="68">
        <f t="shared" si="623"/>
        <v>1214.8381736011561</v>
      </c>
      <c r="W538" s="66">
        <f t="shared" si="624"/>
        <v>293199.30139402638</v>
      </c>
    </row>
    <row r="539" spans="2:23" outlineLevel="1">
      <c r="G539" s="12">
        <f t="shared" si="570"/>
        <v>62.517808219178079</v>
      </c>
      <c r="H539" s="4">
        <v>428</v>
      </c>
      <c r="I539" s="4">
        <f t="shared" si="606"/>
        <v>36</v>
      </c>
      <c r="J539" s="30">
        <f t="shared" si="616"/>
        <v>53724</v>
      </c>
      <c r="K539" s="62">
        <f>+IF(OR(H539&gt;60,$C$21="nein"),IF($C$19="monatlich",$C$20,IF($C$19="quartalsweise",OR(MONTH(J539)={1,4,7,10})*$C$20,IF($C$19="jährlich",(MONTH(J539)=7)*$C$20))),IF($C$19="monatlich",$C$22,IF($C$19="quartalsweise",OR(MONTH(J539)={1,4,7,10})*$C$22,IF($C$19="jährlich",(MONTH(J539)=7)*$C$22))))</f>
        <v>0</v>
      </c>
      <c r="L539" s="66">
        <f t="shared" si="617"/>
        <v>0</v>
      </c>
      <c r="M539" s="62">
        <f t="shared" si="618"/>
        <v>0</v>
      </c>
      <c r="N539" s="67">
        <f>+IF(AND($C$19="monatlich",K539&lt;$C$20),$C$20-K539,IF(AND($C$19="quartalsweise",OR(MONTH(J539)={1,4,7,10}),K539&lt;$C$20),$C$20-K539,IF(AND($C$19="jährlich",MONTH(J539)=7,K539&lt;$C$20),$C$20-K539,0)))</f>
        <v>0</v>
      </c>
      <c r="O539" s="67">
        <v>0</v>
      </c>
      <c r="P539" s="67">
        <v>0</v>
      </c>
      <c r="Q539" s="63">
        <f t="shared" si="619"/>
        <v>0</v>
      </c>
      <c r="R539" s="68">
        <f t="shared" si="549"/>
        <v>0</v>
      </c>
      <c r="S539" s="69">
        <f t="shared" si="607"/>
        <v>141863.12288088637</v>
      </c>
      <c r="T539" s="68">
        <f t="shared" si="621"/>
        <v>0</v>
      </c>
      <c r="U539" s="66">
        <f t="shared" si="622"/>
        <v>-238.22443238264643</v>
      </c>
      <c r="V539" s="68">
        <f t="shared" si="623"/>
        <v>1222.6637558084433</v>
      </c>
      <c r="W539" s="66">
        <f t="shared" si="624"/>
        <v>294183.74071745214</v>
      </c>
    </row>
    <row r="540" spans="2:23" outlineLevel="1">
      <c r="G540" s="12">
        <f t="shared" si="570"/>
        <v>62.594520547945208</v>
      </c>
      <c r="H540" s="4">
        <v>429</v>
      </c>
      <c r="I540" s="4">
        <f t="shared" si="606"/>
        <v>36</v>
      </c>
      <c r="J540" s="30">
        <f t="shared" si="616"/>
        <v>53752</v>
      </c>
      <c r="K540" s="62">
        <f>+IF(OR(H540&gt;60,$C$21="nein"),IF($C$19="monatlich",$C$20,IF($C$19="quartalsweise",OR(MONTH(J540)={1,4,7,10})*$C$20,IF($C$19="jährlich",(MONTH(J540)=7)*$C$20))),IF($C$19="monatlich",$C$22,IF($C$19="quartalsweise",OR(MONTH(J540)={1,4,7,10})*$C$22,IF($C$19="jährlich",(MONTH(J540)=7)*$C$22))))</f>
        <v>0</v>
      </c>
      <c r="L540" s="66">
        <f t="shared" si="617"/>
        <v>0</v>
      </c>
      <c r="M540" s="62">
        <f t="shared" si="618"/>
        <v>0</v>
      </c>
      <c r="N540" s="67">
        <f>+IF(AND($C$19="monatlich",K540&lt;$C$20),$C$20-K540,IF(AND($C$19="quartalsweise",OR(MONTH(J540)={1,4,7,10}),K540&lt;$C$20),$C$20-K540,IF(AND($C$19="jährlich",MONTH(J540)=7,K540&lt;$C$20),$C$20-K540,0)))-$C$67/100*SUM(Q522:Q530,Q532:Q534)-$C$66/100*SUM(L522:L530,L532:L534)</f>
        <v>8.1052631578947363</v>
      </c>
      <c r="O540" s="67">
        <v>0</v>
      </c>
      <c r="P540" s="67">
        <v>0</v>
      </c>
      <c r="Q540" s="63">
        <f t="shared" si="619"/>
        <v>-0.40526315789473683</v>
      </c>
      <c r="R540" s="68">
        <f t="shared" si="549"/>
        <v>8.1052631578947363</v>
      </c>
      <c r="S540" s="69">
        <f t="shared" si="607"/>
        <v>141871.22814404426</v>
      </c>
      <c r="T540" s="68">
        <f t="shared" si="621"/>
        <v>0</v>
      </c>
      <c r="U540" s="66">
        <f t="shared" si="622"/>
        <v>-239.02428933292984</v>
      </c>
      <c r="V540" s="68">
        <f t="shared" si="623"/>
        <v>1226.7655863227171</v>
      </c>
      <c r="W540" s="66">
        <f t="shared" si="624"/>
        <v>295179.18201444193</v>
      </c>
    </row>
    <row r="541" spans="2:23" outlineLevel="1">
      <c r="G541" s="12">
        <f t="shared" si="570"/>
        <v>62.679452054794524</v>
      </c>
      <c r="H541" s="4">
        <v>430</v>
      </c>
      <c r="I541" s="4">
        <f t="shared" si="606"/>
        <v>36</v>
      </c>
      <c r="J541" s="30">
        <f t="shared" si="616"/>
        <v>53783</v>
      </c>
      <c r="K541" s="62">
        <f>+IF(OR(H541&gt;60,$C$21="nein"),IF($C$19="monatlich",$C$20,IF($C$19="quartalsweise",OR(MONTH(J541)={1,4,7,10})*$C$20,IF($C$19="jährlich",(MONTH(J541)=7)*$C$20))),IF($C$19="monatlich",$C$22,IF($C$19="quartalsweise",OR(MONTH(J541)={1,4,7,10})*$C$22,IF($C$19="jährlich",(MONTH(J541)=7)*$C$22))))</f>
        <v>900</v>
      </c>
      <c r="L541" s="66">
        <f t="shared" si="617"/>
        <v>0</v>
      </c>
      <c r="M541" s="62">
        <f t="shared" si="618"/>
        <v>154</v>
      </c>
      <c r="N541" s="67">
        <f>+IF(AND($C$19="monatlich",K541&lt;$C$20),$C$20-K541,IF(AND($C$19="quartalsweise",OR(MONTH(J541)={1,4,7,10}),K541&lt;$C$20),$C$20-K541,IF(AND($C$19="jährlich",MONTH(J541)=7,K541&lt;$C$20),$C$20-K541,0)))</f>
        <v>0</v>
      </c>
      <c r="O541" s="67">
        <v>0</v>
      </c>
      <c r="P541" s="67">
        <v>0</v>
      </c>
      <c r="Q541" s="63">
        <f t="shared" si="619"/>
        <v>-7.7</v>
      </c>
      <c r="R541" s="68">
        <f t="shared" si="549"/>
        <v>1054</v>
      </c>
      <c r="S541" s="69">
        <f t="shared" si="607"/>
        <v>142925.22814404426</v>
      </c>
      <c r="T541" s="68">
        <f t="shared" si="621"/>
        <v>0</v>
      </c>
      <c r="U541" s="66">
        <f t="shared" si="622"/>
        <v>-239.83308538673407</v>
      </c>
      <c r="V541" s="68">
        <f t="shared" si="623"/>
        <v>1230.9132583935079</v>
      </c>
      <c r="W541" s="66">
        <f t="shared" si="624"/>
        <v>297216.56218744873</v>
      </c>
    </row>
    <row r="542" spans="2:23" outlineLevel="1">
      <c r="G542" s="12">
        <f t="shared" si="570"/>
        <v>62.761643835616439</v>
      </c>
      <c r="H542" s="4">
        <v>431</v>
      </c>
      <c r="I542" s="4">
        <f t="shared" si="606"/>
        <v>36</v>
      </c>
      <c r="J542" s="30">
        <f t="shared" si="616"/>
        <v>53813</v>
      </c>
      <c r="K542" s="62">
        <f>+IF(OR(H542&gt;60,$C$21="nein"),IF($C$19="monatlich",$C$20,IF($C$19="quartalsweise",OR(MONTH(J542)={1,4,7,10})*$C$20,IF($C$19="jährlich",(MONTH(J542)=7)*$C$20))),IF($C$19="monatlich",$C$22,IF($C$19="quartalsweise",OR(MONTH(J542)={1,4,7,10})*$C$22,IF($C$19="jährlich",(MONTH(J542)=7)*$C$22))))</f>
        <v>0</v>
      </c>
      <c r="L542" s="66">
        <f t="shared" si="617"/>
        <v>0</v>
      </c>
      <c r="M542" s="62">
        <f t="shared" si="618"/>
        <v>0</v>
      </c>
      <c r="N542" s="67">
        <f>+IF(AND($C$19="monatlich",K542&lt;$C$20),$C$20-K542,IF(AND($C$19="quartalsweise",OR(MONTH(J542)={1,4,7,10}),K542&lt;$C$20),$C$20-K542,IF(AND($C$19="jährlich",MONTH(J542)=7,K542&lt;$C$20),$C$20-K542,0)))</f>
        <v>0</v>
      </c>
      <c r="O542" s="67">
        <v>0</v>
      </c>
      <c r="P542" s="67">
        <v>0</v>
      </c>
      <c r="Q542" s="63">
        <f t="shared" si="619"/>
        <v>0</v>
      </c>
      <c r="R542" s="68">
        <f t="shared" si="549"/>
        <v>0</v>
      </c>
      <c r="S542" s="69">
        <f t="shared" si="607"/>
        <v>142925.22814404426</v>
      </c>
      <c r="T542" s="68">
        <f t="shared" si="621"/>
        <v>0</v>
      </c>
      <c r="U542" s="66">
        <f t="shared" si="622"/>
        <v>-241.48845677730208</v>
      </c>
      <c r="V542" s="68">
        <f t="shared" si="623"/>
        <v>1239.4023424477029</v>
      </c>
      <c r="W542" s="66">
        <f t="shared" si="624"/>
        <v>298214.47607311915</v>
      </c>
    </row>
    <row r="543" spans="2:23" outlineLevel="1">
      <c r="G543" s="13">
        <f t="shared" si="570"/>
        <v>62.846575342465755</v>
      </c>
      <c r="H543" s="6">
        <v>432</v>
      </c>
      <c r="I543" s="6">
        <f t="shared" si="606"/>
        <v>36</v>
      </c>
      <c r="J543" s="31">
        <f t="shared" si="616"/>
        <v>53844</v>
      </c>
      <c r="K543" s="62">
        <f>+IF(OR(H543&gt;60,$C$21="nein"),IF($C$19="monatlich",$C$20,IF($C$19="quartalsweise",OR(MONTH(J543)={1,4,7,10})*$C$20,IF($C$19="jährlich",(MONTH(J543)=7)*$C$20))),IF($C$19="monatlich",$C$22,IF($C$19="quartalsweise",OR(MONTH(J543)={1,4,7,10})*$C$22,IF($C$19="jährlich",(MONTH(J543)=7)*$C$22))))</f>
        <v>0</v>
      </c>
      <c r="L543" s="70">
        <f t="shared" si="617"/>
        <v>0</v>
      </c>
      <c r="M543" s="62">
        <f t="shared" si="618"/>
        <v>0</v>
      </c>
      <c r="N543" s="71">
        <f>+IF(AND($C$19="monatlich",K543&lt;$C$20),$C$20-K543,IF(AND($C$19="quartalsweise",OR(MONTH(J543)={1,4,7,10}),K543&lt;$C$20),$C$20-K543,IF(AND($C$19="jährlich",MONTH(J543)=7,K543&lt;$C$20),$C$20-K543,0)))</f>
        <v>0</v>
      </c>
      <c r="O543" s="71">
        <v>0</v>
      </c>
      <c r="P543" s="71">
        <v>0</v>
      </c>
      <c r="Q543" s="63">
        <f t="shared" si="619"/>
        <v>0</v>
      </c>
      <c r="R543" s="72">
        <f t="shared" si="549"/>
        <v>0</v>
      </c>
      <c r="S543" s="73">
        <f t="shared" si="607"/>
        <v>142925.22814404426</v>
      </c>
      <c r="T543" s="72">
        <f t="shared" si="621"/>
        <v>0</v>
      </c>
      <c r="U543" s="70">
        <f t="shared" si="622"/>
        <v>-242.2992618094093</v>
      </c>
      <c r="V543" s="72">
        <f t="shared" si="623"/>
        <v>1243.5603169713297</v>
      </c>
      <c r="W543" s="70">
        <f t="shared" si="624"/>
        <v>299215.73712828109</v>
      </c>
    </row>
    <row r="544" spans="2:23" s="5" customFormat="1" ht="15">
      <c r="B544" s="17"/>
      <c r="G544" s="115">
        <f t="shared" si="570"/>
        <v>62.846575342465755</v>
      </c>
      <c r="H544" s="116" t="str">
        <f>H532&amp;" - "&amp;H543</f>
        <v>421 - 432</v>
      </c>
      <c r="I544" s="117">
        <f t="shared" si="606"/>
        <v>36</v>
      </c>
      <c r="J544" s="118">
        <f t="shared" ref="J544" si="625">+J543</f>
        <v>53844</v>
      </c>
      <c r="K544" s="119">
        <f t="shared" ref="K544:L544" si="626">SUM(K532:K543)</f>
        <v>3600</v>
      </c>
      <c r="L544" s="120">
        <f t="shared" si="626"/>
        <v>0</v>
      </c>
      <c r="M544" s="119">
        <f t="shared" ref="M544" si="627">SUM(M532:M543)</f>
        <v>154</v>
      </c>
      <c r="N544" s="121">
        <f t="shared" si="575"/>
        <v>8.1052631578947363</v>
      </c>
      <c r="O544" s="121">
        <f t="shared" ref="O544" si="628">SUM(O532:O543)</f>
        <v>0</v>
      </c>
      <c r="P544" s="121">
        <f t="shared" ref="P544:Q557" si="629">SUM(P532:P543)</f>
        <v>0</v>
      </c>
      <c r="Q544" s="120">
        <f t="shared" si="629"/>
        <v>-8.1052631578947363</v>
      </c>
      <c r="R544" s="119">
        <f t="shared" ref="R544" si="630">SUM(R532:R543)</f>
        <v>3762.1052631578946</v>
      </c>
      <c r="S544" s="122">
        <f t="shared" si="607"/>
        <v>142925.22814404426</v>
      </c>
      <c r="T544" s="119">
        <f t="shared" ref="T544:V544" si="631">SUM(T532:T543)</f>
        <v>-15.4</v>
      </c>
      <c r="U544" s="120">
        <f t="shared" si="631"/>
        <v>-2837.6620426056875</v>
      </c>
      <c r="V544" s="119">
        <f t="shared" si="631"/>
        <v>14564.113039003525</v>
      </c>
      <c r="W544" s="123">
        <f t="shared" ref="W544" si="632">+W543</f>
        <v>299215.73712828109</v>
      </c>
    </row>
    <row r="545" spans="2:23" outlineLevel="1">
      <c r="G545" s="11">
        <f t="shared" si="570"/>
        <v>62.92876712328767</v>
      </c>
      <c r="H545" s="2">
        <v>433</v>
      </c>
      <c r="I545" s="2">
        <f t="shared" si="606"/>
        <v>37</v>
      </c>
      <c r="J545" s="29">
        <f t="shared" si="616"/>
        <v>53874</v>
      </c>
      <c r="K545" s="62">
        <f>+IF(OR(H545&gt;60,$C$21="nein"),IF($C$19="monatlich",$C$20,IF($C$19="quartalsweise",OR(MONTH(J545)={1,4,7,10})*$C$20,IF($C$19="jährlich",(MONTH(J545)=7)*$C$20))),IF($C$19="monatlich",$C$22,IF($C$19="quartalsweise",OR(MONTH(J545)={1,4,7,10})*$C$22,IF($C$19="jährlich",(MONTH(J545)=7)*$C$22))))</f>
        <v>900</v>
      </c>
      <c r="L545" s="63">
        <f t="shared" ref="L545:L556" si="633">-IF(H545&gt;60,0,IF($C$19="monatlich",$C$52,IF(AND($C$19="quartalsweise",K545&gt;0),$C$52,IF(AND($C$19="jährlich",K545&gt;0),$C$51,0))))</f>
        <v>0</v>
      </c>
      <c r="M545" s="62">
        <f t="shared" ref="M545:M556" si="634">+IF(MONTH(J545)=4,$C$25,0)</f>
        <v>0</v>
      </c>
      <c r="N545" s="64">
        <f>+IF(AND($C$19="monatlich",K545&lt;$C$20),$C$20-K545,IF(AND($C$19="quartalsweise",OR(MONTH(J545)={1,4,7,10}),K545&lt;$C$20),$C$20-K545,IF(AND($C$19="jährlich",MONTH(J545)=7,K545&lt;$C$20),$C$20-K545,0)))</f>
        <v>0</v>
      </c>
      <c r="O545" s="64">
        <v>0</v>
      </c>
      <c r="P545" s="64">
        <v>0</v>
      </c>
      <c r="Q545" s="63">
        <f t="shared" ref="Q545:Q556" si="635">-SUM(M545:P545)*$C$47/100</f>
        <v>0</v>
      </c>
      <c r="R545" s="62">
        <f t="shared" ref="R545:R595" si="636">+SUM(K545,M545:P545)</f>
        <v>900</v>
      </c>
      <c r="S545" s="65">
        <f t="shared" si="607"/>
        <v>143825.22814404426</v>
      </c>
      <c r="T545" s="62">
        <f t="shared" ref="T545:T556" si="637">-IF(MONTH(J545)=12,$C$55,0)</f>
        <v>0</v>
      </c>
      <c r="U545" s="63">
        <f t="shared" ref="U545:U556" si="638">-W544*($D$43/100/12)</f>
        <v>-243.11278641672837</v>
      </c>
      <c r="V545" s="62">
        <f t="shared" ref="V545:V556" si="639">+(1+(IF($C$71="pauschal",$C$72/100/12,VLOOKUP(I544,$J$5:$L$44,3,FALSE)/100/12)*W544))</f>
        <v>1247.7322380345045</v>
      </c>
      <c r="W545" s="63">
        <f t="shared" ref="W545:W556" si="640">+SUM(W544,R545,L545,Q545,T545:V545)</f>
        <v>301120.35657989886</v>
      </c>
    </row>
    <row r="546" spans="2:23" outlineLevel="1">
      <c r="G546" s="12">
        <f t="shared" si="570"/>
        <v>63.013698630136986</v>
      </c>
      <c r="H546" s="4">
        <v>434</v>
      </c>
      <c r="I546" s="4">
        <f t="shared" si="606"/>
        <v>37</v>
      </c>
      <c r="J546" s="30">
        <f t="shared" si="616"/>
        <v>53905</v>
      </c>
      <c r="K546" s="62">
        <f>+IF(OR(H546&gt;60,$C$21="nein"),IF($C$19="monatlich",$C$20,IF($C$19="quartalsweise",OR(MONTH(J546)={1,4,7,10})*$C$20,IF($C$19="jährlich",(MONTH(J546)=7)*$C$20))),IF($C$19="monatlich",$C$22,IF($C$19="quartalsweise",OR(MONTH(J546)={1,4,7,10})*$C$22,IF($C$19="jährlich",(MONTH(J546)=7)*$C$22))))</f>
        <v>0</v>
      </c>
      <c r="L546" s="66">
        <f t="shared" si="633"/>
        <v>0</v>
      </c>
      <c r="M546" s="62">
        <f t="shared" si="634"/>
        <v>0</v>
      </c>
      <c r="N546" s="67">
        <f>+IF(AND($C$19="monatlich",K546&lt;$C$20),$C$20-K546,IF(AND($C$19="quartalsweise",OR(MONTH(J546)={1,4,7,10}),K546&lt;$C$20),$C$20-K546,IF(AND($C$19="jährlich",MONTH(J546)=7,K546&lt;$C$20),$C$20-K546,0)))</f>
        <v>0</v>
      </c>
      <c r="O546" s="67">
        <v>0</v>
      </c>
      <c r="P546" s="67">
        <v>0</v>
      </c>
      <c r="Q546" s="63">
        <f t="shared" si="635"/>
        <v>0</v>
      </c>
      <c r="R546" s="68">
        <f t="shared" si="636"/>
        <v>0</v>
      </c>
      <c r="S546" s="69">
        <f t="shared" si="607"/>
        <v>143825.22814404426</v>
      </c>
      <c r="T546" s="68">
        <f t="shared" si="637"/>
        <v>0</v>
      </c>
      <c r="U546" s="66">
        <f t="shared" si="638"/>
        <v>-244.6602897211678</v>
      </c>
      <c r="V546" s="68">
        <f t="shared" si="639"/>
        <v>1255.6681524162452</v>
      </c>
      <c r="W546" s="66">
        <f t="shared" si="640"/>
        <v>302131.36444259394</v>
      </c>
    </row>
    <row r="547" spans="2:23" outlineLevel="1">
      <c r="G547" s="12">
        <f t="shared" si="570"/>
        <v>63.098630136986301</v>
      </c>
      <c r="H547" s="4">
        <v>435</v>
      </c>
      <c r="I547" s="4">
        <f t="shared" si="606"/>
        <v>37</v>
      </c>
      <c r="J547" s="30">
        <f t="shared" si="616"/>
        <v>53936</v>
      </c>
      <c r="K547" s="62">
        <f>+IF(OR(H547&gt;60,$C$21="nein"),IF($C$19="monatlich",$C$20,IF($C$19="quartalsweise",OR(MONTH(J547)={1,4,7,10})*$C$20,IF($C$19="jährlich",(MONTH(J547)=7)*$C$20))),IF($C$19="monatlich",$C$22,IF($C$19="quartalsweise",OR(MONTH(J547)={1,4,7,10})*$C$22,IF($C$19="jährlich",(MONTH(J547)=7)*$C$22))))</f>
        <v>0</v>
      </c>
      <c r="L547" s="66">
        <f t="shared" si="633"/>
        <v>0</v>
      </c>
      <c r="M547" s="62">
        <f t="shared" si="634"/>
        <v>0</v>
      </c>
      <c r="N547" s="67">
        <f>+IF(AND($C$19="monatlich",K547&lt;$C$20),$C$20-K547,IF(AND($C$19="quartalsweise",OR(MONTH(J547)={1,4,7,10}),K547&lt;$C$20),$C$20-K547,IF(AND($C$19="jährlich",MONTH(J547)=7,K547&lt;$C$20),$C$20-K547,0)))</f>
        <v>0</v>
      </c>
      <c r="O547" s="67">
        <v>0</v>
      </c>
      <c r="P547" s="67">
        <v>0</v>
      </c>
      <c r="Q547" s="63">
        <f t="shared" si="635"/>
        <v>0</v>
      </c>
      <c r="R547" s="68">
        <f t="shared" si="636"/>
        <v>0</v>
      </c>
      <c r="S547" s="69">
        <f t="shared" si="607"/>
        <v>143825.22814404426</v>
      </c>
      <c r="T547" s="68">
        <f t="shared" si="637"/>
        <v>0</v>
      </c>
      <c r="U547" s="66">
        <f t="shared" si="638"/>
        <v>-245.48173360960757</v>
      </c>
      <c r="V547" s="68">
        <f t="shared" si="639"/>
        <v>1259.8806851774748</v>
      </c>
      <c r="W547" s="66">
        <f t="shared" si="640"/>
        <v>303145.76339416177</v>
      </c>
    </row>
    <row r="548" spans="2:23" outlineLevel="1">
      <c r="G548" s="12">
        <f t="shared" si="570"/>
        <v>63.180821917808217</v>
      </c>
      <c r="H548" s="4">
        <v>436</v>
      </c>
      <c r="I548" s="4">
        <f t="shared" si="606"/>
        <v>37</v>
      </c>
      <c r="J548" s="30">
        <f t="shared" si="616"/>
        <v>53966</v>
      </c>
      <c r="K548" s="62">
        <f>+IF(OR(H548&gt;60,$C$21="nein"),IF($C$19="monatlich",$C$20,IF($C$19="quartalsweise",OR(MONTH(J548)={1,4,7,10})*$C$20,IF($C$19="jährlich",(MONTH(J548)=7)*$C$20))),IF($C$19="monatlich",$C$22,IF($C$19="quartalsweise",OR(MONTH(J548)={1,4,7,10})*$C$22,IF($C$19="jährlich",(MONTH(J548)=7)*$C$22))))</f>
        <v>900</v>
      </c>
      <c r="L548" s="66">
        <f t="shared" si="633"/>
        <v>0</v>
      </c>
      <c r="M548" s="62">
        <f t="shared" si="634"/>
        <v>0</v>
      </c>
      <c r="N548" s="67">
        <f>+IF(AND($C$19="monatlich",K548&lt;$C$20),$C$20-K548,IF(AND($C$19="quartalsweise",OR(MONTH(J548)={1,4,7,10}),K548&lt;$C$20),$C$20-K548,IF(AND($C$19="jährlich",MONTH(J548)=7,K548&lt;$C$20),$C$20-K548,0)))</f>
        <v>0</v>
      </c>
      <c r="O548" s="67">
        <v>0</v>
      </c>
      <c r="P548" s="67">
        <v>0</v>
      </c>
      <c r="Q548" s="63">
        <f t="shared" si="635"/>
        <v>0</v>
      </c>
      <c r="R548" s="68">
        <f t="shared" si="636"/>
        <v>900</v>
      </c>
      <c r="S548" s="69">
        <f t="shared" si="607"/>
        <v>144725.22814404426</v>
      </c>
      <c r="T548" s="68">
        <f t="shared" si="637"/>
        <v>0</v>
      </c>
      <c r="U548" s="66">
        <f t="shared" si="638"/>
        <v>-246.30593275775644</v>
      </c>
      <c r="V548" s="68">
        <f t="shared" si="639"/>
        <v>1264.107347475674</v>
      </c>
      <c r="W548" s="66">
        <f t="shared" si="640"/>
        <v>305063.56480887969</v>
      </c>
    </row>
    <row r="549" spans="2:23" outlineLevel="1">
      <c r="G549" s="12">
        <f t="shared" si="570"/>
        <v>63.265753424657532</v>
      </c>
      <c r="H549" s="4">
        <v>437</v>
      </c>
      <c r="I549" s="4">
        <f t="shared" si="606"/>
        <v>37</v>
      </c>
      <c r="J549" s="30">
        <f t="shared" si="616"/>
        <v>53997</v>
      </c>
      <c r="K549" s="62">
        <f>+IF(OR(H549&gt;60,$C$21="nein"),IF($C$19="monatlich",$C$20,IF($C$19="quartalsweise",OR(MONTH(J549)={1,4,7,10})*$C$20,IF($C$19="jährlich",(MONTH(J549)=7)*$C$20))),IF($C$19="monatlich",$C$22,IF($C$19="quartalsweise",OR(MONTH(J549)={1,4,7,10})*$C$22,IF($C$19="jährlich",(MONTH(J549)=7)*$C$22))))</f>
        <v>0</v>
      </c>
      <c r="L549" s="66">
        <f t="shared" si="633"/>
        <v>0</v>
      </c>
      <c r="M549" s="62">
        <f t="shared" si="634"/>
        <v>0</v>
      </c>
      <c r="N549" s="67">
        <f>+IF(AND($C$19="monatlich",K549&lt;$C$20),$C$20-K549,IF(AND($C$19="quartalsweise",OR(MONTH(J549)={1,4,7,10}),K549&lt;$C$20),$C$20-K549,IF(AND($C$19="jährlich",MONTH(J549)=7,K549&lt;$C$20),$C$20-K549,0)))</f>
        <v>0</v>
      </c>
      <c r="O549" s="67">
        <v>0</v>
      </c>
      <c r="P549" s="67">
        <v>0</v>
      </c>
      <c r="Q549" s="63">
        <f t="shared" si="635"/>
        <v>0</v>
      </c>
      <c r="R549" s="68">
        <f t="shared" si="636"/>
        <v>0</v>
      </c>
      <c r="S549" s="69">
        <f t="shared" si="607"/>
        <v>144725.22814404426</v>
      </c>
      <c r="T549" s="68">
        <f t="shared" si="637"/>
        <v>0</v>
      </c>
      <c r="U549" s="66">
        <f t="shared" si="638"/>
        <v>-247.86414640721475</v>
      </c>
      <c r="V549" s="68">
        <f t="shared" si="639"/>
        <v>1272.0981867036653</v>
      </c>
      <c r="W549" s="66">
        <f t="shared" si="640"/>
        <v>306087.79884917615</v>
      </c>
    </row>
    <row r="550" spans="2:23" outlineLevel="1">
      <c r="G550" s="12">
        <f t="shared" si="570"/>
        <v>63.347945205479455</v>
      </c>
      <c r="H550" s="4">
        <v>438</v>
      </c>
      <c r="I550" s="4">
        <f t="shared" si="606"/>
        <v>37</v>
      </c>
      <c r="J550" s="30">
        <f t="shared" si="616"/>
        <v>54027</v>
      </c>
      <c r="K550" s="62">
        <f>+IF(OR(H550&gt;60,$C$21="nein"),IF($C$19="monatlich",$C$20,IF($C$19="quartalsweise",OR(MONTH(J550)={1,4,7,10})*$C$20,IF($C$19="jährlich",(MONTH(J550)=7)*$C$20))),IF($C$19="monatlich",$C$22,IF($C$19="quartalsweise",OR(MONTH(J550)={1,4,7,10})*$C$22,IF($C$19="jährlich",(MONTH(J550)=7)*$C$22))))</f>
        <v>0</v>
      </c>
      <c r="L550" s="66">
        <f t="shared" si="633"/>
        <v>0</v>
      </c>
      <c r="M550" s="62">
        <f t="shared" si="634"/>
        <v>0</v>
      </c>
      <c r="N550" s="67">
        <f>+IF(AND($C$19="monatlich",K550&lt;$C$20),$C$20-K550,IF(AND($C$19="quartalsweise",OR(MONTH(J550)={1,4,7,10}),K550&lt;$C$20),$C$20-K550,IF(AND($C$19="jährlich",MONTH(J550)=7,K550&lt;$C$20),$C$20-K550,0)))</f>
        <v>0</v>
      </c>
      <c r="O550" s="67">
        <v>0</v>
      </c>
      <c r="P550" s="67">
        <v>0</v>
      </c>
      <c r="Q550" s="63">
        <f t="shared" si="635"/>
        <v>0</v>
      </c>
      <c r="R550" s="68">
        <f t="shared" si="636"/>
        <v>0</v>
      </c>
      <c r="S550" s="69">
        <f t="shared" si="607"/>
        <v>144725.22814404426</v>
      </c>
      <c r="T550" s="68">
        <f t="shared" si="637"/>
        <v>-15.4</v>
      </c>
      <c r="U550" s="66">
        <f t="shared" si="638"/>
        <v>-248.6963365649556</v>
      </c>
      <c r="V550" s="68">
        <f t="shared" si="639"/>
        <v>1276.3658285382339</v>
      </c>
      <c r="W550" s="66">
        <f t="shared" si="640"/>
        <v>307100.06834114942</v>
      </c>
    </row>
    <row r="551" spans="2:23" outlineLevel="1">
      <c r="G551" s="12">
        <f t="shared" si="570"/>
        <v>63.43287671232877</v>
      </c>
      <c r="H551" s="4">
        <v>439</v>
      </c>
      <c r="I551" s="4">
        <f t="shared" si="606"/>
        <v>37</v>
      </c>
      <c r="J551" s="30">
        <f t="shared" si="616"/>
        <v>54058</v>
      </c>
      <c r="K551" s="62">
        <f>+IF(OR(H551&gt;60,$C$21="nein"),IF($C$19="monatlich",$C$20,IF($C$19="quartalsweise",OR(MONTH(J551)={1,4,7,10})*$C$20,IF($C$19="jährlich",(MONTH(J551)=7)*$C$20))),IF($C$19="monatlich",$C$22,IF($C$19="quartalsweise",OR(MONTH(J551)={1,4,7,10})*$C$22,IF($C$19="jährlich",(MONTH(J551)=7)*$C$22))))</f>
        <v>900</v>
      </c>
      <c r="L551" s="66">
        <f t="shared" si="633"/>
        <v>0</v>
      </c>
      <c r="M551" s="62">
        <f t="shared" si="634"/>
        <v>0</v>
      </c>
      <c r="N551" s="67">
        <f>+IF(AND($C$19="monatlich",K551&lt;$C$20),$C$20-K551,IF(AND($C$19="quartalsweise",OR(MONTH(J551)={1,4,7,10}),K551&lt;$C$20),$C$20-K551,IF(AND($C$19="jährlich",MONTH(J551)=7,K551&lt;$C$20),$C$20-K551,0)))</f>
        <v>0</v>
      </c>
      <c r="O551" s="67">
        <v>0</v>
      </c>
      <c r="P551" s="67">
        <v>0</v>
      </c>
      <c r="Q551" s="63">
        <f t="shared" si="635"/>
        <v>0</v>
      </c>
      <c r="R551" s="68">
        <f t="shared" si="636"/>
        <v>900</v>
      </c>
      <c r="S551" s="69">
        <f t="shared" si="607"/>
        <v>145625.22814404426</v>
      </c>
      <c r="T551" s="68">
        <f t="shared" si="637"/>
        <v>0</v>
      </c>
      <c r="U551" s="66">
        <f t="shared" si="638"/>
        <v>-249.5188055271839</v>
      </c>
      <c r="V551" s="68">
        <f t="shared" si="639"/>
        <v>1280.5836180881226</v>
      </c>
      <c r="W551" s="66">
        <f t="shared" si="640"/>
        <v>309031.13315371034</v>
      </c>
    </row>
    <row r="552" spans="2:23" outlineLevel="1">
      <c r="G552" s="12">
        <f t="shared" si="570"/>
        <v>63.517808219178079</v>
      </c>
      <c r="H552" s="4">
        <v>440</v>
      </c>
      <c r="I552" s="4">
        <f t="shared" ref="I552:I575" si="641">+I539+1</f>
        <v>37</v>
      </c>
      <c r="J552" s="30">
        <f t="shared" si="616"/>
        <v>54089</v>
      </c>
      <c r="K552" s="62">
        <f>+IF(OR(H552&gt;60,$C$21="nein"),IF($C$19="monatlich",$C$20,IF($C$19="quartalsweise",OR(MONTH(J552)={1,4,7,10})*$C$20,IF($C$19="jährlich",(MONTH(J552)=7)*$C$20))),IF($C$19="monatlich",$C$22,IF($C$19="quartalsweise",OR(MONTH(J552)={1,4,7,10})*$C$22,IF($C$19="jährlich",(MONTH(J552)=7)*$C$22))))</f>
        <v>0</v>
      </c>
      <c r="L552" s="66">
        <f t="shared" si="633"/>
        <v>0</v>
      </c>
      <c r="M552" s="62">
        <f t="shared" si="634"/>
        <v>0</v>
      </c>
      <c r="N552" s="67">
        <f>+IF(AND($C$19="monatlich",K552&lt;$C$20),$C$20-K552,IF(AND($C$19="quartalsweise",OR(MONTH(J552)={1,4,7,10}),K552&lt;$C$20),$C$20-K552,IF(AND($C$19="jährlich",MONTH(J552)=7,K552&lt;$C$20),$C$20-K552,0)))</f>
        <v>0</v>
      </c>
      <c r="O552" s="67">
        <v>0</v>
      </c>
      <c r="P552" s="67">
        <v>0</v>
      </c>
      <c r="Q552" s="63">
        <f t="shared" si="635"/>
        <v>0</v>
      </c>
      <c r="R552" s="68">
        <f t="shared" si="636"/>
        <v>0</v>
      </c>
      <c r="S552" s="69">
        <f t="shared" si="607"/>
        <v>145625.22814404426</v>
      </c>
      <c r="T552" s="68">
        <f t="shared" si="637"/>
        <v>0</v>
      </c>
      <c r="U552" s="66">
        <f t="shared" si="638"/>
        <v>-251.08779568738964</v>
      </c>
      <c r="V552" s="68">
        <f t="shared" si="639"/>
        <v>1288.6297214737931</v>
      </c>
      <c r="W552" s="66">
        <f t="shared" si="640"/>
        <v>310068.67507949675</v>
      </c>
    </row>
    <row r="553" spans="2:23" outlineLevel="1">
      <c r="G553" s="12">
        <f t="shared" si="570"/>
        <v>63.597260273972601</v>
      </c>
      <c r="H553" s="4">
        <v>441</v>
      </c>
      <c r="I553" s="4">
        <f t="shared" si="641"/>
        <v>37</v>
      </c>
      <c r="J553" s="30">
        <f t="shared" si="616"/>
        <v>54118</v>
      </c>
      <c r="K553" s="62">
        <f>+IF(OR(H553&gt;60,$C$21="nein"),IF($C$19="monatlich",$C$20,IF($C$19="quartalsweise",OR(MONTH(J553)={1,4,7,10})*$C$20,IF($C$19="jährlich",(MONTH(J553)=7)*$C$20))),IF($C$19="monatlich",$C$22,IF($C$19="quartalsweise",OR(MONTH(J553)={1,4,7,10})*$C$22,IF($C$19="jährlich",(MONTH(J553)=7)*$C$22))))</f>
        <v>0</v>
      </c>
      <c r="L553" s="66">
        <f t="shared" si="633"/>
        <v>0</v>
      </c>
      <c r="M553" s="62">
        <f t="shared" si="634"/>
        <v>0</v>
      </c>
      <c r="N553" s="67">
        <f>+IF(AND($C$19="monatlich",K553&lt;$C$20),$C$20-K553,IF(AND($C$19="quartalsweise",OR(MONTH(J553)={1,4,7,10}),K553&lt;$C$20),$C$20-K553,IF(AND($C$19="jährlich",MONTH(J553)=7,K553&lt;$C$20),$C$20-K553,0)))-$C$67/100*SUM(Q535:Q543,Q545:Q547)-$C$66/100*SUM(L535:L543,L545:L547)</f>
        <v>8.1052631578947363</v>
      </c>
      <c r="O553" s="67">
        <v>0</v>
      </c>
      <c r="P553" s="67">
        <v>0</v>
      </c>
      <c r="Q553" s="63">
        <f t="shared" si="635"/>
        <v>-0.40526315789473683</v>
      </c>
      <c r="R553" s="68">
        <f t="shared" si="636"/>
        <v>8.1052631578947363</v>
      </c>
      <c r="S553" s="69">
        <f t="shared" si="607"/>
        <v>145633.33340720215</v>
      </c>
      <c r="T553" s="68">
        <f t="shared" si="637"/>
        <v>0</v>
      </c>
      <c r="U553" s="66">
        <f t="shared" si="638"/>
        <v>-251.93079850209111</v>
      </c>
      <c r="V553" s="68">
        <f t="shared" si="639"/>
        <v>1292.9528128312365</v>
      </c>
      <c r="W553" s="66">
        <f t="shared" si="640"/>
        <v>311117.39709382586</v>
      </c>
    </row>
    <row r="554" spans="2:23" outlineLevel="1">
      <c r="G554" s="12">
        <f t="shared" si="570"/>
        <v>63.682191780821917</v>
      </c>
      <c r="H554" s="4">
        <v>442</v>
      </c>
      <c r="I554" s="4">
        <f t="shared" si="641"/>
        <v>37</v>
      </c>
      <c r="J554" s="30">
        <f t="shared" si="616"/>
        <v>54149</v>
      </c>
      <c r="K554" s="62">
        <f>+IF(OR(H554&gt;60,$C$21="nein"),IF($C$19="monatlich",$C$20,IF($C$19="quartalsweise",OR(MONTH(J554)={1,4,7,10})*$C$20,IF($C$19="jährlich",(MONTH(J554)=7)*$C$20))),IF($C$19="monatlich",$C$22,IF($C$19="quartalsweise",OR(MONTH(J554)={1,4,7,10})*$C$22,IF($C$19="jährlich",(MONTH(J554)=7)*$C$22))))</f>
        <v>900</v>
      </c>
      <c r="L554" s="66">
        <f t="shared" si="633"/>
        <v>0</v>
      </c>
      <c r="M554" s="62">
        <f t="shared" si="634"/>
        <v>154</v>
      </c>
      <c r="N554" s="67">
        <f>+IF(AND($C$19="monatlich",K554&lt;$C$20),$C$20-K554,IF(AND($C$19="quartalsweise",OR(MONTH(J554)={1,4,7,10}),K554&lt;$C$20),$C$20-K554,IF(AND($C$19="jährlich",MONTH(J554)=7,K554&lt;$C$20),$C$20-K554,0)))</f>
        <v>0</v>
      </c>
      <c r="O554" s="67">
        <v>0</v>
      </c>
      <c r="P554" s="67">
        <v>0</v>
      </c>
      <c r="Q554" s="63">
        <f t="shared" si="635"/>
        <v>-7.7</v>
      </c>
      <c r="R554" s="68">
        <f t="shared" si="636"/>
        <v>1054</v>
      </c>
      <c r="S554" s="69">
        <f t="shared" si="607"/>
        <v>146687.33340720215</v>
      </c>
      <c r="T554" s="68">
        <f t="shared" si="637"/>
        <v>0</v>
      </c>
      <c r="U554" s="66">
        <f t="shared" si="638"/>
        <v>-252.78288513873349</v>
      </c>
      <c r="V554" s="68">
        <f t="shared" si="639"/>
        <v>1297.3224878909411</v>
      </c>
      <c r="W554" s="66">
        <f t="shared" si="640"/>
        <v>313208.23669657804</v>
      </c>
    </row>
    <row r="555" spans="2:23" outlineLevel="1">
      <c r="G555" s="12">
        <f t="shared" si="570"/>
        <v>63.764383561643832</v>
      </c>
      <c r="H555" s="4">
        <v>443</v>
      </c>
      <c r="I555" s="4">
        <f t="shared" si="641"/>
        <v>37</v>
      </c>
      <c r="J555" s="30">
        <f t="shared" si="616"/>
        <v>54179</v>
      </c>
      <c r="K555" s="62">
        <f>+IF(OR(H555&gt;60,$C$21="nein"),IF($C$19="monatlich",$C$20,IF($C$19="quartalsweise",OR(MONTH(J555)={1,4,7,10})*$C$20,IF($C$19="jährlich",(MONTH(J555)=7)*$C$20))),IF($C$19="monatlich",$C$22,IF($C$19="quartalsweise",OR(MONTH(J555)={1,4,7,10})*$C$22,IF($C$19="jährlich",(MONTH(J555)=7)*$C$22))))</f>
        <v>0</v>
      </c>
      <c r="L555" s="66">
        <f t="shared" si="633"/>
        <v>0</v>
      </c>
      <c r="M555" s="62">
        <f t="shared" si="634"/>
        <v>0</v>
      </c>
      <c r="N555" s="67">
        <f>+IF(AND($C$19="monatlich",K555&lt;$C$20),$C$20-K555,IF(AND($C$19="quartalsweise",OR(MONTH(J555)={1,4,7,10}),K555&lt;$C$20),$C$20-K555,IF(AND($C$19="jährlich",MONTH(J555)=7,K555&lt;$C$20),$C$20-K555,0)))</f>
        <v>0</v>
      </c>
      <c r="O555" s="67">
        <v>0</v>
      </c>
      <c r="P555" s="67">
        <v>0</v>
      </c>
      <c r="Q555" s="63">
        <f t="shared" si="635"/>
        <v>0</v>
      </c>
      <c r="R555" s="68">
        <f t="shared" si="636"/>
        <v>0</v>
      </c>
      <c r="S555" s="69">
        <f t="shared" si="607"/>
        <v>146687.33340720215</v>
      </c>
      <c r="T555" s="68">
        <f t="shared" si="637"/>
        <v>0</v>
      </c>
      <c r="U555" s="66">
        <f t="shared" si="638"/>
        <v>-254.48169231596964</v>
      </c>
      <c r="V555" s="68">
        <f t="shared" si="639"/>
        <v>1306.0343195690753</v>
      </c>
      <c r="W555" s="66">
        <f t="shared" si="640"/>
        <v>314259.78932383115</v>
      </c>
    </row>
    <row r="556" spans="2:23" outlineLevel="1">
      <c r="G556" s="13">
        <f t="shared" si="570"/>
        <v>63.849315068493148</v>
      </c>
      <c r="H556" s="6">
        <v>444</v>
      </c>
      <c r="I556" s="6">
        <f t="shared" si="641"/>
        <v>37</v>
      </c>
      <c r="J556" s="31">
        <f t="shared" si="616"/>
        <v>54210</v>
      </c>
      <c r="K556" s="62">
        <f>+IF(OR(H556&gt;60,$C$21="nein"),IF($C$19="monatlich",$C$20,IF($C$19="quartalsweise",OR(MONTH(J556)={1,4,7,10})*$C$20,IF($C$19="jährlich",(MONTH(J556)=7)*$C$20))),IF($C$19="monatlich",$C$22,IF($C$19="quartalsweise",OR(MONTH(J556)={1,4,7,10})*$C$22,IF($C$19="jährlich",(MONTH(J556)=7)*$C$22))))</f>
        <v>0</v>
      </c>
      <c r="L556" s="70">
        <f t="shared" si="633"/>
        <v>0</v>
      </c>
      <c r="M556" s="62">
        <f t="shared" si="634"/>
        <v>0</v>
      </c>
      <c r="N556" s="71">
        <f>+IF(AND($C$19="monatlich",K556&lt;$C$20),$C$20-K556,IF(AND($C$19="quartalsweise",OR(MONTH(J556)={1,4,7,10}),K556&lt;$C$20),$C$20-K556,IF(AND($C$19="jährlich",MONTH(J556)=7,K556&lt;$C$20),$C$20-K556,0)))</f>
        <v>0</v>
      </c>
      <c r="O556" s="71">
        <v>0</v>
      </c>
      <c r="P556" s="71">
        <v>0</v>
      </c>
      <c r="Q556" s="63">
        <f t="shared" si="635"/>
        <v>0</v>
      </c>
      <c r="R556" s="72">
        <f t="shared" si="636"/>
        <v>0</v>
      </c>
      <c r="S556" s="73">
        <f t="shared" si="607"/>
        <v>146687.33340720215</v>
      </c>
      <c r="T556" s="72">
        <f t="shared" si="637"/>
        <v>0</v>
      </c>
      <c r="U556" s="70">
        <f t="shared" si="638"/>
        <v>-255.33607882561279</v>
      </c>
      <c r="V556" s="72">
        <f t="shared" si="639"/>
        <v>1310.4157888492964</v>
      </c>
      <c r="W556" s="70">
        <f t="shared" si="640"/>
        <v>315314.8690338548</v>
      </c>
    </row>
    <row r="557" spans="2:23" s="5" customFormat="1" ht="15">
      <c r="B557" s="17"/>
      <c r="G557" s="115">
        <f t="shared" si="570"/>
        <v>63.849315068493148</v>
      </c>
      <c r="H557" s="116" t="str">
        <f>H545&amp;" - "&amp;H556</f>
        <v>433 - 444</v>
      </c>
      <c r="I557" s="117">
        <f t="shared" si="641"/>
        <v>37</v>
      </c>
      <c r="J557" s="118">
        <f t="shared" ref="J557" si="642">+J556</f>
        <v>54210</v>
      </c>
      <c r="K557" s="119">
        <f t="shared" ref="K557:L557" si="643">SUM(K545:K556)</f>
        <v>3600</v>
      </c>
      <c r="L557" s="120">
        <f t="shared" si="643"/>
        <v>0</v>
      </c>
      <c r="M557" s="119">
        <f t="shared" ref="M557" si="644">SUM(M545:M556)</f>
        <v>154</v>
      </c>
      <c r="N557" s="121">
        <f t="shared" si="575"/>
        <v>8.1052631578947363</v>
      </c>
      <c r="O557" s="121">
        <f t="shared" ref="O557" si="645">SUM(O545:O556)</f>
        <v>0</v>
      </c>
      <c r="P557" s="121">
        <f t="shared" ref="P557" si="646">SUM(P545:P556)</f>
        <v>0</v>
      </c>
      <c r="Q557" s="120">
        <f t="shared" si="629"/>
        <v>-8.1052631578947363</v>
      </c>
      <c r="R557" s="119">
        <f t="shared" ref="R557" si="647">SUM(R545:R556)</f>
        <v>3762.1052631578946</v>
      </c>
      <c r="S557" s="122">
        <f t="shared" si="607"/>
        <v>146687.33340720215</v>
      </c>
      <c r="T557" s="119">
        <f t="shared" ref="T557:V557" si="648">SUM(T545:T556)</f>
        <v>-15.4</v>
      </c>
      <c r="U557" s="120">
        <f t="shared" si="648"/>
        <v>-2991.2592814744112</v>
      </c>
      <c r="V557" s="119">
        <f t="shared" si="648"/>
        <v>15351.791187048264</v>
      </c>
      <c r="W557" s="123">
        <f t="shared" ref="W557" si="649">+W556</f>
        <v>315314.8690338548</v>
      </c>
    </row>
    <row r="558" spans="2:23" outlineLevel="1">
      <c r="G558" s="11">
        <f t="shared" si="570"/>
        <v>63.93150684931507</v>
      </c>
      <c r="H558" s="2">
        <v>445</v>
      </c>
      <c r="I558" s="2">
        <f t="shared" si="641"/>
        <v>38</v>
      </c>
      <c r="J558" s="29">
        <f t="shared" si="616"/>
        <v>54240</v>
      </c>
      <c r="K558" s="62">
        <f>+IF(OR(H558&gt;60,$C$21="nein"),IF($C$19="monatlich",$C$20,IF($C$19="quartalsweise",OR(MONTH(J558)={1,4,7,10})*$C$20,IF($C$19="jährlich",(MONTH(J558)=7)*$C$20))),IF($C$19="monatlich",$C$22,IF($C$19="quartalsweise",OR(MONTH(J558)={1,4,7,10})*$C$22,IF($C$19="jährlich",(MONTH(J558)=7)*$C$22))))</f>
        <v>900</v>
      </c>
      <c r="L558" s="63">
        <f t="shared" ref="L558:L569" si="650">-IF(H558&gt;60,0,IF($C$19="monatlich",$C$52,IF(AND($C$19="quartalsweise",K558&gt;0),$C$52,IF(AND($C$19="jährlich",K558&gt;0),$C$51,0))))</f>
        <v>0</v>
      </c>
      <c r="M558" s="62">
        <f t="shared" ref="M558:M569" si="651">+IF(MONTH(J558)=4,$C$25,0)</f>
        <v>0</v>
      </c>
      <c r="N558" s="64">
        <f>+IF(AND($C$19="monatlich",K558&lt;$C$20),$C$20-K558,IF(AND($C$19="quartalsweise",OR(MONTH(J558)={1,4,7,10}),K558&lt;$C$20),$C$20-K558,IF(AND($C$19="jährlich",MONTH(J558)=7,K558&lt;$C$20),$C$20-K558,0)))</f>
        <v>0</v>
      </c>
      <c r="O558" s="64">
        <v>0</v>
      </c>
      <c r="P558" s="64">
        <v>0</v>
      </c>
      <c r="Q558" s="63">
        <f t="shared" ref="Q558:Q569" si="652">-SUM(M558:P558)*$C$47/100</f>
        <v>0</v>
      </c>
      <c r="R558" s="62">
        <f t="shared" ref="R558" si="653">+SUM(K558,M558:P558)</f>
        <v>900</v>
      </c>
      <c r="S558" s="65">
        <f t="shared" si="607"/>
        <v>147587.33340720215</v>
      </c>
      <c r="T558" s="62">
        <f t="shared" ref="T558:T569" si="654">-IF(MONTH(J558)=12,$C$55,0)</f>
        <v>0</v>
      </c>
      <c r="U558" s="63">
        <f t="shared" ref="U558:U569" si="655">-W557*($D$43/100/12)</f>
        <v>-256.19333109000701</v>
      </c>
      <c r="V558" s="62">
        <f t="shared" ref="V558:V569" si="656">+(1+(IF($C$71="pauschal",$C$72/100/12,VLOOKUP(I557,$J$5:$L$44,3,FALSE)/100/12)*W557))</f>
        <v>1314.8119543077282</v>
      </c>
      <c r="W558" s="63">
        <f t="shared" ref="W558:W569" si="657">+SUM(W557,R558,L558,Q558,T558:V558)</f>
        <v>317273.48765707249</v>
      </c>
    </row>
    <row r="559" spans="2:23" outlineLevel="1">
      <c r="G559" s="12">
        <f t="shared" si="570"/>
        <v>64.016438356164386</v>
      </c>
      <c r="H559" s="4">
        <v>446</v>
      </c>
      <c r="I559" s="4">
        <f t="shared" si="641"/>
        <v>38</v>
      </c>
      <c r="J559" s="30">
        <f t="shared" si="616"/>
        <v>54271</v>
      </c>
      <c r="K559" s="62">
        <f>+IF(OR(H559&gt;60,$C$21="nein"),IF($C$19="monatlich",$C$20,IF($C$19="quartalsweise",OR(MONTH(J559)={1,4,7,10})*$C$20,IF($C$19="jährlich",(MONTH(J559)=7)*$C$20))),IF($C$19="monatlich",$C$22,IF($C$19="quartalsweise",OR(MONTH(J559)={1,4,7,10})*$C$22,IF($C$19="jährlich",(MONTH(J559)=7)*$C$22))))</f>
        <v>0</v>
      </c>
      <c r="L559" s="66">
        <f t="shared" si="650"/>
        <v>0</v>
      </c>
      <c r="M559" s="62">
        <f t="shared" si="651"/>
        <v>0</v>
      </c>
      <c r="N559" s="67">
        <f>+IF(AND($C$19="monatlich",K559&lt;$C$20),$C$20-K559,IF(AND($C$19="quartalsweise",OR(MONTH(J559)={1,4,7,10}),K559&lt;$C$20),$C$20-K559,IF(AND($C$19="jährlich",MONTH(J559)=7,K559&lt;$C$20),$C$20-K559,0)))</f>
        <v>0</v>
      </c>
      <c r="O559" s="67">
        <v>0</v>
      </c>
      <c r="P559" s="67">
        <v>0</v>
      </c>
      <c r="Q559" s="63">
        <f t="shared" si="652"/>
        <v>0</v>
      </c>
      <c r="R559" s="68">
        <f t="shared" si="636"/>
        <v>0</v>
      </c>
      <c r="S559" s="69">
        <f t="shared" si="607"/>
        <v>147587.33340720215</v>
      </c>
      <c r="T559" s="68">
        <f t="shared" si="654"/>
        <v>0</v>
      </c>
      <c r="U559" s="66">
        <f t="shared" si="655"/>
        <v>-257.78470872137137</v>
      </c>
      <c r="V559" s="68">
        <f t="shared" si="656"/>
        <v>1322.9728652378021</v>
      </c>
      <c r="W559" s="66">
        <f t="shared" si="657"/>
        <v>318338.6758135889</v>
      </c>
    </row>
    <row r="560" spans="2:23" outlineLevel="1">
      <c r="G560" s="12">
        <f t="shared" si="570"/>
        <v>64.101369863013701</v>
      </c>
      <c r="H560" s="4">
        <v>447</v>
      </c>
      <c r="I560" s="4">
        <f t="shared" si="641"/>
        <v>38</v>
      </c>
      <c r="J560" s="30">
        <f t="shared" si="616"/>
        <v>54302</v>
      </c>
      <c r="K560" s="62">
        <f>+IF(OR(H560&gt;60,$C$21="nein"),IF($C$19="monatlich",$C$20,IF($C$19="quartalsweise",OR(MONTH(J560)={1,4,7,10})*$C$20,IF($C$19="jährlich",(MONTH(J560)=7)*$C$20))),IF($C$19="monatlich",$C$22,IF($C$19="quartalsweise",OR(MONTH(J560)={1,4,7,10})*$C$22,IF($C$19="jährlich",(MONTH(J560)=7)*$C$22))))</f>
        <v>0</v>
      </c>
      <c r="L560" s="66">
        <f t="shared" si="650"/>
        <v>0</v>
      </c>
      <c r="M560" s="62">
        <f t="shared" si="651"/>
        <v>0</v>
      </c>
      <c r="N560" s="67">
        <f>+IF(AND($C$19="monatlich",K560&lt;$C$20),$C$20-K560,IF(AND($C$19="quartalsweise",OR(MONTH(J560)={1,4,7,10}),K560&lt;$C$20),$C$20-K560,IF(AND($C$19="jährlich",MONTH(J560)=7,K560&lt;$C$20),$C$20-K560,0)))</f>
        <v>0</v>
      </c>
      <c r="O560" s="67">
        <v>0</v>
      </c>
      <c r="P560" s="67">
        <v>0</v>
      </c>
      <c r="Q560" s="63">
        <f t="shared" si="652"/>
        <v>0</v>
      </c>
      <c r="R560" s="68">
        <f t="shared" si="636"/>
        <v>0</v>
      </c>
      <c r="S560" s="69">
        <f t="shared" si="607"/>
        <v>147587.33340720215</v>
      </c>
      <c r="T560" s="68">
        <f t="shared" si="654"/>
        <v>0</v>
      </c>
      <c r="U560" s="66">
        <f t="shared" si="655"/>
        <v>-258.65017409854096</v>
      </c>
      <c r="V560" s="68">
        <f t="shared" si="656"/>
        <v>1327.4111492232871</v>
      </c>
      <c r="W560" s="66">
        <f t="shared" si="657"/>
        <v>319407.43678871362</v>
      </c>
    </row>
    <row r="561" spans="2:23" outlineLevel="1">
      <c r="G561" s="12">
        <f t="shared" si="570"/>
        <v>64.183561643835617</v>
      </c>
      <c r="H561" s="4">
        <v>448</v>
      </c>
      <c r="I561" s="4">
        <f t="shared" si="641"/>
        <v>38</v>
      </c>
      <c r="J561" s="30">
        <f t="shared" si="616"/>
        <v>54332</v>
      </c>
      <c r="K561" s="62">
        <f>+IF(OR(H561&gt;60,$C$21="nein"),IF($C$19="monatlich",$C$20,IF($C$19="quartalsweise",OR(MONTH(J561)={1,4,7,10})*$C$20,IF($C$19="jährlich",(MONTH(J561)=7)*$C$20))),IF($C$19="monatlich",$C$22,IF($C$19="quartalsweise",OR(MONTH(J561)={1,4,7,10})*$C$22,IF($C$19="jährlich",(MONTH(J561)=7)*$C$22))))</f>
        <v>900</v>
      </c>
      <c r="L561" s="66">
        <f t="shared" si="650"/>
        <v>0</v>
      </c>
      <c r="M561" s="62">
        <f t="shared" si="651"/>
        <v>0</v>
      </c>
      <c r="N561" s="67">
        <f>+IF(AND($C$19="monatlich",K561&lt;$C$20),$C$20-K561,IF(AND($C$19="quartalsweise",OR(MONTH(J561)={1,4,7,10}),K561&lt;$C$20),$C$20-K561,IF(AND($C$19="jährlich",MONTH(J561)=7,K561&lt;$C$20),$C$20-K561,0)))</f>
        <v>0</v>
      </c>
      <c r="O561" s="67">
        <v>0</v>
      </c>
      <c r="P561" s="67">
        <v>0</v>
      </c>
      <c r="Q561" s="63">
        <f t="shared" si="652"/>
        <v>0</v>
      </c>
      <c r="R561" s="68">
        <f t="shared" si="636"/>
        <v>900</v>
      </c>
      <c r="S561" s="69">
        <f t="shared" si="607"/>
        <v>148487.33340720215</v>
      </c>
      <c r="T561" s="68">
        <f t="shared" si="654"/>
        <v>0</v>
      </c>
      <c r="U561" s="66">
        <f t="shared" si="655"/>
        <v>-259.51854239082979</v>
      </c>
      <c r="V561" s="68">
        <f t="shared" si="656"/>
        <v>1331.8643199529733</v>
      </c>
      <c r="W561" s="66">
        <f t="shared" si="657"/>
        <v>321379.78256627574</v>
      </c>
    </row>
    <row r="562" spans="2:23" outlineLevel="1">
      <c r="G562" s="12">
        <f t="shared" si="570"/>
        <v>64.268493150684932</v>
      </c>
      <c r="H562" s="4">
        <v>449</v>
      </c>
      <c r="I562" s="4">
        <f t="shared" si="641"/>
        <v>38</v>
      </c>
      <c r="J562" s="30">
        <f t="shared" si="616"/>
        <v>54363</v>
      </c>
      <c r="K562" s="62">
        <f>+IF(OR(H562&gt;60,$C$21="nein"),IF($C$19="monatlich",$C$20,IF($C$19="quartalsweise",OR(MONTH(J562)={1,4,7,10})*$C$20,IF($C$19="jährlich",(MONTH(J562)=7)*$C$20))),IF($C$19="monatlich",$C$22,IF($C$19="quartalsweise",OR(MONTH(J562)={1,4,7,10})*$C$22,IF($C$19="jährlich",(MONTH(J562)=7)*$C$22))))</f>
        <v>0</v>
      </c>
      <c r="L562" s="66">
        <f t="shared" si="650"/>
        <v>0</v>
      </c>
      <c r="M562" s="62">
        <f t="shared" si="651"/>
        <v>0</v>
      </c>
      <c r="N562" s="67">
        <f>+IF(AND($C$19="monatlich",K562&lt;$C$20),$C$20-K562,IF(AND($C$19="quartalsweise",OR(MONTH(J562)={1,4,7,10}),K562&lt;$C$20),$C$20-K562,IF(AND($C$19="jährlich",MONTH(J562)=7,K562&lt;$C$20),$C$20-K562,0)))</f>
        <v>0</v>
      </c>
      <c r="O562" s="67">
        <v>0</v>
      </c>
      <c r="P562" s="67">
        <v>0</v>
      </c>
      <c r="Q562" s="63">
        <f t="shared" si="652"/>
        <v>0</v>
      </c>
      <c r="R562" s="68">
        <f t="shared" si="636"/>
        <v>0</v>
      </c>
      <c r="S562" s="69">
        <f t="shared" si="607"/>
        <v>148487.33340720215</v>
      </c>
      <c r="T562" s="68">
        <f t="shared" si="654"/>
        <v>0</v>
      </c>
      <c r="U562" s="66">
        <f t="shared" si="655"/>
        <v>-261.12107333509903</v>
      </c>
      <c r="V562" s="68">
        <f t="shared" si="656"/>
        <v>1340.0824273594822</v>
      </c>
      <c r="W562" s="66">
        <f t="shared" si="657"/>
        <v>322458.7439203001</v>
      </c>
    </row>
    <row r="563" spans="2:23" outlineLevel="1">
      <c r="G563" s="12">
        <f t="shared" ref="G563:G596" si="658">+(J563-DATE(1984,8,11))/365</f>
        <v>64.350684931506848</v>
      </c>
      <c r="H563" s="4">
        <v>450</v>
      </c>
      <c r="I563" s="4">
        <f t="shared" si="641"/>
        <v>38</v>
      </c>
      <c r="J563" s="30">
        <f t="shared" si="616"/>
        <v>54393</v>
      </c>
      <c r="K563" s="62">
        <f>+IF(OR(H563&gt;60,$C$21="nein"),IF($C$19="monatlich",$C$20,IF($C$19="quartalsweise",OR(MONTH(J563)={1,4,7,10})*$C$20,IF($C$19="jährlich",(MONTH(J563)=7)*$C$20))),IF($C$19="monatlich",$C$22,IF($C$19="quartalsweise",OR(MONTH(J563)={1,4,7,10})*$C$22,IF($C$19="jährlich",(MONTH(J563)=7)*$C$22))))</f>
        <v>0</v>
      </c>
      <c r="L563" s="66">
        <f t="shared" si="650"/>
        <v>0</v>
      </c>
      <c r="M563" s="62">
        <f t="shared" si="651"/>
        <v>0</v>
      </c>
      <c r="N563" s="67">
        <f>+IF(AND($C$19="monatlich",K563&lt;$C$20),$C$20-K563,IF(AND($C$19="quartalsweise",OR(MONTH(J563)={1,4,7,10}),K563&lt;$C$20),$C$20-K563,IF(AND($C$19="jährlich",MONTH(J563)=7,K563&lt;$C$20),$C$20-K563,0)))</f>
        <v>0</v>
      </c>
      <c r="O563" s="67">
        <v>0</v>
      </c>
      <c r="P563" s="67">
        <v>0</v>
      </c>
      <c r="Q563" s="63">
        <f t="shared" si="652"/>
        <v>0</v>
      </c>
      <c r="R563" s="68">
        <f t="shared" si="636"/>
        <v>0</v>
      </c>
      <c r="S563" s="69">
        <f t="shared" si="607"/>
        <v>148487.33340720215</v>
      </c>
      <c r="T563" s="68">
        <f t="shared" si="654"/>
        <v>-15.4</v>
      </c>
      <c r="U563" s="66">
        <f t="shared" si="655"/>
        <v>-261.9977294352438</v>
      </c>
      <c r="V563" s="68">
        <f t="shared" si="656"/>
        <v>1344.5780996679171</v>
      </c>
      <c r="W563" s="66">
        <f t="shared" si="657"/>
        <v>323525.92429053271</v>
      </c>
    </row>
    <row r="564" spans="2:23" outlineLevel="1">
      <c r="G564" s="12">
        <f t="shared" si="658"/>
        <v>64.435616438356163</v>
      </c>
      <c r="H564" s="4">
        <v>451</v>
      </c>
      <c r="I564" s="4">
        <f t="shared" si="641"/>
        <v>38</v>
      </c>
      <c r="J564" s="30">
        <f t="shared" si="616"/>
        <v>54424</v>
      </c>
      <c r="K564" s="62">
        <f>+IF(OR(H564&gt;60,$C$21="nein"),IF($C$19="monatlich",$C$20,IF($C$19="quartalsweise",OR(MONTH(J564)={1,4,7,10})*$C$20,IF($C$19="jährlich",(MONTH(J564)=7)*$C$20))),IF($C$19="monatlich",$C$22,IF($C$19="quartalsweise",OR(MONTH(J564)={1,4,7,10})*$C$22,IF($C$19="jährlich",(MONTH(J564)=7)*$C$22))))</f>
        <v>900</v>
      </c>
      <c r="L564" s="66">
        <f t="shared" si="650"/>
        <v>0</v>
      </c>
      <c r="M564" s="62">
        <f t="shared" si="651"/>
        <v>0</v>
      </c>
      <c r="N564" s="67">
        <f>+IF(AND($C$19="monatlich",K564&lt;$C$20),$C$20-K564,IF(AND($C$19="quartalsweise",OR(MONTH(J564)={1,4,7,10}),K564&lt;$C$20),$C$20-K564,IF(AND($C$19="jährlich",MONTH(J564)=7,K564&lt;$C$20),$C$20-K564,0)))</f>
        <v>0</v>
      </c>
      <c r="O564" s="67">
        <v>0</v>
      </c>
      <c r="P564" s="67">
        <v>0</v>
      </c>
      <c r="Q564" s="63">
        <f t="shared" si="652"/>
        <v>0</v>
      </c>
      <c r="R564" s="68">
        <f t="shared" si="636"/>
        <v>900</v>
      </c>
      <c r="S564" s="69">
        <f t="shared" si="607"/>
        <v>149387.33340720215</v>
      </c>
      <c r="T564" s="68">
        <f t="shared" si="654"/>
        <v>0</v>
      </c>
      <c r="U564" s="66">
        <f t="shared" si="655"/>
        <v>-262.86481348605781</v>
      </c>
      <c r="V564" s="68">
        <f t="shared" si="656"/>
        <v>1349.0246845438862</v>
      </c>
      <c r="W564" s="66">
        <f t="shared" si="657"/>
        <v>325512.08416159055</v>
      </c>
    </row>
    <row r="565" spans="2:23" outlineLevel="1">
      <c r="G565" s="12">
        <f t="shared" si="658"/>
        <v>64.520547945205479</v>
      </c>
      <c r="H565" s="4">
        <v>452</v>
      </c>
      <c r="I565" s="4">
        <f t="shared" si="641"/>
        <v>38</v>
      </c>
      <c r="J565" s="30">
        <f t="shared" si="616"/>
        <v>54455</v>
      </c>
      <c r="K565" s="62">
        <f>+IF(OR(H565&gt;60,$C$21="nein"),IF($C$19="monatlich",$C$20,IF($C$19="quartalsweise",OR(MONTH(J565)={1,4,7,10})*$C$20,IF($C$19="jährlich",(MONTH(J565)=7)*$C$20))),IF($C$19="monatlich",$C$22,IF($C$19="quartalsweise",OR(MONTH(J565)={1,4,7,10})*$C$22,IF($C$19="jährlich",(MONTH(J565)=7)*$C$22))))</f>
        <v>0</v>
      </c>
      <c r="L565" s="66">
        <f t="shared" si="650"/>
        <v>0</v>
      </c>
      <c r="M565" s="62">
        <f t="shared" si="651"/>
        <v>0</v>
      </c>
      <c r="N565" s="67">
        <f>+IF(AND($C$19="monatlich",K565&lt;$C$20),$C$20-K565,IF(AND($C$19="quartalsweise",OR(MONTH(J565)={1,4,7,10}),K565&lt;$C$20),$C$20-K565,IF(AND($C$19="jährlich",MONTH(J565)=7,K565&lt;$C$20),$C$20-K565,0)))</f>
        <v>0</v>
      </c>
      <c r="O565" s="67">
        <v>0</v>
      </c>
      <c r="P565" s="67">
        <v>0</v>
      </c>
      <c r="Q565" s="63">
        <f t="shared" si="652"/>
        <v>0</v>
      </c>
      <c r="R565" s="68">
        <f t="shared" si="636"/>
        <v>0</v>
      </c>
      <c r="S565" s="69">
        <f t="shared" si="607"/>
        <v>149387.33340720215</v>
      </c>
      <c r="T565" s="68">
        <f t="shared" si="654"/>
        <v>0</v>
      </c>
      <c r="U565" s="66">
        <f t="shared" si="655"/>
        <v>-264.47856838129229</v>
      </c>
      <c r="V565" s="68">
        <f t="shared" si="656"/>
        <v>1357.3003506732939</v>
      </c>
      <c r="W565" s="66">
        <f t="shared" si="657"/>
        <v>326604.90594388259</v>
      </c>
    </row>
    <row r="566" spans="2:23" outlineLevel="1">
      <c r="G566" s="12">
        <f t="shared" si="658"/>
        <v>64.597260273972609</v>
      </c>
      <c r="H566" s="4">
        <v>453</v>
      </c>
      <c r="I566" s="4">
        <f t="shared" si="641"/>
        <v>38</v>
      </c>
      <c r="J566" s="30">
        <f t="shared" si="616"/>
        <v>54483</v>
      </c>
      <c r="K566" s="62">
        <f>+IF(OR(H566&gt;60,$C$21="nein"),IF($C$19="monatlich",$C$20,IF($C$19="quartalsweise",OR(MONTH(J566)={1,4,7,10})*$C$20,IF($C$19="jährlich",(MONTH(J566)=7)*$C$20))),IF($C$19="monatlich",$C$22,IF($C$19="quartalsweise",OR(MONTH(J566)={1,4,7,10})*$C$22,IF($C$19="jährlich",(MONTH(J566)=7)*$C$22))))</f>
        <v>0</v>
      </c>
      <c r="L566" s="66">
        <f t="shared" si="650"/>
        <v>0</v>
      </c>
      <c r="M566" s="62">
        <f t="shared" si="651"/>
        <v>0</v>
      </c>
      <c r="N566" s="67">
        <f>+IF(AND($C$19="monatlich",K566&lt;$C$20),$C$20-K566,IF(AND($C$19="quartalsweise",OR(MONTH(J566)={1,4,7,10}),K566&lt;$C$20),$C$20-K566,IF(AND($C$19="jährlich",MONTH(J566)=7,K566&lt;$C$20),$C$20-K566,0)))-$C$67/100*SUM(Q548:Q556,Q558:Q560)-$C$66/100*SUM(L548:L556,L558:L560)</f>
        <v>8.1052631578947363</v>
      </c>
      <c r="O566" s="67">
        <v>0</v>
      </c>
      <c r="P566" s="67">
        <v>0</v>
      </c>
      <c r="Q566" s="63">
        <f t="shared" si="652"/>
        <v>-0.40526315789473683</v>
      </c>
      <c r="R566" s="68">
        <f t="shared" si="636"/>
        <v>8.1052631578947363</v>
      </c>
      <c r="S566" s="69">
        <f t="shared" si="607"/>
        <v>149395.43867036005</v>
      </c>
      <c r="T566" s="68">
        <f t="shared" si="654"/>
        <v>0</v>
      </c>
      <c r="U566" s="66">
        <f t="shared" si="655"/>
        <v>-265.36648607940458</v>
      </c>
      <c r="V566" s="68">
        <f t="shared" si="656"/>
        <v>1361.8537747661774</v>
      </c>
      <c r="W566" s="66">
        <f t="shared" si="657"/>
        <v>327709.0932325694</v>
      </c>
    </row>
    <row r="567" spans="2:23" outlineLevel="1">
      <c r="G567" s="12">
        <f t="shared" si="658"/>
        <v>64.682191780821924</v>
      </c>
      <c r="H567" s="4">
        <v>454</v>
      </c>
      <c r="I567" s="4">
        <f t="shared" si="641"/>
        <v>38</v>
      </c>
      <c r="J567" s="30">
        <f t="shared" si="616"/>
        <v>54514</v>
      </c>
      <c r="K567" s="62">
        <f>+IF(OR(H567&gt;60,$C$21="nein"),IF($C$19="monatlich",$C$20,IF($C$19="quartalsweise",OR(MONTH(J567)={1,4,7,10})*$C$20,IF($C$19="jährlich",(MONTH(J567)=7)*$C$20))),IF($C$19="monatlich",$C$22,IF($C$19="quartalsweise",OR(MONTH(J567)={1,4,7,10})*$C$22,IF($C$19="jährlich",(MONTH(J567)=7)*$C$22))))</f>
        <v>900</v>
      </c>
      <c r="L567" s="66">
        <f t="shared" si="650"/>
        <v>0</v>
      </c>
      <c r="M567" s="62">
        <f t="shared" si="651"/>
        <v>154</v>
      </c>
      <c r="N567" s="67">
        <f>+IF(AND($C$19="monatlich",K567&lt;$C$20),$C$20-K567,IF(AND($C$19="quartalsweise",OR(MONTH(J567)={1,4,7,10}),K567&lt;$C$20),$C$20-K567,IF(AND($C$19="jährlich",MONTH(J567)=7,K567&lt;$C$20),$C$20-K567,0)))</f>
        <v>0</v>
      </c>
      <c r="O567" s="67">
        <v>0</v>
      </c>
      <c r="P567" s="67">
        <v>0</v>
      </c>
      <c r="Q567" s="63">
        <f t="shared" si="652"/>
        <v>-7.7</v>
      </c>
      <c r="R567" s="68">
        <f t="shared" si="636"/>
        <v>1054</v>
      </c>
      <c r="S567" s="69">
        <f t="shared" si="607"/>
        <v>150449.43867036005</v>
      </c>
      <c r="T567" s="68">
        <f t="shared" si="654"/>
        <v>0</v>
      </c>
      <c r="U567" s="66">
        <f t="shared" si="655"/>
        <v>-266.26363825146262</v>
      </c>
      <c r="V567" s="68">
        <f t="shared" si="656"/>
        <v>1366.4545551357057</v>
      </c>
      <c r="W567" s="66">
        <f t="shared" si="657"/>
        <v>329855.58414945361</v>
      </c>
    </row>
    <row r="568" spans="2:23" outlineLevel="1">
      <c r="G568" s="12">
        <f t="shared" si="658"/>
        <v>64.764383561643839</v>
      </c>
      <c r="H568" s="4">
        <v>455</v>
      </c>
      <c r="I568" s="4">
        <f t="shared" si="641"/>
        <v>38</v>
      </c>
      <c r="J568" s="30">
        <f t="shared" si="616"/>
        <v>54544</v>
      </c>
      <c r="K568" s="62">
        <f>+IF(OR(H568&gt;60,$C$21="nein"),IF($C$19="monatlich",$C$20,IF($C$19="quartalsweise",OR(MONTH(J568)={1,4,7,10})*$C$20,IF($C$19="jährlich",(MONTH(J568)=7)*$C$20))),IF($C$19="monatlich",$C$22,IF($C$19="quartalsweise",OR(MONTH(J568)={1,4,7,10})*$C$22,IF($C$19="jährlich",(MONTH(J568)=7)*$C$22))))</f>
        <v>0</v>
      </c>
      <c r="L568" s="66">
        <f t="shared" si="650"/>
        <v>0</v>
      </c>
      <c r="M568" s="62">
        <f t="shared" si="651"/>
        <v>0</v>
      </c>
      <c r="N568" s="67">
        <f>+IF(AND($C$19="monatlich",K568&lt;$C$20),$C$20-K568,IF(AND($C$19="quartalsweise",OR(MONTH(J568)={1,4,7,10}),K568&lt;$C$20),$C$20-K568,IF(AND($C$19="jährlich",MONTH(J568)=7,K568&lt;$C$20),$C$20-K568,0)))</f>
        <v>0</v>
      </c>
      <c r="O568" s="67">
        <v>0</v>
      </c>
      <c r="P568" s="67">
        <v>0</v>
      </c>
      <c r="Q568" s="63">
        <f t="shared" si="652"/>
        <v>0</v>
      </c>
      <c r="R568" s="68">
        <f t="shared" si="636"/>
        <v>0</v>
      </c>
      <c r="S568" s="69">
        <f t="shared" si="607"/>
        <v>150449.43867036005</v>
      </c>
      <c r="T568" s="68">
        <f t="shared" si="654"/>
        <v>0</v>
      </c>
      <c r="U568" s="66">
        <f t="shared" si="655"/>
        <v>-268.00766212143105</v>
      </c>
      <c r="V568" s="68">
        <f t="shared" si="656"/>
        <v>1375.3982672893901</v>
      </c>
      <c r="W568" s="66">
        <f t="shared" si="657"/>
        <v>330962.97475462157</v>
      </c>
    </row>
    <row r="569" spans="2:23" outlineLevel="1">
      <c r="G569" s="13">
        <f t="shared" si="658"/>
        <v>64.849315068493155</v>
      </c>
      <c r="H569" s="6">
        <v>456</v>
      </c>
      <c r="I569" s="6">
        <f t="shared" si="641"/>
        <v>38</v>
      </c>
      <c r="J569" s="31">
        <f t="shared" si="616"/>
        <v>54575</v>
      </c>
      <c r="K569" s="62">
        <f>+IF(OR(H569&gt;60,$C$21="nein"),IF($C$19="monatlich",$C$20,IF($C$19="quartalsweise",OR(MONTH(J569)={1,4,7,10})*$C$20,IF($C$19="jährlich",(MONTH(J569)=7)*$C$20))),IF($C$19="monatlich",$C$22,IF($C$19="quartalsweise",OR(MONTH(J569)={1,4,7,10})*$C$22,IF($C$19="jährlich",(MONTH(J569)=7)*$C$22))))</f>
        <v>0</v>
      </c>
      <c r="L569" s="70">
        <f t="shared" si="650"/>
        <v>0</v>
      </c>
      <c r="M569" s="62">
        <f t="shared" si="651"/>
        <v>0</v>
      </c>
      <c r="N569" s="71">
        <f>+IF(AND($C$19="monatlich",K569&lt;$C$20),$C$20-K569,IF(AND($C$19="quartalsweise",OR(MONTH(J569)={1,4,7,10}),K569&lt;$C$20),$C$20-K569,IF(AND($C$19="jährlich",MONTH(J569)=7,K569&lt;$C$20),$C$20-K569,0)))</f>
        <v>0</v>
      </c>
      <c r="O569" s="71">
        <v>0</v>
      </c>
      <c r="P569" s="71">
        <v>0</v>
      </c>
      <c r="Q569" s="63">
        <f t="shared" si="652"/>
        <v>0</v>
      </c>
      <c r="R569" s="72">
        <f t="shared" si="636"/>
        <v>0</v>
      </c>
      <c r="S569" s="73">
        <f t="shared" si="607"/>
        <v>150449.43867036005</v>
      </c>
      <c r="T569" s="72">
        <f t="shared" si="654"/>
        <v>0</v>
      </c>
      <c r="U569" s="70">
        <f t="shared" si="655"/>
        <v>-268.90741698813002</v>
      </c>
      <c r="V569" s="72">
        <f t="shared" si="656"/>
        <v>1380.0123948109231</v>
      </c>
      <c r="W569" s="70">
        <f t="shared" si="657"/>
        <v>332074.07973244437</v>
      </c>
    </row>
    <row r="570" spans="2:23" s="5" customFormat="1" ht="15">
      <c r="B570" s="17"/>
      <c r="G570" s="115">
        <f t="shared" si="658"/>
        <v>64.849315068493155</v>
      </c>
      <c r="H570" s="116" t="str">
        <f>H558&amp;" - "&amp;H569</f>
        <v>445 - 456</v>
      </c>
      <c r="I570" s="117">
        <f t="shared" si="641"/>
        <v>38</v>
      </c>
      <c r="J570" s="118">
        <f t="shared" ref="J570" si="659">+J569</f>
        <v>54575</v>
      </c>
      <c r="K570" s="119">
        <f t="shared" ref="K570:L570" si="660">SUM(K558:K569)</f>
        <v>3600</v>
      </c>
      <c r="L570" s="120">
        <f t="shared" si="660"/>
        <v>0</v>
      </c>
      <c r="M570" s="119">
        <f t="shared" ref="M570" si="661">SUM(M558:M569)</f>
        <v>154</v>
      </c>
      <c r="N570" s="121">
        <f t="shared" ref="N570:N596" si="662">SUM(N558:N569)</f>
        <v>8.1052631578947363</v>
      </c>
      <c r="O570" s="121">
        <f t="shared" ref="O570" si="663">SUM(O558:O569)</f>
        <v>0</v>
      </c>
      <c r="P570" s="121">
        <f t="shared" ref="P570:Q583" si="664">SUM(P558:P569)</f>
        <v>0</v>
      </c>
      <c r="Q570" s="120">
        <f t="shared" si="664"/>
        <v>-8.1052631578947363</v>
      </c>
      <c r="R570" s="119">
        <f t="shared" ref="R570" si="665">SUM(R558:R569)</f>
        <v>3762.1052631578946</v>
      </c>
      <c r="S570" s="122">
        <f t="shared" si="607"/>
        <v>150449.43867036005</v>
      </c>
      <c r="T570" s="119">
        <f t="shared" ref="T570:V570" si="666">SUM(T558:T569)</f>
        <v>-15.4</v>
      </c>
      <c r="U570" s="120">
        <f t="shared" si="666"/>
        <v>-3151.1541443788706</v>
      </c>
      <c r="V570" s="119">
        <f t="shared" si="666"/>
        <v>16171.764842968567</v>
      </c>
      <c r="W570" s="123">
        <f t="shared" ref="W570" si="667">+W569</f>
        <v>332074.07973244437</v>
      </c>
    </row>
    <row r="571" spans="2:23" outlineLevel="1">
      <c r="G571" s="11">
        <f t="shared" si="658"/>
        <v>64.93150684931507</v>
      </c>
      <c r="H571" s="2">
        <v>457</v>
      </c>
      <c r="I571" s="2">
        <f t="shared" si="641"/>
        <v>39</v>
      </c>
      <c r="J571" s="29">
        <f t="shared" si="616"/>
        <v>54605</v>
      </c>
      <c r="K571" s="62">
        <f>+IF(OR(H571&gt;60,$C$21="nein"),IF($C$19="monatlich",$C$20,IF($C$19="quartalsweise",OR(MONTH(J571)={1,4,7,10})*$C$20,IF($C$19="jährlich",(MONTH(J571)=7)*$C$20))),IF($C$19="monatlich",$C$22,IF($C$19="quartalsweise",OR(MONTH(J571)={1,4,7,10})*$C$22,IF($C$19="jährlich",(MONTH(J571)=7)*$C$22))))</f>
        <v>900</v>
      </c>
      <c r="L571" s="63">
        <f t="shared" ref="L571:L582" si="668">-IF(H571&gt;60,0,IF($C$19="monatlich",$C$52,IF(AND($C$19="quartalsweise",K571&gt;0),$C$52,IF(AND($C$19="jährlich",K571&gt;0),$C$51,0))))</f>
        <v>0</v>
      </c>
      <c r="M571" s="62">
        <f t="shared" ref="M571:M582" si="669">+IF(MONTH(J571)=4,$C$25,0)</f>
        <v>0</v>
      </c>
      <c r="N571" s="64">
        <f>+IF(AND($C$19="monatlich",K571&lt;$C$20),$C$20-K571,IF(AND($C$19="quartalsweise",OR(MONTH(J571)={1,4,7,10}),K571&lt;$C$20),$C$20-K571,IF(AND($C$19="jährlich",MONTH(J571)=7,K571&lt;$C$20),$C$20-K571,0)))</f>
        <v>0</v>
      </c>
      <c r="O571" s="64">
        <v>0</v>
      </c>
      <c r="P571" s="64">
        <v>0</v>
      </c>
      <c r="Q571" s="63">
        <f t="shared" ref="Q571:Q582" si="670">-SUM(M571:P571)*$C$47/100</f>
        <v>0</v>
      </c>
      <c r="R571" s="62">
        <f t="shared" ref="R571" si="671">+SUM(K571,M571:P571)</f>
        <v>900</v>
      </c>
      <c r="S571" s="65">
        <f t="shared" si="607"/>
        <v>151349.43867036005</v>
      </c>
      <c r="T571" s="62">
        <f t="shared" ref="T571:T582" si="672">-IF(MONTH(J571)=12,$C$55,0)</f>
        <v>0</v>
      </c>
      <c r="U571" s="63">
        <f t="shared" ref="U571:U582" si="673">-W570*($D$43/100/12)</f>
        <v>-269.81018978261102</v>
      </c>
      <c r="V571" s="62">
        <f t="shared" ref="V571:V582" si="674">+(1+(IF($C$71="pauschal",$C$72/100/12,VLOOKUP(I570,$J$5:$L$44,3,FALSE)/100/12)*W570))</f>
        <v>1384.6419988851849</v>
      </c>
      <c r="W571" s="63">
        <f t="shared" ref="W571:W582" si="675">+SUM(W570,R571,L571,Q571,T571:V571)</f>
        <v>334088.91154154699</v>
      </c>
    </row>
    <row r="572" spans="2:23" outlineLevel="1">
      <c r="G572" s="12">
        <f t="shared" si="658"/>
        <v>65.016438356164386</v>
      </c>
      <c r="H572" s="4">
        <v>458</v>
      </c>
      <c r="I572" s="4">
        <f t="shared" si="641"/>
        <v>39</v>
      </c>
      <c r="J572" s="30">
        <f t="shared" si="616"/>
        <v>54636</v>
      </c>
      <c r="K572" s="62">
        <f>+IF(OR(H572&gt;60,$C$21="nein"),IF($C$19="monatlich",$C$20,IF($C$19="quartalsweise",OR(MONTH(J572)={1,4,7,10})*$C$20,IF($C$19="jährlich",(MONTH(J572)=7)*$C$20))),IF($C$19="monatlich",$C$22,IF($C$19="quartalsweise",OR(MONTH(J572)={1,4,7,10})*$C$22,IF($C$19="jährlich",(MONTH(J572)=7)*$C$22))))</f>
        <v>0</v>
      </c>
      <c r="L572" s="66">
        <f t="shared" si="668"/>
        <v>0</v>
      </c>
      <c r="M572" s="62">
        <f t="shared" si="669"/>
        <v>0</v>
      </c>
      <c r="N572" s="67">
        <f>+IF(AND($C$19="monatlich",K572&lt;$C$20),$C$20-K572,IF(AND($C$19="quartalsweise",OR(MONTH(J572)={1,4,7,10}),K572&lt;$C$20),$C$20-K572,IF(AND($C$19="jährlich",MONTH(J572)=7,K572&lt;$C$20),$C$20-K572,0)))</f>
        <v>0</v>
      </c>
      <c r="O572" s="67">
        <v>0</v>
      </c>
      <c r="P572" s="67">
        <v>0</v>
      </c>
      <c r="Q572" s="63">
        <f t="shared" si="670"/>
        <v>0</v>
      </c>
      <c r="R572" s="68">
        <f t="shared" si="636"/>
        <v>0</v>
      </c>
      <c r="S572" s="69">
        <f t="shared" si="607"/>
        <v>151349.43867036005</v>
      </c>
      <c r="T572" s="68">
        <f t="shared" si="672"/>
        <v>0</v>
      </c>
      <c r="U572" s="66">
        <f t="shared" si="673"/>
        <v>-271.44724062750691</v>
      </c>
      <c r="V572" s="68">
        <f t="shared" si="674"/>
        <v>1393.0371314231124</v>
      </c>
      <c r="W572" s="66">
        <f t="shared" si="675"/>
        <v>335210.50143234263</v>
      </c>
    </row>
    <row r="573" spans="2:23" outlineLevel="1">
      <c r="G573" s="12">
        <f t="shared" si="658"/>
        <v>65.101369863013701</v>
      </c>
      <c r="H573" s="4">
        <v>459</v>
      </c>
      <c r="I573" s="4">
        <f t="shared" si="641"/>
        <v>39</v>
      </c>
      <c r="J573" s="30">
        <f t="shared" si="616"/>
        <v>54667</v>
      </c>
      <c r="K573" s="62">
        <f>+IF(OR(H573&gt;60,$C$21="nein"),IF($C$19="monatlich",$C$20,IF($C$19="quartalsweise",OR(MONTH(J573)={1,4,7,10})*$C$20,IF($C$19="jährlich",(MONTH(J573)=7)*$C$20))),IF($C$19="monatlich",$C$22,IF($C$19="quartalsweise",OR(MONTH(J573)={1,4,7,10})*$C$22,IF($C$19="jährlich",(MONTH(J573)=7)*$C$22))))</f>
        <v>0</v>
      </c>
      <c r="L573" s="66">
        <f t="shared" si="668"/>
        <v>0</v>
      </c>
      <c r="M573" s="62">
        <f t="shared" si="669"/>
        <v>0</v>
      </c>
      <c r="N573" s="67">
        <f>+IF(AND($C$19="monatlich",K573&lt;$C$20),$C$20-K573,IF(AND($C$19="quartalsweise",OR(MONTH(J573)={1,4,7,10}),K573&lt;$C$20),$C$20-K573,IF(AND($C$19="jährlich",MONTH(J573)=7,K573&lt;$C$20),$C$20-K573,0)))</f>
        <v>0</v>
      </c>
      <c r="O573" s="67">
        <v>0</v>
      </c>
      <c r="P573" s="67">
        <v>0</v>
      </c>
      <c r="Q573" s="63">
        <f t="shared" si="670"/>
        <v>0</v>
      </c>
      <c r="R573" s="68">
        <f t="shared" si="636"/>
        <v>0</v>
      </c>
      <c r="S573" s="69">
        <f t="shared" si="607"/>
        <v>151349.43867036005</v>
      </c>
      <c r="T573" s="68">
        <f t="shared" si="672"/>
        <v>0</v>
      </c>
      <c r="U573" s="66">
        <f t="shared" si="673"/>
        <v>-272.35853241377839</v>
      </c>
      <c r="V573" s="68">
        <f t="shared" si="674"/>
        <v>1397.710422634761</v>
      </c>
      <c r="W573" s="66">
        <f t="shared" si="675"/>
        <v>336335.85332256363</v>
      </c>
    </row>
    <row r="574" spans="2:23" outlineLevel="1">
      <c r="G574" s="12">
        <f t="shared" si="658"/>
        <v>65.183561643835617</v>
      </c>
      <c r="H574" s="4">
        <v>460</v>
      </c>
      <c r="I574" s="4">
        <f t="shared" si="641"/>
        <v>39</v>
      </c>
      <c r="J574" s="30">
        <f t="shared" si="616"/>
        <v>54697</v>
      </c>
      <c r="K574" s="62">
        <f>+IF(OR(H574&gt;60,$C$21="nein"),IF($C$19="monatlich",$C$20,IF($C$19="quartalsweise",OR(MONTH(J574)={1,4,7,10})*$C$20,IF($C$19="jährlich",(MONTH(J574)=7)*$C$20))),IF($C$19="monatlich",$C$22,IF($C$19="quartalsweise",OR(MONTH(J574)={1,4,7,10})*$C$22,IF($C$19="jährlich",(MONTH(J574)=7)*$C$22))))</f>
        <v>900</v>
      </c>
      <c r="L574" s="66">
        <f t="shared" si="668"/>
        <v>0</v>
      </c>
      <c r="M574" s="62">
        <f t="shared" si="669"/>
        <v>0</v>
      </c>
      <c r="N574" s="67">
        <f>+IF(AND($C$19="monatlich",K574&lt;$C$20),$C$20-K574,IF(AND($C$19="quartalsweise",OR(MONTH(J574)={1,4,7,10}),K574&lt;$C$20),$C$20-K574,IF(AND($C$19="jährlich",MONTH(J574)=7,K574&lt;$C$20),$C$20-K574,0)))</f>
        <v>0</v>
      </c>
      <c r="O574" s="67">
        <v>0</v>
      </c>
      <c r="P574" s="67">
        <v>0</v>
      </c>
      <c r="Q574" s="63">
        <f t="shared" si="670"/>
        <v>0</v>
      </c>
      <c r="R574" s="68">
        <f t="shared" si="636"/>
        <v>900</v>
      </c>
      <c r="S574" s="69">
        <f t="shared" si="607"/>
        <v>152249.43867036005</v>
      </c>
      <c r="T574" s="68">
        <f t="shared" si="672"/>
        <v>0</v>
      </c>
      <c r="U574" s="66">
        <f t="shared" si="673"/>
        <v>-273.27288082458296</v>
      </c>
      <c r="V574" s="68">
        <f t="shared" si="674"/>
        <v>1402.3993888440152</v>
      </c>
      <c r="W574" s="66">
        <f t="shared" si="675"/>
        <v>338364.97983058309</v>
      </c>
    </row>
    <row r="575" spans="2:23" outlineLevel="1">
      <c r="G575" s="12">
        <f t="shared" si="658"/>
        <v>65.268493150684932</v>
      </c>
      <c r="H575" s="4">
        <v>461</v>
      </c>
      <c r="I575" s="4">
        <f t="shared" si="641"/>
        <v>39</v>
      </c>
      <c r="J575" s="30">
        <f>+DATE(YEAR(J574),MONTH(J574)+1,1)</f>
        <v>54728</v>
      </c>
      <c r="K575" s="62">
        <f>+IF(OR(H575&gt;60,$C$21="nein"),IF($C$19="monatlich",$C$20,IF($C$19="quartalsweise",OR(MONTH(J575)={1,4,7,10})*$C$20,IF($C$19="jährlich",(MONTH(J575)=7)*$C$20))),IF($C$19="monatlich",$C$22,IF($C$19="quartalsweise",OR(MONTH(J575)={1,4,7,10})*$C$22,IF($C$19="jährlich",(MONTH(J575)=7)*$C$22))))</f>
        <v>0</v>
      </c>
      <c r="L575" s="66">
        <f t="shared" si="668"/>
        <v>0</v>
      </c>
      <c r="M575" s="62">
        <f t="shared" si="669"/>
        <v>0</v>
      </c>
      <c r="N575" s="67">
        <f>+IF(AND($C$19="monatlich",K575&lt;$C$20),$C$20-K575,IF(AND($C$19="quartalsweise",OR(MONTH(J575)={1,4,7,10}),K575&lt;$C$20),$C$20-K575,IF(AND($C$19="jährlich",MONTH(J575)=7,K575&lt;$C$20),$C$20-K575,0)))</f>
        <v>0</v>
      </c>
      <c r="O575" s="67">
        <v>0</v>
      </c>
      <c r="P575" s="67">
        <v>0</v>
      </c>
      <c r="Q575" s="63">
        <f t="shared" si="670"/>
        <v>0</v>
      </c>
      <c r="R575" s="68">
        <f t="shared" si="636"/>
        <v>0</v>
      </c>
      <c r="S575" s="69">
        <f t="shared" si="607"/>
        <v>152249.43867036005</v>
      </c>
      <c r="T575" s="68">
        <f t="shared" si="672"/>
        <v>0</v>
      </c>
      <c r="U575" s="66">
        <f t="shared" si="673"/>
        <v>-274.92154611234872</v>
      </c>
      <c r="V575" s="68">
        <f t="shared" si="674"/>
        <v>1410.8540826274295</v>
      </c>
      <c r="W575" s="66">
        <f t="shared" si="675"/>
        <v>339500.91236709821</v>
      </c>
    </row>
    <row r="576" spans="2:23" outlineLevel="1">
      <c r="G576" s="12">
        <f t="shared" si="658"/>
        <v>65.350684931506848</v>
      </c>
      <c r="H576" s="4">
        <v>462</v>
      </c>
      <c r="I576" s="4">
        <f t="shared" ref="I576:I582" si="676">+I563+1</f>
        <v>39</v>
      </c>
      <c r="J576" s="30">
        <f t="shared" si="616"/>
        <v>54758</v>
      </c>
      <c r="K576" s="62">
        <f>+IF(OR(H576&gt;60,$C$21="nein"),IF($C$19="monatlich",$C$20,IF($C$19="quartalsweise",OR(MONTH(J576)={1,4,7,10})*$C$20,IF($C$19="jährlich",(MONTH(J576)=7)*$C$20))),IF($C$19="monatlich",$C$22,IF($C$19="quartalsweise",OR(MONTH(J576)={1,4,7,10})*$C$22,IF($C$19="jährlich",(MONTH(J576)=7)*$C$22))))</f>
        <v>0</v>
      </c>
      <c r="L576" s="66">
        <f t="shared" si="668"/>
        <v>0</v>
      </c>
      <c r="M576" s="62">
        <f t="shared" si="669"/>
        <v>0</v>
      </c>
      <c r="N576" s="67">
        <f>+IF(AND($C$19="monatlich",K576&lt;$C$20),$C$20-K576,IF(AND($C$19="quartalsweise",OR(MONTH(J576)={1,4,7,10}),K576&lt;$C$20),$C$20-K576,IF(AND($C$19="jährlich",MONTH(J576)=7,K576&lt;$C$20),$C$20-K576,0)))</f>
        <v>0</v>
      </c>
      <c r="O576" s="67">
        <v>0</v>
      </c>
      <c r="P576" s="67">
        <v>0</v>
      </c>
      <c r="Q576" s="63">
        <f t="shared" si="670"/>
        <v>0</v>
      </c>
      <c r="R576" s="68">
        <f t="shared" si="636"/>
        <v>0</v>
      </c>
      <c r="S576" s="69">
        <f t="shared" si="607"/>
        <v>152249.43867036005</v>
      </c>
      <c r="T576" s="68">
        <f t="shared" si="672"/>
        <v>-15.4</v>
      </c>
      <c r="U576" s="66">
        <f t="shared" si="673"/>
        <v>-275.84449129826726</v>
      </c>
      <c r="V576" s="68">
        <f t="shared" si="674"/>
        <v>1415.5871348629091</v>
      </c>
      <c r="W576" s="66">
        <f t="shared" si="675"/>
        <v>340625.25501066283</v>
      </c>
    </row>
    <row r="577" spans="2:23" outlineLevel="1">
      <c r="G577" s="12">
        <f t="shared" si="658"/>
        <v>65.435616438356163</v>
      </c>
      <c r="H577" s="4">
        <v>463</v>
      </c>
      <c r="I577" s="4">
        <f t="shared" si="676"/>
        <v>39</v>
      </c>
      <c r="J577" s="30">
        <f t="shared" si="616"/>
        <v>54789</v>
      </c>
      <c r="K577" s="62">
        <f>+IF(OR(H577&gt;60,$C$21="nein"),IF($C$19="monatlich",$C$20,IF($C$19="quartalsweise",OR(MONTH(J577)={1,4,7,10})*$C$20,IF($C$19="jährlich",(MONTH(J577)=7)*$C$20))),IF($C$19="monatlich",$C$22,IF($C$19="quartalsweise",OR(MONTH(J577)={1,4,7,10})*$C$22,IF($C$19="jährlich",(MONTH(J577)=7)*$C$22))))</f>
        <v>900</v>
      </c>
      <c r="L577" s="66">
        <f t="shared" si="668"/>
        <v>0</v>
      </c>
      <c r="M577" s="62">
        <f t="shared" si="669"/>
        <v>0</v>
      </c>
      <c r="N577" s="67">
        <f>+IF(AND($C$19="monatlich",K577&lt;$C$20),$C$20-K577,IF(AND($C$19="quartalsweise",OR(MONTH(J577)={1,4,7,10}),K577&lt;$C$20),$C$20-K577,IF(AND($C$19="jährlich",MONTH(J577)=7,K577&lt;$C$20),$C$20-K577,0)))</f>
        <v>0</v>
      </c>
      <c r="O577" s="67">
        <v>0</v>
      </c>
      <c r="P577" s="67">
        <v>0</v>
      </c>
      <c r="Q577" s="63">
        <f t="shared" si="670"/>
        <v>0</v>
      </c>
      <c r="R577" s="68">
        <f t="shared" si="636"/>
        <v>900</v>
      </c>
      <c r="S577" s="69">
        <f t="shared" si="607"/>
        <v>153149.43867036005</v>
      </c>
      <c r="T577" s="68">
        <f t="shared" si="672"/>
        <v>0</v>
      </c>
      <c r="U577" s="66">
        <f t="shared" si="673"/>
        <v>-276.75801969616356</v>
      </c>
      <c r="V577" s="68">
        <f t="shared" si="674"/>
        <v>1420.2718958777618</v>
      </c>
      <c r="W577" s="66">
        <f t="shared" si="675"/>
        <v>342668.76888684445</v>
      </c>
    </row>
    <row r="578" spans="2:23" outlineLevel="1">
      <c r="G578" s="12">
        <f t="shared" si="658"/>
        <v>65.520547945205479</v>
      </c>
      <c r="H578" s="4">
        <v>464</v>
      </c>
      <c r="I578" s="4">
        <f t="shared" si="676"/>
        <v>39</v>
      </c>
      <c r="J578" s="30">
        <f t="shared" si="616"/>
        <v>54820</v>
      </c>
      <c r="K578" s="62">
        <f>+IF(OR(H578&gt;60,$C$21="nein"),IF($C$19="monatlich",$C$20,IF($C$19="quartalsweise",OR(MONTH(J578)={1,4,7,10})*$C$20,IF($C$19="jährlich",(MONTH(J578)=7)*$C$20))),IF($C$19="monatlich",$C$22,IF($C$19="quartalsweise",OR(MONTH(J578)={1,4,7,10})*$C$22,IF($C$19="jährlich",(MONTH(J578)=7)*$C$22))))</f>
        <v>0</v>
      </c>
      <c r="L578" s="66">
        <f t="shared" si="668"/>
        <v>0</v>
      </c>
      <c r="M578" s="62">
        <f t="shared" si="669"/>
        <v>0</v>
      </c>
      <c r="N578" s="67">
        <f>+IF(AND($C$19="monatlich",K578&lt;$C$20),$C$20-K578,IF(AND($C$19="quartalsweise",OR(MONTH(J578)={1,4,7,10}),K578&lt;$C$20),$C$20-K578,IF(AND($C$19="jährlich",MONTH(J578)=7,K578&lt;$C$20),$C$20-K578,0)))</f>
        <v>0</v>
      </c>
      <c r="O578" s="67">
        <v>0</v>
      </c>
      <c r="P578" s="67">
        <v>0</v>
      </c>
      <c r="Q578" s="63">
        <f t="shared" si="670"/>
        <v>0</v>
      </c>
      <c r="R578" s="68">
        <f t="shared" si="636"/>
        <v>0</v>
      </c>
      <c r="S578" s="69">
        <f t="shared" si="607"/>
        <v>153149.43867036005</v>
      </c>
      <c r="T578" s="68">
        <f t="shared" si="672"/>
        <v>0</v>
      </c>
      <c r="U578" s="66">
        <f t="shared" si="673"/>
        <v>-278.41837472056113</v>
      </c>
      <c r="V578" s="68">
        <f t="shared" si="674"/>
        <v>1428.7865370285185</v>
      </c>
      <c r="W578" s="66">
        <f t="shared" si="675"/>
        <v>343819.1370491524</v>
      </c>
    </row>
    <row r="579" spans="2:23" outlineLevel="1">
      <c r="G579" s="12">
        <f t="shared" si="658"/>
        <v>65.597260273972609</v>
      </c>
      <c r="H579" s="4">
        <v>465</v>
      </c>
      <c r="I579" s="4">
        <f t="shared" si="676"/>
        <v>39</v>
      </c>
      <c r="J579" s="30">
        <f t="shared" si="616"/>
        <v>54848</v>
      </c>
      <c r="K579" s="62">
        <f>+IF(OR(H579&gt;60,$C$21="nein"),IF($C$19="monatlich",$C$20,IF($C$19="quartalsweise",OR(MONTH(J579)={1,4,7,10})*$C$20,IF($C$19="jährlich",(MONTH(J579)=7)*$C$20))),IF($C$19="monatlich",$C$22,IF($C$19="quartalsweise",OR(MONTH(J579)={1,4,7,10})*$C$22,IF($C$19="jährlich",(MONTH(J579)=7)*$C$22))))</f>
        <v>0</v>
      </c>
      <c r="L579" s="66">
        <f t="shared" si="668"/>
        <v>0</v>
      </c>
      <c r="M579" s="62">
        <f t="shared" si="669"/>
        <v>0</v>
      </c>
      <c r="N579" s="67">
        <f>+IF(AND($C$19="monatlich",K579&lt;$C$20),$C$20-K579,IF(AND($C$19="quartalsweise",OR(MONTH(J579)={1,4,7,10}),K579&lt;$C$20),$C$20-K579,IF(AND($C$19="jährlich",MONTH(J579)=7,K579&lt;$C$20),$C$20-K579,0)))-$C$67/100*SUM(Q561:Q569,Q571:Q573)-$C$66/100*SUM(L561:L569,L571:L573)</f>
        <v>8.1052631578947363</v>
      </c>
      <c r="O579" s="67">
        <v>0</v>
      </c>
      <c r="P579" s="67">
        <v>0</v>
      </c>
      <c r="Q579" s="63">
        <f t="shared" si="670"/>
        <v>-0.40526315789473683</v>
      </c>
      <c r="R579" s="68">
        <f t="shared" si="636"/>
        <v>8.1052631578947363</v>
      </c>
      <c r="S579" s="69">
        <f t="shared" si="607"/>
        <v>153157.54393351794</v>
      </c>
      <c r="T579" s="68">
        <f t="shared" si="672"/>
        <v>0</v>
      </c>
      <c r="U579" s="66">
        <f t="shared" si="673"/>
        <v>-279.3530488524363</v>
      </c>
      <c r="V579" s="68">
        <f t="shared" si="674"/>
        <v>1433.5797377048016</v>
      </c>
      <c r="W579" s="66">
        <f t="shared" si="675"/>
        <v>344981.06373800483</v>
      </c>
    </row>
    <row r="580" spans="2:23" outlineLevel="1">
      <c r="G580" s="12">
        <f t="shared" si="658"/>
        <v>65.682191780821924</v>
      </c>
      <c r="H580" s="4">
        <v>466</v>
      </c>
      <c r="I580" s="4">
        <f t="shared" si="676"/>
        <v>39</v>
      </c>
      <c r="J580" s="30">
        <f t="shared" si="616"/>
        <v>54879</v>
      </c>
      <c r="K580" s="62">
        <f>+IF(OR(H580&gt;60,$C$21="nein"),IF($C$19="monatlich",$C$20,IF($C$19="quartalsweise",OR(MONTH(J580)={1,4,7,10})*$C$20,IF($C$19="jährlich",(MONTH(J580)=7)*$C$20))),IF($C$19="monatlich",$C$22,IF($C$19="quartalsweise",OR(MONTH(J580)={1,4,7,10})*$C$22,IF($C$19="jährlich",(MONTH(J580)=7)*$C$22))))</f>
        <v>900</v>
      </c>
      <c r="L580" s="66">
        <f t="shared" si="668"/>
        <v>0</v>
      </c>
      <c r="M580" s="62">
        <f t="shared" si="669"/>
        <v>154</v>
      </c>
      <c r="N580" s="67">
        <f>+IF(AND($C$19="monatlich",K580&lt;$C$20),$C$20-K580,IF(AND($C$19="quartalsweise",OR(MONTH(J580)={1,4,7,10}),K580&lt;$C$20),$C$20-K580,IF(AND($C$19="jährlich",MONTH(J580)=7,K580&lt;$C$20),$C$20-K580,0)))</f>
        <v>0</v>
      </c>
      <c r="O580" s="67">
        <v>0</v>
      </c>
      <c r="P580" s="67">
        <v>0</v>
      </c>
      <c r="Q580" s="63">
        <f t="shared" si="670"/>
        <v>-7.7</v>
      </c>
      <c r="R580" s="68">
        <f t="shared" si="636"/>
        <v>1054</v>
      </c>
      <c r="S580" s="69">
        <f t="shared" si="607"/>
        <v>154211.54393351794</v>
      </c>
      <c r="T580" s="68">
        <f t="shared" si="672"/>
        <v>0</v>
      </c>
      <c r="U580" s="66">
        <f t="shared" si="673"/>
        <v>-280.29711428712892</v>
      </c>
      <c r="V580" s="68">
        <f t="shared" si="674"/>
        <v>1438.4210989083535</v>
      </c>
      <c r="W580" s="66">
        <f t="shared" si="675"/>
        <v>347185.48772262601</v>
      </c>
    </row>
    <row r="581" spans="2:23" outlineLevel="1">
      <c r="G581" s="12">
        <f t="shared" si="658"/>
        <v>65.764383561643839</v>
      </c>
      <c r="H581" s="4">
        <v>467</v>
      </c>
      <c r="I581" s="4">
        <f t="shared" si="676"/>
        <v>39</v>
      </c>
      <c r="J581" s="30">
        <f t="shared" si="616"/>
        <v>54909</v>
      </c>
      <c r="K581" s="62">
        <f>+IF(OR(H581&gt;60,$C$21="nein"),IF($C$19="monatlich",$C$20,IF($C$19="quartalsweise",OR(MONTH(J581)={1,4,7,10})*$C$20,IF($C$19="jährlich",(MONTH(J581)=7)*$C$20))),IF($C$19="monatlich",$C$22,IF($C$19="quartalsweise",OR(MONTH(J581)={1,4,7,10})*$C$22,IF($C$19="jährlich",(MONTH(J581)=7)*$C$22))))</f>
        <v>0</v>
      </c>
      <c r="L581" s="66">
        <f t="shared" si="668"/>
        <v>0</v>
      </c>
      <c r="M581" s="62">
        <f t="shared" si="669"/>
        <v>0</v>
      </c>
      <c r="N581" s="67">
        <f>+IF(AND($C$19="monatlich",K581&lt;$C$20),$C$20-K581,IF(AND($C$19="quartalsweise",OR(MONTH(J581)={1,4,7,10}),K581&lt;$C$20),$C$20-K581,IF(AND($C$19="jährlich",MONTH(J581)=7,K581&lt;$C$20),$C$20-K581,0)))</f>
        <v>0</v>
      </c>
      <c r="O581" s="67">
        <v>0</v>
      </c>
      <c r="P581" s="67">
        <v>0</v>
      </c>
      <c r="Q581" s="63">
        <f t="shared" si="670"/>
        <v>0</v>
      </c>
      <c r="R581" s="68">
        <f t="shared" si="636"/>
        <v>0</v>
      </c>
      <c r="S581" s="69">
        <f t="shared" si="607"/>
        <v>154211.54393351794</v>
      </c>
      <c r="T581" s="68">
        <f t="shared" si="672"/>
        <v>0</v>
      </c>
      <c r="U581" s="66">
        <f t="shared" si="673"/>
        <v>-282.08820877463364</v>
      </c>
      <c r="V581" s="68">
        <f t="shared" si="674"/>
        <v>1447.606198844275</v>
      </c>
      <c r="W581" s="66">
        <f t="shared" si="675"/>
        <v>348351.00571269565</v>
      </c>
    </row>
    <row r="582" spans="2:23" outlineLevel="1">
      <c r="G582" s="13">
        <f t="shared" si="658"/>
        <v>65.849315068493155</v>
      </c>
      <c r="H582" s="6">
        <v>468</v>
      </c>
      <c r="I582" s="6">
        <f t="shared" si="676"/>
        <v>39</v>
      </c>
      <c r="J582" s="31">
        <f t="shared" si="616"/>
        <v>54940</v>
      </c>
      <c r="K582" s="62">
        <f>+IF(OR(H582&gt;60,$C$21="nein"),IF($C$19="monatlich",$C$20,IF($C$19="quartalsweise",OR(MONTH(J582)={1,4,7,10})*$C$20,IF($C$19="jährlich",(MONTH(J582)=7)*$C$20))),IF($C$19="monatlich",$C$22,IF($C$19="quartalsweise",OR(MONTH(J582)={1,4,7,10})*$C$22,IF($C$19="jährlich",(MONTH(J582)=7)*$C$22))))</f>
        <v>0</v>
      </c>
      <c r="L582" s="70">
        <f t="shared" si="668"/>
        <v>0</v>
      </c>
      <c r="M582" s="62">
        <f t="shared" si="669"/>
        <v>0</v>
      </c>
      <c r="N582" s="71">
        <f>+IF(AND($C$19="monatlich",K582&lt;$C$20),$C$20-K582,IF(AND($C$19="quartalsweise",OR(MONTH(J582)={1,4,7,10}),K582&lt;$C$20),$C$20-K582,IF(AND($C$19="jährlich",MONTH(J582)=7,K582&lt;$C$20),$C$20-K582,0)))</f>
        <v>0</v>
      </c>
      <c r="O582" s="71">
        <v>0</v>
      </c>
      <c r="P582" s="71">
        <v>0</v>
      </c>
      <c r="Q582" s="63">
        <f t="shared" si="670"/>
        <v>0</v>
      </c>
      <c r="R582" s="72">
        <f t="shared" si="636"/>
        <v>0</v>
      </c>
      <c r="S582" s="73">
        <f t="shared" si="607"/>
        <v>154211.54393351794</v>
      </c>
      <c r="T582" s="72">
        <f t="shared" si="672"/>
        <v>0</v>
      </c>
      <c r="U582" s="70">
        <f t="shared" si="673"/>
        <v>-283.03519214156523</v>
      </c>
      <c r="V582" s="72">
        <f t="shared" si="674"/>
        <v>1452.4625238028984</v>
      </c>
      <c r="W582" s="70">
        <f t="shared" si="675"/>
        <v>349520.43304435699</v>
      </c>
    </row>
    <row r="583" spans="2:23" s="5" customFormat="1" ht="15">
      <c r="B583" s="17"/>
      <c r="G583" s="115">
        <f t="shared" si="658"/>
        <v>65.849315068493155</v>
      </c>
      <c r="H583" s="116" t="str">
        <f>H571&amp;" - "&amp;H582</f>
        <v>457 - 468</v>
      </c>
      <c r="I583" s="117">
        <f t="shared" ref="I583:I596" si="677">+I570+1</f>
        <v>39</v>
      </c>
      <c r="J583" s="118">
        <f t="shared" ref="J583" si="678">+J582</f>
        <v>54940</v>
      </c>
      <c r="K583" s="119">
        <f t="shared" ref="K583:L583" si="679">SUM(K571:K582)</f>
        <v>3600</v>
      </c>
      <c r="L583" s="120">
        <f t="shared" si="679"/>
        <v>0</v>
      </c>
      <c r="M583" s="119">
        <f t="shared" ref="M583" si="680">SUM(M571:M582)</f>
        <v>154</v>
      </c>
      <c r="N583" s="121">
        <f t="shared" si="662"/>
        <v>8.1052631578947363</v>
      </c>
      <c r="O583" s="121">
        <f t="shared" ref="O583" si="681">SUM(O571:O582)</f>
        <v>0</v>
      </c>
      <c r="P583" s="121">
        <f t="shared" ref="P583" si="682">SUM(P571:P582)</f>
        <v>0</v>
      </c>
      <c r="Q583" s="120">
        <f t="shared" si="664"/>
        <v>-8.1052631578947363</v>
      </c>
      <c r="R583" s="119">
        <f t="shared" ref="R583" si="683">SUM(R571:R582)</f>
        <v>3762.1052631578946</v>
      </c>
      <c r="S583" s="122">
        <f t="shared" si="607"/>
        <v>154211.54393351794</v>
      </c>
      <c r="T583" s="119">
        <f t="shared" ref="T583:V583" si="684">SUM(T571:T582)</f>
        <v>-15.4</v>
      </c>
      <c r="U583" s="120">
        <f t="shared" si="684"/>
        <v>-3317.6048395315838</v>
      </c>
      <c r="V583" s="119">
        <f t="shared" si="684"/>
        <v>17025.358151444023</v>
      </c>
      <c r="W583" s="123">
        <f t="shared" ref="W583" si="685">+W582</f>
        <v>349520.43304435699</v>
      </c>
    </row>
    <row r="584" spans="2:23" outlineLevel="1">
      <c r="G584" s="11">
        <f t="shared" si="658"/>
        <v>65.93150684931507</v>
      </c>
      <c r="H584" s="2">
        <v>469</v>
      </c>
      <c r="I584" s="2">
        <f t="shared" si="677"/>
        <v>40</v>
      </c>
      <c r="J584" s="29">
        <f t="shared" si="616"/>
        <v>54970</v>
      </c>
      <c r="K584" s="62">
        <f>+IF(OR(H584&gt;60,$C$21="nein"),IF($C$19="monatlich",$C$20,IF($C$19="quartalsweise",OR(MONTH(J584)={1,4,7,10})*$C$20,IF($C$19="jährlich",(MONTH(J584)=7)*$C$20))),IF($C$19="monatlich",$C$22,IF($C$19="quartalsweise",OR(MONTH(J584)={1,4,7,10})*$C$22,IF($C$19="jährlich",(MONTH(J584)=7)*$C$22))))</f>
        <v>900</v>
      </c>
      <c r="L584" s="63">
        <f t="shared" ref="L584:L595" si="686">-IF(H584&gt;60,0,IF($C$19="monatlich",$C$52,IF(AND($C$19="quartalsweise",K584&gt;0),$C$52,IF(AND($C$19="jährlich",K584&gt;0),$C$51,0))))</f>
        <v>0</v>
      </c>
      <c r="M584" s="62">
        <f t="shared" ref="M584:M595" si="687">+IF(MONTH(J584)=4,$C$25,0)</f>
        <v>0</v>
      </c>
      <c r="N584" s="64">
        <f>+IF(AND($C$19="monatlich",K584&lt;$C$20),$C$20-K584,IF(AND($C$19="quartalsweise",OR(MONTH(J584)={1,4,7,10}),K584&lt;$C$20),$C$20-K584,IF(AND($C$19="jährlich",MONTH(J584)=7,K584&lt;$C$20),$C$20-K584,0)))</f>
        <v>0</v>
      </c>
      <c r="O584" s="64">
        <v>0</v>
      </c>
      <c r="P584" s="64">
        <v>0</v>
      </c>
      <c r="Q584" s="63">
        <f t="shared" ref="Q584:Q595" si="688">-SUM(M584:P584)*$C$47/100</f>
        <v>0</v>
      </c>
      <c r="R584" s="62">
        <f t="shared" ref="R584" si="689">+SUM(K584,M584:P584)</f>
        <v>900</v>
      </c>
      <c r="S584" s="65">
        <f t="shared" si="607"/>
        <v>155111.54393351794</v>
      </c>
      <c r="T584" s="62">
        <f t="shared" ref="T584:T595" si="690">-IF(MONTH(J584)=12,$C$55,0)</f>
        <v>0</v>
      </c>
      <c r="U584" s="63">
        <f t="shared" ref="U584:U595" si="691">-W583*($D$43/100/12)</f>
        <v>-283.98535184854006</v>
      </c>
      <c r="V584" s="62">
        <f t="shared" ref="V584:V595" si="692">+(1+(IF($C$71="pauschal",$C$72/100/12,VLOOKUP(I583,$J$5:$L$44,3,FALSE)/100/12)*W583))</f>
        <v>1457.3351376848209</v>
      </c>
      <c r="W584" s="63">
        <f t="shared" ref="W584:W595" si="693">+SUM(W583,R584,L584,Q584,T584:V584)</f>
        <v>351593.78283019329</v>
      </c>
    </row>
    <row r="585" spans="2:23" outlineLevel="1">
      <c r="G585" s="12">
        <f t="shared" si="658"/>
        <v>66.016438356164386</v>
      </c>
      <c r="H585" s="4">
        <v>470</v>
      </c>
      <c r="I585" s="4">
        <f t="shared" si="677"/>
        <v>40</v>
      </c>
      <c r="J585" s="30">
        <f t="shared" si="616"/>
        <v>55001</v>
      </c>
      <c r="K585" s="62">
        <f>+IF(OR(H585&gt;60,$C$21="nein"),IF($C$19="monatlich",$C$20,IF($C$19="quartalsweise",OR(MONTH(J585)={1,4,7,10})*$C$20,IF($C$19="jährlich",(MONTH(J585)=7)*$C$20))),IF($C$19="monatlich",$C$22,IF($C$19="quartalsweise",OR(MONTH(J585)={1,4,7,10})*$C$22,IF($C$19="jährlich",(MONTH(J585)=7)*$C$22))))</f>
        <v>0</v>
      </c>
      <c r="L585" s="66">
        <f t="shared" si="686"/>
        <v>0</v>
      </c>
      <c r="M585" s="62">
        <f t="shared" si="687"/>
        <v>0</v>
      </c>
      <c r="N585" s="67">
        <f>+IF(AND($C$19="monatlich",K585&lt;$C$20),$C$20-K585,IF(AND($C$19="quartalsweise",OR(MONTH(J585)={1,4,7,10}),K585&lt;$C$20),$C$20-K585,IF(AND($C$19="jährlich",MONTH(J585)=7,K585&lt;$C$20),$C$20-K585,0)))</f>
        <v>0</v>
      </c>
      <c r="O585" s="67">
        <v>0</v>
      </c>
      <c r="P585" s="67">
        <v>0</v>
      </c>
      <c r="Q585" s="63">
        <f t="shared" si="688"/>
        <v>0</v>
      </c>
      <c r="R585" s="68">
        <f t="shared" si="636"/>
        <v>0</v>
      </c>
      <c r="S585" s="69">
        <f t="shared" si="607"/>
        <v>155111.54393351794</v>
      </c>
      <c r="T585" s="68">
        <f t="shared" si="690"/>
        <v>0</v>
      </c>
      <c r="U585" s="66">
        <f t="shared" si="691"/>
        <v>-285.66994854953202</v>
      </c>
      <c r="V585" s="68">
        <f t="shared" si="692"/>
        <v>1465.9740951258054</v>
      </c>
      <c r="W585" s="66">
        <f t="shared" si="693"/>
        <v>352774.08697676955</v>
      </c>
    </row>
    <row r="586" spans="2:23" outlineLevel="1">
      <c r="G586" s="12">
        <f t="shared" si="658"/>
        <v>66.101369863013701</v>
      </c>
      <c r="H586" s="4">
        <v>471</v>
      </c>
      <c r="I586" s="4">
        <f t="shared" si="677"/>
        <v>40</v>
      </c>
      <c r="J586" s="30">
        <f t="shared" si="616"/>
        <v>55032</v>
      </c>
      <c r="K586" s="62">
        <f>+IF(OR(H586&gt;60,$C$21="nein"),IF($C$19="monatlich",$C$20,IF($C$19="quartalsweise",OR(MONTH(J586)={1,4,7,10})*$C$20,IF($C$19="jährlich",(MONTH(J586)=7)*$C$20))),IF($C$19="monatlich",$C$22,IF($C$19="quartalsweise",OR(MONTH(J586)={1,4,7,10})*$C$22,IF($C$19="jährlich",(MONTH(J586)=7)*$C$22))))</f>
        <v>0</v>
      </c>
      <c r="L586" s="66">
        <f t="shared" si="686"/>
        <v>0</v>
      </c>
      <c r="M586" s="62">
        <f t="shared" si="687"/>
        <v>0</v>
      </c>
      <c r="N586" s="67">
        <f>+IF(AND($C$19="monatlich",K586&lt;$C$20),$C$20-K586,IF(AND($C$19="quartalsweise",OR(MONTH(J586)={1,4,7,10}),K586&lt;$C$20),$C$20-K586,IF(AND($C$19="jährlich",MONTH(J586)=7,K586&lt;$C$20),$C$20-K586,0)))</f>
        <v>0</v>
      </c>
      <c r="O586" s="67">
        <v>0</v>
      </c>
      <c r="P586" s="67">
        <v>0</v>
      </c>
      <c r="Q586" s="63">
        <f t="shared" si="688"/>
        <v>0</v>
      </c>
      <c r="R586" s="68">
        <f t="shared" si="636"/>
        <v>0</v>
      </c>
      <c r="S586" s="69">
        <f t="shared" si="607"/>
        <v>155111.54393351794</v>
      </c>
      <c r="T586" s="68">
        <f t="shared" si="690"/>
        <v>0</v>
      </c>
      <c r="U586" s="66">
        <f t="shared" si="691"/>
        <v>-286.62894566862525</v>
      </c>
      <c r="V586" s="68">
        <f t="shared" si="692"/>
        <v>1470.8920290698732</v>
      </c>
      <c r="W586" s="66">
        <f t="shared" si="693"/>
        <v>353958.35006017081</v>
      </c>
    </row>
    <row r="587" spans="2:23" outlineLevel="1">
      <c r="G587" s="12">
        <f t="shared" si="658"/>
        <v>66.183561643835617</v>
      </c>
      <c r="H587" s="4">
        <v>472</v>
      </c>
      <c r="I587" s="4">
        <f t="shared" si="677"/>
        <v>40</v>
      </c>
      <c r="J587" s="30">
        <f t="shared" si="616"/>
        <v>55062</v>
      </c>
      <c r="K587" s="62">
        <f>+IF(OR(H587&gt;60,$C$21="nein"),IF($C$19="monatlich",$C$20,IF($C$19="quartalsweise",OR(MONTH(J587)={1,4,7,10})*$C$20,IF($C$19="jährlich",(MONTH(J587)=7)*$C$20))),IF($C$19="monatlich",$C$22,IF($C$19="quartalsweise",OR(MONTH(J587)={1,4,7,10})*$C$22,IF($C$19="jährlich",(MONTH(J587)=7)*$C$22))))</f>
        <v>900</v>
      </c>
      <c r="L587" s="66">
        <f t="shared" si="686"/>
        <v>0</v>
      </c>
      <c r="M587" s="62">
        <f t="shared" si="687"/>
        <v>0</v>
      </c>
      <c r="N587" s="67">
        <f>+IF(AND($C$19="monatlich",K587&lt;$C$20),$C$20-K587,IF(AND($C$19="quartalsweise",OR(MONTH(J587)={1,4,7,10}),K587&lt;$C$20),$C$20-K587,IF(AND($C$19="jährlich",MONTH(J587)=7,K587&lt;$C$20),$C$20-K587,0)))</f>
        <v>0</v>
      </c>
      <c r="O587" s="67">
        <v>0</v>
      </c>
      <c r="P587" s="67">
        <v>0</v>
      </c>
      <c r="Q587" s="63">
        <f t="shared" si="688"/>
        <v>0</v>
      </c>
      <c r="R587" s="68">
        <f t="shared" si="636"/>
        <v>900</v>
      </c>
      <c r="S587" s="69">
        <f t="shared" si="607"/>
        <v>156011.54393351794</v>
      </c>
      <c r="T587" s="68">
        <f t="shared" si="690"/>
        <v>0</v>
      </c>
      <c r="U587" s="66">
        <f t="shared" si="691"/>
        <v>-287.59115942388877</v>
      </c>
      <c r="V587" s="68">
        <f t="shared" si="692"/>
        <v>1475.826458584045</v>
      </c>
      <c r="W587" s="66">
        <f t="shared" si="693"/>
        <v>356046.58535933099</v>
      </c>
    </row>
    <row r="588" spans="2:23" outlineLevel="1">
      <c r="G588" s="12">
        <f t="shared" si="658"/>
        <v>66.268493150684932</v>
      </c>
      <c r="H588" s="4">
        <v>473</v>
      </c>
      <c r="I588" s="4">
        <f t="shared" si="677"/>
        <v>40</v>
      </c>
      <c r="J588" s="30">
        <f t="shared" si="616"/>
        <v>55093</v>
      </c>
      <c r="K588" s="62">
        <f>+IF(OR(H588&gt;60,$C$21="nein"),IF($C$19="monatlich",$C$20,IF($C$19="quartalsweise",OR(MONTH(J588)={1,4,7,10})*$C$20,IF($C$19="jährlich",(MONTH(J588)=7)*$C$20))),IF($C$19="monatlich",$C$22,IF($C$19="quartalsweise",OR(MONTH(J588)={1,4,7,10})*$C$22,IF($C$19="jährlich",(MONTH(J588)=7)*$C$22))))</f>
        <v>0</v>
      </c>
      <c r="L588" s="66">
        <f t="shared" si="686"/>
        <v>0</v>
      </c>
      <c r="M588" s="62">
        <f t="shared" si="687"/>
        <v>0</v>
      </c>
      <c r="N588" s="67">
        <f>+IF(AND($C$19="monatlich",K588&lt;$C$20),$C$20-K588,IF(AND($C$19="quartalsweise",OR(MONTH(J588)={1,4,7,10}),K588&lt;$C$20),$C$20-K588,IF(AND($C$19="jährlich",MONTH(J588)=7,K588&lt;$C$20),$C$20-K588,0)))</f>
        <v>0</v>
      </c>
      <c r="O588" s="67">
        <v>0</v>
      </c>
      <c r="P588" s="67">
        <v>0</v>
      </c>
      <c r="Q588" s="63">
        <f t="shared" si="688"/>
        <v>0</v>
      </c>
      <c r="R588" s="68">
        <f t="shared" si="636"/>
        <v>0</v>
      </c>
      <c r="S588" s="69">
        <f t="shared" si="607"/>
        <v>156011.54393351794</v>
      </c>
      <c r="T588" s="68">
        <f t="shared" si="690"/>
        <v>0</v>
      </c>
      <c r="U588" s="66">
        <f t="shared" si="691"/>
        <v>-289.28785060445642</v>
      </c>
      <c r="V588" s="68">
        <f t="shared" si="692"/>
        <v>1484.5274389972124</v>
      </c>
      <c r="W588" s="66">
        <f t="shared" si="693"/>
        <v>357241.82494772377</v>
      </c>
    </row>
    <row r="589" spans="2:23" outlineLevel="1">
      <c r="G589" s="12">
        <f t="shared" si="658"/>
        <v>66.350684931506848</v>
      </c>
      <c r="H589" s="4">
        <v>474</v>
      </c>
      <c r="I589" s="4">
        <f t="shared" si="677"/>
        <v>40</v>
      </c>
      <c r="J589" s="30">
        <f t="shared" si="616"/>
        <v>55123</v>
      </c>
      <c r="K589" s="62">
        <f>+IF(OR(H589&gt;60,$C$21="nein"),IF($C$19="monatlich",$C$20,IF($C$19="quartalsweise",OR(MONTH(J589)={1,4,7,10})*$C$20,IF($C$19="jährlich",(MONTH(J589)=7)*$C$20))),IF($C$19="monatlich",$C$22,IF($C$19="quartalsweise",OR(MONTH(J589)={1,4,7,10})*$C$22,IF($C$19="jährlich",(MONTH(J589)=7)*$C$22))))</f>
        <v>0</v>
      </c>
      <c r="L589" s="66">
        <f t="shared" si="686"/>
        <v>0</v>
      </c>
      <c r="M589" s="62">
        <f t="shared" si="687"/>
        <v>0</v>
      </c>
      <c r="N589" s="67">
        <f>+IF(AND($C$19="monatlich",K589&lt;$C$20),$C$20-K589,IF(AND($C$19="quartalsweise",OR(MONTH(J589)={1,4,7,10}),K589&lt;$C$20),$C$20-K589,IF(AND($C$19="jährlich",MONTH(J589)=7,K589&lt;$C$20),$C$20-K589,0)))</f>
        <v>0</v>
      </c>
      <c r="O589" s="67">
        <v>0</v>
      </c>
      <c r="P589" s="67">
        <v>0</v>
      </c>
      <c r="Q589" s="63">
        <f t="shared" si="688"/>
        <v>0</v>
      </c>
      <c r="R589" s="68">
        <f t="shared" si="636"/>
        <v>0</v>
      </c>
      <c r="S589" s="69">
        <f t="shared" si="607"/>
        <v>156011.54393351794</v>
      </c>
      <c r="T589" s="68">
        <f t="shared" si="690"/>
        <v>-15.4</v>
      </c>
      <c r="U589" s="66">
        <f t="shared" si="691"/>
        <v>-290.25898277002557</v>
      </c>
      <c r="V589" s="68">
        <f t="shared" si="692"/>
        <v>1489.507603948849</v>
      </c>
      <c r="W589" s="66">
        <f t="shared" si="693"/>
        <v>358425.6735689026</v>
      </c>
    </row>
    <row r="590" spans="2:23" outlineLevel="1">
      <c r="G590" s="12">
        <f t="shared" si="658"/>
        <v>66.435616438356163</v>
      </c>
      <c r="H590" s="4">
        <v>475</v>
      </c>
      <c r="I590" s="4">
        <f t="shared" si="677"/>
        <v>40</v>
      </c>
      <c r="J590" s="30">
        <f t="shared" si="616"/>
        <v>55154</v>
      </c>
      <c r="K590" s="62">
        <f>+IF(OR(H590&gt;60,$C$21="nein"),IF($C$19="monatlich",$C$20,IF($C$19="quartalsweise",OR(MONTH(J590)={1,4,7,10})*$C$20,IF($C$19="jährlich",(MONTH(J590)=7)*$C$20))),IF($C$19="monatlich",$C$22,IF($C$19="quartalsweise",OR(MONTH(J590)={1,4,7,10})*$C$22,IF($C$19="jährlich",(MONTH(J590)=7)*$C$22))))</f>
        <v>900</v>
      </c>
      <c r="L590" s="66">
        <f t="shared" si="686"/>
        <v>0</v>
      </c>
      <c r="M590" s="62">
        <f t="shared" si="687"/>
        <v>0</v>
      </c>
      <c r="N590" s="67">
        <f>+IF(AND($C$19="monatlich",K590&lt;$C$20),$C$20-K590,IF(AND($C$19="quartalsweise",OR(MONTH(J590)={1,4,7,10}),K590&lt;$C$20),$C$20-K590,IF(AND($C$19="jährlich",MONTH(J590)=7,K590&lt;$C$20),$C$20-K590,0)))</f>
        <v>0</v>
      </c>
      <c r="O590" s="67">
        <v>0</v>
      </c>
      <c r="P590" s="67">
        <v>0</v>
      </c>
      <c r="Q590" s="63">
        <f t="shared" si="688"/>
        <v>0</v>
      </c>
      <c r="R590" s="68">
        <f t="shared" si="636"/>
        <v>900</v>
      </c>
      <c r="S590" s="69">
        <f t="shared" ref="S590:S596" si="694">+IF(EXACT(J590,J589),S589,SUM(S589,R590))</f>
        <v>156911.54393351794</v>
      </c>
      <c r="T590" s="68">
        <f t="shared" si="690"/>
        <v>0</v>
      </c>
      <c r="U590" s="66">
        <f t="shared" si="691"/>
        <v>-291.22085977473336</v>
      </c>
      <c r="V590" s="68">
        <f t="shared" si="692"/>
        <v>1494.4403065370941</v>
      </c>
      <c r="W590" s="66">
        <f t="shared" si="693"/>
        <v>360528.89301566494</v>
      </c>
    </row>
    <row r="591" spans="2:23" outlineLevel="1">
      <c r="G591" s="12">
        <f t="shared" si="658"/>
        <v>66.520547945205479</v>
      </c>
      <c r="H591" s="4">
        <v>476</v>
      </c>
      <c r="I591" s="4">
        <f t="shared" si="677"/>
        <v>40</v>
      </c>
      <c r="J591" s="30">
        <f t="shared" si="616"/>
        <v>55185</v>
      </c>
      <c r="K591" s="62">
        <f>+IF(OR(H591&gt;60,$C$21="nein"),IF($C$19="monatlich",$C$20,IF($C$19="quartalsweise",OR(MONTH(J591)={1,4,7,10})*$C$20,IF($C$19="jährlich",(MONTH(J591)=7)*$C$20))),IF($C$19="monatlich",$C$22,IF($C$19="quartalsweise",OR(MONTH(J591)={1,4,7,10})*$C$22,IF($C$19="jährlich",(MONTH(J591)=7)*$C$22))))</f>
        <v>0</v>
      </c>
      <c r="L591" s="66">
        <f t="shared" si="686"/>
        <v>0</v>
      </c>
      <c r="M591" s="62">
        <f t="shared" si="687"/>
        <v>0</v>
      </c>
      <c r="N591" s="67">
        <f>+IF(AND($C$19="monatlich",K591&lt;$C$20),$C$20-K591,IF(AND($C$19="quartalsweise",OR(MONTH(J591)={1,4,7,10}),K591&lt;$C$20),$C$20-K591,IF(AND($C$19="jährlich",MONTH(J591)=7,K591&lt;$C$20),$C$20-K591,0)))</f>
        <v>0</v>
      </c>
      <c r="O591" s="67">
        <v>0</v>
      </c>
      <c r="P591" s="67">
        <v>0</v>
      </c>
      <c r="Q591" s="63">
        <f t="shared" si="688"/>
        <v>0</v>
      </c>
      <c r="R591" s="68">
        <f t="shared" si="636"/>
        <v>0</v>
      </c>
      <c r="S591" s="69">
        <f t="shared" si="694"/>
        <v>156911.54393351794</v>
      </c>
      <c r="T591" s="68">
        <f t="shared" si="690"/>
        <v>0</v>
      </c>
      <c r="U591" s="66">
        <f t="shared" si="691"/>
        <v>-292.92972557522774</v>
      </c>
      <c r="V591" s="68">
        <f t="shared" si="692"/>
        <v>1503.2037208986039</v>
      </c>
      <c r="W591" s="66">
        <f t="shared" si="693"/>
        <v>361739.16701098834</v>
      </c>
    </row>
    <row r="592" spans="2:23" outlineLevel="1">
      <c r="G592" s="12">
        <f t="shared" si="658"/>
        <v>66.597260273972609</v>
      </c>
      <c r="H592" s="4">
        <v>477</v>
      </c>
      <c r="I592" s="4">
        <f t="shared" si="677"/>
        <v>40</v>
      </c>
      <c r="J592" s="30">
        <f t="shared" si="616"/>
        <v>55213</v>
      </c>
      <c r="K592" s="62">
        <f>+IF(OR(H592&gt;60,$C$21="nein"),IF($C$19="monatlich",$C$20,IF($C$19="quartalsweise",OR(MONTH(J592)={1,4,7,10})*$C$20,IF($C$19="jährlich",(MONTH(J592)=7)*$C$20))),IF($C$19="monatlich",$C$22,IF($C$19="quartalsweise",OR(MONTH(J592)={1,4,7,10})*$C$22,IF($C$19="jährlich",(MONTH(J592)=7)*$C$22))))</f>
        <v>0</v>
      </c>
      <c r="L592" s="66">
        <f t="shared" si="686"/>
        <v>0</v>
      </c>
      <c r="M592" s="62">
        <f t="shared" si="687"/>
        <v>0</v>
      </c>
      <c r="N592" s="67">
        <f>+IF(AND($C$19="monatlich",K592&lt;$C$20),$C$20-K592,IF(AND($C$19="quartalsweise",OR(MONTH(J592)={1,4,7,10}),K592&lt;$C$20),$C$20-K592,IF(AND($C$19="jährlich",MONTH(J592)=7,K592&lt;$C$20),$C$20-K592,0)))-$C$67/100*SUM(Q574:Q582,Q584:Q586)-$C$66/100*SUM(L574:L582,L584:L586)</f>
        <v>8.1052631578947363</v>
      </c>
      <c r="O592" s="67">
        <v>0</v>
      </c>
      <c r="P592" s="67">
        <v>0</v>
      </c>
      <c r="Q592" s="63">
        <f t="shared" si="688"/>
        <v>-0.40526315789473683</v>
      </c>
      <c r="R592" s="68">
        <f t="shared" si="636"/>
        <v>8.1052631578947363</v>
      </c>
      <c r="S592" s="69">
        <f t="shared" si="694"/>
        <v>156919.64919667583</v>
      </c>
      <c r="T592" s="68">
        <f t="shared" si="690"/>
        <v>0</v>
      </c>
      <c r="U592" s="66">
        <f t="shared" si="691"/>
        <v>-293.913073196428</v>
      </c>
      <c r="V592" s="68">
        <f t="shared" si="692"/>
        <v>1508.2465292124514</v>
      </c>
      <c r="W592" s="66">
        <f t="shared" si="693"/>
        <v>362961.20046700438</v>
      </c>
    </row>
    <row r="593" spans="2:23" outlineLevel="1">
      <c r="G593" s="12">
        <f t="shared" si="658"/>
        <v>66.682191780821924</v>
      </c>
      <c r="H593" s="4">
        <v>478</v>
      </c>
      <c r="I593" s="4">
        <f t="shared" si="677"/>
        <v>40</v>
      </c>
      <c r="J593" s="30">
        <f t="shared" si="616"/>
        <v>55244</v>
      </c>
      <c r="K593" s="62">
        <f>+IF(OR(H593&gt;60,$C$21="nein"),IF($C$19="monatlich",$C$20,IF($C$19="quartalsweise",OR(MONTH(J593)={1,4,7,10})*$C$20,IF($C$19="jährlich",(MONTH(J593)=7)*$C$20))),IF($C$19="monatlich",$C$22,IF($C$19="quartalsweise",OR(MONTH(J593)={1,4,7,10})*$C$22,IF($C$19="jährlich",(MONTH(J593)=7)*$C$22))))</f>
        <v>900</v>
      </c>
      <c r="L593" s="66">
        <f t="shared" si="686"/>
        <v>0</v>
      </c>
      <c r="M593" s="62">
        <f t="shared" si="687"/>
        <v>154</v>
      </c>
      <c r="N593" s="67">
        <f>+IF(AND($C$19="monatlich",K593&lt;$C$20),$C$20-K593,IF(AND($C$19="quartalsweise",OR(MONTH(J593)={1,4,7,10}),K593&lt;$C$20),$C$20-K593,IF(AND($C$19="jährlich",MONTH(J593)=7,K593&lt;$C$20),$C$20-K593,0)))</f>
        <v>0</v>
      </c>
      <c r="O593" s="67">
        <v>0</v>
      </c>
      <c r="P593" s="67">
        <v>0</v>
      </c>
      <c r="Q593" s="63">
        <f t="shared" si="688"/>
        <v>-7.7</v>
      </c>
      <c r="R593" s="68">
        <f t="shared" si="636"/>
        <v>1054</v>
      </c>
      <c r="S593" s="69">
        <f t="shared" si="694"/>
        <v>157973.64919667583</v>
      </c>
      <c r="T593" s="68">
        <f t="shared" si="690"/>
        <v>0</v>
      </c>
      <c r="U593" s="66">
        <f t="shared" si="691"/>
        <v>-294.90597537944103</v>
      </c>
      <c r="V593" s="68">
        <f t="shared" si="692"/>
        <v>1513.338335279185</v>
      </c>
      <c r="W593" s="66">
        <f t="shared" si="693"/>
        <v>365225.93282690411</v>
      </c>
    </row>
    <row r="594" spans="2:23" outlineLevel="1">
      <c r="G594" s="12">
        <f t="shared" si="658"/>
        <v>66.764383561643839</v>
      </c>
      <c r="H594" s="4">
        <v>479</v>
      </c>
      <c r="I594" s="4">
        <f t="shared" si="677"/>
        <v>40</v>
      </c>
      <c r="J594" s="30">
        <f t="shared" si="616"/>
        <v>55274</v>
      </c>
      <c r="K594" s="62">
        <f>+IF(OR(H594&gt;60,$C$21="nein"),IF($C$19="monatlich",$C$20,IF($C$19="quartalsweise",OR(MONTH(J594)={1,4,7,10})*$C$20,IF($C$19="jährlich",(MONTH(J594)=7)*$C$20))),IF($C$19="monatlich",$C$22,IF($C$19="quartalsweise",OR(MONTH(J594)={1,4,7,10})*$C$22,IF($C$19="jährlich",(MONTH(J594)=7)*$C$22))))</f>
        <v>0</v>
      </c>
      <c r="L594" s="66">
        <f t="shared" si="686"/>
        <v>0</v>
      </c>
      <c r="M594" s="62">
        <f t="shared" si="687"/>
        <v>0</v>
      </c>
      <c r="N594" s="67">
        <f>+IF(AND($C$19="monatlich",K594&lt;$C$20),$C$20-K594,IF(AND($C$19="quartalsweise",OR(MONTH(J594)={1,4,7,10}),K594&lt;$C$20),$C$20-K594,IF(AND($C$19="jährlich",MONTH(J594)=7,K594&lt;$C$20),$C$20-K594,0)))</f>
        <v>0</v>
      </c>
      <c r="O594" s="67">
        <v>0</v>
      </c>
      <c r="P594" s="67">
        <v>0</v>
      </c>
      <c r="Q594" s="63">
        <f t="shared" si="688"/>
        <v>0</v>
      </c>
      <c r="R594" s="68">
        <f t="shared" si="636"/>
        <v>0</v>
      </c>
      <c r="S594" s="69">
        <f t="shared" si="694"/>
        <v>157973.64919667583</v>
      </c>
      <c r="T594" s="68">
        <f t="shared" si="690"/>
        <v>0</v>
      </c>
      <c r="U594" s="66">
        <f t="shared" si="691"/>
        <v>-296.7460704218596</v>
      </c>
      <c r="V594" s="68">
        <f t="shared" si="692"/>
        <v>1522.7747201121006</v>
      </c>
      <c r="W594" s="66">
        <f t="shared" si="693"/>
        <v>366451.96147659433</v>
      </c>
    </row>
    <row r="595" spans="2:23" outlineLevel="1">
      <c r="G595" s="13">
        <f t="shared" si="658"/>
        <v>66.849315068493155</v>
      </c>
      <c r="H595" s="6">
        <v>480</v>
      </c>
      <c r="I595" s="6">
        <f t="shared" si="677"/>
        <v>40</v>
      </c>
      <c r="J595" s="31">
        <f t="shared" si="616"/>
        <v>55305</v>
      </c>
      <c r="K595" s="62">
        <f>+IF(OR(H595&gt;60,$C$21="nein"),IF($C$19="monatlich",$C$20,IF($C$19="quartalsweise",OR(MONTH(J595)={1,4,7,10})*$C$20,IF($C$19="jährlich",(MONTH(J595)=7)*$C$20))),IF($C$19="monatlich",$C$22,IF($C$19="quartalsweise",OR(MONTH(J595)={1,4,7,10})*$C$22,IF($C$19="jährlich",(MONTH(J595)=7)*$C$22))))</f>
        <v>0</v>
      </c>
      <c r="L595" s="70">
        <f t="shared" si="686"/>
        <v>0</v>
      </c>
      <c r="M595" s="62">
        <f t="shared" si="687"/>
        <v>0</v>
      </c>
      <c r="N595" s="71">
        <f>+IF(AND($C$19="monatlich",K595&lt;$C$20),$C$20-K595,IF(AND($C$19="quartalsweise",OR(MONTH(J595)={1,4,7,10}),K595&lt;$C$20),$C$20-K595,IF(AND($C$19="jährlich",MONTH(J595)=7,K595&lt;$C$20),$C$20-K595,0)))</f>
        <v>0</v>
      </c>
      <c r="O595" s="71">
        <v>0</v>
      </c>
      <c r="P595" s="71">
        <v>0</v>
      </c>
      <c r="Q595" s="63">
        <f t="shared" si="688"/>
        <v>0</v>
      </c>
      <c r="R595" s="72">
        <f t="shared" si="636"/>
        <v>0</v>
      </c>
      <c r="S595" s="73">
        <f t="shared" si="694"/>
        <v>157973.64919667583</v>
      </c>
      <c r="T595" s="72">
        <f t="shared" si="690"/>
        <v>0</v>
      </c>
      <c r="U595" s="70">
        <f t="shared" si="691"/>
        <v>-297.74221869973286</v>
      </c>
      <c r="V595" s="72">
        <f t="shared" si="692"/>
        <v>1527.8831728191431</v>
      </c>
      <c r="W595" s="70">
        <f t="shared" si="693"/>
        <v>367682.10243071377</v>
      </c>
    </row>
    <row r="596" spans="2:23" s="5" customFormat="1" ht="15">
      <c r="B596" s="17"/>
      <c r="G596" s="115">
        <f t="shared" si="658"/>
        <v>66.849315068493155</v>
      </c>
      <c r="H596" s="116" t="str">
        <f>H584&amp;" - "&amp;H595</f>
        <v>469 - 480</v>
      </c>
      <c r="I596" s="117">
        <f t="shared" si="677"/>
        <v>40</v>
      </c>
      <c r="J596" s="118">
        <f t="shared" ref="J596" si="695">+J595</f>
        <v>55305</v>
      </c>
      <c r="K596" s="119">
        <f t="shared" ref="K596:L596" si="696">SUM(K584:K595)</f>
        <v>3600</v>
      </c>
      <c r="L596" s="120">
        <f t="shared" si="696"/>
        <v>0</v>
      </c>
      <c r="M596" s="119">
        <f t="shared" ref="M596" si="697">SUM(M584:M595)</f>
        <v>154</v>
      </c>
      <c r="N596" s="121">
        <f t="shared" si="662"/>
        <v>8.1052631578947363</v>
      </c>
      <c r="O596" s="121">
        <f t="shared" ref="O596" si="698">SUM(O584:O595)</f>
        <v>0</v>
      </c>
      <c r="P596" s="121">
        <f t="shared" ref="P596:Q596" si="699">SUM(P584:P595)</f>
        <v>0</v>
      </c>
      <c r="Q596" s="120">
        <f t="shared" si="699"/>
        <v>-8.1052631578947363</v>
      </c>
      <c r="R596" s="119">
        <f t="shared" ref="R596" si="700">SUM(R584:R595)</f>
        <v>3762.1052631578946</v>
      </c>
      <c r="S596" s="122">
        <f t="shared" si="694"/>
        <v>157973.64919667583</v>
      </c>
      <c r="T596" s="119">
        <f t="shared" ref="T596:V596" si="701">SUM(T584:T595)</f>
        <v>-15.4</v>
      </c>
      <c r="U596" s="120">
        <f t="shared" si="701"/>
        <v>-3490.8801619124902</v>
      </c>
      <c r="V596" s="119">
        <f t="shared" si="701"/>
        <v>17913.949548269182</v>
      </c>
      <c r="W596" s="123">
        <f t="shared" ref="W596" si="702">+W595</f>
        <v>367682.10243071377</v>
      </c>
    </row>
    <row r="597" spans="2:23" s="5" customFormat="1" ht="15">
      <c r="B597" s="17"/>
      <c r="G597" s="145" t="s">
        <v>61</v>
      </c>
      <c r="H597" s="146"/>
      <c r="I597" s="146"/>
      <c r="J597" s="147"/>
      <c r="K597" s="81">
        <f>SUM(K596,K583,K570,K557,K544,K531,K518,K505,K492,K479,K466,K453,K440,K427,K414,K401,K388,K375,K362,K349,K336,K323,K310,K297,K284,K271,K258,K245,K232,K219,K206,K193,K180,K167,K154,K141,K128,K115,K102,K89)</f>
        <v>144000</v>
      </c>
      <c r="L597" s="82">
        <f>SUM(L596,L583,L570,L557,L544,L531,L518,L505,L492,L479,L466,L453,L440,L427,L414,L401,L388,L375,L362,L349,L336,L323,L310,L297,L284,L271,L258,L245,L232,L219,L206,L193,L180,L167,L154,L141,L128,L115,L102,L89)</f>
        <v>-7920</v>
      </c>
      <c r="M597" s="81">
        <f>SUM(M596,M583,M570,M557,M544,M531,M518,M505,M492,M479,M466,M453,M440,M427,M414,M401,M388,M375,M362,M349,M336,M323,M310,M297,M284,M271,M258,M245,M232,M219,M206,M193,M180,M167,M154,M141,M128,M115,M102,M89)</f>
        <v>6083</v>
      </c>
      <c r="N597" s="81">
        <f>SUM(N596,N583,N570,N557,N544,N531,N518,N505,N492,N479,N466,N453,N440,N427,N414,N401,N388,N375,N362,N349,N336,N323,N310,N297,N284,N271,N258,N245,N232,N219,N206,N193,N180,N167,N154,N141,N128,N115,N102,N89)</f>
        <v>7890.6491966759004</v>
      </c>
      <c r="O597" s="74">
        <f t="shared" ref="O597:U597" si="703">SUM(O596,O583,O570,O557,O544,O531,O518,O505,O492,O479,O466,O453,O440,O427,O414,O401,O388,O375,O362,O349,O336,O323,O310,O297,O284,O271,O258,O245,O232,O219,O206,O193,O180,O167,O154,O141,O128,O115,O102,O89)</f>
        <v>0</v>
      </c>
      <c r="P597" s="74">
        <f t="shared" si="703"/>
        <v>0</v>
      </c>
      <c r="Q597" s="78">
        <f t="shared" si="703"/>
        <v>-698.68245983379506</v>
      </c>
      <c r="R597" s="77">
        <f t="shared" si="703"/>
        <v>157973.64919667589</v>
      </c>
      <c r="S597" s="75">
        <f>+S596</f>
        <v>157973.64919667583</v>
      </c>
      <c r="T597" s="76">
        <f t="shared" si="703"/>
        <v>-615.99999999999955</v>
      </c>
      <c r="U597" s="82">
        <f t="shared" si="703"/>
        <v>-52919.883801621065</v>
      </c>
      <c r="V597" s="138">
        <f>SUM(V596,V583,V570,V557,V544,V531,V518,V505,V492,V479,V466,V453,V440,V427,V414,V401,V388,V375,V362,V349,V336,V323,V310,V297,V284,V271,V258,V245,V232,V219,V206,V193,V180,V167,V154,V141,V128,V115,V102,V89)</f>
        <v>271863.01949549263</v>
      </c>
      <c r="W597" s="137">
        <f>+W596</f>
        <v>367682.10243071377</v>
      </c>
    </row>
    <row r="609" spans="2:2" s="5" customFormat="1" ht="15">
      <c r="B609" s="17"/>
    </row>
    <row r="622" spans="2:2" s="5" customFormat="1" ht="15"/>
    <row r="635" spans="2:2" s="5" customFormat="1" ht="15">
      <c r="B635" s="17"/>
    </row>
    <row r="648" spans="2:2" s="5" customFormat="1" ht="15">
      <c r="B648" s="17"/>
    </row>
    <row r="661" spans="2:2" s="5" customFormat="1" ht="15">
      <c r="B661" s="17"/>
    </row>
    <row r="674" spans="2:2" s="5" customFormat="1" ht="15">
      <c r="B674" s="17"/>
    </row>
    <row r="687" spans="2:2" s="5" customFormat="1" ht="15">
      <c r="B687" s="17"/>
    </row>
    <row r="700" spans="2:2" s="5" customFormat="1" ht="15">
      <c r="B700" s="17"/>
    </row>
    <row r="713" spans="2:2" s="5" customFormat="1" ht="15">
      <c r="B713" s="17"/>
    </row>
    <row r="726" spans="2:2" s="5" customFormat="1" ht="15">
      <c r="B726" s="17"/>
    </row>
    <row r="739" spans="2:2" s="5" customFormat="1" ht="15">
      <c r="B739" s="17"/>
    </row>
    <row r="752" spans="2:2" s="5" customFormat="1" ht="15">
      <c r="B752" s="17"/>
    </row>
    <row r="765" spans="2:2" s="5" customFormat="1" ht="15">
      <c r="B765" s="17"/>
    </row>
  </sheetData>
  <dataConsolidate/>
  <mergeCells count="47">
    <mergeCell ref="J44:K44"/>
    <mergeCell ref="J10:K10"/>
    <mergeCell ref="J19:K19"/>
    <mergeCell ref="J40:K40"/>
    <mergeCell ref="J41:K41"/>
    <mergeCell ref="J12:K12"/>
    <mergeCell ref="J13:K13"/>
    <mergeCell ref="J14:K14"/>
    <mergeCell ref="J15:K15"/>
    <mergeCell ref="J16:K16"/>
    <mergeCell ref="J17:K17"/>
    <mergeCell ref="J18:K18"/>
    <mergeCell ref="J11:K11"/>
    <mergeCell ref="J34:K34"/>
    <mergeCell ref="J35:K35"/>
    <mergeCell ref="J36:K36"/>
    <mergeCell ref="J8:K8"/>
    <mergeCell ref="J5:K5"/>
    <mergeCell ref="J6:K6"/>
    <mergeCell ref="J7:K7"/>
    <mergeCell ref="J9:K9"/>
    <mergeCell ref="G597:J597"/>
    <mergeCell ref="K75:L75"/>
    <mergeCell ref="M75:Q75"/>
    <mergeCell ref="G75:J75"/>
    <mergeCell ref="T75:U75"/>
    <mergeCell ref="V75:W75"/>
    <mergeCell ref="R75:S75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J33:K33"/>
    <mergeCell ref="J37:K37"/>
    <mergeCell ref="J38:K38"/>
    <mergeCell ref="J39:K39"/>
    <mergeCell ref="J43:K43"/>
    <mergeCell ref="J42:K42"/>
  </mergeCells>
  <conditionalFormatting sqref="B52:C52">
    <cfRule type="expression" dxfId="7" priority="22">
      <formula>$C$19="jährlich"</formula>
    </cfRule>
  </conditionalFormatting>
  <conditionalFormatting sqref="D42:D43">
    <cfRule type="expression" dxfId="6" priority="18">
      <formula>$C$43="maximal"</formula>
    </cfRule>
    <cfRule type="expression" dxfId="5" priority="19">
      <formula>$C$43="minimal"</formula>
    </cfRule>
  </conditionalFormatting>
  <conditionalFormatting sqref="K70:M72 Q62 K64:N65 Q64:Q65 K61:N62 K66:Q66 K57:M59">
    <cfRule type="cellIs" dxfId="4" priority="27" operator="equal">
      <formula>$L$53</formula>
    </cfRule>
  </conditionalFormatting>
  <conditionalFormatting sqref="B72:C72">
    <cfRule type="expression" dxfId="3" priority="14">
      <formula>$C$71="detailliert"</formula>
    </cfRule>
  </conditionalFormatting>
  <conditionalFormatting sqref="K59:M59 K66:Q66">
    <cfRule type="cellIs" dxfId="2" priority="6" operator="greaterThan">
      <formula>0</formula>
    </cfRule>
    <cfRule type="cellIs" dxfId="1" priority="7" operator="lessThan">
      <formula>0</formula>
    </cfRule>
  </conditionalFormatting>
  <conditionalFormatting sqref="J2:Q44">
    <cfRule type="expression" dxfId="0" priority="57">
      <formula>$C$71="pauschal"</formula>
    </cfRule>
  </conditionalFormatting>
  <dataValidations count="8">
    <dataValidation type="list" allowBlank="1" showInputMessage="1" showErrorMessage="1" sqref="C43">
      <formula1>"minimal,durchschnittlich,maximal"</formula1>
    </dataValidation>
    <dataValidation type="list" allowBlank="1" showInputMessage="1" showErrorMessage="1" sqref="C25">
      <formula1>"0,154"</formula1>
    </dataValidation>
    <dataValidation type="list" allowBlank="1" showInputMessage="1" showErrorMessage="1" sqref="C71">
      <formula1>"pauschal,detailliert"</formula1>
    </dataValidation>
    <dataValidation type="list" allowBlank="1" showInputMessage="1" showErrorMessage="1" sqref="C66">
      <formula1>"0,90.91"</formula1>
    </dataValidation>
    <dataValidation type="list" allowBlank="1" showInputMessage="1" showErrorMessage="1" sqref="C67">
      <formula1>"0,100"</formula1>
    </dataValidation>
    <dataValidation allowBlank="1" showErrorMessage="1" promptTitle="Zahlungsweise beachten." prompt="Betrag der gewählten Zahlungsmodalität anpassen, sonst rechnet die Formel nicht korrekt." sqref="C22 C20"/>
    <dataValidation type="list" allowBlank="1" showInputMessage="1" showErrorMessage="1" sqref="C19">
      <formula1>"jährlich,quartalsweise,monatlich"</formula1>
    </dataValidation>
    <dataValidation type="list" allowBlank="1" showErrorMessage="1" promptTitle="Zahlungsweise beachten." prompt="Betrag der gewählten Zahlungsmodalität anpassen, sonst rechnet die Formel nicht korrekt." sqref="C21">
      <formula1>"nein,ja"</formula1>
    </dataValidation>
  </dataValidations>
  <pageMargins left="0.6692913385826772" right="0.23622047244094491" top="0.15748031496062992" bottom="0" header="0.15748031496062992" footer="3.937007874015748E-2"/>
  <pageSetup paperSize="9" scale="56" orientation="landscape" r:id="rId1"/>
  <headerFooter>
    <oddFooter>&amp;L&amp;F&amp;C&amp;A Fondssparplan&amp;R&amp;P of &amp;N</oddFooter>
  </headerFooter>
  <rowBreaks count="7" manualBreakCount="7">
    <brk id="141" min="6" max="22" man="1"/>
    <brk id="206" min="6" max="22" man="1"/>
    <brk id="271" min="6" max="22" man="1"/>
    <brk id="336" min="6" max="22" man="1"/>
    <brk id="401" min="6" max="22" man="1"/>
    <brk id="466" min="6" max="22" man="1"/>
    <brk id="531" min="6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DWS RiesterRente Premium</vt:lpstr>
      <vt:lpstr>'DWS RiesterRente Premium'!Print_Area</vt:lpstr>
      <vt:lpstr>'DWS RiesterRente Premium'!Print_Titles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Printed>2011-04-12T22:30:25Z</cp:lastPrinted>
  <dcterms:created xsi:type="dcterms:W3CDTF">2011-04-11T06:46:04Z</dcterms:created>
  <dcterms:modified xsi:type="dcterms:W3CDTF">2011-04-12T23:32:00Z</dcterms:modified>
</cp:coreProperties>
</file>