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8855" windowHeight="8445"/>
  </bookViews>
  <sheets>
    <sheet name="Finanzplanung" sheetId="1" r:id="rId1"/>
  </sheets>
  <calcPr calcId="125725" iterate="1"/>
</workbook>
</file>

<file path=xl/calcChain.xml><?xml version="1.0" encoding="utf-8"?>
<calcChain xmlns="http://schemas.openxmlformats.org/spreadsheetml/2006/main">
  <c r="F40" i="1"/>
  <c r="E40"/>
  <c r="H5"/>
  <c r="I5"/>
  <c r="J5"/>
  <c r="K5"/>
  <c r="L5"/>
  <c r="M5"/>
  <c r="N5"/>
  <c r="G5"/>
  <c r="N7"/>
  <c r="H7"/>
  <c r="I7"/>
  <c r="J7"/>
  <c r="K7"/>
  <c r="L7"/>
  <c r="M7"/>
  <c r="G7"/>
  <c r="N32"/>
  <c r="F16"/>
  <c r="E16"/>
  <c r="G36"/>
  <c r="G4"/>
  <c r="G25" s="1"/>
  <c r="H4"/>
  <c r="H6" s="1"/>
  <c r="H20" s="1"/>
  <c r="I4"/>
  <c r="I6" s="1"/>
  <c r="I20" s="1"/>
  <c r="J4"/>
  <c r="J6" s="1"/>
  <c r="J20" s="1"/>
  <c r="F36"/>
  <c r="E36"/>
  <c r="F28"/>
  <c r="F30" s="1"/>
  <c r="E28"/>
  <c r="E30" s="1"/>
  <c r="F20"/>
  <c r="F8" s="1"/>
  <c r="F21" s="1"/>
  <c r="E20"/>
  <c r="F15"/>
  <c r="F12"/>
  <c r="F7"/>
  <c r="E7"/>
  <c r="F5"/>
  <c r="J28" l="1"/>
  <c r="J30" s="1"/>
  <c r="I28"/>
  <c r="I30" s="1"/>
  <c r="H28"/>
  <c r="H30" s="1"/>
  <c r="G30"/>
  <c r="J25"/>
  <c r="I25"/>
  <c r="H25"/>
  <c r="G6"/>
  <c r="F26"/>
  <c r="F38" s="1"/>
  <c r="E8"/>
  <c r="E21" s="1"/>
  <c r="E26" s="1"/>
  <c r="E38" s="1"/>
  <c r="G20"/>
  <c r="K4"/>
  <c r="K25" l="1"/>
  <c r="K28"/>
  <c r="K30" s="1"/>
  <c r="K6"/>
  <c r="K20" s="1"/>
  <c r="L4"/>
  <c r="L25" l="1"/>
  <c r="L28"/>
  <c r="L30" s="1"/>
  <c r="L6"/>
  <c r="L20" s="1"/>
  <c r="M4"/>
  <c r="M25" l="1"/>
  <c r="M28"/>
  <c r="M30" s="1"/>
  <c r="M6"/>
  <c r="M20" s="1"/>
  <c r="N4"/>
  <c r="N25" l="1"/>
  <c r="N28"/>
  <c r="N30" s="1"/>
  <c r="N6"/>
  <c r="N20" s="1"/>
  <c r="H36" l="1"/>
  <c r="I36"/>
  <c r="J36"/>
  <c r="K36"/>
  <c r="L36"/>
  <c r="M36"/>
  <c r="N36"/>
  <c r="B3" l="1"/>
  <c r="B4"/>
  <c r="G8"/>
  <c r="H8"/>
  <c r="I8"/>
  <c r="J8"/>
  <c r="K8"/>
  <c r="L8"/>
  <c r="M8"/>
  <c r="N8"/>
  <c r="G10"/>
  <c r="H10"/>
  <c r="I10"/>
  <c r="J10"/>
  <c r="K10"/>
  <c r="L10"/>
  <c r="M10"/>
  <c r="N10"/>
  <c r="G11"/>
  <c r="H11"/>
  <c r="I11"/>
  <c r="J11"/>
  <c r="K11"/>
  <c r="L11"/>
  <c r="M11"/>
  <c r="N11"/>
  <c r="G12"/>
  <c r="H12"/>
  <c r="I12"/>
  <c r="J12"/>
  <c r="K12"/>
  <c r="L12"/>
  <c r="M12"/>
  <c r="N12"/>
  <c r="G13"/>
  <c r="H13"/>
  <c r="I13"/>
  <c r="J13"/>
  <c r="K13"/>
  <c r="L13"/>
  <c r="M13"/>
  <c r="N13"/>
  <c r="G14"/>
  <c r="H14"/>
  <c r="I14"/>
  <c r="J14"/>
  <c r="K14"/>
  <c r="L14"/>
  <c r="M14"/>
  <c r="N14"/>
  <c r="G15"/>
  <c r="H15"/>
  <c r="I15"/>
  <c r="J15"/>
  <c r="K15"/>
  <c r="L15"/>
  <c r="M15"/>
  <c r="N15"/>
  <c r="G16"/>
  <c r="H16"/>
  <c r="I16"/>
  <c r="J16"/>
  <c r="K16"/>
  <c r="L16"/>
  <c r="M16"/>
  <c r="N16"/>
  <c r="G21"/>
  <c r="H21"/>
  <c r="I21"/>
  <c r="J21"/>
  <c r="K21"/>
  <c r="L21"/>
  <c r="M21"/>
  <c r="N21"/>
  <c r="G22"/>
  <c r="H22"/>
  <c r="I22"/>
  <c r="J22"/>
  <c r="K22"/>
  <c r="L22"/>
  <c r="M22"/>
  <c r="N22"/>
  <c r="G23"/>
  <c r="H23"/>
  <c r="I23"/>
  <c r="J23"/>
  <c r="K23"/>
  <c r="L23"/>
  <c r="M23"/>
  <c r="N23"/>
  <c r="G24"/>
  <c r="H24"/>
  <c r="I24"/>
  <c r="J24"/>
  <c r="K24"/>
  <c r="L24"/>
  <c r="M24"/>
  <c r="N24"/>
  <c r="G26"/>
  <c r="H26"/>
  <c r="I26"/>
  <c r="J26"/>
  <c r="K26"/>
  <c r="L26"/>
  <c r="M26"/>
  <c r="N26"/>
  <c r="G38"/>
  <c r="H38"/>
  <c r="I38"/>
  <c r="J38"/>
  <c r="K38"/>
  <c r="L38"/>
  <c r="M38"/>
  <c r="N38"/>
  <c r="G39"/>
  <c r="H39"/>
  <c r="I39"/>
  <c r="J39"/>
  <c r="K39"/>
  <c r="L39"/>
  <c r="M39"/>
  <c r="N39"/>
  <c r="G40"/>
  <c r="H40"/>
  <c r="I40"/>
  <c r="J40"/>
  <c r="K40"/>
  <c r="L40"/>
  <c r="M40"/>
  <c r="N40"/>
  <c r="H49"/>
</calcChain>
</file>

<file path=xl/sharedStrings.xml><?xml version="1.0" encoding="utf-8"?>
<sst xmlns="http://schemas.openxmlformats.org/spreadsheetml/2006/main" count="59" uniqueCount="51">
  <si>
    <t>Umsatz</t>
  </si>
  <si>
    <t>Umsatzwachstum</t>
  </si>
  <si>
    <t>EBIT</t>
  </si>
  <si>
    <t>EBIT-Marge</t>
  </si>
  <si>
    <t>n/a</t>
  </si>
  <si>
    <t>2011E</t>
  </si>
  <si>
    <t>2012E</t>
  </si>
  <si>
    <t>2013E</t>
  </si>
  <si>
    <t>2014E</t>
  </si>
  <si>
    <t>2015E</t>
  </si>
  <si>
    <t>Finanzschulden</t>
  </si>
  <si>
    <t>Ø Finanzschulden</t>
  </si>
  <si>
    <t>Kassenbestand</t>
  </si>
  <si>
    <t>Cashflowrechnung</t>
  </si>
  <si>
    <t>Sachanlagen</t>
  </si>
  <si>
    <t>Ø Sachanlagen</t>
  </si>
  <si>
    <t>Annahmen</t>
  </si>
  <si>
    <t>AfA-Quote:</t>
  </si>
  <si>
    <t>WC-Quote:</t>
  </si>
  <si>
    <t>FK-Zins:</t>
  </si>
  <si>
    <t>+ Abschreibungen</t>
  </si>
  <si>
    <t>- bezahlte Zinsen</t>
  </si>
  <si>
    <t>∆ Working Capital</t>
  </si>
  <si>
    <t>Operativer Cashflow</t>
  </si>
  <si>
    <t>+ erhaltene Zinsen</t>
  </si>
  <si>
    <t>Guthabenszins</t>
  </si>
  <si>
    <t>Cashflow aus Investitionstätigkeit</t>
  </si>
  <si>
    <t>- Investitionen</t>
  </si>
  <si>
    <t>+ Einnahmen aus dem VK</t>
  </si>
  <si>
    <t>- Tilgung von Finanzverbindlichkeiten</t>
  </si>
  <si>
    <t>+ Aufnahme von Finanzverbindlichkeiten</t>
  </si>
  <si>
    <t>+ Kapitalerhöhung</t>
  </si>
  <si>
    <t>+/- Sonstiges</t>
  </si>
  <si>
    <t>Cashflow aus Finanzierungstätigkeit</t>
  </si>
  <si>
    <t>Nettomittelzu/-abfluss</t>
  </si>
  <si>
    <t>(in Mio. €)</t>
  </si>
  <si>
    <t>Nettoverschuldung</t>
  </si>
  <si>
    <t>2016E</t>
  </si>
  <si>
    <t>2017E</t>
  </si>
  <si>
    <t>2018E</t>
  </si>
  <si>
    <t>U-Wachstum</t>
  </si>
  <si>
    <t>- Steuern</t>
  </si>
  <si>
    <t>Steuersatz</t>
  </si>
  <si>
    <t>Steueraufwand</t>
  </si>
  <si>
    <t>AirBerlin'15</t>
  </si>
  <si>
    <t>AirBerlin'18</t>
  </si>
  <si>
    <t>Nachrichtlich: Kontokorrentkredit</t>
  </si>
  <si>
    <t>Tats. Cashflow aus Finanzierungstätigkeit</t>
  </si>
  <si>
    <t>Excess Debt</t>
  </si>
  <si>
    <t>Investitionsquote</t>
  </si>
  <si>
    <t>Kassenbestand am 31.12.2014 (vor 2015er Bond Tilgung)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</si>
</sst>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2" fontId="0" fillId="0" borderId="0" xfId="0" applyNumberFormat="1"/>
    <xf numFmtId="0" fontId="2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Border="1"/>
    <xf numFmtId="2" fontId="0" fillId="0" borderId="2" xfId="0" applyNumberFormat="1" applyBorder="1"/>
    <xf numFmtId="165" fontId="6" fillId="0" borderId="4" xfId="0" applyNumberFormat="1" applyFont="1" applyBorder="1"/>
    <xf numFmtId="9" fontId="2" fillId="0" borderId="4" xfId="0" applyNumberFormat="1" applyFont="1" applyBorder="1"/>
    <xf numFmtId="9" fontId="2" fillId="0" borderId="5" xfId="0" applyNumberFormat="1" applyFont="1" applyBorder="1"/>
    <xf numFmtId="9" fontId="2" fillId="0" borderId="6" xfId="0" applyNumberFormat="1" applyFont="1" applyBorder="1"/>
    <xf numFmtId="9" fontId="2" fillId="0" borderId="7" xfId="0" applyNumberFormat="1" applyFont="1" applyBorder="1"/>
    <xf numFmtId="9" fontId="2" fillId="0" borderId="8" xfId="0" applyNumberFormat="1" applyFont="1" applyBorder="1"/>
    <xf numFmtId="9" fontId="2" fillId="0" borderId="9" xfId="0" applyNumberFormat="1" applyFont="1" applyBorder="1"/>
    <xf numFmtId="0" fontId="0" fillId="0" borderId="0" xfId="0" applyBorder="1"/>
    <xf numFmtId="10" fontId="0" fillId="2" borderId="0" xfId="0" applyNumberFormat="1" applyFill="1"/>
    <xf numFmtId="2" fontId="0" fillId="0" borderId="0" xfId="0" applyNumberFormat="1" applyFont="1" applyBorder="1"/>
    <xf numFmtId="2" fontId="0" fillId="0" borderId="1" xfId="0" applyNumberFormat="1" applyFont="1" applyBorder="1"/>
    <xf numFmtId="2" fontId="0" fillId="0" borderId="2" xfId="0" applyNumberFormat="1" applyFont="1" applyBorder="1"/>
    <xf numFmtId="2" fontId="0" fillId="0" borderId="3" xfId="0" applyNumberFormat="1" applyFont="1" applyBorder="1"/>
    <xf numFmtId="0" fontId="7" fillId="0" borderId="10" xfId="0" applyFont="1" applyBorder="1"/>
    <xf numFmtId="0" fontId="2" fillId="3" borderId="11" xfId="0" applyFont="1" applyFill="1" applyBorder="1"/>
    <xf numFmtId="0" fontId="2" fillId="0" borderId="11" xfId="0" applyFont="1" applyBorder="1"/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0" fillId="0" borderId="13" xfId="0" applyBorder="1"/>
    <xf numFmtId="3" fontId="0" fillId="3" borderId="0" xfId="0" applyNumberFormat="1" applyFill="1" applyBorder="1"/>
    <xf numFmtId="3" fontId="0" fillId="2" borderId="0" xfId="0" applyNumberFormat="1" applyFill="1" applyBorder="1"/>
    <xf numFmtId="3" fontId="0" fillId="0" borderId="0" xfId="0" applyNumberFormat="1" applyBorder="1"/>
    <xf numFmtId="3" fontId="0" fillId="0" borderId="1" xfId="0" applyNumberFormat="1" applyBorder="1"/>
    <xf numFmtId="0" fontId="3" fillId="0" borderId="13" xfId="0" applyFont="1" applyBorder="1"/>
    <xf numFmtId="0" fontId="3" fillId="3" borderId="0" xfId="0" applyFont="1" applyFill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3" borderId="0" xfId="0" applyFill="1" applyBorder="1"/>
    <xf numFmtId="0" fontId="0" fillId="2" borderId="0" xfId="0" applyFill="1" applyBorder="1"/>
    <xf numFmtId="165" fontId="0" fillId="0" borderId="0" xfId="0" applyNumberFormat="1" applyBorder="1"/>
    <xf numFmtId="165" fontId="0" fillId="0" borderId="1" xfId="0" applyNumberFormat="1" applyBorder="1"/>
    <xf numFmtId="10" fontId="0" fillId="3" borderId="0" xfId="1" applyNumberFormat="1" applyFont="1" applyFill="1" applyBorder="1"/>
    <xf numFmtId="10" fontId="0" fillId="0" borderId="0" xfId="1" applyNumberFormat="1" applyFont="1" applyBorder="1"/>
    <xf numFmtId="10" fontId="0" fillId="0" borderId="0" xfId="0" applyNumberFormat="1" applyBorder="1"/>
    <xf numFmtId="10" fontId="0" fillId="0" borderId="1" xfId="0" applyNumberFormat="1" applyBorder="1"/>
    <xf numFmtId="165" fontId="0" fillId="3" borderId="0" xfId="0" applyNumberFormat="1" applyFill="1" applyBorder="1"/>
    <xf numFmtId="165" fontId="0" fillId="3" borderId="0" xfId="0" applyNumberFormat="1" applyFill="1" applyBorder="1" applyAlignment="1">
      <alignment horizontal="right"/>
    </xf>
    <xf numFmtId="165" fontId="0" fillId="2" borderId="0" xfId="0" applyNumberFormat="1" applyFill="1" applyBorder="1"/>
    <xf numFmtId="0" fontId="4" fillId="0" borderId="13" xfId="0" applyFont="1" applyBorder="1"/>
    <xf numFmtId="0" fontId="4" fillId="0" borderId="14" xfId="0" applyFont="1" applyBorder="1"/>
    <xf numFmtId="165" fontId="0" fillId="3" borderId="2" xfId="0" applyNumberFormat="1" applyFill="1" applyBorder="1"/>
    <xf numFmtId="165" fontId="0" fillId="0" borderId="2" xfId="0" applyNumberFormat="1" applyBorder="1"/>
    <xf numFmtId="165" fontId="0" fillId="0" borderId="3" xfId="0" applyNumberFormat="1" applyBorder="1"/>
    <xf numFmtId="0" fontId="0" fillId="0" borderId="10" xfId="0" applyBorder="1"/>
    <xf numFmtId="2" fontId="5" fillId="3" borderId="11" xfId="0" applyNumberFormat="1" applyFont="1" applyFill="1" applyBorder="1"/>
    <xf numFmtId="2" fontId="5" fillId="0" borderId="11" xfId="0" applyNumberFormat="1" applyFont="1" applyBorder="1"/>
    <xf numFmtId="2" fontId="5" fillId="0" borderId="12" xfId="0" applyNumberFormat="1" applyFont="1" applyBorder="1"/>
    <xf numFmtId="49" fontId="0" fillId="0" borderId="13" xfId="0" applyNumberFormat="1" applyBorder="1"/>
    <xf numFmtId="2" fontId="0" fillId="3" borderId="0" xfId="0" applyNumberFormat="1" applyFill="1" applyBorder="1"/>
    <xf numFmtId="2" fontId="0" fillId="0" borderId="1" xfId="0" applyNumberFormat="1" applyBorder="1"/>
    <xf numFmtId="49" fontId="4" fillId="0" borderId="13" xfId="0" applyNumberFormat="1" applyFont="1" applyBorder="1"/>
    <xf numFmtId="49" fontId="2" fillId="0" borderId="13" xfId="0" applyNumberFormat="1" applyFont="1" applyBorder="1"/>
    <xf numFmtId="2" fontId="5" fillId="3" borderId="0" xfId="0" applyNumberFormat="1" applyFont="1" applyFill="1" applyBorder="1"/>
    <xf numFmtId="2" fontId="5" fillId="0" borderId="0" xfId="0" applyNumberFormat="1" applyFont="1" applyBorder="1"/>
    <xf numFmtId="2" fontId="5" fillId="0" borderId="1" xfId="0" applyNumberFormat="1" applyFont="1" applyBorder="1"/>
    <xf numFmtId="0" fontId="0" fillId="0" borderId="1" xfId="0" applyBorder="1"/>
    <xf numFmtId="49" fontId="0" fillId="0" borderId="14" xfId="0" applyNumberFormat="1" applyBorder="1"/>
    <xf numFmtId="2" fontId="0" fillId="3" borderId="2" xfId="0" applyNumberFormat="1" applyFill="1" applyBorder="1"/>
    <xf numFmtId="2" fontId="0" fillId="0" borderId="3" xfId="0" applyNumberFormat="1" applyBorder="1"/>
    <xf numFmtId="165" fontId="10" fillId="0" borderId="0" xfId="0" applyNumberFormat="1" applyFont="1"/>
    <xf numFmtId="0" fontId="10" fillId="0" borderId="0" xfId="0" applyFont="1"/>
    <xf numFmtId="2" fontId="0" fillId="2" borderId="0" xfId="0" applyNumberFormat="1" applyFill="1" applyBorder="1"/>
    <xf numFmtId="2" fontId="0" fillId="2" borderId="1" xfId="0" applyNumberFormat="1" applyFill="1" applyBorder="1"/>
    <xf numFmtId="0" fontId="3" fillId="0" borderId="0" xfId="0" applyFont="1" applyBorder="1"/>
    <xf numFmtId="0" fontId="3" fillId="0" borderId="14" xfId="0" applyFont="1" applyBorder="1"/>
    <xf numFmtId="165" fontId="0" fillId="3" borderId="11" xfId="0" applyNumberFormat="1" applyFill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165" fontId="0" fillId="0" borderId="11" xfId="0" applyNumberFormat="1" applyBorder="1"/>
    <xf numFmtId="165" fontId="0" fillId="0" borderId="12" xfId="0" applyNumberFormat="1" applyBorder="1"/>
    <xf numFmtId="49" fontId="0" fillId="0" borderId="10" xfId="0" applyNumberFormat="1" applyFill="1" applyBorder="1"/>
    <xf numFmtId="0" fontId="0" fillId="0" borderId="11" xfId="0" applyBorder="1"/>
    <xf numFmtId="49" fontId="0" fillId="0" borderId="14" xfId="0" applyNumberFormat="1" applyFill="1" applyBorder="1"/>
    <xf numFmtId="2" fontId="0" fillId="3" borderId="11" xfId="0" applyNumberFormat="1" applyFill="1" applyBorder="1"/>
    <xf numFmtId="0" fontId="2" fillId="0" borderId="0" xfId="0" applyFont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right" vertical="center" textRotation="90"/>
    </xf>
    <xf numFmtId="0" fontId="11" fillId="0" borderId="0" xfId="0" applyFont="1"/>
    <xf numFmtId="0" fontId="12" fillId="0" borderId="0" xfId="0" applyFont="1"/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/>
            </a:pPr>
            <a:r>
              <a:rPr lang="de-DE"/>
              <a:t>Cashflowübersicht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Finanzplanung!$D$26</c:f>
              <c:strCache>
                <c:ptCount val="1"/>
                <c:pt idx="0">
                  <c:v>Operativer Cashflow</c:v>
                </c:pt>
              </c:strCache>
            </c:strRef>
          </c:tx>
          <c:cat>
            <c:strRef>
              <c:f>Finanzplanung!$G$3:$N$3</c:f>
              <c:strCache>
                <c:ptCount val="8"/>
                <c:pt idx="0">
                  <c:v>2011E</c:v>
                </c:pt>
                <c:pt idx="1">
                  <c:v>2012E</c:v>
                </c:pt>
                <c:pt idx="2">
                  <c:v>2013E</c:v>
                </c:pt>
                <c:pt idx="3">
                  <c:v>2014E</c:v>
                </c:pt>
                <c:pt idx="4">
                  <c:v>2015E</c:v>
                </c:pt>
                <c:pt idx="5">
                  <c:v>2016E</c:v>
                </c:pt>
                <c:pt idx="6">
                  <c:v>2017E</c:v>
                </c:pt>
                <c:pt idx="7">
                  <c:v>2018E</c:v>
                </c:pt>
              </c:strCache>
            </c:strRef>
          </c:cat>
          <c:val>
            <c:numRef>
              <c:f>Finanzplanung!$G$26:$N$26</c:f>
              <c:numCache>
                <c:formatCode>0.00</c:formatCode>
                <c:ptCount val="8"/>
                <c:pt idx="0">
                  <c:v>73.633008012471109</c:v>
                </c:pt>
                <c:pt idx="1">
                  <c:v>77.493163392073825</c:v>
                </c:pt>
                <c:pt idx="2">
                  <c:v>88.315632041719709</c:v>
                </c:pt>
                <c:pt idx="3">
                  <c:v>95.665255999032695</c:v>
                </c:pt>
                <c:pt idx="4">
                  <c:v>105.11557046738417</c:v>
                </c:pt>
                <c:pt idx="5">
                  <c:v>110.27090805763152</c:v>
                </c:pt>
                <c:pt idx="6">
                  <c:v>105.64878092114553</c:v>
                </c:pt>
                <c:pt idx="7">
                  <c:v>89.32250073146345</c:v>
                </c:pt>
              </c:numCache>
            </c:numRef>
          </c:val>
        </c:ser>
        <c:ser>
          <c:idx val="1"/>
          <c:order val="1"/>
          <c:tx>
            <c:strRef>
              <c:f>Finanzplanung!$D$30</c:f>
              <c:strCache>
                <c:ptCount val="1"/>
                <c:pt idx="0">
                  <c:v>Cashflow aus Investitionstätigkeit</c:v>
                </c:pt>
              </c:strCache>
            </c:strRef>
          </c:tx>
          <c:cat>
            <c:strRef>
              <c:f>Finanzplanung!$G$3:$N$3</c:f>
              <c:strCache>
                <c:ptCount val="8"/>
                <c:pt idx="0">
                  <c:v>2011E</c:v>
                </c:pt>
                <c:pt idx="1">
                  <c:v>2012E</c:v>
                </c:pt>
                <c:pt idx="2">
                  <c:v>2013E</c:v>
                </c:pt>
                <c:pt idx="3">
                  <c:v>2014E</c:v>
                </c:pt>
                <c:pt idx="4">
                  <c:v>2015E</c:v>
                </c:pt>
                <c:pt idx="5">
                  <c:v>2016E</c:v>
                </c:pt>
                <c:pt idx="6">
                  <c:v>2017E</c:v>
                </c:pt>
                <c:pt idx="7">
                  <c:v>2018E</c:v>
                </c:pt>
              </c:strCache>
            </c:strRef>
          </c:cat>
          <c:val>
            <c:numRef>
              <c:f>Finanzplanung!$G$30:$N$30</c:f>
              <c:numCache>
                <c:formatCode>0.00</c:formatCode>
                <c:ptCount val="8"/>
                <c:pt idx="0">
                  <c:v>-100</c:v>
                </c:pt>
                <c:pt idx="1">
                  <c:v>-157.989228</c:v>
                </c:pt>
                <c:pt idx="2">
                  <c:v>-162.72890484000001</c:v>
                </c:pt>
                <c:pt idx="3">
                  <c:v>-167.61077198520002</c:v>
                </c:pt>
                <c:pt idx="4">
                  <c:v>-172.63909514475603</c:v>
                </c:pt>
                <c:pt idx="5">
                  <c:v>-177.81826799909871</c:v>
                </c:pt>
                <c:pt idx="6">
                  <c:v>-183.15281603907169</c:v>
                </c:pt>
                <c:pt idx="7">
                  <c:v>-188.64740052024388</c:v>
                </c:pt>
              </c:numCache>
            </c:numRef>
          </c:val>
        </c:ser>
        <c:ser>
          <c:idx val="2"/>
          <c:order val="2"/>
          <c:tx>
            <c:strRef>
              <c:f>Finanzplanung!$D$36</c:f>
              <c:strCache>
                <c:ptCount val="1"/>
                <c:pt idx="0">
                  <c:v>Cashflow aus Finanzierungstätigkeit</c:v>
                </c:pt>
              </c:strCache>
            </c:strRef>
          </c:tx>
          <c:cat>
            <c:strRef>
              <c:f>Finanzplanung!$G$3:$N$3</c:f>
              <c:strCache>
                <c:ptCount val="8"/>
                <c:pt idx="0">
                  <c:v>2011E</c:v>
                </c:pt>
                <c:pt idx="1">
                  <c:v>2012E</c:v>
                </c:pt>
                <c:pt idx="2">
                  <c:v>2013E</c:v>
                </c:pt>
                <c:pt idx="3">
                  <c:v>2014E</c:v>
                </c:pt>
                <c:pt idx="4">
                  <c:v>2015E</c:v>
                </c:pt>
                <c:pt idx="5">
                  <c:v>2016E</c:v>
                </c:pt>
                <c:pt idx="6">
                  <c:v>2017E</c:v>
                </c:pt>
                <c:pt idx="7">
                  <c:v>2018E</c:v>
                </c:pt>
              </c:strCache>
            </c:strRef>
          </c:cat>
          <c:val>
            <c:numRef>
              <c:f>Finanzplanung!$G$40:$N$40</c:f>
              <c:numCache>
                <c:formatCode>0.00</c:formatCode>
                <c:ptCount val="8"/>
                <c:pt idx="0">
                  <c:v>150</c:v>
                </c:pt>
                <c:pt idx="1">
                  <c:v>-129</c:v>
                </c:pt>
                <c:pt idx="2">
                  <c:v>0</c:v>
                </c:pt>
                <c:pt idx="3">
                  <c:v>-9.9</c:v>
                </c:pt>
                <c:pt idx="4">
                  <c:v>-101.35462996997052</c:v>
                </c:pt>
                <c:pt idx="5">
                  <c:v>67.547359376823238</c:v>
                </c:pt>
                <c:pt idx="6">
                  <c:v>77.504029204424938</c:v>
                </c:pt>
                <c:pt idx="7">
                  <c:v>99.324887305253583</c:v>
                </c:pt>
              </c:numCache>
            </c:numRef>
          </c:val>
        </c:ser>
        <c:axId val="175896448"/>
        <c:axId val="175897984"/>
      </c:barChart>
      <c:catAx>
        <c:axId val="175896448"/>
        <c:scaling>
          <c:orientation val="minMax"/>
        </c:scaling>
        <c:axPos val="b"/>
        <c:majorTickMark val="none"/>
        <c:tickLblPos val="nextTo"/>
        <c:crossAx val="175897984"/>
        <c:crosses val="autoZero"/>
        <c:auto val="1"/>
        <c:lblAlgn val="ctr"/>
        <c:lblOffset val="100"/>
      </c:catAx>
      <c:valAx>
        <c:axId val="175897984"/>
        <c:scaling>
          <c:orientation val="minMax"/>
        </c:scaling>
        <c:axPos val="l"/>
        <c:majorGridlines/>
        <c:numFmt formatCode="0.00" sourceLinked="1"/>
        <c:majorTickMark val="none"/>
        <c:tickLblPos val="nextTo"/>
        <c:crossAx val="175896448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Finanzplanung!$D$13</c:f>
              <c:strCache>
                <c:ptCount val="1"/>
                <c:pt idx="0">
                  <c:v>Kassenbestand</c:v>
                </c:pt>
              </c:strCache>
            </c:strRef>
          </c:tx>
          <c:cat>
            <c:strRef>
              <c:f>Finanzplanung!$G$3:$N$3</c:f>
              <c:strCache>
                <c:ptCount val="8"/>
                <c:pt idx="0">
                  <c:v>2011E</c:v>
                </c:pt>
                <c:pt idx="1">
                  <c:v>2012E</c:v>
                </c:pt>
                <c:pt idx="2">
                  <c:v>2013E</c:v>
                </c:pt>
                <c:pt idx="3">
                  <c:v>2014E</c:v>
                </c:pt>
                <c:pt idx="4">
                  <c:v>2015E</c:v>
                </c:pt>
                <c:pt idx="5">
                  <c:v>2016E</c:v>
                </c:pt>
                <c:pt idx="6">
                  <c:v>2017E</c:v>
                </c:pt>
                <c:pt idx="7">
                  <c:v>2018E</c:v>
                </c:pt>
              </c:strCache>
            </c:strRef>
          </c:cat>
          <c:val>
            <c:numRef>
              <c:f>Finanzplanung!$G$13:$N$13</c:f>
              <c:numCache>
                <c:formatCode>0.0</c:formatCode>
                <c:ptCount val="8"/>
                <c:pt idx="0">
                  <c:v>534.63300801247112</c:v>
                </c:pt>
                <c:pt idx="1">
                  <c:v>325.13694340454492</c:v>
                </c:pt>
                <c:pt idx="2">
                  <c:v>250.72367060626462</c:v>
                </c:pt>
                <c:pt idx="3">
                  <c:v>168.87815462009729</c:v>
                </c:pt>
                <c:pt idx="4">
                  <c:v>-98.645370067561146</c:v>
                </c:pt>
                <c:pt idx="5">
                  <c:v>-166.19273024079442</c:v>
                </c:pt>
                <c:pt idx="6">
                  <c:v>-254.69676800684005</c:v>
                </c:pt>
                <c:pt idx="7">
                  <c:v>-515.02167376800412</c:v>
                </c:pt>
              </c:numCache>
            </c:numRef>
          </c:val>
        </c:ser>
        <c:axId val="176532864"/>
        <c:axId val="176534656"/>
      </c:barChart>
      <c:catAx>
        <c:axId val="176532864"/>
        <c:scaling>
          <c:orientation val="minMax"/>
        </c:scaling>
        <c:axPos val="b"/>
        <c:tickLblPos val="nextTo"/>
        <c:crossAx val="176534656"/>
        <c:crosses val="autoZero"/>
        <c:auto val="1"/>
        <c:lblAlgn val="ctr"/>
        <c:lblOffset val="100"/>
      </c:catAx>
      <c:valAx>
        <c:axId val="176534656"/>
        <c:scaling>
          <c:orientation val="minMax"/>
        </c:scaling>
        <c:axPos val="l"/>
        <c:majorGridlines/>
        <c:numFmt formatCode="0.0" sourceLinked="1"/>
        <c:tickLblPos val="nextTo"/>
        <c:crossAx val="176532864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143638</xdr:colOff>
      <xdr:row>1</xdr:row>
      <xdr:rowOff>193555</xdr:rowOff>
    </xdr:from>
    <xdr:to>
      <xdr:col>23</xdr:col>
      <xdr:colOff>504263</xdr:colOff>
      <xdr:row>23</xdr:row>
      <xdr:rowOff>27505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304596</xdr:colOff>
      <xdr:row>23</xdr:row>
      <xdr:rowOff>97797</xdr:rowOff>
    </xdr:from>
    <xdr:to>
      <xdr:col>23</xdr:col>
      <xdr:colOff>650960</xdr:colOff>
      <xdr:row>44</xdr:row>
      <xdr:rowOff>11206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61"/>
  <sheetViews>
    <sheetView tabSelected="1" zoomScale="59" zoomScaleNormal="59" workbookViewId="0">
      <selection activeCell="B13" sqref="B13"/>
    </sheetView>
  </sheetViews>
  <sheetFormatPr baseColWidth="10" defaultRowHeight="15"/>
  <cols>
    <col min="1" max="1" width="18.140625" customWidth="1"/>
    <col min="4" max="4" width="41.140625" customWidth="1"/>
  </cols>
  <sheetData>
    <row r="2" spans="1:15" ht="15.75" thickBot="1"/>
    <row r="3" spans="1:15" ht="18.75">
      <c r="A3" s="70" t="s">
        <v>44</v>
      </c>
      <c r="B3" s="69">
        <f ca="1">J13</f>
        <v>168.87815462009729</v>
      </c>
      <c r="D3" s="22" t="s">
        <v>35</v>
      </c>
      <c r="E3" s="23">
        <v>2009</v>
      </c>
      <c r="F3" s="24">
        <v>2010</v>
      </c>
      <c r="G3" s="25" t="s">
        <v>5</v>
      </c>
      <c r="H3" s="25" t="s">
        <v>6</v>
      </c>
      <c r="I3" s="25" t="s">
        <v>7</v>
      </c>
      <c r="J3" s="25" t="s">
        <v>8</v>
      </c>
      <c r="K3" s="25" t="s">
        <v>9</v>
      </c>
      <c r="L3" s="25" t="s">
        <v>37</v>
      </c>
      <c r="M3" s="25" t="s">
        <v>38</v>
      </c>
      <c r="N3" s="26" t="s">
        <v>39</v>
      </c>
    </row>
    <row r="4" spans="1:15" ht="18.75">
      <c r="A4" s="70" t="s">
        <v>45</v>
      </c>
      <c r="B4" s="69">
        <f ca="1">M13</f>
        <v>-254.69675861127766</v>
      </c>
      <c r="D4" s="27" t="s">
        <v>0</v>
      </c>
      <c r="E4" s="28">
        <v>3240</v>
      </c>
      <c r="F4" s="29">
        <v>3723</v>
      </c>
      <c r="G4" s="30">
        <f>F4*(1+G5)</f>
        <v>3834.69</v>
      </c>
      <c r="H4" s="30">
        <f t="shared" ref="H4:J4" si="0">G4*(1+H5)</f>
        <v>3949.7307000000001</v>
      </c>
      <c r="I4" s="30">
        <f t="shared" si="0"/>
        <v>4068.2226210000003</v>
      </c>
      <c r="J4" s="30">
        <f t="shared" si="0"/>
        <v>4190.2692996300002</v>
      </c>
      <c r="K4" s="30">
        <f>J4*(1+K5)</f>
        <v>4315.9773786189007</v>
      </c>
      <c r="L4" s="30">
        <f t="shared" ref="L4:N4" si="1">K4*(1+L5)</f>
        <v>4445.4566999774679</v>
      </c>
      <c r="M4" s="30">
        <f t="shared" si="1"/>
        <v>4578.8204009767924</v>
      </c>
      <c r="N4" s="31">
        <f t="shared" si="1"/>
        <v>4716.1850130060966</v>
      </c>
    </row>
    <row r="5" spans="1:15">
      <c r="D5" s="32" t="s">
        <v>1</v>
      </c>
      <c r="E5" s="33" t="s">
        <v>4</v>
      </c>
      <c r="F5" s="34">
        <f>(F4/E4)-1</f>
        <v>0.14907407407407414</v>
      </c>
      <c r="G5" s="35">
        <f t="shared" ref="G5:N5" si="2">$B$31</f>
        <v>0.03</v>
      </c>
      <c r="H5" s="35">
        <f t="shared" si="2"/>
        <v>0.03</v>
      </c>
      <c r="I5" s="35">
        <f t="shared" si="2"/>
        <v>0.03</v>
      </c>
      <c r="J5" s="35">
        <f t="shared" si="2"/>
        <v>0.03</v>
      </c>
      <c r="K5" s="35">
        <f t="shared" si="2"/>
        <v>0.03</v>
      </c>
      <c r="L5" s="35">
        <f t="shared" si="2"/>
        <v>0.03</v>
      </c>
      <c r="M5" s="35">
        <f t="shared" si="2"/>
        <v>0.03</v>
      </c>
      <c r="N5" s="36">
        <f t="shared" si="2"/>
        <v>0.03</v>
      </c>
      <c r="O5" s="1"/>
    </row>
    <row r="6" spans="1:15">
      <c r="D6" s="27" t="s">
        <v>2</v>
      </c>
      <c r="E6" s="37">
        <v>28.4</v>
      </c>
      <c r="F6" s="38">
        <v>-9.3000000000000007</v>
      </c>
      <c r="G6" s="39">
        <f>G4*G7</f>
        <v>57.520350000000001</v>
      </c>
      <c r="H6" s="39">
        <f t="shared" ref="H6:N6" si="3">H4*H7</f>
        <v>59.245960499999995</v>
      </c>
      <c r="I6" s="39">
        <f t="shared" si="3"/>
        <v>61.023339315000001</v>
      </c>
      <c r="J6" s="39">
        <f t="shared" si="3"/>
        <v>62.854039494449999</v>
      </c>
      <c r="K6" s="39">
        <f t="shared" si="3"/>
        <v>64.739660679283503</v>
      </c>
      <c r="L6" s="39">
        <f t="shared" si="3"/>
        <v>66.681850499662019</v>
      </c>
      <c r="M6" s="39">
        <f t="shared" si="3"/>
        <v>68.682306014651886</v>
      </c>
      <c r="N6" s="40">
        <f t="shared" si="3"/>
        <v>70.74277519509144</v>
      </c>
    </row>
    <row r="7" spans="1:15">
      <c r="D7" s="32" t="s">
        <v>3</v>
      </c>
      <c r="E7" s="41">
        <f>E6/E4</f>
        <v>8.7654320987654317E-3</v>
      </c>
      <c r="F7" s="42">
        <f>F6/F4</f>
        <v>-2.4979854955680903E-3</v>
      </c>
      <c r="G7" s="43">
        <f t="shared" ref="G7:N7" si="4">$B$30</f>
        <v>1.4999999999999999E-2</v>
      </c>
      <c r="H7" s="43">
        <f t="shared" si="4"/>
        <v>1.4999999999999999E-2</v>
      </c>
      <c r="I7" s="43">
        <f t="shared" si="4"/>
        <v>1.4999999999999999E-2</v>
      </c>
      <c r="J7" s="43">
        <f t="shared" si="4"/>
        <v>1.4999999999999999E-2</v>
      </c>
      <c r="K7" s="43">
        <f t="shared" si="4"/>
        <v>1.4999999999999999E-2</v>
      </c>
      <c r="L7" s="43">
        <f t="shared" si="4"/>
        <v>1.4999999999999999E-2</v>
      </c>
      <c r="M7" s="43">
        <f t="shared" si="4"/>
        <v>1.4999999999999999E-2</v>
      </c>
      <c r="N7" s="44">
        <f t="shared" si="4"/>
        <v>1.4999999999999999E-2</v>
      </c>
    </row>
    <row r="8" spans="1:15" ht="15.75" thickBot="1">
      <c r="D8" s="74" t="s">
        <v>43</v>
      </c>
      <c r="E8" s="50">
        <f>(E20+E23+E24)*$B$27</f>
        <v>-5.76</v>
      </c>
      <c r="F8" s="51">
        <f t="shared" ref="F8:M8" si="5">(F20+F23+F24)*$B$27</f>
        <v>-17.52</v>
      </c>
      <c r="G8" s="51">
        <f t="shared" ca="1" si="5"/>
        <v>1.9060545120187058</v>
      </c>
      <c r="H8" s="51">
        <f t="shared" ca="1" si="5"/>
        <v>1.8574935651068158</v>
      </c>
      <c r="I8" s="51">
        <f t="shared" ca="1" si="5"/>
        <v>3.8270873004093962</v>
      </c>
      <c r="J8" s="51">
        <f t="shared" ca="1" si="5"/>
        <v>4.3723290802651471</v>
      </c>
      <c r="K8" s="51">
        <f t="shared" ca="1" si="5"/>
        <v>5.8717857068516031</v>
      </c>
      <c r="L8" s="51">
        <f t="shared" ca="1" si="5"/>
        <v>5.5750643864615759</v>
      </c>
      <c r="M8" s="51">
        <f t="shared" ca="1" si="5"/>
        <v>1.1237707553385894</v>
      </c>
      <c r="N8" s="52">
        <f ca="1">(N20+N23+N24)*$B$27</f>
        <v>-5.8211980879938734</v>
      </c>
    </row>
    <row r="9" spans="1:15" ht="15.75" thickBot="1">
      <c r="D9" s="73"/>
      <c r="F9" s="39"/>
      <c r="G9" s="39"/>
      <c r="H9" s="39"/>
      <c r="I9" s="39"/>
      <c r="J9" s="39"/>
      <c r="K9" s="39"/>
      <c r="L9" s="39"/>
      <c r="M9" s="39"/>
      <c r="N9" s="39"/>
      <c r="O9" s="16"/>
    </row>
    <row r="10" spans="1:15">
      <c r="D10" s="53" t="s">
        <v>48</v>
      </c>
      <c r="E10" s="75" t="s">
        <v>4</v>
      </c>
      <c r="F10" s="76" t="s">
        <v>4</v>
      </c>
      <c r="G10" s="77">
        <f ca="1">IF(G13&gt;0,0,-G13)</f>
        <v>0</v>
      </c>
      <c r="H10" s="77">
        <f ca="1">IF(H13&gt;0,0,-H13)</f>
        <v>0</v>
      </c>
      <c r="I10" s="77">
        <f t="shared" ref="I10:M10" ca="1" si="6">IF(I13&gt;0,0,-I13)</f>
        <v>0</v>
      </c>
      <c r="J10" s="77">
        <f t="shared" ca="1" si="6"/>
        <v>0</v>
      </c>
      <c r="K10" s="77">
        <f ca="1">IF(K13&gt;0,0,-K13)</f>
        <v>98.645370030029483</v>
      </c>
      <c r="L10" s="77">
        <f ca="1">IF(L13&gt;0,0,-L13)</f>
        <v>166.19272940685272</v>
      </c>
      <c r="M10" s="77">
        <f t="shared" ca="1" si="6"/>
        <v>254.69675861127766</v>
      </c>
      <c r="N10" s="78">
        <f ca="1">IF(N13&gt;0,0,-N13)</f>
        <v>515.02164591653127</v>
      </c>
    </row>
    <row r="11" spans="1:15">
      <c r="D11" s="27" t="s">
        <v>10</v>
      </c>
      <c r="E11" s="45">
        <v>286</v>
      </c>
      <c r="F11" s="47">
        <v>598</v>
      </c>
      <c r="G11" s="39">
        <f ca="1">F11+G32+G33+G10</f>
        <v>748</v>
      </c>
      <c r="H11" s="39">
        <f ca="1">G11+H32+H33+H10</f>
        <v>619</v>
      </c>
      <c r="I11" s="39">
        <f t="shared" ref="I11:J11" ca="1" si="7">H11+I32+I33+I10</f>
        <v>619</v>
      </c>
      <c r="J11" s="39">
        <f t="shared" ca="1" si="7"/>
        <v>609.1</v>
      </c>
      <c r="K11" s="39">
        <f ca="1">J11+K32+K33+K10</f>
        <v>507.74537003002951</v>
      </c>
      <c r="L11" s="39">
        <f ca="1">K11+L32+L33+L10</f>
        <v>673.93809943688223</v>
      </c>
      <c r="M11" s="39">
        <f ca="1">L11+M32+M33+M10</f>
        <v>917.63485804815991</v>
      </c>
      <c r="N11" s="40">
        <f t="shared" ref="N11" ca="1" si="8">M11+N32+N33+N10</f>
        <v>1271.6565039646912</v>
      </c>
    </row>
    <row r="12" spans="1:15">
      <c r="D12" s="48" t="s">
        <v>11</v>
      </c>
      <c r="E12" s="46" t="s">
        <v>4</v>
      </c>
      <c r="F12" s="39">
        <f>AVERAGE(E11:F11)</f>
        <v>442</v>
      </c>
      <c r="G12" s="39">
        <f ca="1">AVERAGE(F11:G11)</f>
        <v>673</v>
      </c>
      <c r="H12" s="39">
        <f t="shared" ref="H12:J12" ca="1" si="9">AVERAGE(G11:H11)</f>
        <v>683.5</v>
      </c>
      <c r="I12" s="39">
        <f ca="1">AVERAGE(H11:I11)</f>
        <v>619</v>
      </c>
      <c r="J12" s="39">
        <f t="shared" ca="1" si="9"/>
        <v>614.04999999999995</v>
      </c>
      <c r="K12" s="39">
        <f ca="1">AVERAGE(J11:K11)</f>
        <v>558.42268501501474</v>
      </c>
      <c r="L12" s="39">
        <f t="shared" ref="L12" ca="1" si="10">AVERAGE(K11:L11)</f>
        <v>590.84173473345584</v>
      </c>
      <c r="M12" s="39">
        <f ca="1">AVERAGE(L11:M11)</f>
        <v>795.78647874252101</v>
      </c>
      <c r="N12" s="40">
        <f t="shared" ref="N12" ca="1" si="11">AVERAGE(M11:N11)</f>
        <v>1094.6456810064255</v>
      </c>
    </row>
    <row r="13" spans="1:15">
      <c r="D13" s="27" t="s">
        <v>12</v>
      </c>
      <c r="E13" s="45">
        <v>373</v>
      </c>
      <c r="F13" s="47">
        <v>411</v>
      </c>
      <c r="G13" s="39">
        <f ca="1">F13+G38</f>
        <v>534.63300801247112</v>
      </c>
      <c r="H13" s="39">
        <f t="shared" ref="H13:J13" ca="1" si="12">G13+H38</f>
        <v>325.13694340454492</v>
      </c>
      <c r="I13" s="39">
        <f t="shared" ca="1" si="12"/>
        <v>250.72367060626462</v>
      </c>
      <c r="J13" s="39">
        <f t="shared" ca="1" si="12"/>
        <v>168.87815462009729</v>
      </c>
      <c r="K13" s="39">
        <f ca="1">J13+K38</f>
        <v>-98.645370067561146</v>
      </c>
      <c r="L13" s="39">
        <f ca="1">K13+L38</f>
        <v>-166.19273024079442</v>
      </c>
      <c r="M13" s="39">
        <f t="shared" ref="M13" ca="1" si="13">L13+M38</f>
        <v>-254.69676800684005</v>
      </c>
      <c r="N13" s="40">
        <f ca="1">M13+N38</f>
        <v>-515.02167376800412</v>
      </c>
    </row>
    <row r="14" spans="1:15">
      <c r="D14" s="27" t="s">
        <v>14</v>
      </c>
      <c r="E14" s="45">
        <v>1209</v>
      </c>
      <c r="F14" s="47">
        <v>887</v>
      </c>
      <c r="G14" s="39">
        <f ca="1">F14-G28-G22-G29</f>
        <v>908.8792525155726</v>
      </c>
      <c r="H14" s="39">
        <f ca="1">G14-H28-H22-H29</f>
        <v>984.50621277541472</v>
      </c>
      <c r="I14" s="39">
        <f t="shared" ref="I14:J14" ca="1" si="14">H14-I28-I22-I29</f>
        <v>1058.370002261317</v>
      </c>
      <c r="J14" s="39">
        <f t="shared" ca="1" si="14"/>
        <v>1130.7538851443696</v>
      </c>
      <c r="K14" s="39">
        <f ca="1">J14-K28-K22-K29</f>
        <v>1201.9215968235223</v>
      </c>
      <c r="L14" s="39">
        <f ca="1">K14-L28-L22-L29</f>
        <v>1272.1190947396242</v>
      </c>
      <c r="M14" s="39">
        <f t="shared" ref="M14:N14" ca="1" si="15">L14-M28-M22-M29</f>
        <v>1341.5761668974817</v>
      </c>
      <c r="N14" s="40">
        <f t="shared" ca="1" si="15"/>
        <v>1410.5079100696551</v>
      </c>
    </row>
    <row r="15" spans="1:15">
      <c r="D15" s="48" t="s">
        <v>15</v>
      </c>
      <c r="E15" s="46" t="s">
        <v>4</v>
      </c>
      <c r="F15" s="39">
        <f>AVERAGE(E14:F14)</f>
        <v>1048</v>
      </c>
      <c r="G15" s="39">
        <f ca="1">AVERAGE(F14:G14)</f>
        <v>897.93962625778636</v>
      </c>
      <c r="H15" s="39">
        <f t="shared" ref="H15:K15" ca="1" si="16">AVERAGE(G14:H14)</f>
        <v>946.69273264549361</v>
      </c>
      <c r="I15" s="39">
        <f t="shared" ca="1" si="16"/>
        <v>1021.4381075183659</v>
      </c>
      <c r="J15" s="39">
        <f t="shared" ca="1" si="16"/>
        <v>1094.5619437028433</v>
      </c>
      <c r="K15" s="39">
        <f t="shared" ca="1" si="16"/>
        <v>1166.3377409839459</v>
      </c>
      <c r="L15" s="39">
        <f t="shared" ref="L15" ca="1" si="17">AVERAGE(K14:L14)</f>
        <v>1237.0203457815733</v>
      </c>
      <c r="M15" s="39">
        <f t="shared" ref="M15" ca="1" si="18">AVERAGE(L14:M14)</f>
        <v>1306.8476308185529</v>
      </c>
      <c r="N15" s="40">
        <f t="shared" ref="N15" ca="1" si="19">AVERAGE(M14:N14)</f>
        <v>1376.0420384835684</v>
      </c>
    </row>
    <row r="16" spans="1:15" ht="15.75" thickBot="1">
      <c r="D16" s="49" t="s">
        <v>36</v>
      </c>
      <c r="E16" s="50">
        <f>E11-E13</f>
        <v>-87</v>
      </c>
      <c r="F16" s="51">
        <f t="shared" ref="F16:M16" si="20">F11-F13</f>
        <v>187</v>
      </c>
      <c r="G16" s="51">
        <f t="shared" ca="1" si="20"/>
        <v>213.36699198752888</v>
      </c>
      <c r="H16" s="51">
        <f t="shared" ca="1" si="20"/>
        <v>293.86305659545508</v>
      </c>
      <c r="I16" s="51">
        <f t="shared" ca="1" si="20"/>
        <v>368.27632939373541</v>
      </c>
      <c r="J16" s="51">
        <f t="shared" ca="1" si="20"/>
        <v>440.22184537990273</v>
      </c>
      <c r="K16" s="51">
        <f ca="1">K11-K13</f>
        <v>606.39074009759065</v>
      </c>
      <c r="L16" s="51">
        <f t="shared" ca="1" si="20"/>
        <v>840.13082967767662</v>
      </c>
      <c r="M16" s="51">
        <f t="shared" ca="1" si="20"/>
        <v>1172.331626055</v>
      </c>
      <c r="N16" s="52">
        <f ca="1">N11-N13</f>
        <v>1786.6781777326953</v>
      </c>
    </row>
    <row r="17" spans="1:14">
      <c r="D17" s="2"/>
    </row>
    <row r="18" spans="1:14">
      <c r="D18" s="3" t="s">
        <v>13</v>
      </c>
    </row>
    <row r="19" spans="1:14" ht="15.75" thickBot="1"/>
    <row r="20" spans="1:14">
      <c r="A20" s="83" t="s">
        <v>16</v>
      </c>
      <c r="B20" s="83"/>
      <c r="D20" s="53" t="s">
        <v>2</v>
      </c>
      <c r="E20" s="54">
        <f>E6</f>
        <v>28.4</v>
      </c>
      <c r="F20" s="55">
        <f>F6</f>
        <v>-9.3000000000000007</v>
      </c>
      <c r="G20" s="55">
        <f>G6</f>
        <v>57.520350000000001</v>
      </c>
      <c r="H20" s="55">
        <f t="shared" ref="H20:M20" si="21">H6</f>
        <v>59.245960499999995</v>
      </c>
      <c r="I20" s="55">
        <f t="shared" si="21"/>
        <v>61.023339315000001</v>
      </c>
      <c r="J20" s="55">
        <f t="shared" si="21"/>
        <v>62.854039494449999</v>
      </c>
      <c r="K20" s="55">
        <f t="shared" si="21"/>
        <v>64.739660679283503</v>
      </c>
      <c r="L20" s="55">
        <f t="shared" si="21"/>
        <v>66.681850499662019</v>
      </c>
      <c r="M20" s="55">
        <f t="shared" si="21"/>
        <v>68.682306014651886</v>
      </c>
      <c r="N20" s="56">
        <f>N6</f>
        <v>70.74277519509144</v>
      </c>
    </row>
    <row r="21" spans="1:14">
      <c r="A21" s="5"/>
      <c r="B21" s="5"/>
      <c r="D21" s="57" t="s">
        <v>41</v>
      </c>
      <c r="E21" s="58">
        <f>-MAX(E8,0)</f>
        <v>0</v>
      </c>
      <c r="F21" s="7">
        <f t="shared" ref="F21:N21" si="22">-MAX(F8,0)</f>
        <v>0</v>
      </c>
      <c r="G21" s="7">
        <f t="shared" ca="1" si="22"/>
        <v>-1.9060545120187058</v>
      </c>
      <c r="H21" s="7">
        <f t="shared" ca="1" si="22"/>
        <v>-1.8574935651068158</v>
      </c>
      <c r="I21" s="7">
        <f t="shared" ca="1" si="22"/>
        <v>-3.8270873004093962</v>
      </c>
      <c r="J21" s="7">
        <f t="shared" ca="1" si="22"/>
        <v>-4.3723290802651471</v>
      </c>
      <c r="K21" s="7">
        <f ca="1">-MAX(K8,0)</f>
        <v>-5.8717857068516031</v>
      </c>
      <c r="L21" s="7">
        <f t="shared" ca="1" si="22"/>
        <v>-5.5750643864615759</v>
      </c>
      <c r="M21" s="7">
        <f t="shared" ca="1" si="22"/>
        <v>-1.1237707553385894</v>
      </c>
      <c r="N21" s="59">
        <f t="shared" ca="1" si="22"/>
        <v>0</v>
      </c>
    </row>
    <row r="22" spans="1:14">
      <c r="D22" s="57" t="s">
        <v>20</v>
      </c>
      <c r="E22" s="58">
        <v>109.1</v>
      </c>
      <c r="F22" s="7">
        <v>92.7</v>
      </c>
      <c r="G22" s="7">
        <f ca="1">G15*$B$23</f>
        <v>78.120747484427412</v>
      </c>
      <c r="H22" s="7">
        <f t="shared" ref="H22:K22" ca="1" si="23">H15*$B$23</f>
        <v>82.362267740157932</v>
      </c>
      <c r="I22" s="7">
        <f t="shared" ca="1" si="23"/>
        <v>88.865115354097824</v>
      </c>
      <c r="J22" s="7">
        <f t="shared" ca="1" si="23"/>
        <v>95.226889102147368</v>
      </c>
      <c r="K22" s="7">
        <f t="shared" ca="1" si="23"/>
        <v>101.47138346560328</v>
      </c>
      <c r="L22" s="7">
        <f t="shared" ref="L22:N22" ca="1" si="24">L15*$B$23</f>
        <v>107.62077008299687</v>
      </c>
      <c r="M22" s="7">
        <f t="shared" ca="1" si="24"/>
        <v>113.6957438812141</v>
      </c>
      <c r="N22" s="59">
        <f t="shared" ca="1" si="24"/>
        <v>119.71565734807044</v>
      </c>
    </row>
    <row r="23" spans="1:14">
      <c r="A23" t="s">
        <v>17</v>
      </c>
      <c r="B23" s="17">
        <v>8.6999999999999994E-2</v>
      </c>
      <c r="D23" s="57" t="s">
        <v>21</v>
      </c>
      <c r="E23" s="58">
        <v>-49.4</v>
      </c>
      <c r="F23" s="7">
        <v>-51.2</v>
      </c>
      <c r="G23" s="7">
        <f ca="1">G12*-$B$25</f>
        <v>-53.84</v>
      </c>
      <c r="H23" s="7">
        <f t="shared" ref="H23:N23" ca="1" si="25">H12*-$B$25</f>
        <v>-54.68</v>
      </c>
      <c r="I23" s="7">
        <f t="shared" ca="1" si="25"/>
        <v>-49.52</v>
      </c>
      <c r="J23" s="7">
        <f ca="1">J12*-$B$25</f>
        <v>-49.123999999999995</v>
      </c>
      <c r="K23" s="7">
        <f t="shared" ca="1" si="25"/>
        <v>-44.673814801201182</v>
      </c>
      <c r="L23" s="7">
        <f t="shared" ca="1" si="25"/>
        <v>-47.267338778676468</v>
      </c>
      <c r="M23" s="7">
        <f ca="1">M12*-$B$25</f>
        <v>-63.662918299401682</v>
      </c>
      <c r="N23" s="59">
        <f t="shared" ca="1" si="25"/>
        <v>-87.571654480514042</v>
      </c>
    </row>
    <row r="24" spans="1:14">
      <c r="A24" t="s">
        <v>18</v>
      </c>
      <c r="B24" s="17">
        <v>0.08</v>
      </c>
      <c r="D24" s="57" t="s">
        <v>24</v>
      </c>
      <c r="E24" s="58">
        <v>1.8</v>
      </c>
      <c r="F24" s="7">
        <v>2.1</v>
      </c>
      <c r="G24" s="7">
        <f ca="1">G13*$B$26</f>
        <v>2.6731650400623557</v>
      </c>
      <c r="H24" s="7">
        <f t="shared" ref="H24:K24" ca="1" si="26">H13*$B$26</f>
        <v>1.6256847170227247</v>
      </c>
      <c r="I24" s="7">
        <f t="shared" ca="1" si="26"/>
        <v>1.2536183530313232</v>
      </c>
      <c r="J24" s="7">
        <f t="shared" ca="1" si="26"/>
        <v>0.84439077310048649</v>
      </c>
      <c r="K24" s="7">
        <f t="shared" ca="1" si="26"/>
        <v>-0.49322685033780572</v>
      </c>
      <c r="L24" s="7">
        <f t="shared" ref="L24:N24" ca="1" si="27">L13*$B$26</f>
        <v>-0.83096365120397209</v>
      </c>
      <c r="M24" s="7">
        <f t="shared" ca="1" si="27"/>
        <v>-1.2734838400342003</v>
      </c>
      <c r="N24" s="59">
        <f t="shared" ca="1" si="27"/>
        <v>-2.5751083688400205</v>
      </c>
    </row>
    <row r="25" spans="1:14">
      <c r="A25" t="s">
        <v>19</v>
      </c>
      <c r="B25" s="17">
        <v>0.08</v>
      </c>
      <c r="D25" s="60" t="s">
        <v>22</v>
      </c>
      <c r="E25" s="58">
        <v>60</v>
      </c>
      <c r="F25" s="7">
        <v>7</v>
      </c>
      <c r="G25" s="7">
        <f>(G4*-$B$24)-(F4*-$B$24)</f>
        <v>-8.9351999999999521</v>
      </c>
      <c r="H25" s="7">
        <f t="shared" ref="H25:N25" si="28">(H4*-$B$24)-(G4*-$B$24)</f>
        <v>-9.2032560000000103</v>
      </c>
      <c r="I25" s="7">
        <f t="shared" si="28"/>
        <v>-9.4793536800000311</v>
      </c>
      <c r="J25" s="7">
        <f t="shared" si="28"/>
        <v>-9.7637342904000093</v>
      </c>
      <c r="K25" s="7">
        <f t="shared" si="28"/>
        <v>-10.056646319112019</v>
      </c>
      <c r="L25" s="7">
        <f t="shared" si="28"/>
        <v>-10.358345708685363</v>
      </c>
      <c r="M25" s="7">
        <f t="shared" si="28"/>
        <v>-10.669096079945973</v>
      </c>
      <c r="N25" s="59">
        <f t="shared" si="28"/>
        <v>-10.989168962344365</v>
      </c>
    </row>
    <row r="26" spans="1:14">
      <c r="A26" t="s">
        <v>25</v>
      </c>
      <c r="B26" s="17">
        <v>5.0000000000000001E-3</v>
      </c>
      <c r="D26" s="61" t="s">
        <v>23</v>
      </c>
      <c r="E26" s="62">
        <f>SUM(E20:E25)</f>
        <v>149.89999999999998</v>
      </c>
      <c r="F26" s="63">
        <f>SUM(F20:F25)</f>
        <v>41.300000000000004</v>
      </c>
      <c r="G26" s="63">
        <f t="shared" ref="G26:K26" ca="1" si="29">SUM(G20:G25)</f>
        <v>73.633008012471109</v>
      </c>
      <c r="H26" s="63">
        <f t="shared" ca="1" si="29"/>
        <v>77.493163392073825</v>
      </c>
      <c r="I26" s="63">
        <f t="shared" ca="1" si="29"/>
        <v>88.315632041719709</v>
      </c>
      <c r="J26" s="63">
        <f t="shared" ca="1" si="29"/>
        <v>95.665255999032695</v>
      </c>
      <c r="K26" s="63">
        <f t="shared" ca="1" si="29"/>
        <v>105.11557046738417</v>
      </c>
      <c r="L26" s="63">
        <f t="shared" ref="L26:N26" ca="1" si="30">SUM(L20:L25)</f>
        <v>110.27090805763152</v>
      </c>
      <c r="M26" s="63">
        <f t="shared" ca="1" si="30"/>
        <v>105.64878092114553</v>
      </c>
      <c r="N26" s="64">
        <f t="shared" ca="1" si="30"/>
        <v>89.32250073146345</v>
      </c>
    </row>
    <row r="27" spans="1:14">
      <c r="A27" t="s">
        <v>42</v>
      </c>
      <c r="B27" s="17">
        <v>0.3</v>
      </c>
      <c r="D27" s="27"/>
      <c r="E27" s="58"/>
      <c r="F27" s="7"/>
      <c r="G27" s="7"/>
      <c r="H27" s="7"/>
      <c r="I27" s="7"/>
      <c r="J27" s="7"/>
      <c r="K27" s="7"/>
      <c r="L27" s="16"/>
      <c r="M27" s="16"/>
      <c r="N27" s="65"/>
    </row>
    <row r="28" spans="1:14">
      <c r="A28" t="s">
        <v>49</v>
      </c>
      <c r="B28" s="17">
        <v>0.04</v>
      </c>
      <c r="D28" s="57" t="s">
        <v>27</v>
      </c>
      <c r="E28" s="58">
        <f>-161-11</f>
        <v>-172</v>
      </c>
      <c r="F28" s="7">
        <f>-58-18</f>
        <v>-76</v>
      </c>
      <c r="G28" s="7">
        <v>-100</v>
      </c>
      <c r="H28" s="7">
        <f t="shared" ref="H28:N28" si="31">H4*-$B$28</f>
        <v>-157.989228</v>
      </c>
      <c r="I28" s="7">
        <f t="shared" si="31"/>
        <v>-162.72890484000001</v>
      </c>
      <c r="J28" s="7">
        <f t="shared" si="31"/>
        <v>-167.61077198520002</v>
      </c>
      <c r="K28" s="7">
        <f t="shared" si="31"/>
        <v>-172.63909514475603</v>
      </c>
      <c r="L28" s="7">
        <f t="shared" si="31"/>
        <v>-177.81826799909871</v>
      </c>
      <c r="M28" s="7">
        <f t="shared" si="31"/>
        <v>-183.15281603907169</v>
      </c>
      <c r="N28" s="59">
        <f t="shared" si="31"/>
        <v>-188.64740052024388</v>
      </c>
    </row>
    <row r="29" spans="1:14">
      <c r="D29" s="57" t="s">
        <v>28</v>
      </c>
      <c r="E29" s="58">
        <v>106</v>
      </c>
      <c r="F29" s="71">
        <v>563.1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2">
        <v>0</v>
      </c>
    </row>
    <row r="30" spans="1:14">
      <c r="A30" t="s">
        <v>3</v>
      </c>
      <c r="B30" s="17">
        <v>1.4999999999999999E-2</v>
      </c>
      <c r="D30" s="61" t="s">
        <v>26</v>
      </c>
      <c r="E30" s="62">
        <f>SUM(E28:E29)</f>
        <v>-66</v>
      </c>
      <c r="F30" s="63">
        <f>SUM(F28:F29)</f>
        <v>487.1</v>
      </c>
      <c r="G30" s="63">
        <f t="shared" ref="G30:K30" si="32">SUM(G28:G29)</f>
        <v>-100</v>
      </c>
      <c r="H30" s="63">
        <f t="shared" si="32"/>
        <v>-157.989228</v>
      </c>
      <c r="I30" s="63">
        <f t="shared" si="32"/>
        <v>-162.72890484000001</v>
      </c>
      <c r="J30" s="63">
        <f t="shared" si="32"/>
        <v>-167.61077198520002</v>
      </c>
      <c r="K30" s="63">
        <f t="shared" si="32"/>
        <v>-172.63909514475603</v>
      </c>
      <c r="L30" s="63">
        <f t="shared" ref="L30:N30" si="33">SUM(L28:L29)</f>
        <v>-177.81826799909871</v>
      </c>
      <c r="M30" s="63">
        <f t="shared" si="33"/>
        <v>-183.15281603907169</v>
      </c>
      <c r="N30" s="64">
        <f t="shared" si="33"/>
        <v>-188.64740052024388</v>
      </c>
    </row>
    <row r="31" spans="1:14">
      <c r="A31" t="s">
        <v>40</v>
      </c>
      <c r="B31" s="17">
        <v>0.03</v>
      </c>
      <c r="D31" s="27"/>
      <c r="E31" s="58"/>
      <c r="F31" s="7"/>
      <c r="G31" s="7"/>
      <c r="H31" s="7"/>
      <c r="I31" s="7"/>
      <c r="J31" s="7"/>
      <c r="K31" s="7"/>
      <c r="L31" s="16"/>
      <c r="M31" s="16"/>
      <c r="N31" s="65"/>
    </row>
    <row r="32" spans="1:14">
      <c r="D32" s="57" t="s">
        <v>29</v>
      </c>
      <c r="E32" s="58">
        <v>-202.7</v>
      </c>
      <c r="F32" s="71">
        <v>-480.3</v>
      </c>
      <c r="G32" s="71">
        <v>0</v>
      </c>
      <c r="H32" s="71">
        <v>-129</v>
      </c>
      <c r="I32" s="71">
        <v>0</v>
      </c>
      <c r="J32" s="71">
        <v>-9.9</v>
      </c>
      <c r="K32" s="71">
        <v>-200</v>
      </c>
      <c r="L32" s="71">
        <v>0</v>
      </c>
      <c r="M32" s="71">
        <v>-11</v>
      </c>
      <c r="N32" s="72">
        <f>-11-150</f>
        <v>-161</v>
      </c>
    </row>
    <row r="33" spans="4:19">
      <c r="D33" s="57" t="s">
        <v>30</v>
      </c>
      <c r="E33" s="58">
        <v>110.6</v>
      </c>
      <c r="F33" s="71">
        <v>222.9</v>
      </c>
      <c r="G33" s="71">
        <v>150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2">
        <v>0</v>
      </c>
    </row>
    <row r="34" spans="4:19">
      <c r="D34" s="57" t="s">
        <v>31</v>
      </c>
      <c r="E34" s="58">
        <v>72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2">
        <v>0</v>
      </c>
    </row>
    <row r="35" spans="4:19">
      <c r="D35" s="57" t="s">
        <v>32</v>
      </c>
      <c r="E35" s="58">
        <v>71.599999999999994</v>
      </c>
      <c r="F35" s="71">
        <v>-136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2">
        <v>0</v>
      </c>
    </row>
    <row r="36" spans="4:19">
      <c r="D36" s="61" t="s">
        <v>33</v>
      </c>
      <c r="E36" s="62">
        <f>SUM(E32:E35)</f>
        <v>51.5</v>
      </c>
      <c r="F36" s="63">
        <f>SUM(F32:F35)</f>
        <v>-393.4</v>
      </c>
      <c r="G36" s="63">
        <f t="shared" ref="G36:K36" si="34">SUM(G32:G35)</f>
        <v>150</v>
      </c>
      <c r="H36" s="63">
        <f t="shared" si="34"/>
        <v>-129</v>
      </c>
      <c r="I36" s="63">
        <f t="shared" si="34"/>
        <v>0</v>
      </c>
      <c r="J36" s="63">
        <f t="shared" si="34"/>
        <v>-9.9</v>
      </c>
      <c r="K36" s="63">
        <f t="shared" si="34"/>
        <v>-200</v>
      </c>
      <c r="L36" s="63">
        <f t="shared" ref="L36:N36" si="35">SUM(L32:L35)</f>
        <v>0</v>
      </c>
      <c r="M36" s="63">
        <f t="shared" si="35"/>
        <v>-11</v>
      </c>
      <c r="N36" s="64">
        <f t="shared" si="35"/>
        <v>-161</v>
      </c>
    </row>
    <row r="37" spans="4:19">
      <c r="D37" s="57"/>
      <c r="E37" s="58"/>
      <c r="F37" s="7"/>
      <c r="G37" s="7"/>
      <c r="H37" s="7"/>
      <c r="I37" s="7"/>
      <c r="J37" s="7"/>
      <c r="K37" s="7"/>
      <c r="L37" s="16"/>
      <c r="M37" s="16"/>
      <c r="N37" s="65"/>
    </row>
    <row r="38" spans="4:19" ht="15.75" thickBot="1">
      <c r="D38" s="66" t="s">
        <v>34</v>
      </c>
      <c r="E38" s="67">
        <f>SUM(E26,E30,E36)</f>
        <v>135.39999999999998</v>
      </c>
      <c r="F38" s="8">
        <f>SUM(F26,F30,F36)</f>
        <v>135</v>
      </c>
      <c r="G38" s="8">
        <f t="shared" ref="G38:M38" ca="1" si="36">SUM(G26,G30,G36)</f>
        <v>123.63300801247111</v>
      </c>
      <c r="H38" s="8">
        <f t="shared" ca="1" si="36"/>
        <v>-209.49606460792617</v>
      </c>
      <c r="I38" s="8">
        <f ca="1">SUM(I26,I30,I36)</f>
        <v>-74.413272798280303</v>
      </c>
      <c r="J38" s="8">
        <f t="shared" ca="1" si="36"/>
        <v>-81.845515986167328</v>
      </c>
      <c r="K38" s="8">
        <f t="shared" ca="1" si="36"/>
        <v>-267.52352467737182</v>
      </c>
      <c r="L38" s="8">
        <f t="shared" ca="1" si="36"/>
        <v>-67.547359941467192</v>
      </c>
      <c r="M38" s="8">
        <f t="shared" ca="1" si="36"/>
        <v>-88.504035117926165</v>
      </c>
      <c r="N38" s="68">
        <f ca="1">SUM(N26,N30,N36)</f>
        <v>-260.32489978878044</v>
      </c>
    </row>
    <row r="39" spans="4:19">
      <c r="D39" s="79" t="s">
        <v>46</v>
      </c>
      <c r="E39" s="82">
        <v>0</v>
      </c>
      <c r="F39" s="80">
        <v>0</v>
      </c>
      <c r="G39" s="77">
        <f ca="1">G10-0</f>
        <v>0</v>
      </c>
      <c r="H39" s="77">
        <f ca="1">H10-G10</f>
        <v>0</v>
      </c>
      <c r="I39" s="77">
        <f t="shared" ref="I39:M39" ca="1" si="37">I10-H10</f>
        <v>0</v>
      </c>
      <c r="J39" s="77">
        <f t="shared" ca="1" si="37"/>
        <v>0</v>
      </c>
      <c r="K39" s="77">
        <f t="shared" ca="1" si="37"/>
        <v>98.645370030029483</v>
      </c>
      <c r="L39" s="77">
        <f t="shared" ca="1" si="37"/>
        <v>67.547359376823238</v>
      </c>
      <c r="M39" s="77">
        <f t="shared" ca="1" si="37"/>
        <v>88.504029204424938</v>
      </c>
      <c r="N39" s="78">
        <f ca="1">N10-M10</f>
        <v>260.32488730525358</v>
      </c>
    </row>
    <row r="40" spans="4:19" ht="15.75" thickBot="1">
      <c r="D40" s="81" t="s">
        <v>47</v>
      </c>
      <c r="E40" s="67">
        <f>E36+E39</f>
        <v>51.5</v>
      </c>
      <c r="F40" s="8">
        <f t="shared" ref="F40:N40" si="38">F36+F39</f>
        <v>-393.4</v>
      </c>
      <c r="G40" s="8">
        <f t="shared" ca="1" si="38"/>
        <v>150</v>
      </c>
      <c r="H40" s="8">
        <f t="shared" ca="1" si="38"/>
        <v>-129</v>
      </c>
      <c r="I40" s="8">
        <f t="shared" ca="1" si="38"/>
        <v>0</v>
      </c>
      <c r="J40" s="8">
        <f t="shared" ca="1" si="38"/>
        <v>-9.9</v>
      </c>
      <c r="K40" s="8">
        <f t="shared" ca="1" si="38"/>
        <v>-101.35462996997052</v>
      </c>
      <c r="L40" s="8">
        <f t="shared" ca="1" si="38"/>
        <v>67.547359376823238</v>
      </c>
      <c r="M40" s="8">
        <f t="shared" ca="1" si="38"/>
        <v>77.504029204424938</v>
      </c>
      <c r="N40" s="68">
        <f t="shared" ca="1" si="38"/>
        <v>99.324887305253583</v>
      </c>
    </row>
    <row r="41" spans="4:19">
      <c r="E41" s="6"/>
    </row>
    <row r="42" spans="4:19">
      <c r="E42" s="3"/>
      <c r="F42" s="3"/>
      <c r="G42" s="3"/>
      <c r="I42" s="4"/>
    </row>
    <row r="43" spans="4:19">
      <c r="E43" s="3"/>
      <c r="F43" s="3"/>
      <c r="G43" s="3"/>
    </row>
    <row r="44" spans="4:19">
      <c r="E44" s="3"/>
      <c r="F44" s="3"/>
      <c r="G44" s="3"/>
    </row>
    <row r="45" spans="4:19">
      <c r="E45" s="3"/>
    </row>
    <row r="47" spans="4:19" ht="21">
      <c r="H47" s="86" t="s">
        <v>50</v>
      </c>
      <c r="I47" s="87"/>
      <c r="J47" s="87"/>
      <c r="K47" s="87"/>
      <c r="L47" s="87"/>
      <c r="M47" s="87"/>
    </row>
    <row r="48" spans="4:19" ht="19.5" thickBot="1">
      <c r="H48" s="84" t="s">
        <v>3</v>
      </c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</row>
    <row r="49" spans="7:19" ht="15.75" thickBot="1">
      <c r="H49" s="9">
        <f ca="1">J13</f>
        <v>168.87815462009729</v>
      </c>
      <c r="I49" s="10">
        <v>-0.05</v>
      </c>
      <c r="J49" s="11">
        <v>-0.04</v>
      </c>
      <c r="K49" s="11">
        <v>-0.03</v>
      </c>
      <c r="L49" s="11">
        <v>-0.02</v>
      </c>
      <c r="M49" s="11">
        <v>-0.01</v>
      </c>
      <c r="N49" s="11">
        <v>0</v>
      </c>
      <c r="O49" s="11">
        <v>0.01</v>
      </c>
      <c r="P49" s="11">
        <v>0.02</v>
      </c>
      <c r="Q49" s="11">
        <v>0.03</v>
      </c>
      <c r="R49" s="11">
        <v>0.04</v>
      </c>
      <c r="S49" s="12">
        <v>0.05</v>
      </c>
    </row>
    <row r="50" spans="7:19">
      <c r="G50" s="85" t="s">
        <v>1</v>
      </c>
      <c r="H50" s="13">
        <v>0</v>
      </c>
      <c r="I50" s="7">
        <f t="dataTable" ref="I50:S57" dt2D="1" dtr="1" r1="B30" r2="B31" ca="1"/>
        <v>-861.5926678289037</v>
      </c>
      <c r="J50" s="7">
        <v>-672.0080897135831</v>
      </c>
      <c r="K50" s="7">
        <v>-485.53985982999791</v>
      </c>
      <c r="L50" s="7">
        <v>-313.62897786471206</v>
      </c>
      <c r="M50" s="7">
        <v>-143.71713184707608</v>
      </c>
      <c r="N50" s="7">
        <v>12.860720489828523</v>
      </c>
      <c r="O50" s="18">
        <v>163.66099968397168</v>
      </c>
      <c r="P50" s="18">
        <v>284.57698192877427</v>
      </c>
      <c r="Q50" s="18">
        <v>389.73954128831667</v>
      </c>
      <c r="R50" s="18">
        <v>494.90210056126392</v>
      </c>
      <c r="S50" s="19">
        <v>600.06465983421128</v>
      </c>
    </row>
    <row r="51" spans="7:19">
      <c r="G51" s="85"/>
      <c r="H51" s="14">
        <v>0.01</v>
      </c>
      <c r="I51" s="7">
        <v>-913.96097337382525</v>
      </c>
      <c r="J51" s="7">
        <v>-719.85592037773552</v>
      </c>
      <c r="K51" s="7">
        <v>-525.96981331139352</v>
      </c>
      <c r="L51" s="7">
        <v>-349.80422189839027</v>
      </c>
      <c r="M51" s="7">
        <v>-173.63863049078529</v>
      </c>
      <c r="N51" s="7">
        <v>-12.152687630695198</v>
      </c>
      <c r="O51" s="18">
        <v>142.93439905091896</v>
      </c>
      <c r="P51" s="18">
        <v>265.43302484589236</v>
      </c>
      <c r="Q51" s="18">
        <v>373.24636888216816</v>
      </c>
      <c r="R51" s="18">
        <v>481.05971283054117</v>
      </c>
      <c r="S51" s="19">
        <v>588.87305677891402</v>
      </c>
    </row>
    <row r="52" spans="7:19">
      <c r="G52" s="85"/>
      <c r="H52" s="14">
        <v>0.02</v>
      </c>
      <c r="I52" s="7">
        <v>-967.48898827495577</v>
      </c>
      <c r="J52" s="7">
        <v>-768.77839683546244</v>
      </c>
      <c r="K52" s="7">
        <v>-570.06780535516464</v>
      </c>
      <c r="L52" s="7">
        <v>-386.85959740363853</v>
      </c>
      <c r="M52" s="7">
        <v>-206.35599592814316</v>
      </c>
      <c r="N52" s="7">
        <v>-38.379602301739567</v>
      </c>
      <c r="O52" s="18">
        <v>121.63624120224654</v>
      </c>
      <c r="P52" s="18">
        <v>245.74928574195533</v>
      </c>
      <c r="Q52" s="18">
        <v>356.26660014188093</v>
      </c>
      <c r="R52" s="18">
        <v>466.78391463102844</v>
      </c>
      <c r="S52" s="19">
        <v>577.30122903095423</v>
      </c>
    </row>
    <row r="53" spans="7:19">
      <c r="G53" s="85"/>
      <c r="H53" s="14">
        <v>0.03</v>
      </c>
      <c r="I53" s="7">
        <v>-1022.1952051379399</v>
      </c>
      <c r="J53" s="7">
        <v>-818.79279749166096</v>
      </c>
      <c r="K53" s="7">
        <v>-615.3903898242927</v>
      </c>
      <c r="L53" s="7">
        <v>-424.8099544267389</v>
      </c>
      <c r="M53" s="7">
        <v>-239.88382808187413</v>
      </c>
      <c r="N53" s="7">
        <v>-65.293427915220349</v>
      </c>
      <c r="O53" s="18">
        <v>99.756075296755029</v>
      </c>
      <c r="P53" s="18">
        <v>225.51578720493018</v>
      </c>
      <c r="Q53" s="18">
        <v>338.79105237459589</v>
      </c>
      <c r="R53" s="18">
        <v>452.06631763481391</v>
      </c>
      <c r="S53" s="19">
        <v>565.34158280447969</v>
      </c>
    </row>
    <row r="54" spans="7:19">
      <c r="G54" s="85"/>
      <c r="H54" s="14">
        <v>0.04</v>
      </c>
      <c r="I54" s="7">
        <v>-1078.0982740005527</v>
      </c>
      <c r="J54" s="7">
        <v>-869.91654889079655</v>
      </c>
      <c r="K54" s="7">
        <v>-661.73482375949447</v>
      </c>
      <c r="L54" s="7">
        <v>-463.67027244149807</v>
      </c>
      <c r="M54" s="7">
        <v>-274.23588289051685</v>
      </c>
      <c r="N54" s="7">
        <v>-92.906348497098946</v>
      </c>
      <c r="O54" s="18">
        <v>77.283353209539811</v>
      </c>
      <c r="P54" s="18">
        <v>204.72245827215011</v>
      </c>
      <c r="Q54" s="18">
        <v>320.81045534841178</v>
      </c>
      <c r="R54" s="18">
        <v>436.89845251656783</v>
      </c>
      <c r="S54" s="19">
        <v>552.98644959282933</v>
      </c>
    </row>
    <row r="55" spans="7:19">
      <c r="G55" s="85"/>
      <c r="H55" s="14">
        <v>0.05</v>
      </c>
      <c r="I55" s="7">
        <v>-1135.2170024585323</v>
      </c>
      <c r="J55" s="7">
        <v>-922.16722571689979</v>
      </c>
      <c r="K55" s="7">
        <v>-709.11744895326137</v>
      </c>
      <c r="L55" s="7">
        <v>-503.45566034886872</v>
      </c>
      <c r="M55" s="7">
        <v>-309.42603636348497</v>
      </c>
      <c r="N55" s="7">
        <v>-121.23065878515612</v>
      </c>
      <c r="O55" s="18">
        <v>54.207429531991281</v>
      </c>
      <c r="P55" s="18">
        <v>183.35913443031495</v>
      </c>
      <c r="Q55" s="18">
        <v>302.31545164530507</v>
      </c>
      <c r="R55" s="18">
        <v>421.27176895354319</v>
      </c>
      <c r="S55" s="19">
        <v>540.22808616853342</v>
      </c>
    </row>
    <row r="56" spans="7:19">
      <c r="G56" s="85"/>
      <c r="H56" s="14">
        <v>0.06</v>
      </c>
      <c r="I56" s="7">
        <v>-1193.5703555832465</v>
      </c>
      <c r="J56" s="7">
        <v>-975.56255079356959</v>
      </c>
      <c r="K56" s="7">
        <v>-757.55474598142314</v>
      </c>
      <c r="L56" s="7">
        <v>-544.18135647691076</v>
      </c>
      <c r="M56" s="7">
        <v>-345.4682845810687</v>
      </c>
      <c r="N56" s="7">
        <v>-150.27876423988556</v>
      </c>
      <c r="O56" s="18">
        <v>30.517561571794985</v>
      </c>
      <c r="P56" s="18">
        <v>161.41555761549057</v>
      </c>
      <c r="Q56" s="18">
        <v>283.29659657322662</v>
      </c>
      <c r="R56" s="18">
        <v>405.17763562557599</v>
      </c>
      <c r="S56" s="19">
        <v>527.05867458331215</v>
      </c>
    </row>
    <row r="57" spans="7:19" ht="15.75" thickBot="1">
      <c r="G57" s="85"/>
      <c r="H57" s="15">
        <v>7.0000000000000007E-2</v>
      </c>
      <c r="I57" s="8">
        <v>-1253.1774559418609</v>
      </c>
      <c r="J57" s="8">
        <v>-1030.1203950839715</v>
      </c>
      <c r="K57" s="8">
        <v>-807.0633342031449</v>
      </c>
      <c r="L57" s="8">
        <v>-585.86272858078962</v>
      </c>
      <c r="M57" s="8">
        <v>-382.37674369443357</v>
      </c>
      <c r="N57" s="8">
        <v>-180.06318102876151</v>
      </c>
      <c r="O57" s="20">
        <v>6.2029093529313855</v>
      </c>
      <c r="P57" s="20">
        <v>138.88137621310921</v>
      </c>
      <c r="Q57" s="20">
        <v>263.74435816610162</v>
      </c>
      <c r="R57" s="20">
        <v>388.60734011260706</v>
      </c>
      <c r="S57" s="21">
        <v>513.47032216807668</v>
      </c>
    </row>
    <row r="61" spans="7:19">
      <c r="N61" s="16"/>
    </row>
  </sheetData>
  <mergeCells count="3">
    <mergeCell ref="A20:B20"/>
    <mergeCell ref="H48:S48"/>
    <mergeCell ref="G50:G57"/>
  </mergeCells>
  <conditionalFormatting sqref="I50:S57">
    <cfRule type="colorScale" priority="1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3">
    <cfRule type="colorScale" priority="1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3">
    <cfRule type="iconSet" priority="3">
      <iconSet>
        <cfvo type="percent" val="0"/>
        <cfvo type="num" val="125"/>
        <cfvo type="num" val="200"/>
      </iconSet>
    </cfRule>
    <cfRule type="iconSet" priority="4">
      <iconSet iconSet="3Symbols">
        <cfvo type="percent" val="0"/>
        <cfvo type="percent" val="33"/>
        <cfvo type="percent" val="67"/>
      </iconSet>
    </cfRule>
    <cfRule type="colorScale" priority="7">
      <colorScale>
        <cfvo type="num" val="100"/>
        <cfvo type="num" val="175"/>
        <cfvo type="num" val="250"/>
        <color rgb="FFF8696B"/>
        <color rgb="FFFFEB84"/>
        <color rgb="FF63BE7B"/>
      </colorScale>
    </cfRule>
    <cfRule type="colorScale" priority="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4">
    <cfRule type="iconSet" priority="1">
      <iconSet>
        <cfvo type="percent" val="0"/>
        <cfvo type="num" val="125"/>
        <cfvo type="num" val="250"/>
      </iconSet>
    </cfRule>
    <cfRule type="iconSet" priority="2">
      <iconSet iconSet="3Symbols">
        <cfvo type="percent" val="0"/>
        <cfvo type="percent" val="33"/>
        <cfvo type="percent" val="67"/>
      </iconSet>
    </cfRule>
    <cfRule type="colorScale" priority="5">
      <colorScale>
        <cfvo type="num" val="50"/>
        <cfvo type="num" val="125"/>
        <cfvo type="num" val="200"/>
        <color rgb="FFF8696B"/>
        <color rgb="FFFFEB84"/>
        <color rgb="FF63BE7B"/>
      </colorScale>
    </cfRule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Finanzplanung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Nicolas</cp:lastModifiedBy>
  <dcterms:created xsi:type="dcterms:W3CDTF">2011-06-19T12:17:30Z</dcterms:created>
  <dcterms:modified xsi:type="dcterms:W3CDTF">2011-07-02T11:29:10Z</dcterms:modified>
</cp:coreProperties>
</file>